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luefkensm\Desktop\Twiplomacy 2016\Twitter\"/>
    </mc:Choice>
  </mc:AlternateContent>
  <bookViews>
    <workbookView xWindow="0" yWindow="0" windowWidth="19200" windowHeight="4230" tabRatio="500"/>
  </bookViews>
  <sheets>
    <sheet name="Twiplomacy Stats" sheetId="3" r:id="rId1"/>
  </sheets>
  <definedNames>
    <definedName name="_xlnm._FilterDatabase" localSheetId="0" hidden="1">'Twiplomacy Stats'!$A$2:$AU$2</definedName>
  </definedNames>
  <calcPr calcId="152511"/>
</workbook>
</file>

<file path=xl/calcChain.xml><?xml version="1.0" encoding="utf-8"?>
<calcChain xmlns="http://schemas.openxmlformats.org/spreadsheetml/2006/main">
  <c r="AM288" i="3" l="1"/>
  <c r="AM287" i="3"/>
  <c r="AM286" i="3"/>
  <c r="AM285" i="3"/>
  <c r="AM284" i="3"/>
  <c r="AM283" i="3"/>
  <c r="AM282" i="3"/>
  <c r="AM281" i="3"/>
  <c r="AM280" i="3"/>
  <c r="AM279" i="3"/>
  <c r="AM278" i="3"/>
  <c r="AM277" i="3"/>
  <c r="AM276" i="3"/>
  <c r="AM275" i="3"/>
  <c r="AM274" i="3"/>
  <c r="AM273" i="3"/>
  <c r="AM272" i="3"/>
  <c r="AM271" i="3"/>
  <c r="AM270" i="3"/>
  <c r="AM269" i="3"/>
  <c r="AM268" i="3"/>
  <c r="AM267" i="3"/>
  <c r="AM266" i="3"/>
  <c r="AM265" i="3"/>
  <c r="AM264" i="3"/>
  <c r="AM263" i="3"/>
  <c r="AM262" i="3"/>
  <c r="AM261" i="3"/>
  <c r="AM260" i="3"/>
  <c r="AM259" i="3"/>
  <c r="AM258" i="3"/>
  <c r="AM257" i="3"/>
  <c r="AM256" i="3"/>
  <c r="AM255" i="3"/>
  <c r="AM254" i="3"/>
  <c r="AM253" i="3"/>
  <c r="AM252" i="3"/>
  <c r="AM251" i="3"/>
  <c r="AM250" i="3"/>
  <c r="AM249" i="3"/>
  <c r="AM248" i="3"/>
  <c r="AM247" i="3"/>
  <c r="AM246" i="3"/>
  <c r="AM245" i="3"/>
  <c r="AM244" i="3"/>
  <c r="AM243" i="3"/>
  <c r="AM242" i="3"/>
  <c r="AM241" i="3"/>
  <c r="AM240" i="3"/>
  <c r="AM239" i="3"/>
  <c r="AM238" i="3"/>
  <c r="AM237" i="3"/>
  <c r="AM236" i="3"/>
  <c r="AM235" i="3"/>
  <c r="AM234" i="3"/>
  <c r="AM233" i="3"/>
  <c r="AM232" i="3"/>
  <c r="AM231" i="3"/>
  <c r="AM230" i="3"/>
  <c r="AM229" i="3"/>
  <c r="AM228" i="3"/>
  <c r="AM227" i="3"/>
  <c r="AM226" i="3"/>
  <c r="AM225" i="3"/>
  <c r="AM224" i="3"/>
  <c r="AM223" i="3"/>
  <c r="AM222" i="3"/>
  <c r="AM221" i="3"/>
  <c r="AM220" i="3"/>
  <c r="AM219" i="3"/>
  <c r="AM218" i="3"/>
  <c r="AM217" i="3"/>
  <c r="AM216" i="3"/>
  <c r="AM215" i="3"/>
  <c r="AM214" i="3"/>
  <c r="AM213" i="3"/>
  <c r="AM212" i="3"/>
  <c r="AM211" i="3"/>
  <c r="AM210" i="3"/>
  <c r="AM209" i="3"/>
  <c r="AM208" i="3"/>
  <c r="AM207" i="3"/>
  <c r="AM206" i="3"/>
  <c r="AM205" i="3"/>
  <c r="AM204" i="3"/>
  <c r="AM203" i="3"/>
  <c r="AM202" i="3"/>
  <c r="AM201" i="3"/>
  <c r="AM200" i="3"/>
  <c r="AM199" i="3"/>
  <c r="AM198" i="3"/>
  <c r="AM197" i="3"/>
  <c r="AM196" i="3"/>
  <c r="AM195" i="3"/>
  <c r="AM194" i="3"/>
  <c r="AM193" i="3"/>
  <c r="AM192" i="3"/>
  <c r="AM191" i="3"/>
  <c r="AM190" i="3"/>
  <c r="AM189" i="3"/>
  <c r="AM188" i="3"/>
  <c r="AM187" i="3"/>
  <c r="AM186" i="3"/>
  <c r="AM185" i="3"/>
  <c r="AM184" i="3"/>
  <c r="AM183" i="3"/>
  <c r="AM182" i="3"/>
  <c r="AM181" i="3"/>
  <c r="AM180" i="3"/>
  <c r="AM179" i="3"/>
  <c r="AM178" i="3"/>
  <c r="AM177" i="3"/>
  <c r="AM176" i="3"/>
  <c r="AM175" i="3"/>
  <c r="AM174" i="3"/>
  <c r="AM173" i="3"/>
  <c r="AM172" i="3"/>
  <c r="AM171" i="3"/>
  <c r="AM170" i="3"/>
  <c r="AM169" i="3"/>
  <c r="AM168" i="3"/>
  <c r="AM167" i="3"/>
  <c r="AM166" i="3"/>
  <c r="AM165" i="3"/>
  <c r="AM164" i="3"/>
  <c r="AM163" i="3"/>
  <c r="AM162" i="3"/>
  <c r="AM161" i="3"/>
  <c r="AM160" i="3"/>
  <c r="AM159" i="3"/>
  <c r="AM158" i="3"/>
  <c r="AM157" i="3"/>
  <c r="AM156" i="3"/>
  <c r="AM155" i="3"/>
  <c r="AM154" i="3"/>
  <c r="AM153" i="3"/>
  <c r="AM152" i="3"/>
  <c r="AM151" i="3"/>
  <c r="AM150" i="3"/>
  <c r="AM149" i="3"/>
  <c r="AM148" i="3"/>
  <c r="AM147" i="3"/>
  <c r="AM146" i="3"/>
  <c r="AM145" i="3"/>
  <c r="AM144" i="3"/>
  <c r="AM143" i="3"/>
  <c r="AM142" i="3"/>
  <c r="AM141" i="3"/>
  <c r="AM140" i="3"/>
  <c r="AM139" i="3"/>
  <c r="AM138" i="3"/>
  <c r="AM137" i="3"/>
  <c r="AM136" i="3"/>
  <c r="AM135" i="3"/>
  <c r="AM134" i="3"/>
  <c r="AM133" i="3"/>
  <c r="AM132" i="3"/>
  <c r="AM131" i="3"/>
  <c r="AM130" i="3"/>
  <c r="AM129" i="3"/>
  <c r="AM128" i="3"/>
  <c r="AM127" i="3"/>
  <c r="AM126" i="3"/>
  <c r="AM125" i="3"/>
  <c r="AM124" i="3"/>
  <c r="AM123" i="3"/>
  <c r="AM122" i="3"/>
  <c r="AM121" i="3"/>
  <c r="AM120" i="3"/>
  <c r="AM119" i="3"/>
  <c r="AM118" i="3"/>
  <c r="AM117" i="3"/>
  <c r="AM116" i="3"/>
  <c r="AM115" i="3"/>
  <c r="AM114" i="3"/>
  <c r="AM113" i="3"/>
  <c r="AM112" i="3"/>
  <c r="AM111" i="3"/>
  <c r="AM110" i="3"/>
  <c r="AM109" i="3"/>
  <c r="AM108" i="3"/>
  <c r="AM107" i="3"/>
  <c r="AM106" i="3"/>
  <c r="AM105" i="3"/>
  <c r="AM104" i="3"/>
  <c r="AM103" i="3"/>
  <c r="AM102" i="3"/>
  <c r="AM101" i="3"/>
  <c r="AM100"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AM63" i="3"/>
  <c r="AM62" i="3"/>
  <c r="AM61" i="3"/>
  <c r="AM60" i="3"/>
  <c r="AM59" i="3"/>
  <c r="AM58" i="3"/>
  <c r="AM57" i="3"/>
  <c r="AM56" i="3"/>
  <c r="AM55" i="3"/>
  <c r="AM54" i="3"/>
  <c r="AM53" i="3"/>
  <c r="AM52" i="3"/>
  <c r="AM51" i="3"/>
  <c r="AM50" i="3"/>
  <c r="AM49" i="3"/>
  <c r="AM48" i="3"/>
  <c r="AM47" i="3"/>
  <c r="AM46" i="3"/>
  <c r="AM45" i="3"/>
  <c r="AM44" i="3"/>
  <c r="AM43" i="3"/>
  <c r="AM42" i="3"/>
  <c r="AM41" i="3"/>
  <c r="AM40" i="3"/>
  <c r="AM39" i="3"/>
  <c r="AM38" i="3"/>
  <c r="AM37" i="3"/>
  <c r="AM36" i="3"/>
  <c r="AM35" i="3"/>
  <c r="AM34" i="3"/>
  <c r="AM33" i="3"/>
  <c r="AM32" i="3"/>
  <c r="AM31" i="3"/>
  <c r="AM30" i="3"/>
  <c r="AM29" i="3"/>
  <c r="AM28" i="3"/>
  <c r="AM27" i="3"/>
  <c r="AM26" i="3"/>
  <c r="AM25" i="3"/>
  <c r="AM24" i="3"/>
  <c r="AM23" i="3"/>
  <c r="AM22" i="3"/>
  <c r="AM21" i="3"/>
  <c r="AM20" i="3"/>
  <c r="AM19" i="3"/>
  <c r="AM18" i="3"/>
  <c r="AM17" i="3"/>
  <c r="AM16" i="3"/>
  <c r="AM15" i="3"/>
  <c r="AM14" i="3"/>
  <c r="AM13" i="3"/>
  <c r="AM12" i="3"/>
  <c r="AM11" i="3"/>
  <c r="AM10" i="3"/>
  <c r="AM9" i="3"/>
  <c r="AM8" i="3"/>
  <c r="AM7" i="3"/>
  <c r="AM6" i="3"/>
  <c r="AM5" i="3"/>
  <c r="AM4" i="3"/>
  <c r="AM3" i="3"/>
  <c r="AM289" i="3"/>
  <c r="AM623" i="3" l="1"/>
  <c r="AR623" i="3" l="1"/>
  <c r="S343" i="3" l="1"/>
  <c r="S415" i="3"/>
  <c r="S660" i="3"/>
  <c r="S182" i="3"/>
  <c r="S102" i="3"/>
  <c r="S108" i="3"/>
  <c r="S221" i="3"/>
  <c r="AR650" i="3" l="1"/>
  <c r="AR764" i="3"/>
  <c r="AR532" i="3"/>
  <c r="AR740" i="3"/>
  <c r="AR783" i="3"/>
  <c r="AR785" i="3"/>
  <c r="AR592" i="3"/>
  <c r="AR543" i="3"/>
  <c r="AR605" i="3"/>
  <c r="AR747" i="3"/>
  <c r="AR769" i="3"/>
  <c r="AR781" i="3"/>
  <c r="AR618" i="3"/>
  <c r="AR686" i="3"/>
  <c r="AR721" i="3"/>
  <c r="AR544" i="3"/>
  <c r="AR758" i="3"/>
  <c r="AR264" i="3"/>
  <c r="AR704" i="3"/>
  <c r="AR714" i="3"/>
  <c r="AR527" i="3"/>
  <c r="AR565" i="3"/>
  <c r="AR424" i="3"/>
  <c r="AR656" i="3"/>
  <c r="AR481" i="3"/>
  <c r="AR325" i="3"/>
  <c r="AR672" i="3"/>
  <c r="AR606" i="3"/>
  <c r="AR745" i="3"/>
  <c r="AR93" i="3"/>
  <c r="AR138" i="3"/>
  <c r="AR528" i="3"/>
  <c r="AR723" i="3"/>
  <c r="AR522" i="3"/>
  <c r="AR466" i="3"/>
  <c r="AR239" i="3"/>
  <c r="AR414" i="3"/>
  <c r="AR646" i="3"/>
  <c r="AR775" i="3"/>
  <c r="AR743" i="3"/>
  <c r="AR754" i="3"/>
  <c r="AR720" i="3"/>
  <c r="AR742" i="3"/>
  <c r="AR447" i="3"/>
  <c r="AR772" i="3"/>
  <c r="AR668" i="3"/>
  <c r="AR613" i="3"/>
  <c r="AR430" i="3"/>
  <c r="AR748" i="3"/>
  <c r="AR282" i="3"/>
  <c r="AR595" i="3"/>
  <c r="AR445" i="3"/>
  <c r="AR638" i="3"/>
  <c r="AR468" i="3"/>
  <c r="AR706" i="3"/>
  <c r="AR308" i="3"/>
  <c r="AR788" i="3"/>
  <c r="AR120" i="3"/>
  <c r="AR362" i="3"/>
  <c r="AR709" i="3"/>
  <c r="AR698" i="3"/>
  <c r="AR727" i="3"/>
  <c r="AR589" i="3"/>
  <c r="AR603" i="3"/>
  <c r="AR346" i="3"/>
  <c r="AR497" i="3"/>
  <c r="AR496" i="3"/>
  <c r="AR703" i="3"/>
  <c r="AR763" i="3"/>
  <c r="AR722" i="3"/>
  <c r="AR305" i="3"/>
  <c r="AR765" i="3"/>
  <c r="AR768" i="3"/>
  <c r="AR612" i="3"/>
  <c r="AR732" i="3"/>
  <c r="AR680" i="3"/>
  <c r="AR188" i="3"/>
  <c r="AR629" i="3"/>
  <c r="AR577" i="3"/>
  <c r="AR614" i="3"/>
  <c r="AR749" i="3"/>
  <c r="AR744" i="3"/>
  <c r="AR729" i="3"/>
  <c r="AR216" i="3"/>
  <c r="AR737" i="3"/>
  <c r="AR757" i="3"/>
  <c r="AR464" i="3"/>
  <c r="AR329" i="3"/>
  <c r="AR547" i="3"/>
  <c r="AR526" i="3"/>
  <c r="AR145" i="3"/>
  <c r="AR782" i="3"/>
  <c r="AR402" i="3"/>
  <c r="AR361" i="3"/>
  <c r="AR701" i="3"/>
  <c r="AR674" i="3"/>
  <c r="AR692" i="3"/>
  <c r="AR667" i="3"/>
  <c r="AR311" i="3"/>
  <c r="AR411" i="3"/>
  <c r="AR275" i="3"/>
  <c r="AR363" i="3"/>
  <c r="AR654" i="3"/>
  <c r="AR383" i="3"/>
  <c r="AR734" i="3"/>
  <c r="AR267" i="3"/>
  <c r="AR787" i="3"/>
  <c r="AR443" i="3"/>
  <c r="AR434" i="3"/>
  <c r="AR593" i="3"/>
  <c r="AR600" i="3"/>
  <c r="AR767" i="3"/>
  <c r="AR655" i="3"/>
  <c r="AR432" i="3"/>
  <c r="AR689" i="3"/>
  <c r="AR642" i="3"/>
  <c r="AR632" i="3"/>
  <c r="AR141" i="3"/>
  <c r="AR622" i="3"/>
  <c r="AR736" i="3"/>
  <c r="AR474" i="3"/>
  <c r="AR441" i="3"/>
  <c r="AR735" i="3"/>
  <c r="AR726" i="3"/>
  <c r="AR725" i="3"/>
  <c r="AR628" i="3"/>
  <c r="AR733" i="3"/>
  <c r="AR681" i="3"/>
  <c r="AR683" i="3"/>
  <c r="AR746" i="3"/>
  <c r="AR254" i="3"/>
  <c r="AR245" i="3"/>
  <c r="AR442" i="3"/>
  <c r="AR495" i="3"/>
  <c r="AR645" i="3"/>
  <c r="AR640" i="3"/>
  <c r="AR713" i="3"/>
  <c r="AR485" i="3"/>
  <c r="AR685" i="3"/>
  <c r="AR520" i="3"/>
  <c r="AR780" i="3"/>
  <c r="AR367" i="3"/>
  <c r="AR711" i="3"/>
  <c r="AR728" i="3"/>
  <c r="AR467" i="3"/>
  <c r="AR373" i="3"/>
  <c r="AR751" i="3"/>
  <c r="AR413" i="3"/>
  <c r="AR774" i="3"/>
  <c r="AR684" i="3"/>
  <c r="AR494" i="3"/>
  <c r="AR699" i="3"/>
  <c r="AR731" i="3"/>
  <c r="AR616" i="3"/>
  <c r="AR588" i="3"/>
  <c r="AR700" i="3"/>
  <c r="AR677" i="3"/>
  <c r="AR139" i="3"/>
  <c r="AR688" i="3"/>
  <c r="AR697" i="3"/>
  <c r="AR717" i="3"/>
  <c r="AR500" i="3"/>
  <c r="AR766" i="3"/>
  <c r="AR376" i="3"/>
  <c r="AR270" i="3"/>
  <c r="AR719" i="3"/>
  <c r="AR760" i="3"/>
  <c r="AR738" i="3"/>
  <c r="AR320" i="3"/>
  <c r="AR761" i="3"/>
  <c r="AR786" i="3"/>
  <c r="AR661" i="3"/>
  <c r="AR480" i="3"/>
  <c r="AR679" i="3"/>
  <c r="AR664" i="3"/>
  <c r="AR712" i="3"/>
  <c r="AR576" i="3"/>
  <c r="AR762" i="3"/>
  <c r="AR705" i="3"/>
  <c r="AR666" i="3"/>
  <c r="AR702" i="3"/>
  <c r="AR730" i="3"/>
  <c r="AR753" i="3"/>
  <c r="AR759" i="3"/>
  <c r="AR718" i="3"/>
  <c r="AR756" i="3"/>
  <c r="AR739" i="3"/>
  <c r="AR276" i="3"/>
  <c r="AR392" i="3"/>
  <c r="AR575" i="3"/>
  <c r="AR518" i="3"/>
  <c r="AR778" i="3"/>
  <c r="AR777" i="3"/>
  <c r="AR240" i="3"/>
  <c r="AR637" i="3"/>
  <c r="AR395" i="3"/>
  <c r="AR412" i="3"/>
  <c r="AR303" i="3"/>
  <c r="AR283" i="3"/>
  <c r="AR579" i="3"/>
  <c r="AR439" i="3"/>
  <c r="AR724" i="3"/>
  <c r="AR773" i="3"/>
  <c r="AR643" i="3"/>
  <c r="AR129" i="3"/>
  <c r="AR391" i="3"/>
  <c r="AR558" i="3"/>
  <c r="AR584" i="3"/>
  <c r="AR45" i="3"/>
  <c r="AR784" i="3"/>
  <c r="AR564" i="3"/>
  <c r="AR158" i="3"/>
  <c r="AR662" i="3"/>
  <c r="AR477" i="3"/>
  <c r="AR293" i="3"/>
  <c r="AR444" i="3"/>
  <c r="AR323" i="3"/>
  <c r="AR358" i="3"/>
  <c r="AR332" i="3"/>
  <c r="AR289" i="3"/>
  <c r="AR567" i="3"/>
  <c r="AR529" i="3"/>
  <c r="AR465" i="3"/>
  <c r="AR314" i="3"/>
  <c r="AR693" i="3"/>
  <c r="AR357" i="3"/>
  <c r="AR634" i="3"/>
  <c r="AR208" i="3"/>
  <c r="AR682" i="3"/>
  <c r="AR663" i="3"/>
  <c r="AR435" i="3"/>
  <c r="AR590" i="3"/>
  <c r="AR48" i="3"/>
  <c r="AR657" i="3"/>
  <c r="AR114" i="3"/>
  <c r="AR515" i="3"/>
  <c r="AR536" i="3"/>
  <c r="AR153" i="3"/>
  <c r="AR304" i="3"/>
  <c r="AR219" i="3"/>
  <c r="AR508" i="3"/>
  <c r="AR171" i="3"/>
  <c r="AR578" i="3"/>
  <c r="AR651" i="3"/>
  <c r="AR387" i="3"/>
  <c r="AR291" i="3"/>
  <c r="AR625" i="3"/>
  <c r="AR624" i="3"/>
  <c r="AR549" i="3"/>
  <c r="AR365" i="3"/>
  <c r="AR710" i="3"/>
  <c r="AR669" i="3"/>
  <c r="AR649" i="3"/>
  <c r="AR659" i="3"/>
  <c r="AR750" i="3"/>
  <c r="AR298" i="3"/>
  <c r="AR258" i="3"/>
  <c r="AR551" i="3"/>
  <c r="AR460" i="3"/>
  <c r="AR639" i="3"/>
  <c r="AR106" i="3"/>
  <c r="AR586" i="3"/>
  <c r="AR493" i="3"/>
  <c r="AR573" i="3"/>
  <c r="AR708" i="3"/>
  <c r="AR122" i="3"/>
  <c r="AR344" i="3"/>
  <c r="AR455" i="3"/>
  <c r="AR471" i="3"/>
  <c r="AR660" i="3"/>
  <c r="AR621" i="3"/>
  <c r="AR371" i="3"/>
  <c r="AR548" i="3"/>
  <c r="AR665" i="3"/>
  <c r="AR372" i="3"/>
  <c r="AR696" i="3"/>
  <c r="AR690" i="3"/>
  <c r="AR531" i="3"/>
  <c r="AR779" i="3"/>
  <c r="AR124" i="3"/>
  <c r="AR641" i="3"/>
  <c r="AR351" i="3"/>
  <c r="AR87" i="3"/>
  <c r="AR134" i="3"/>
  <c r="AR167" i="3"/>
  <c r="AR678" i="3"/>
  <c r="AR653" i="3"/>
  <c r="AR252" i="3"/>
  <c r="AR534" i="3"/>
  <c r="AR569" i="3"/>
  <c r="AR631" i="3"/>
  <c r="AR338" i="3"/>
  <c r="AR277" i="3"/>
  <c r="AR381" i="3"/>
  <c r="AR658" i="3"/>
  <c r="AR29" i="3"/>
  <c r="AR644" i="3"/>
  <c r="AR263" i="3"/>
  <c r="AR58" i="3"/>
  <c r="AR315" i="3"/>
  <c r="AR313" i="3"/>
  <c r="AR771" i="3"/>
  <c r="AR770" i="3"/>
  <c r="AR396" i="3"/>
  <c r="AR671" i="3"/>
  <c r="AR397" i="3"/>
  <c r="AR615" i="3"/>
  <c r="AR273" i="3"/>
  <c r="AR647" i="3"/>
  <c r="AR752" i="3"/>
  <c r="AR716" i="3"/>
  <c r="AR446" i="3"/>
  <c r="AR359" i="3"/>
  <c r="AR423" i="3"/>
  <c r="AR478" i="3"/>
  <c r="AR170" i="3"/>
  <c r="AR486" i="3"/>
  <c r="AR390" i="3"/>
  <c r="AR212" i="3"/>
  <c r="AR109" i="3"/>
  <c r="AR556" i="3"/>
  <c r="AR268" i="3"/>
  <c r="AR42" i="3"/>
  <c r="AR90" i="3"/>
  <c r="AR580" i="3"/>
  <c r="AR691" i="3"/>
  <c r="AR238" i="3"/>
  <c r="AR327" i="3"/>
  <c r="AR675" i="3"/>
  <c r="AR83" i="3"/>
  <c r="AR317" i="3"/>
  <c r="AR257" i="3"/>
  <c r="AR279" i="3"/>
  <c r="AR597" i="3"/>
  <c r="AR347" i="3"/>
  <c r="AR220" i="3"/>
  <c r="AR636" i="3"/>
  <c r="AR98" i="3"/>
  <c r="AR386" i="3"/>
  <c r="AR151" i="3"/>
  <c r="AR27" i="3"/>
  <c r="AR498" i="3"/>
  <c r="AR611" i="3"/>
  <c r="AR707" i="3"/>
  <c r="AR620" i="3"/>
  <c r="AR601" i="3"/>
  <c r="AR227" i="3"/>
  <c r="AR546" i="3"/>
  <c r="AR482" i="3"/>
  <c r="AR394" i="3"/>
  <c r="AR177" i="3"/>
  <c r="AR509" i="3"/>
  <c r="AR200" i="3"/>
  <c r="AR695" i="3"/>
  <c r="AR403" i="3"/>
  <c r="AR294" i="3"/>
  <c r="AR233" i="3"/>
  <c r="AR256" i="3"/>
  <c r="AR626" i="3"/>
  <c r="AR310" i="3"/>
  <c r="AR228" i="3"/>
  <c r="AR330" i="3"/>
  <c r="AR217" i="3"/>
  <c r="AR492" i="3"/>
  <c r="AR143" i="3"/>
  <c r="AR400" i="3"/>
  <c r="AR340" i="3"/>
  <c r="AR525" i="3"/>
  <c r="AR382" i="3"/>
  <c r="AR475" i="3"/>
  <c r="AR103" i="3"/>
  <c r="AR555" i="3"/>
  <c r="AR715" i="3"/>
  <c r="AR195" i="3"/>
  <c r="AR66" i="3"/>
  <c r="AR56" i="3"/>
  <c r="AR514" i="3"/>
  <c r="AR43" i="3"/>
  <c r="AR132" i="3"/>
  <c r="AR563" i="3"/>
  <c r="AR52" i="3"/>
  <c r="AR519" i="3"/>
  <c r="AR652" i="3"/>
  <c r="AR17" i="3"/>
  <c r="AR16" i="3"/>
  <c r="AR248" i="3"/>
  <c r="AR538" i="3"/>
  <c r="AR140" i="3"/>
  <c r="AR585" i="3"/>
  <c r="AR537" i="3"/>
  <c r="AR463" i="3"/>
  <c r="AR416" i="3"/>
  <c r="AR149" i="3"/>
  <c r="AR125" i="3"/>
  <c r="AR530" i="3"/>
  <c r="AR694" i="3"/>
  <c r="AR427" i="3"/>
  <c r="AR203" i="3"/>
  <c r="AR156" i="3"/>
  <c r="AR318" i="3"/>
  <c r="AR535" i="3"/>
  <c r="AR154" i="3"/>
  <c r="AR554" i="3"/>
  <c r="AR24" i="3"/>
  <c r="AR296" i="3"/>
  <c r="AR539" i="3"/>
  <c r="AR429" i="3"/>
  <c r="AR401" i="3"/>
  <c r="AR41" i="3"/>
  <c r="AR309" i="3"/>
  <c r="AR673" i="3"/>
  <c r="AR524" i="3"/>
  <c r="AR281" i="3"/>
  <c r="AR566" i="3"/>
  <c r="AR599" i="3"/>
  <c r="AR75" i="3"/>
  <c r="AR648" i="3"/>
  <c r="AR421" i="3"/>
  <c r="AR85" i="3"/>
  <c r="AR116" i="3"/>
  <c r="AR356" i="3"/>
  <c r="AR406" i="3"/>
  <c r="AR185" i="3"/>
  <c r="AR339" i="3"/>
  <c r="AR561" i="3"/>
  <c r="AR398" i="3"/>
  <c r="AR476" i="3"/>
  <c r="AR521" i="3"/>
  <c r="AR440" i="3"/>
  <c r="AR3" i="3"/>
  <c r="AR5" i="3"/>
  <c r="AR617" i="3"/>
  <c r="AR76" i="3"/>
  <c r="AR608" i="3"/>
  <c r="AR31" i="3"/>
  <c r="AR255" i="3"/>
  <c r="AR342" i="3"/>
  <c r="AR604" i="3"/>
  <c r="AR755" i="3"/>
  <c r="AR459" i="3"/>
  <c r="AR552" i="3"/>
  <c r="AR418" i="3"/>
  <c r="AR194" i="3"/>
  <c r="AR776" i="3"/>
  <c r="AR582" i="3"/>
  <c r="AR449" i="3"/>
  <c r="AR570" i="3"/>
  <c r="AR14" i="3"/>
  <c r="AR72" i="3"/>
  <c r="AR609" i="3"/>
  <c r="AR377" i="3"/>
  <c r="AR251" i="3"/>
  <c r="AR169" i="3"/>
  <c r="AR285" i="3"/>
  <c r="AR92" i="3"/>
  <c r="AR107" i="3"/>
  <c r="AR180" i="3"/>
  <c r="AR456" i="3"/>
  <c r="AR7" i="3"/>
  <c r="AR404" i="3"/>
  <c r="AR540" i="3"/>
  <c r="AR306" i="3"/>
  <c r="AR209" i="3"/>
  <c r="AR237" i="3"/>
  <c r="AR379" i="3"/>
  <c r="AR572" i="3"/>
  <c r="AR470" i="3"/>
  <c r="AR201" i="3"/>
  <c r="AR354" i="3"/>
  <c r="AR458" i="3"/>
  <c r="AR517" i="3"/>
  <c r="AR437" i="3"/>
  <c r="AR368" i="3"/>
  <c r="AR407" i="3"/>
  <c r="AR210" i="3"/>
  <c r="AR269" i="3"/>
  <c r="AR202" i="3"/>
  <c r="AR101" i="3"/>
  <c r="AR378" i="3"/>
  <c r="AR326" i="3"/>
  <c r="AR297" i="3"/>
  <c r="AR312" i="3"/>
  <c r="AR562" i="3"/>
  <c r="AR146" i="3"/>
  <c r="AR142" i="3"/>
  <c r="AR127" i="3"/>
  <c r="AR231" i="3"/>
  <c r="AR542" i="3"/>
  <c r="AR12" i="3"/>
  <c r="AR159" i="3"/>
  <c r="AR223" i="3"/>
  <c r="AR598" i="3"/>
  <c r="AR516" i="3"/>
  <c r="AR266" i="3"/>
  <c r="AR545" i="3"/>
  <c r="AR250" i="3"/>
  <c r="AR366" i="3"/>
  <c r="AR211" i="3"/>
  <c r="AR630" i="3"/>
  <c r="AR193" i="3"/>
  <c r="AR417" i="3"/>
  <c r="AR13" i="3"/>
  <c r="AR163" i="3"/>
  <c r="AR234" i="3"/>
  <c r="AR587" i="3"/>
  <c r="AR126" i="3"/>
  <c r="AR207" i="3"/>
  <c r="AR469" i="3"/>
  <c r="AR341" i="3"/>
  <c r="AR155" i="3"/>
  <c r="AR513" i="3"/>
  <c r="AR65" i="3"/>
  <c r="AR30" i="3"/>
  <c r="AR473" i="3"/>
  <c r="AR82" i="3"/>
  <c r="AR53" i="3"/>
  <c r="AR224" i="3"/>
  <c r="AR295" i="3"/>
  <c r="AR35" i="3"/>
  <c r="AR204" i="3"/>
  <c r="AR213" i="3"/>
  <c r="AR619" i="3"/>
  <c r="AR333" i="3"/>
  <c r="AR206" i="3"/>
  <c r="AR490" i="3"/>
  <c r="AR596" i="3"/>
  <c r="AR8" i="3"/>
  <c r="AR607" i="3"/>
  <c r="AR438" i="3"/>
  <c r="AR355" i="3"/>
  <c r="AR246" i="3"/>
  <c r="AR687" i="3"/>
  <c r="AR795" i="3"/>
  <c r="AR793" i="3"/>
  <c r="AR426" i="3"/>
  <c r="AR292" i="3"/>
  <c r="AR253" i="3"/>
  <c r="AR286" i="3"/>
  <c r="AR635" i="3"/>
  <c r="AR300" i="3"/>
  <c r="AR448" i="3"/>
  <c r="AR178" i="3"/>
  <c r="AR410" i="3"/>
  <c r="AR302" i="3"/>
  <c r="AR560" i="3"/>
  <c r="AR324" i="3"/>
  <c r="AR225" i="3"/>
  <c r="AR77" i="3"/>
  <c r="AR433" i="3"/>
  <c r="AR115" i="3"/>
  <c r="AR450" i="3"/>
  <c r="AR316" i="3"/>
  <c r="AR670" i="3"/>
  <c r="AR10" i="3"/>
  <c r="AR287" i="3"/>
  <c r="AR64" i="3"/>
  <c r="AR168" i="3"/>
  <c r="AR118" i="3"/>
  <c r="AR112" i="3"/>
  <c r="AR162" i="3"/>
  <c r="AR792" i="3"/>
  <c r="AR790" i="3"/>
  <c r="AR741" i="3"/>
  <c r="AR230" i="3"/>
  <c r="AR46" i="3"/>
  <c r="AR272" i="3"/>
  <c r="AR78" i="3"/>
  <c r="AR95" i="3"/>
  <c r="AR405" i="3"/>
  <c r="AR84" i="3"/>
  <c r="AR37" i="3"/>
  <c r="AR388" i="3"/>
  <c r="AR88" i="3"/>
  <c r="AR18" i="3"/>
  <c r="AR454" i="3"/>
  <c r="AR504" i="3"/>
  <c r="AR507" i="3"/>
  <c r="AR511" i="3"/>
  <c r="AR487" i="3"/>
  <c r="AR503" i="3"/>
  <c r="AR488" i="3"/>
  <c r="AR505" i="3"/>
  <c r="AR506" i="3"/>
  <c r="AR484" i="3"/>
  <c r="AR319" i="3"/>
  <c r="AR591" i="3"/>
  <c r="AR74" i="3"/>
  <c r="AR425" i="3"/>
  <c r="AR583" i="3"/>
  <c r="AR794" i="3"/>
  <c r="AR791" i="3"/>
  <c r="AR789" i="3"/>
  <c r="AR73" i="3"/>
  <c r="AR247" i="3"/>
  <c r="AR676" i="3"/>
  <c r="AR9" i="3"/>
  <c r="AR49" i="3"/>
  <c r="AR113" i="3"/>
  <c r="AR571" i="3"/>
  <c r="AR568" i="3"/>
  <c r="AR259" i="3"/>
  <c r="AR374" i="3"/>
  <c r="AR63" i="3"/>
  <c r="AR214" i="3"/>
  <c r="AR79" i="3"/>
  <c r="AR20" i="3"/>
  <c r="AR38" i="3"/>
  <c r="AR322" i="3"/>
  <c r="AR453" i="3"/>
  <c r="AR370" i="3"/>
  <c r="AR420" i="3"/>
  <c r="AR176" i="3"/>
  <c r="AR173" i="3"/>
  <c r="AR581" i="3"/>
  <c r="AR104" i="3"/>
  <c r="AR243" i="3"/>
  <c r="AR60" i="3"/>
  <c r="AR62" i="3"/>
  <c r="AR409" i="3"/>
  <c r="AR47" i="3"/>
  <c r="AR232" i="3"/>
  <c r="AR181" i="3"/>
  <c r="AR610" i="3"/>
  <c r="AR501" i="3"/>
  <c r="AR574" i="3"/>
  <c r="AR130" i="3"/>
  <c r="AR510" i="3"/>
  <c r="AR184" i="3"/>
  <c r="AR197" i="3"/>
  <c r="AR26" i="3"/>
  <c r="AR461" i="3"/>
  <c r="AR594" i="3"/>
  <c r="AR541" i="3"/>
  <c r="AR244" i="3"/>
  <c r="AR422" i="3"/>
  <c r="AR123" i="3"/>
  <c r="AR97" i="3"/>
  <c r="AR55" i="3"/>
  <c r="AR71" i="3"/>
  <c r="AR215" i="3"/>
  <c r="AR128" i="3"/>
  <c r="AR205" i="3"/>
  <c r="AR301" i="3"/>
  <c r="AR452" i="3"/>
  <c r="AR121" i="3"/>
  <c r="AR559" i="3"/>
  <c r="AR133" i="3"/>
  <c r="AR236" i="3"/>
  <c r="AR137" i="3"/>
  <c r="AR353" i="3"/>
  <c r="AR553" i="3"/>
  <c r="AR44" i="3"/>
  <c r="AR627" i="3"/>
  <c r="AR160" i="3"/>
  <c r="AR284" i="3"/>
  <c r="AR249" i="3"/>
  <c r="AR222" i="3"/>
  <c r="AR550" i="3"/>
  <c r="AR51" i="3"/>
  <c r="AR117" i="3"/>
  <c r="AR533" i="3"/>
  <c r="AR161" i="3"/>
  <c r="AR602" i="3"/>
  <c r="AR21" i="3"/>
  <c r="AR393" i="3"/>
  <c r="AR499" i="3"/>
  <c r="AR428" i="3"/>
  <c r="AR229" i="3"/>
  <c r="AR345" i="3"/>
  <c r="AR6" i="3"/>
  <c r="AR111" i="3"/>
  <c r="AR96" i="3"/>
  <c r="AR350" i="3"/>
  <c r="AR218" i="3"/>
  <c r="AR335" i="3"/>
  <c r="AR39" i="3"/>
  <c r="AR431" i="3"/>
  <c r="AR502" i="3"/>
  <c r="AR385" i="3"/>
  <c r="AR183" i="3"/>
  <c r="AR157" i="3"/>
  <c r="AR192" i="3"/>
  <c r="AR54" i="3"/>
  <c r="AR81" i="3"/>
  <c r="AR369" i="3"/>
  <c r="AR457" i="3"/>
  <c r="AR262" i="3"/>
  <c r="AR4" i="3"/>
  <c r="AR105" i="3"/>
  <c r="AR408" i="3"/>
  <c r="AR557" i="3"/>
  <c r="AR152" i="3"/>
  <c r="AR191" i="3"/>
  <c r="AR174" i="3"/>
  <c r="AR25" i="3"/>
  <c r="AR148" i="3"/>
  <c r="AR489" i="3"/>
  <c r="AR384" i="3"/>
  <c r="AR334" i="3"/>
  <c r="AR144" i="3"/>
  <c r="AR189" i="3"/>
  <c r="AR512" i="3"/>
  <c r="AR100" i="3"/>
  <c r="AR135" i="3"/>
  <c r="AR633" i="3"/>
  <c r="AR119" i="3"/>
  <c r="AR164" i="3"/>
  <c r="AR349" i="3"/>
  <c r="AR343" i="3"/>
  <c r="AR57" i="3"/>
  <c r="AR336" i="3"/>
  <c r="AR483" i="3"/>
  <c r="AR89" i="3"/>
  <c r="AR360" i="3"/>
  <c r="AR415" i="3"/>
  <c r="AR348" i="3"/>
  <c r="AR274" i="3"/>
  <c r="AR147" i="3"/>
  <c r="AR187" i="3"/>
  <c r="AR221" i="3"/>
  <c r="AR196" i="3"/>
  <c r="AR280" i="3"/>
  <c r="AR182" i="3"/>
  <c r="AR331" i="3"/>
  <c r="AR86" i="3"/>
  <c r="AR199" i="3"/>
  <c r="AR70" i="3"/>
  <c r="AR108" i="3"/>
  <c r="AR451" i="3"/>
  <c r="AR479" i="3"/>
  <c r="AR99" i="3"/>
  <c r="AR462" i="3"/>
  <c r="AR290" i="3"/>
  <c r="AR150" i="3"/>
  <c r="AR241" i="3"/>
  <c r="AR491" i="3"/>
  <c r="AR23" i="3"/>
  <c r="AR399" i="3"/>
  <c r="AR299" i="3"/>
  <c r="AR352" i="3"/>
  <c r="AR321" i="3"/>
  <c r="AR19" i="3"/>
  <c r="AR375" i="3"/>
  <c r="AR265" i="3"/>
  <c r="AR190" i="3"/>
  <c r="AR261" i="3"/>
  <c r="AR15" i="3"/>
  <c r="AR175" i="3"/>
  <c r="AR165" i="3"/>
  <c r="AR68" i="3"/>
  <c r="AR523" i="3"/>
  <c r="AR80" i="3"/>
  <c r="AR419" i="3"/>
  <c r="AR91" i="3"/>
  <c r="AR226" i="3"/>
  <c r="AR34" i="3"/>
  <c r="AR198" i="3"/>
  <c r="AR307" i="3"/>
  <c r="AR389" i="3"/>
  <c r="AR436" i="3"/>
  <c r="AR136" i="3"/>
  <c r="AR242" i="3"/>
  <c r="AR271" i="3"/>
  <c r="AR186" i="3"/>
  <c r="AR69" i="3"/>
  <c r="AR67" i="3"/>
  <c r="AR102" i="3"/>
  <c r="AR472" i="3"/>
  <c r="AR337" i="3"/>
  <c r="AR11" i="3"/>
  <c r="AR59" i="3"/>
  <c r="AR364" i="3"/>
  <c r="AR22" i="3"/>
  <c r="AR235" i="3"/>
  <c r="AR260" i="3"/>
  <c r="AR278" i="3"/>
  <c r="AR50" i="3"/>
  <c r="AR110" i="3"/>
  <c r="AR32" i="3"/>
  <c r="AR166" i="3"/>
  <c r="AR40" i="3"/>
  <c r="AR131" i="3"/>
  <c r="AR179" i="3"/>
  <c r="AR288" i="3"/>
  <c r="AR36" i="3"/>
  <c r="AR94" i="3"/>
  <c r="AR380" i="3"/>
  <c r="AR172" i="3"/>
  <c r="AR28" i="3"/>
  <c r="AR328" i="3"/>
  <c r="AR33" i="3"/>
  <c r="AR61" i="3"/>
  <c r="E125" i="3" l="1"/>
  <c r="O96" i="3" l="1"/>
  <c r="O580" i="3"/>
  <c r="O257" i="3"/>
  <c r="O118" i="3"/>
  <c r="O37" i="3"/>
  <c r="O100" i="3"/>
  <c r="O484" i="3"/>
  <c r="O65" i="3"/>
  <c r="O639" i="3"/>
  <c r="AM764" i="3" l="1"/>
  <c r="AM740" i="3"/>
  <c r="AM543" i="3"/>
  <c r="AM338" i="3"/>
  <c r="AM747" i="3"/>
  <c r="AM584" i="3"/>
  <c r="AM721" i="3"/>
  <c r="AM758" i="3"/>
  <c r="AM644" i="3"/>
  <c r="AM714" i="3"/>
  <c r="AM424" i="3"/>
  <c r="AM656" i="3"/>
  <c r="AM606" i="3"/>
  <c r="AM745" i="3"/>
  <c r="AM723" i="3"/>
  <c r="AM522" i="3"/>
  <c r="AM444" i="3"/>
  <c r="AM316" i="3"/>
  <c r="AM358" i="3"/>
  <c r="AM743" i="3"/>
  <c r="AM754" i="3"/>
  <c r="AM720" i="3"/>
  <c r="AM742" i="3"/>
  <c r="AM447" i="3"/>
  <c r="AM668" i="3"/>
  <c r="AM613" i="3"/>
  <c r="AM430" i="3"/>
  <c r="AM313" i="3"/>
  <c r="AM715" i="3"/>
  <c r="AM529" i="3"/>
  <c r="AM748" i="3"/>
  <c r="AM670" i="3"/>
  <c r="AM617" i="3"/>
  <c r="AM308" i="3"/>
  <c r="AM709" i="3"/>
  <c r="AM504" i="3"/>
  <c r="AM507" i="3"/>
  <c r="AM511" i="3"/>
  <c r="AM487" i="3"/>
  <c r="AM503" i="3"/>
  <c r="AM488" i="3"/>
  <c r="AM505" i="3"/>
  <c r="AM506" i="3"/>
  <c r="AM484" i="3"/>
  <c r="AM698" i="3"/>
  <c r="AM727" i="3"/>
  <c r="AM663" i="3"/>
  <c r="AM752" i="3"/>
  <c r="AM763" i="3"/>
  <c r="AM722" i="3"/>
  <c r="AM765" i="3"/>
  <c r="AM732" i="3"/>
  <c r="AM629" i="3"/>
  <c r="AM577" i="3"/>
  <c r="AM536" i="3"/>
  <c r="AM716" i="3"/>
  <c r="AM749" i="3"/>
  <c r="AM744" i="3"/>
  <c r="AM729" i="3"/>
  <c r="AM757" i="3"/>
  <c r="AM464" i="3"/>
  <c r="AM547" i="3"/>
  <c r="AM578" i="3"/>
  <c r="AM402" i="3"/>
  <c r="AM598" i="3"/>
  <c r="AM701" i="3"/>
  <c r="AM552" i="3"/>
  <c r="AM674" i="3"/>
  <c r="AM667" i="3"/>
  <c r="AM519" i="3"/>
  <c r="AM607" i="3"/>
  <c r="AM311" i="3"/>
  <c r="AM669" i="3"/>
  <c r="AM654" i="3"/>
  <c r="AM734" i="3"/>
  <c r="AM649" i="3"/>
  <c r="AM659" i="3"/>
  <c r="AM687" i="3"/>
  <c r="AM741" i="3"/>
  <c r="AM750" i="3"/>
  <c r="AM551" i="3"/>
  <c r="AM443" i="3"/>
  <c r="AM593" i="3"/>
  <c r="AM585" i="3"/>
  <c r="AM537" i="3"/>
  <c r="AM600" i="3"/>
  <c r="AM655" i="3"/>
  <c r="AM689" i="3"/>
  <c r="AM694" i="3"/>
  <c r="AM632" i="3"/>
  <c r="AM708" i="3"/>
  <c r="AM622" i="3"/>
  <c r="AM676" i="3"/>
  <c r="AM735" i="3"/>
  <c r="AM726" i="3"/>
  <c r="AM628" i="3"/>
  <c r="AM683" i="3"/>
  <c r="AM746" i="3"/>
  <c r="AM495" i="3"/>
  <c r="AM640" i="3"/>
  <c r="AM485" i="3"/>
  <c r="AM685" i="3"/>
  <c r="AM520" i="3"/>
  <c r="AM711" i="3"/>
  <c r="AM467" i="3"/>
  <c r="AM751" i="3"/>
  <c r="AM494" i="3"/>
  <c r="AM699" i="3"/>
  <c r="AM731" i="3"/>
  <c r="AM616" i="3"/>
  <c r="AM498" i="3"/>
  <c r="AM696" i="3"/>
  <c r="AM690" i="3"/>
  <c r="AM688" i="3"/>
  <c r="AM559" i="3"/>
  <c r="AM717" i="3"/>
  <c r="AM376" i="3"/>
  <c r="AM719" i="3"/>
  <c r="AM760" i="3"/>
  <c r="AM320" i="3"/>
  <c r="AM761" i="3"/>
  <c r="AM420" i="3"/>
  <c r="AM679" i="3"/>
  <c r="AM673" i="3"/>
  <c r="AM664" i="3"/>
  <c r="AM712" i="3"/>
  <c r="AM576" i="3"/>
  <c r="AM762" i="3"/>
  <c r="AM705" i="3"/>
  <c r="AM566" i="3"/>
  <c r="AM666" i="3"/>
  <c r="AM702" i="3"/>
  <c r="AM730" i="3"/>
  <c r="AM695" i="3"/>
  <c r="AM753" i="3"/>
  <c r="AM759" i="3"/>
  <c r="AM718" i="3"/>
  <c r="AM756" i="3"/>
  <c r="AM739" i="3"/>
  <c r="AM392" i="3"/>
  <c r="AM575" i="3"/>
  <c r="AM518" i="3"/>
  <c r="AM412" i="3"/>
  <c r="AM724" i="3"/>
  <c r="AM534" i="3"/>
  <c r="AM662" i="3"/>
  <c r="AM565" i="3"/>
  <c r="AM477" i="3"/>
  <c r="AM325" i="3"/>
  <c r="AM595" i="3"/>
  <c r="AM357" i="3"/>
  <c r="AM638" i="3"/>
  <c r="AM468" i="3"/>
  <c r="AM590" i="3"/>
  <c r="AM703" i="3"/>
  <c r="AM657" i="3"/>
  <c r="AM304" i="3"/>
  <c r="AM633" i="3"/>
  <c r="AM627" i="3"/>
  <c r="AM291" i="3"/>
  <c r="AM692" i="3"/>
  <c r="AM460" i="3"/>
  <c r="AM432" i="3"/>
  <c r="AM642" i="3"/>
  <c r="AM635" i="3"/>
  <c r="AM736" i="3"/>
  <c r="AM725" i="3"/>
  <c r="AM442" i="3"/>
  <c r="AM645" i="3"/>
  <c r="AM728" i="3"/>
  <c r="AM371" i="3"/>
  <c r="AM700" i="3"/>
  <c r="AM677" i="3"/>
  <c r="AM697" i="3"/>
  <c r="AM661" i="3"/>
  <c r="AM480" i="3"/>
  <c r="AM524" i="3"/>
  <c r="AM568" i="3"/>
  <c r="AM294" i="3"/>
  <c r="AM345" i="3"/>
  <c r="AM303" i="3"/>
  <c r="AM653" i="3"/>
  <c r="AM592" i="3"/>
  <c r="AM605" i="3"/>
  <c r="AM561" i="3"/>
  <c r="AM658" i="3"/>
  <c r="AM466" i="3"/>
  <c r="AM440" i="3"/>
  <c r="AM615" i="3"/>
  <c r="AM647" i="3"/>
  <c r="AM305" i="3"/>
  <c r="AM680" i="3"/>
  <c r="AM755" i="3"/>
  <c r="AM418" i="3"/>
  <c r="AM486" i="3"/>
  <c r="AM570" i="3"/>
  <c r="AM463" i="3"/>
  <c r="AM580" i="3"/>
  <c r="AM573" i="3"/>
  <c r="AM675" i="3"/>
  <c r="AM733" i="3"/>
  <c r="AM713" i="3"/>
  <c r="AM471" i="3"/>
  <c r="AM660" i="3"/>
  <c r="AM306" i="3"/>
  <c r="AM707" i="3"/>
  <c r="AM738" i="3"/>
  <c r="AM641" i="3"/>
  <c r="AM678" i="3"/>
  <c r="AM527" i="3"/>
  <c r="AM693" i="3"/>
  <c r="AM514" i="3"/>
  <c r="AM472" i="3"/>
  <c r="AM591" i="3"/>
  <c r="AM583" i="3"/>
  <c r="AM556" i="3"/>
  <c r="AM684" i="3"/>
  <c r="AM531" i="3"/>
  <c r="AM546" i="3"/>
  <c r="AM571" i="3"/>
  <c r="AM631" i="3"/>
  <c r="AM618" i="3"/>
  <c r="AM567" i="3"/>
  <c r="AM671" i="3"/>
  <c r="AM423" i="3"/>
  <c r="AM737" i="3"/>
  <c r="AM604" i="3"/>
  <c r="AM710" i="3"/>
  <c r="AM540" i="3"/>
  <c r="AM665" i="3"/>
  <c r="AM410" i="3"/>
  <c r="AM569" i="3"/>
  <c r="AM704" i="3"/>
  <c r="AM672" i="3"/>
  <c r="AM619" i="3"/>
  <c r="AM346" i="3"/>
  <c r="AM496" i="3"/>
  <c r="AM630" i="3"/>
  <c r="AM510" i="3"/>
  <c r="AM479" i="3"/>
  <c r="AM513" i="3"/>
  <c r="AM409" i="3"/>
  <c r="AM340" i="3"/>
  <c r="AM646" i="3"/>
  <c r="AM336" i="3"/>
  <c r="AM682" i="3"/>
  <c r="AM516" i="3"/>
  <c r="AM652" i="3"/>
  <c r="AM624" i="3"/>
  <c r="AM434" i="3"/>
  <c r="AM639" i="3"/>
  <c r="AM594" i="3"/>
  <c r="AM512" i="3"/>
  <c r="AM465" i="3"/>
  <c r="AM614" i="3"/>
  <c r="AM499" i="3"/>
  <c r="AM651" i="3"/>
  <c r="AM545" i="3"/>
  <c r="AM452" i="3"/>
  <c r="AM609" i="3"/>
  <c r="AM413" i="3"/>
  <c r="AM572" i="3"/>
  <c r="AM395" i="3"/>
  <c r="AM706" i="3"/>
  <c r="AM478" i="3"/>
  <c r="AM581" i="3"/>
  <c r="AM449" i="3"/>
  <c r="AM681" i="3"/>
  <c r="AM367" i="3"/>
  <c r="AM456" i="3"/>
  <c r="AM323" i="3"/>
  <c r="AM369" i="3"/>
  <c r="AM375" i="3"/>
  <c r="AM373" i="3"/>
  <c r="AM439" i="3"/>
  <c r="AM473" i="3"/>
  <c r="AM634" i="3"/>
  <c r="AM648" i="3"/>
  <c r="AM558" i="3"/>
  <c r="AM363" i="3"/>
  <c r="AM574" i="3"/>
  <c r="AM455" i="3"/>
  <c r="AM404" i="3"/>
  <c r="AM544" i="3"/>
  <c r="AM322" i="3"/>
  <c r="AM586" i="3"/>
  <c r="AM297" i="3"/>
  <c r="AM589" i="3"/>
  <c r="AM457" i="3"/>
  <c r="AM530" i="3"/>
  <c r="AM433" i="3"/>
  <c r="AM603" i="3"/>
  <c r="AM620" i="3"/>
  <c r="AM555" i="3"/>
  <c r="AM355" i="3"/>
  <c r="AM383" i="3"/>
  <c r="AM691" i="3"/>
  <c r="AM509" i="3"/>
  <c r="AM596" i="3"/>
  <c r="AM344" i="3"/>
  <c r="AM448" i="3"/>
  <c r="AM419" i="3"/>
  <c r="AM451" i="3"/>
  <c r="AM501" i="3"/>
  <c r="AM360" i="3"/>
  <c r="AM621" i="3"/>
  <c r="AM429" i="3"/>
  <c r="AM550" i="3"/>
  <c r="AM408" i="3"/>
  <c r="AM361" i="3"/>
  <c r="AM502" i="3"/>
  <c r="AM461" i="3"/>
  <c r="AM637" i="3"/>
  <c r="AM406" i="3"/>
  <c r="AM636" i="3"/>
  <c r="AM309" i="3"/>
  <c r="AM470" i="3"/>
  <c r="AM560" i="3"/>
  <c r="AM650" i="3"/>
  <c r="AM436" i="3"/>
  <c r="AM610" i="3"/>
  <c r="AM579" i="3"/>
  <c r="AM542" i="3"/>
  <c r="AM314" i="3"/>
  <c r="AM453" i="3"/>
  <c r="AM517" i="3"/>
  <c r="AM416" i="3"/>
  <c r="AM341" i="3"/>
  <c r="AM378" i="3"/>
  <c r="AM474" i="3"/>
  <c r="AM557" i="3"/>
  <c r="AM541" i="3"/>
  <c r="AM553" i="3"/>
  <c r="AM398" i="3"/>
  <c r="AM362" i="3"/>
  <c r="AM422" i="3"/>
  <c r="AM379" i="3"/>
  <c r="AM400" i="3"/>
  <c r="AM438" i="3"/>
  <c r="AM437" i="3"/>
  <c r="AM476" i="3"/>
  <c r="AM475" i="3"/>
  <c r="AM454" i="3"/>
  <c r="AM490" i="3"/>
  <c r="AM563" i="3"/>
  <c r="AM625" i="3"/>
  <c r="AM431" i="3"/>
  <c r="AM491" i="3"/>
  <c r="AM381" i="3"/>
  <c r="AM397" i="3"/>
  <c r="AM497" i="3"/>
  <c r="AM389" i="3"/>
  <c r="AM549" i="3"/>
  <c r="AM588" i="3"/>
  <c r="AM626" i="3"/>
  <c r="AM483" i="3"/>
  <c r="AM528" i="3"/>
  <c r="AM417" i="3"/>
  <c r="AM415" i="3"/>
  <c r="AM405" i="3"/>
  <c r="AM587" i="3"/>
  <c r="AM377" i="3"/>
  <c r="AM562" i="3"/>
  <c r="AM492" i="3"/>
  <c r="AM481" i="3"/>
  <c r="AM612" i="3"/>
  <c r="AM686" i="3"/>
  <c r="AM450" i="3"/>
  <c r="AM332" i="3"/>
  <c r="AM318" i="3"/>
  <c r="AM611" i="3"/>
  <c r="AM521" i="3"/>
  <c r="AM396" i="3"/>
  <c r="AM493" i="3"/>
  <c r="AM508" i="3"/>
  <c r="AM334" i="3"/>
  <c r="AM597" i="3"/>
  <c r="AM523" i="3"/>
  <c r="AM329" i="3"/>
  <c r="AM290" i="3"/>
  <c r="AM421" i="3"/>
  <c r="AM295" i="3"/>
  <c r="AM426" i="3"/>
  <c r="AM428" i="3"/>
  <c r="AM350" i="3"/>
  <c r="AM356" i="3"/>
  <c r="AM539" i="3"/>
  <c r="AM328" i="3"/>
  <c r="AM337" i="3"/>
  <c r="AM533" i="3"/>
  <c r="AM393" i="3"/>
  <c r="AM425" i="3"/>
  <c r="AM326" i="3"/>
  <c r="AM414" i="3"/>
  <c r="AM399" i="3"/>
  <c r="AM435" i="3"/>
  <c r="AM554" i="3"/>
  <c r="AM312" i="3"/>
  <c r="AM391" i="3"/>
  <c r="AM333" i="3"/>
  <c r="AM364" i="3"/>
  <c r="AM643" i="3"/>
  <c r="AM330" i="3"/>
  <c r="AM348" i="3"/>
  <c r="AM370" i="3"/>
  <c r="AM335" i="3"/>
  <c r="AM548" i="3"/>
  <c r="AM482" i="3"/>
  <c r="AM352" i="3"/>
  <c r="AM372" i="3"/>
  <c r="AM515" i="3"/>
  <c r="AM349" i="3"/>
  <c r="AM343" i="3"/>
  <c r="AM489" i="3"/>
  <c r="AM608" i="3"/>
  <c r="AM292" i="3"/>
  <c r="AM347" i="3"/>
  <c r="AM582" i="3"/>
  <c r="AM462" i="3"/>
  <c r="AM310" i="3"/>
  <c r="AM339" i="3"/>
  <c r="AM307" i="3"/>
  <c r="AM390" i="3"/>
  <c r="AM353" i="3"/>
  <c r="AM602" i="3"/>
  <c r="AM385" i="3"/>
  <c r="AM469" i="3"/>
  <c r="AM302" i="3"/>
  <c r="AM526" i="3"/>
  <c r="AM532" i="3"/>
  <c r="AM403" i="3"/>
  <c r="AM386" i="3"/>
  <c r="AM327" i="3"/>
  <c r="AM359" i="3"/>
  <c r="AM317" i="3"/>
  <c r="AM441" i="3"/>
  <c r="AM342" i="3"/>
  <c r="AM445" i="3"/>
  <c r="AM500" i="3"/>
  <c r="AM354" i="3"/>
  <c r="AM535" i="3"/>
  <c r="AM293" i="3"/>
  <c r="AM298" i="3"/>
  <c r="AM296" i="3"/>
  <c r="AM394" i="3"/>
  <c r="AM601" i="3"/>
  <c r="AM388" i="3"/>
  <c r="AM382" i="3"/>
  <c r="AM599" i="3"/>
  <c r="AM299" i="3"/>
  <c r="AM525" i="3"/>
  <c r="AM458" i="3"/>
  <c r="AM368" i="3"/>
  <c r="AM380" i="3"/>
  <c r="AM321" i="3"/>
  <c r="AM564" i="3"/>
  <c r="AM538" i="3"/>
  <c r="AM331" i="3"/>
  <c r="AM401" i="3"/>
  <c r="AM351" i="3"/>
  <c r="AM446" i="3"/>
  <c r="AM315" i="3"/>
  <c r="AM407" i="3"/>
  <c r="AM324" i="3"/>
  <c r="AM411" i="3"/>
  <c r="AM459" i="3"/>
  <c r="AM387" i="3"/>
  <c r="AM374" i="3"/>
  <c r="AM427" i="3"/>
  <c r="AM384" i="3"/>
  <c r="AM366" i="3"/>
  <c r="AM301" i="3"/>
  <c r="AM300" i="3"/>
  <c r="AM365" i="3"/>
  <c r="AM319" i="3"/>
  <c r="N37" i="3" l="1"/>
  <c r="E741" i="3" l="1"/>
  <c r="E690" i="3" l="1"/>
  <c r="E170" i="3"/>
  <c r="E665" i="3" l="1"/>
  <c r="E571" i="3"/>
  <c r="E78" i="3"/>
  <c r="E560" i="3"/>
  <c r="E675" i="3"/>
  <c r="E683" i="3"/>
  <c r="E251" i="3"/>
  <c r="E448" i="3"/>
  <c r="E169" i="3"/>
  <c r="E137" i="3"/>
  <c r="E585" i="3"/>
  <c r="N766" i="3"/>
  <c r="N615" i="3" l="1"/>
  <c r="D615" i="3"/>
  <c r="S296" i="3"/>
  <c r="N296" i="3"/>
  <c r="D296" i="3"/>
  <c r="E490" i="3" l="1"/>
  <c r="E617" i="3"/>
  <c r="E691" i="3"/>
  <c r="E531" i="3"/>
  <c r="E694" i="3"/>
  <c r="E530" i="3"/>
  <c r="D240" i="3" l="1"/>
  <c r="E240" i="3"/>
  <c r="S112" i="3" l="1"/>
  <c r="O112" i="3"/>
  <c r="N112" i="3"/>
  <c r="O203" i="3" l="1"/>
  <c r="N203" i="3"/>
  <c r="E397" i="3" l="1"/>
  <c r="E658" i="3" l="1"/>
  <c r="E554" i="3" l="1"/>
  <c r="E708" i="3" l="1"/>
  <c r="E645" i="3"/>
  <c r="E469" i="3"/>
  <c r="D280" i="3"/>
  <c r="E631" i="3"/>
  <c r="N709" i="3" l="1"/>
  <c r="D709" i="3"/>
  <c r="E709" i="3"/>
  <c r="S742" i="3"/>
  <c r="N742" i="3"/>
  <c r="D742" i="3"/>
  <c r="E742" i="3"/>
  <c r="E643" i="3"/>
  <c r="E163" i="3"/>
  <c r="E671" i="3"/>
  <c r="E747" i="3"/>
  <c r="N325" i="3"/>
  <c r="S323" i="3"/>
  <c r="N323" i="3"/>
  <c r="D323" i="3"/>
  <c r="N399" i="3"/>
  <c r="E784" i="3" l="1"/>
  <c r="E635" i="3" l="1"/>
  <c r="E39" i="3" l="1"/>
  <c r="E582" i="3" l="1"/>
  <c r="E633" i="3" l="1"/>
  <c r="E627" i="3"/>
  <c r="E624" i="3"/>
  <c r="E496" i="3"/>
  <c r="E748" i="3"/>
  <c r="E159" i="3" l="1"/>
  <c r="E532" i="3"/>
  <c r="E700" i="3"/>
  <c r="S744" i="3"/>
  <c r="S570" i="3"/>
  <c r="S322" i="3"/>
  <c r="S194" i="3"/>
  <c r="E371" i="3" l="1"/>
  <c r="E284" i="3" l="1"/>
  <c r="E734" i="3"/>
  <c r="E739" i="3"/>
  <c r="E649" i="3"/>
  <c r="E333" i="3" l="1"/>
  <c r="S606" i="3"/>
  <c r="D606" i="3"/>
  <c r="E788" i="3"/>
  <c r="E432" i="3"/>
  <c r="E602" i="3"/>
  <c r="E757" i="3"/>
  <c r="E733" i="3"/>
  <c r="D569" i="3"/>
  <c r="D534" i="3"/>
  <c r="D541" i="3"/>
  <c r="D437" i="3"/>
  <c r="D724" i="3"/>
  <c r="D594" i="3"/>
  <c r="D648" i="3"/>
  <c r="D228" i="3"/>
  <c r="D252" i="3"/>
  <c r="D653" i="3"/>
  <c r="D439" i="3"/>
  <c r="D75" i="3"/>
  <c r="D374" i="3"/>
  <c r="D283" i="3"/>
  <c r="D303" i="3"/>
  <c r="D412" i="3"/>
  <c r="D235" i="3"/>
  <c r="D395" i="3"/>
  <c r="D215" i="3"/>
  <c r="D637" i="3"/>
  <c r="D599" i="3"/>
  <c r="D345" i="3"/>
  <c r="D678" i="3"/>
  <c r="D517" i="3"/>
  <c r="D167" i="3"/>
  <c r="D777" i="3"/>
  <c r="D778" i="3"/>
  <c r="D518" i="3"/>
  <c r="D157" i="3"/>
  <c r="D134" i="3"/>
  <c r="D161" i="3"/>
  <c r="D310" i="3"/>
  <c r="D626" i="3"/>
  <c r="D256" i="3"/>
  <c r="D415" i="3"/>
  <c r="D187" i="3"/>
  <c r="D233" i="3"/>
  <c r="D294" i="3"/>
  <c r="D392" i="3"/>
  <c r="D87" i="3"/>
  <c r="D276" i="3"/>
  <c r="D65" i="3"/>
  <c r="D756" i="3"/>
  <c r="D62" i="3"/>
  <c r="D403" i="3"/>
  <c r="D351" i="3"/>
  <c r="D278" i="3"/>
  <c r="D164" i="3"/>
  <c r="D274" i="3"/>
  <c r="D718" i="3"/>
  <c r="D759" i="3"/>
  <c r="D753" i="3"/>
  <c r="D189" i="3"/>
  <c r="D695" i="3"/>
  <c r="D144" i="3"/>
  <c r="D290" i="3"/>
  <c r="D183" i="3"/>
  <c r="D730" i="3"/>
  <c r="D533" i="3"/>
  <c r="D354" i="3"/>
  <c r="D201" i="3"/>
  <c r="D117" i="3"/>
  <c r="D641" i="3"/>
  <c r="D702" i="3"/>
  <c r="D666" i="3"/>
  <c r="D566" i="3"/>
  <c r="D124" i="3"/>
  <c r="D95" i="3"/>
  <c r="D259" i="3"/>
  <c r="D470" i="3"/>
  <c r="D200" i="3"/>
  <c r="D705" i="3"/>
  <c r="D69" i="3"/>
  <c r="D71" i="3"/>
  <c r="D51" i="3"/>
  <c r="D568" i="3"/>
  <c r="D572" i="3"/>
  <c r="D32" i="3"/>
  <c r="D221" i="3"/>
  <c r="D99" i="3"/>
  <c r="D281" i="3"/>
  <c r="D576" i="3"/>
  <c r="D379" i="3"/>
  <c r="D712" i="3"/>
  <c r="D155" i="3"/>
  <c r="D664" i="3"/>
  <c r="D309" i="3"/>
  <c r="D480" i="3"/>
  <c r="D509" i="3"/>
  <c r="D461" i="3"/>
  <c r="D70" i="3"/>
  <c r="D420" i="3"/>
  <c r="D523" i="3"/>
  <c r="D479" i="3"/>
  <c r="D786" i="3"/>
  <c r="D761" i="3"/>
  <c r="D550" i="3"/>
  <c r="D177" i="3"/>
  <c r="D320" i="3"/>
  <c r="D394" i="3"/>
  <c r="D41" i="3"/>
  <c r="D482" i="3"/>
  <c r="D81" i="3"/>
  <c r="D119" i="3"/>
  <c r="D760" i="3"/>
  <c r="D491" i="3"/>
  <c r="D236" i="3"/>
  <c r="D334" i="3"/>
  <c r="D546" i="3"/>
  <c r="D719" i="3"/>
  <c r="D227" i="3"/>
  <c r="D601" i="3"/>
  <c r="D270" i="3"/>
  <c r="D60" i="3"/>
  <c r="D26" i="3"/>
  <c r="D133" i="3"/>
  <c r="D620" i="3"/>
  <c r="D779" i="3"/>
  <c r="D288" i="3"/>
  <c r="D707" i="3"/>
  <c r="D237" i="3"/>
  <c r="D102" i="3"/>
  <c r="D209" i="3"/>
  <c r="D376" i="3"/>
  <c r="D766" i="3"/>
  <c r="D500" i="3"/>
  <c r="D401" i="3"/>
  <c r="D717" i="3"/>
  <c r="D697" i="3"/>
  <c r="D688" i="3"/>
  <c r="D243" i="3"/>
  <c r="D139" i="3"/>
  <c r="D207" i="3"/>
  <c r="D410" i="3"/>
  <c r="D241" i="3"/>
  <c r="D136" i="3"/>
  <c r="D68" i="3"/>
  <c r="D196" i="3"/>
  <c r="D611" i="3"/>
  <c r="D677" i="3"/>
  <c r="D696" i="3"/>
  <c r="D498" i="3"/>
  <c r="D429" i="3"/>
  <c r="D372" i="3"/>
  <c r="D588" i="3"/>
  <c r="D306" i="3"/>
  <c r="D616" i="3"/>
  <c r="D731" i="3"/>
  <c r="D385" i="3"/>
  <c r="D699" i="3"/>
  <c r="D126" i="3"/>
  <c r="D539" i="3"/>
  <c r="D587" i="3"/>
  <c r="D494" i="3"/>
  <c r="D24" i="3"/>
  <c r="D121" i="3"/>
  <c r="D110" i="3"/>
  <c r="D222" i="3"/>
  <c r="D540" i="3"/>
  <c r="D684" i="3"/>
  <c r="D104" i="3"/>
  <c r="D774" i="3"/>
  <c r="D548" i="3"/>
  <c r="D751" i="3"/>
  <c r="D373" i="3"/>
  <c r="D404" i="3"/>
  <c r="D7" i="3"/>
  <c r="D456" i="3"/>
  <c r="D151" i="3"/>
  <c r="D660" i="3"/>
  <c r="D154" i="3"/>
  <c r="D467" i="3"/>
  <c r="D728" i="3"/>
  <c r="D471" i="3"/>
  <c r="D711" i="3"/>
  <c r="D370" i="3"/>
  <c r="D386" i="3"/>
  <c r="D180" i="3"/>
  <c r="D535" i="3"/>
  <c r="D780" i="3"/>
  <c r="D234" i="3"/>
  <c r="D98" i="3"/>
  <c r="D520" i="3"/>
  <c r="D636" i="3"/>
  <c r="D455" i="3"/>
  <c r="D685" i="3"/>
  <c r="D485" i="3"/>
  <c r="D249" i="3"/>
  <c r="D122" i="3"/>
  <c r="D557" i="3"/>
  <c r="D640" i="3"/>
  <c r="D220" i="3"/>
  <c r="D198" i="3"/>
  <c r="D502" i="3"/>
  <c r="D113" i="3"/>
  <c r="D347" i="3"/>
  <c r="D495" i="3"/>
  <c r="D442" i="3"/>
  <c r="D245" i="3"/>
  <c r="D597" i="3"/>
  <c r="D254" i="3"/>
  <c r="D746" i="3"/>
  <c r="D384" i="3"/>
  <c r="D360" i="3"/>
  <c r="D279" i="3"/>
  <c r="D156" i="3"/>
  <c r="D257" i="3"/>
  <c r="D681" i="3"/>
  <c r="D628" i="3"/>
  <c r="D107" i="3"/>
  <c r="D725" i="3"/>
  <c r="D327" i="3"/>
  <c r="D726" i="3"/>
  <c r="D735" i="3"/>
  <c r="D483" i="3"/>
  <c r="D49" i="3"/>
  <c r="D92" i="3"/>
  <c r="D80" i="3"/>
  <c r="D9" i="3"/>
  <c r="D285" i="3"/>
  <c r="D441" i="3"/>
  <c r="D676" i="3"/>
  <c r="D736" i="3"/>
  <c r="D247" i="3"/>
  <c r="D238" i="3"/>
  <c r="D300" i="3"/>
  <c r="D141" i="3"/>
  <c r="D352" i="3"/>
  <c r="D489" i="3"/>
  <c r="D50" i="3"/>
  <c r="D632" i="3"/>
  <c r="D573" i="3"/>
  <c r="D510" i="3"/>
  <c r="D130" i="3"/>
  <c r="D493" i="3"/>
  <c r="D272" i="3"/>
  <c r="D580" i="3"/>
  <c r="D46" i="3"/>
  <c r="D286" i="3"/>
  <c r="D96" i="3"/>
  <c r="D230" i="3"/>
  <c r="D586" i="3"/>
  <c r="D160" i="3"/>
  <c r="D639" i="3"/>
  <c r="D13" i="3"/>
  <c r="D90" i="3"/>
  <c r="D42" i="3"/>
  <c r="D417" i="3"/>
  <c r="D149" i="3"/>
  <c r="D268" i="3"/>
  <c r="D416" i="3"/>
  <c r="D556" i="3"/>
  <c r="D689" i="3"/>
  <c r="D767" i="3"/>
  <c r="D600" i="3"/>
  <c r="D73" i="3"/>
  <c r="D463" i="3"/>
  <c r="D537" i="3"/>
  <c r="D140" i="3"/>
  <c r="D593" i="3"/>
  <c r="D460" i="3"/>
  <c r="D574" i="3"/>
  <c r="D434" i="3"/>
  <c r="D443" i="3"/>
  <c r="D193" i="3"/>
  <c r="D253" i="3"/>
  <c r="D148" i="3"/>
  <c r="D292" i="3"/>
  <c r="D258" i="3"/>
  <c r="D267" i="3"/>
  <c r="D211" i="3"/>
  <c r="D750" i="3"/>
  <c r="D538" i="3"/>
  <c r="D260" i="3"/>
  <c r="D377" i="3"/>
  <c r="D261" i="3"/>
  <c r="D609" i="3"/>
  <c r="D366" i="3"/>
  <c r="D501" i="3"/>
  <c r="D426" i="3"/>
  <c r="D72" i="3"/>
  <c r="D789" i="3"/>
  <c r="D248" i="3"/>
  <c r="D790" i="3"/>
  <c r="D791" i="3"/>
  <c r="D16" i="3"/>
  <c r="D17" i="3"/>
  <c r="D792" i="3"/>
  <c r="D793" i="3"/>
  <c r="D794" i="3"/>
  <c r="D795" i="3"/>
  <c r="D14" i="3"/>
  <c r="D687" i="3"/>
  <c r="D250" i="3"/>
  <c r="D659" i="3"/>
  <c r="D186" i="3"/>
  <c r="D299" i="3"/>
  <c r="D449" i="3"/>
  <c r="D383" i="3"/>
  <c r="D654" i="3"/>
  <c r="D583" i="3"/>
  <c r="D710" i="3"/>
  <c r="D365" i="3"/>
  <c r="D431" i="3"/>
  <c r="D581" i="3"/>
  <c r="D59" i="3"/>
  <c r="D610" i="3"/>
  <c r="D549" i="3"/>
  <c r="D363" i="3"/>
  <c r="D109" i="3"/>
  <c r="D212" i="3"/>
  <c r="D390" i="3"/>
  <c r="D275" i="3"/>
  <c r="D411" i="3"/>
  <c r="D355" i="3"/>
  <c r="D86" i="3"/>
  <c r="D452" i="3"/>
  <c r="D337" i="3"/>
  <c r="D123" i="3"/>
  <c r="D311" i="3"/>
  <c r="D242" i="3"/>
  <c r="D165" i="3"/>
  <c r="D375" i="3"/>
  <c r="D33" i="3"/>
  <c r="D436" i="3"/>
  <c r="D453" i="3"/>
  <c r="D89" i="3"/>
  <c r="D652" i="3"/>
  <c r="D389" i="3"/>
  <c r="D519" i="3"/>
  <c r="D380" i="3"/>
  <c r="D776" i="3"/>
  <c r="D175" i="3"/>
  <c r="D190" i="3"/>
  <c r="D667" i="3"/>
  <c r="D291" i="3"/>
  <c r="D194" i="3"/>
  <c r="D674" i="3"/>
  <c r="D486" i="3"/>
  <c r="D199" i="3"/>
  <c r="D418" i="3"/>
  <c r="D552" i="3"/>
  <c r="D516" i="3"/>
  <c r="D425" i="3"/>
  <c r="D701" i="3"/>
  <c r="D23" i="3"/>
  <c r="D8" i="3"/>
  <c r="D387" i="3"/>
  <c r="D348" i="3"/>
  <c r="D596" i="3"/>
  <c r="D361" i="3"/>
  <c r="D108" i="3"/>
  <c r="D135" i="3"/>
  <c r="D343" i="3"/>
  <c r="D307" i="3"/>
  <c r="D651" i="3"/>
  <c r="D755" i="3"/>
  <c r="D402" i="3"/>
  <c r="D74" i="3"/>
  <c r="D782" i="3"/>
  <c r="D145" i="3"/>
  <c r="D578" i="3"/>
  <c r="D223" i="3"/>
  <c r="D52" i="3"/>
  <c r="D322" i="3"/>
  <c r="D171" i="3"/>
  <c r="D526" i="3"/>
  <c r="D219" i="3"/>
  <c r="D304" i="3"/>
  <c r="D478" i="3"/>
  <c r="D547" i="3"/>
  <c r="D181" i="3"/>
  <c r="D329" i="3"/>
  <c r="D342" i="3"/>
  <c r="D757" i="3"/>
  <c r="D499" i="3"/>
  <c r="D38" i="3"/>
  <c r="D737" i="3"/>
  <c r="D271" i="3"/>
  <c r="D216" i="3"/>
  <c r="D729" i="3"/>
  <c r="D423" i="3"/>
  <c r="D166" i="3"/>
  <c r="D118" i="3"/>
  <c r="D744" i="3"/>
  <c r="D100" i="3"/>
  <c r="D301" i="3"/>
  <c r="D359" i="3"/>
  <c r="D446" i="3"/>
  <c r="D749" i="3"/>
  <c r="D12" i="3"/>
  <c r="D716" i="3"/>
  <c r="D408" i="3"/>
  <c r="D173" i="3"/>
  <c r="D328" i="3"/>
  <c r="D132" i="3"/>
  <c r="D255" i="3"/>
  <c r="D614" i="3"/>
  <c r="D393" i="3"/>
  <c r="D536" i="3"/>
  <c r="D490" i="3"/>
  <c r="D188" i="3"/>
  <c r="D515" i="3"/>
  <c r="D43" i="3"/>
  <c r="D114" i="3"/>
  <c r="D680" i="3"/>
  <c r="D612" i="3"/>
  <c r="D768" i="3"/>
  <c r="D591" i="3"/>
  <c r="D657" i="3"/>
  <c r="D765" i="3"/>
  <c r="D349" i="3"/>
  <c r="D305" i="3"/>
  <c r="D205" i="3"/>
  <c r="D763" i="3"/>
  <c r="D319" i="3"/>
  <c r="D422" i="3"/>
  <c r="D752" i="3"/>
  <c r="D168" i="3"/>
  <c r="D703" i="3"/>
  <c r="D472" i="3"/>
  <c r="D590" i="3"/>
  <c r="D435" i="3"/>
  <c r="D497" i="3"/>
  <c r="D663" i="3"/>
  <c r="D682" i="3"/>
  <c r="D603" i="3"/>
  <c r="D111" i="3"/>
  <c r="D273" i="3"/>
  <c r="D727" i="3"/>
  <c r="D698" i="3"/>
  <c r="D67" i="3"/>
  <c r="D484" i="3"/>
  <c r="D506" i="3"/>
  <c r="D505" i="3"/>
  <c r="D488" i="3"/>
  <c r="D503" i="3"/>
  <c r="D487" i="3"/>
  <c r="D511" i="3"/>
  <c r="D507" i="3"/>
  <c r="D504" i="3"/>
  <c r="D176" i="3"/>
  <c r="D56" i="3"/>
  <c r="D608" i="3"/>
  <c r="D362" i="3"/>
  <c r="D76" i="3"/>
  <c r="D120" i="3"/>
  <c r="D454" i="3"/>
  <c r="D64" i="3"/>
  <c r="D208" i="3"/>
  <c r="D788" i="3"/>
  <c r="D308" i="3"/>
  <c r="D468" i="3"/>
  <c r="D638" i="3"/>
  <c r="D66" i="3"/>
  <c r="D357" i="3"/>
  <c r="D445" i="3"/>
  <c r="D150" i="3"/>
  <c r="D693" i="3"/>
  <c r="D314" i="3"/>
  <c r="D20" i="3"/>
  <c r="D287" i="3"/>
  <c r="D10" i="3"/>
  <c r="D595" i="3"/>
  <c r="D79" i="3"/>
  <c r="D282" i="3"/>
  <c r="D465" i="3"/>
  <c r="D396" i="3"/>
  <c r="D670" i="3"/>
  <c r="D195" i="3"/>
  <c r="D529" i="3"/>
  <c r="D715" i="3"/>
  <c r="D770" i="3"/>
  <c r="D771" i="3"/>
  <c r="D313" i="3"/>
  <c r="D555" i="3"/>
  <c r="D430" i="3"/>
  <c r="D542" i="3"/>
  <c r="D289" i="3"/>
  <c r="D619" i="3"/>
  <c r="D613" i="3"/>
  <c r="D668" i="3"/>
  <c r="D772" i="3"/>
  <c r="D369" i="3"/>
  <c r="D447" i="3"/>
  <c r="D244" i="3"/>
  <c r="D720" i="3"/>
  <c r="D754" i="3"/>
  <c r="D213" i="3"/>
  <c r="D743" i="3"/>
  <c r="D315" i="3"/>
  <c r="D231" i="3"/>
  <c r="D775" i="3"/>
  <c r="D336" i="3"/>
  <c r="D214" i="3"/>
  <c r="D103" i="3"/>
  <c r="D332" i="3"/>
  <c r="D127" i="3"/>
  <c r="D204" i="3"/>
  <c r="D358" i="3"/>
  <c r="D440" i="3"/>
  <c r="D646" i="3"/>
  <c r="D414" i="3"/>
  <c r="D316" i="3"/>
  <c r="D444" i="3"/>
  <c r="D475" i="3"/>
  <c r="D466" i="3"/>
  <c r="D522" i="3"/>
  <c r="D142" i="3"/>
  <c r="D723" i="3"/>
  <c r="D388" i="3"/>
  <c r="D58" i="3"/>
  <c r="D138" i="3"/>
  <c r="D382" i="3"/>
  <c r="D93" i="3"/>
  <c r="D745" i="3"/>
  <c r="D293" i="3"/>
  <c r="D672" i="3"/>
  <c r="D263" i="3"/>
  <c r="D481" i="3"/>
  <c r="D525" i="3"/>
  <c r="D146" i="3"/>
  <c r="D562" i="3"/>
  <c r="D63" i="3"/>
  <c r="D182" i="3"/>
  <c r="D656" i="3"/>
  <c r="D424" i="3"/>
  <c r="D565" i="3"/>
  <c r="D521" i="3"/>
  <c r="D476" i="3"/>
  <c r="D44" i="3"/>
  <c r="D662" i="3"/>
  <c r="D527" i="3"/>
  <c r="D158" i="3"/>
  <c r="D35" i="3"/>
  <c r="D321" i="3"/>
  <c r="D714" i="3"/>
  <c r="D644" i="3"/>
  <c r="D335" i="3"/>
  <c r="D398" i="3"/>
  <c r="D29" i="3"/>
  <c r="D512" i="3"/>
  <c r="D312" i="3"/>
  <c r="D381" i="3"/>
  <c r="D561" i="3"/>
  <c r="D462" i="3"/>
  <c r="D564" i="3"/>
  <c r="D339" i="3"/>
  <c r="D419" i="3"/>
  <c r="D25" i="3"/>
  <c r="D15" i="3"/>
  <c r="D232" i="3"/>
  <c r="D185" i="3"/>
  <c r="D704" i="3"/>
  <c r="D450" i="3"/>
  <c r="D340" i="3"/>
  <c r="D400" i="3"/>
  <c r="D406" i="3"/>
  <c r="D143" i="3"/>
  <c r="D297" i="3"/>
  <c r="D326" i="3"/>
  <c r="D264" i="3"/>
  <c r="D179" i="3"/>
  <c r="D174" i="3"/>
  <c r="D758" i="3"/>
  <c r="D721" i="3"/>
  <c r="D115" i="3"/>
  <c r="D277" i="3"/>
  <c r="D686" i="3"/>
  <c r="D618" i="3"/>
  <c r="D781" i="3"/>
  <c r="D45" i="3"/>
  <c r="D433" i="3"/>
  <c r="D769" i="3"/>
  <c r="D356" i="3"/>
  <c r="D584" i="3"/>
  <c r="D605" i="3"/>
  <c r="D295" i="3"/>
  <c r="D128" i="3"/>
  <c r="D338" i="3"/>
  <c r="D558" i="3"/>
  <c r="D224" i="3"/>
  <c r="D378" i="3"/>
  <c r="D543" i="3"/>
  <c r="D116" i="3"/>
  <c r="D592" i="3"/>
  <c r="D101" i="3"/>
  <c r="D85" i="3"/>
  <c r="D553" i="3"/>
  <c r="D421" i="3"/>
  <c r="D147" i="3"/>
  <c r="D350" i="3"/>
  <c r="D783" i="3"/>
  <c r="D77" i="3"/>
  <c r="D492" i="3"/>
  <c r="D47" i="3"/>
  <c r="D217" i="3"/>
  <c r="D53" i="3"/>
  <c r="D84" i="3"/>
  <c r="D225" i="3"/>
  <c r="D330" i="3"/>
  <c r="D269" i="3"/>
  <c r="D405" i="3"/>
  <c r="D191" i="3"/>
  <c r="D152" i="3"/>
  <c r="D226" i="3"/>
  <c r="D82" i="3"/>
  <c r="D324" i="3"/>
  <c r="D6" i="3"/>
  <c r="D740" i="3"/>
  <c r="D129" i="3"/>
  <c r="D210" i="3"/>
  <c r="D192" i="3"/>
  <c r="D473" i="3"/>
  <c r="D407" i="3"/>
  <c r="D368" i="3"/>
  <c r="D409" i="3"/>
  <c r="D650" i="3"/>
  <c r="E630" i="3"/>
  <c r="D5" i="3"/>
  <c r="D31" i="3"/>
  <c r="D18" i="3"/>
  <c r="D19" i="3"/>
  <c r="D27" i="3"/>
  <c r="D364" i="3"/>
  <c r="D30" i="3"/>
  <c r="D88" i="3"/>
  <c r="D3" i="3"/>
  <c r="D4" i="3"/>
  <c r="D21" i="3"/>
  <c r="D54" i="3"/>
  <c r="D28" i="3"/>
  <c r="D105" i="3"/>
  <c r="D341" i="3"/>
  <c r="D22" i="3"/>
  <c r="D438" i="3"/>
  <c r="D353" i="3"/>
  <c r="D344" i="3"/>
  <c r="D178" i="3"/>
  <c r="D172" i="3"/>
  <c r="D97" i="3"/>
  <c r="D559" i="3"/>
  <c r="D131" i="3"/>
  <c r="D91" i="3"/>
  <c r="D246" i="3"/>
  <c r="D36" i="3"/>
  <c r="D55" i="3"/>
  <c r="D451" i="3"/>
  <c r="D57" i="3"/>
  <c r="D229" i="3"/>
  <c r="D61" i="3"/>
  <c r="D40" i="3"/>
  <c r="D428" i="3"/>
  <c r="D331" i="3"/>
  <c r="D11" i="3"/>
  <c r="D262" i="3"/>
  <c r="D34" i="3"/>
  <c r="D94" i="3"/>
  <c r="D184" i="3"/>
  <c r="D239" i="3"/>
  <c r="D202" i="3"/>
  <c r="N696" i="3"/>
  <c r="E696" i="3"/>
  <c r="N498" i="3"/>
  <c r="E498" i="3"/>
  <c r="S139" i="3"/>
  <c r="N139" i="3"/>
  <c r="E139" i="3"/>
  <c r="N595" i="3"/>
  <c r="E595" i="3"/>
  <c r="V659" i="3"/>
  <c r="N659" i="3"/>
  <c r="E659" i="3"/>
  <c r="N765" i="3"/>
  <c r="E765" i="3"/>
  <c r="N568" i="3"/>
  <c r="E568" i="3"/>
  <c r="N613" i="3"/>
  <c r="E613" i="3"/>
  <c r="N466" i="3"/>
  <c r="E466" i="3"/>
  <c r="S376" i="3"/>
  <c r="N376" i="3"/>
  <c r="E782" i="3"/>
  <c r="O592" i="3"/>
  <c r="N592" i="3"/>
  <c r="E592" i="3"/>
  <c r="E781" i="3"/>
  <c r="N674" i="3"/>
  <c r="E674" i="3"/>
  <c r="N705" i="3"/>
  <c r="E705" i="3"/>
  <c r="N646" i="3"/>
  <c r="E646" i="3"/>
  <c r="E779" i="3"/>
  <c r="N654" i="3"/>
  <c r="E654" i="3"/>
  <c r="N699" i="3"/>
  <c r="E699" i="3"/>
  <c r="N681" i="3"/>
  <c r="E681" i="3"/>
  <c r="E778" i="3"/>
  <c r="N689" i="3"/>
  <c r="E689" i="3"/>
  <c r="N688" i="3"/>
  <c r="E688" i="3"/>
  <c r="N735" i="3"/>
  <c r="E735" i="3"/>
  <c r="E776" i="3"/>
  <c r="E774" i="3"/>
  <c r="N640" i="3"/>
  <c r="E640" i="3"/>
  <c r="E772" i="3"/>
  <c r="S711" i="3"/>
  <c r="N711" i="3"/>
  <c r="E769" i="3"/>
  <c r="E667" i="3"/>
  <c r="N720" i="3"/>
  <c r="E720" i="3"/>
  <c r="N680" i="3"/>
  <c r="E680" i="3"/>
  <c r="S714" i="3"/>
  <c r="E714" i="3"/>
  <c r="S723" i="3"/>
  <c r="N723" i="3"/>
  <c r="S728" i="3"/>
  <c r="N728" i="3"/>
  <c r="N745" i="3"/>
  <c r="E745" i="3"/>
  <c r="E621" i="3"/>
  <c r="E606" i="3"/>
  <c r="S753" i="3"/>
  <c r="E753" i="3"/>
  <c r="N437" i="3"/>
  <c r="E437" i="3"/>
  <c r="S712" i="3"/>
  <c r="N712" i="3"/>
  <c r="E622" i="3"/>
  <c r="E793" i="3"/>
  <c r="E687" i="3"/>
  <c r="E790" i="3"/>
  <c r="E794" i="3"/>
  <c r="E795" i="3"/>
  <c r="E791" i="3"/>
  <c r="E792" i="3"/>
  <c r="E789" i="3"/>
  <c r="N250" i="3"/>
  <c r="E250" i="3"/>
  <c r="N248" i="3"/>
  <c r="E248" i="3"/>
  <c r="N72" i="3"/>
  <c r="E72" i="3"/>
  <c r="O17" i="3"/>
  <c r="N17" i="3"/>
  <c r="E17" i="3"/>
  <c r="O14" i="3"/>
  <c r="N14" i="3"/>
  <c r="E14" i="3"/>
  <c r="N16" i="3"/>
  <c r="E16" i="3"/>
  <c r="N6" i="3"/>
  <c r="E6" i="3"/>
  <c r="S26" i="3"/>
  <c r="O26" i="3"/>
  <c r="N26" i="3"/>
  <c r="E26" i="3"/>
  <c r="N5" i="3"/>
  <c r="E5" i="3"/>
  <c r="O12" i="3"/>
  <c r="N12" i="3"/>
  <c r="E12" i="3"/>
  <c r="S758" i="3"/>
  <c r="N758" i="3"/>
  <c r="E758" i="3"/>
  <c r="S35" i="3"/>
  <c r="N35" i="3"/>
  <c r="E35" i="3"/>
  <c r="S730" i="3"/>
  <c r="N730" i="3"/>
  <c r="V32" i="3"/>
  <c r="S32" i="3"/>
  <c r="O32" i="3"/>
  <c r="N32" i="3"/>
  <c r="E32" i="3"/>
  <c r="S31" i="3"/>
  <c r="N31" i="3"/>
  <c r="E31" i="3"/>
  <c r="S18" i="3"/>
  <c r="O18" i="3"/>
  <c r="N18" i="3"/>
  <c r="E18" i="3"/>
  <c r="N490" i="3"/>
  <c r="N208" i="3"/>
  <c r="E208" i="3"/>
  <c r="N499" i="3"/>
  <c r="E499" i="3"/>
  <c r="N79" i="3"/>
  <c r="E79" i="3"/>
  <c r="N107" i="3"/>
  <c r="E107" i="3"/>
  <c r="V19" i="3"/>
  <c r="S19" i="3"/>
  <c r="N19" i="3"/>
  <c r="E19" i="3"/>
  <c r="N20" i="3"/>
  <c r="E20" i="3"/>
  <c r="N109" i="3"/>
  <c r="E109" i="3"/>
  <c r="N51" i="3"/>
  <c r="E51" i="3"/>
  <c r="S9" i="3"/>
  <c r="N9" i="3"/>
  <c r="E9" i="3"/>
  <c r="S96" i="3"/>
  <c r="N96" i="3"/>
  <c r="E96" i="3"/>
  <c r="N108" i="3"/>
  <c r="E108" i="3"/>
  <c r="S156" i="3"/>
  <c r="N156" i="3"/>
  <c r="E156" i="3"/>
  <c r="S27" i="3"/>
  <c r="O27" i="3"/>
  <c r="N27" i="3"/>
  <c r="E27" i="3"/>
  <c r="N788" i="3"/>
  <c r="E206" i="3"/>
  <c r="S352" i="3"/>
  <c r="N352" i="3"/>
  <c r="E352" i="3"/>
  <c r="S489" i="3"/>
  <c r="E489" i="3"/>
  <c r="S201" i="3"/>
  <c r="N201" i="3"/>
  <c r="E201" i="3"/>
  <c r="S50" i="3"/>
  <c r="N50" i="3"/>
  <c r="E50" i="3"/>
  <c r="S92" i="3"/>
  <c r="N92" i="3"/>
  <c r="E92" i="3"/>
  <c r="S281" i="3"/>
  <c r="N281" i="3"/>
  <c r="E281" i="3"/>
  <c r="V8" i="3"/>
  <c r="S8" i="3"/>
  <c r="N8" i="3"/>
  <c r="E8" i="3"/>
  <c r="S387" i="3"/>
  <c r="E387" i="3"/>
  <c r="E280" i="3"/>
  <c r="E524" i="3"/>
  <c r="N685" i="3"/>
  <c r="E685" i="3"/>
  <c r="S725" i="3"/>
  <c r="N725" i="3"/>
  <c r="E725" i="3"/>
  <c r="E701" i="3"/>
  <c r="N476" i="3"/>
  <c r="N757" i="3"/>
  <c r="E476" i="3"/>
  <c r="N605" i="3"/>
  <c r="E605" i="3"/>
  <c r="S737" i="3"/>
  <c r="N737" i="3"/>
  <c r="E737" i="3"/>
  <c r="N272" i="3"/>
  <c r="E272" i="3"/>
  <c r="S652" i="3"/>
  <c r="N652" i="3"/>
  <c r="E652" i="3"/>
  <c r="N285" i="3"/>
  <c r="E285" i="3"/>
  <c r="N372" i="3"/>
  <c r="E372" i="3"/>
  <c r="N429" i="3"/>
  <c r="E429" i="3"/>
  <c r="V81" i="3"/>
  <c r="S81" i="3"/>
  <c r="N81" i="3"/>
  <c r="N160" i="3"/>
  <c r="E116" i="3"/>
  <c r="S47" i="3"/>
  <c r="N47" i="3"/>
  <c r="E47" i="3"/>
  <c r="N405" i="3"/>
  <c r="E405" i="3"/>
  <c r="N269" i="3"/>
  <c r="E269" i="3"/>
  <c r="N492" i="3"/>
  <c r="E492" i="3"/>
  <c r="N330" i="3"/>
  <c r="E330" i="3"/>
  <c r="N225" i="3"/>
  <c r="E225" i="3"/>
  <c r="N84" i="3"/>
  <c r="E84" i="3"/>
  <c r="N53" i="3"/>
  <c r="E53" i="3"/>
  <c r="S232" i="3"/>
  <c r="N232" i="3"/>
  <c r="E232" i="3"/>
  <c r="S211" i="3"/>
  <c r="N211" i="3"/>
  <c r="E211" i="3"/>
  <c r="S237" i="3"/>
  <c r="O237" i="3"/>
  <c r="N237" i="3"/>
  <c r="E237" i="3"/>
  <c r="N217" i="3"/>
  <c r="E217" i="3"/>
  <c r="S15" i="3"/>
  <c r="N15" i="3"/>
  <c r="E15" i="3"/>
  <c r="N364" i="3"/>
  <c r="E364" i="3"/>
  <c r="O470" i="3"/>
  <c r="N470" i="3"/>
  <c r="E470" i="3"/>
  <c r="S30" i="3"/>
  <c r="N30" i="3"/>
  <c r="E30" i="3"/>
  <c r="E608" i="3"/>
  <c r="S65" i="3"/>
  <c r="N65" i="3"/>
  <c r="E65" i="3"/>
  <c r="N519" i="3"/>
  <c r="E519" i="3"/>
  <c r="E577" i="3"/>
  <c r="N424" i="3"/>
  <c r="E424" i="3"/>
  <c r="N752" i="3"/>
  <c r="E752" i="3"/>
  <c r="S381" i="3"/>
  <c r="N381" i="3"/>
  <c r="E381" i="3"/>
  <c r="S394" i="3"/>
  <c r="N394" i="3"/>
  <c r="E394" i="3"/>
  <c r="S24" i="3"/>
  <c r="O24" i="3"/>
  <c r="N24" i="3"/>
  <c r="E24" i="3"/>
  <c r="O75" i="3"/>
  <c r="N75" i="3"/>
  <c r="E75" i="3"/>
  <c r="N572" i="3"/>
  <c r="E572" i="3"/>
  <c r="N221" i="3"/>
  <c r="E221" i="3"/>
  <c r="S247" i="3"/>
  <c r="N247" i="3"/>
  <c r="E247" i="3"/>
  <c r="S88" i="3"/>
  <c r="N88" i="3"/>
  <c r="E88" i="3"/>
  <c r="N130" i="3"/>
  <c r="E130" i="3"/>
  <c r="V25" i="3"/>
  <c r="S25" i="3"/>
  <c r="O25" i="3"/>
  <c r="N25" i="3"/>
  <c r="E25" i="3"/>
  <c r="E146" i="3"/>
  <c r="S7" i="3"/>
  <c r="O7" i="3"/>
  <c r="N7" i="3"/>
  <c r="E7" i="3"/>
  <c r="S3" i="3"/>
  <c r="O3" i="3"/>
  <c r="N3" i="3"/>
  <c r="E3" i="3"/>
  <c r="N243" i="3"/>
  <c r="E243" i="3"/>
  <c r="N188" i="3"/>
  <c r="E188" i="3"/>
  <c r="N218" i="3"/>
  <c r="E218" i="3"/>
  <c r="N480" i="3"/>
  <c r="E480" i="3"/>
  <c r="V287" i="3"/>
  <c r="S287" i="3"/>
  <c r="N287" i="3"/>
  <c r="E287" i="3"/>
  <c r="S230" i="3"/>
  <c r="N230" i="3"/>
  <c r="E230" i="3"/>
  <c r="E570" i="3"/>
  <c r="S213" i="3"/>
  <c r="N213" i="3"/>
  <c r="E213" i="3"/>
  <c r="N348" i="3"/>
  <c r="E348" i="3"/>
  <c r="N113" i="3"/>
  <c r="E113" i="3"/>
  <c r="N520" i="3"/>
  <c r="E520" i="3"/>
  <c r="N99" i="3"/>
  <c r="E99" i="3"/>
  <c r="S10" i="3"/>
  <c r="O10" i="3"/>
  <c r="N10" i="3"/>
  <c r="E10" i="3"/>
  <c r="O44" i="3"/>
  <c r="N44" i="3"/>
  <c r="E44" i="3"/>
  <c r="N135" i="3"/>
  <c r="E135" i="3"/>
  <c r="S517" i="3"/>
  <c r="N517" i="3"/>
  <c r="E517" i="3"/>
  <c r="S4" i="3"/>
  <c r="O4" i="3"/>
  <c r="N4" i="3"/>
  <c r="E4" i="3"/>
  <c r="S177" i="3"/>
  <c r="N177" i="3"/>
  <c r="E177" i="3"/>
  <c r="S312" i="3"/>
  <c r="N312" i="3"/>
  <c r="E312" i="3"/>
  <c r="O70" i="3"/>
  <c r="N70" i="3"/>
  <c r="E70" i="3"/>
  <c r="N444" i="3"/>
  <c r="E444" i="3"/>
  <c r="S461" i="3"/>
  <c r="S425" i="3"/>
  <c r="S132" i="3"/>
  <c r="N132" i="3"/>
  <c r="E132" i="3"/>
  <c r="S404" i="3"/>
  <c r="S21" i="3"/>
  <c r="N21" i="3"/>
  <c r="E21" i="3"/>
  <c r="S54" i="3"/>
  <c r="O54" i="3"/>
  <c r="N54" i="3"/>
  <c r="E54" i="3"/>
  <c r="V71" i="3"/>
  <c r="S71" i="3"/>
  <c r="N71" i="3"/>
  <c r="E71" i="3"/>
  <c r="V69" i="3"/>
  <c r="S69" i="3"/>
  <c r="O69" i="3"/>
  <c r="N69" i="3"/>
  <c r="E69" i="3"/>
  <c r="S317" i="3"/>
  <c r="E317" i="3"/>
  <c r="E106" i="3"/>
  <c r="S718" i="3"/>
  <c r="N718" i="3"/>
  <c r="E718" i="3"/>
  <c r="N756" i="3"/>
  <c r="E756" i="3"/>
  <c r="N703" i="3"/>
  <c r="E703" i="3"/>
  <c r="S724" i="3"/>
  <c r="E724" i="3"/>
  <c r="S518" i="3"/>
  <c r="N518" i="3"/>
  <c r="E518" i="3"/>
  <c r="S684" i="3"/>
  <c r="E684" i="3"/>
  <c r="N506" i="3"/>
  <c r="E506" i="3"/>
  <c r="N505" i="3"/>
  <c r="E505" i="3"/>
  <c r="N507" i="3"/>
  <c r="E507" i="3"/>
  <c r="N503" i="3"/>
  <c r="E503" i="3"/>
  <c r="N511" i="3"/>
  <c r="E511" i="3"/>
  <c r="N504" i="3"/>
  <c r="E504" i="3"/>
  <c r="N488" i="3"/>
  <c r="E488" i="3"/>
  <c r="N487" i="3"/>
  <c r="E487" i="3"/>
  <c r="N618" i="3"/>
  <c r="E618" i="3"/>
  <c r="N484" i="3"/>
  <c r="E484" i="3"/>
  <c r="S421" i="3"/>
  <c r="N421" i="3"/>
  <c r="E421" i="3"/>
  <c r="V28" i="3"/>
  <c r="S28" i="3"/>
  <c r="N28" i="3"/>
  <c r="E28" i="3"/>
  <c r="S472" i="3"/>
  <c r="N472" i="3"/>
  <c r="E472" i="3"/>
  <c r="S200" i="3"/>
  <c r="N200" i="3"/>
  <c r="E200" i="3"/>
  <c r="S105" i="3"/>
  <c r="N105" i="3"/>
  <c r="E105" i="3"/>
  <c r="N341" i="3"/>
  <c r="E341" i="3"/>
  <c r="E37" i="3"/>
  <c r="N42" i="3"/>
  <c r="E42" i="3"/>
  <c r="E433" i="3"/>
  <c r="S22" i="3"/>
  <c r="O22" i="3"/>
  <c r="N22" i="3"/>
  <c r="E22" i="3"/>
  <c r="N422" i="3"/>
  <c r="E422" i="3"/>
  <c r="N90" i="3"/>
  <c r="E90" i="3"/>
  <c r="N13" i="3"/>
  <c r="E13" i="3"/>
  <c r="N368" i="3"/>
  <c r="E368" i="3"/>
  <c r="S157" i="3"/>
  <c r="O157" i="3"/>
  <c r="N157" i="3"/>
  <c r="E157" i="3"/>
  <c r="S176" i="3"/>
  <c r="N176" i="3"/>
  <c r="E176" i="3"/>
  <c r="N168" i="3"/>
  <c r="E168" i="3"/>
  <c r="N236" i="3"/>
  <c r="E236" i="3"/>
  <c r="N338" i="3"/>
  <c r="E338" i="3"/>
  <c r="N199" i="3"/>
  <c r="E199" i="3"/>
  <c r="N552" i="3"/>
  <c r="E552" i="3"/>
  <c r="S259" i="3"/>
  <c r="N259" i="3"/>
  <c r="E259" i="3"/>
  <c r="N128" i="3"/>
  <c r="E128" i="3"/>
  <c r="N534" i="3"/>
  <c r="E534" i="3"/>
  <c r="N569" i="3"/>
  <c r="E569" i="3"/>
  <c r="E325" i="3"/>
  <c r="N418" i="3"/>
  <c r="E418" i="3"/>
  <c r="N62" i="3"/>
  <c r="E62" i="3"/>
  <c r="N115" i="3"/>
  <c r="E115" i="3"/>
  <c r="S123" i="3"/>
  <c r="N123" i="3"/>
  <c r="E123" i="3"/>
  <c r="S95" i="3"/>
  <c r="O95" i="3"/>
  <c r="N95" i="3"/>
  <c r="E95" i="3"/>
  <c r="N374" i="3"/>
  <c r="E374" i="3"/>
  <c r="N277" i="3"/>
  <c r="E277" i="3"/>
  <c r="N263" i="3"/>
  <c r="E263" i="3"/>
  <c r="N354" i="3"/>
  <c r="E354" i="3"/>
  <c r="V179" i="3"/>
  <c r="S179" i="3"/>
  <c r="N179" i="3"/>
  <c r="E179" i="3"/>
  <c r="V152" i="3"/>
  <c r="S152" i="3"/>
  <c r="N152" i="3"/>
  <c r="E152" i="3"/>
  <c r="S431" i="3"/>
  <c r="N431" i="3"/>
  <c r="E431" i="3"/>
  <c r="E787" i="3"/>
  <c r="S419" i="3"/>
  <c r="N419" i="3"/>
  <c r="E419" i="3"/>
  <c r="S186" i="3"/>
  <c r="N186" i="3"/>
  <c r="E186" i="3"/>
  <c r="V41" i="3"/>
  <c r="S41" i="3"/>
  <c r="O41" i="3"/>
  <c r="N41" i="3"/>
  <c r="E41" i="3"/>
  <c r="N59" i="3"/>
  <c r="E59" i="3"/>
  <c r="S379" i="3"/>
  <c r="N379" i="3"/>
  <c r="E379" i="3"/>
  <c r="N557" i="3"/>
  <c r="E557" i="3"/>
  <c r="V166" i="3"/>
  <c r="S166" i="3"/>
  <c r="N166" i="3"/>
  <c r="E166" i="3"/>
  <c r="N192" i="3"/>
  <c r="E192" i="3"/>
  <c r="N343" i="3"/>
  <c r="E343" i="3"/>
  <c r="S183" i="3"/>
  <c r="N183" i="3"/>
  <c r="E183" i="3"/>
  <c r="N462" i="3"/>
  <c r="E462" i="3"/>
  <c r="N307" i="3"/>
  <c r="E307" i="3"/>
  <c r="N677" i="3"/>
  <c r="E677" i="3"/>
  <c r="S678" i="3"/>
  <c r="N678" i="3"/>
  <c r="E678" i="3"/>
  <c r="S398" i="3"/>
  <c r="N398" i="3"/>
  <c r="E398" i="3"/>
  <c r="S210" i="3"/>
  <c r="N210" i="3"/>
  <c r="E210" i="3"/>
  <c r="S786" i="3"/>
  <c r="E786" i="3"/>
  <c r="N335" i="3"/>
  <c r="E335" i="3"/>
  <c r="N415" i="3"/>
  <c r="E415" i="3"/>
  <c r="N670" i="3"/>
  <c r="E670" i="3"/>
  <c r="N454" i="3"/>
  <c r="E454" i="3"/>
  <c r="N440" i="3"/>
  <c r="E440" i="3"/>
  <c r="N253" i="3"/>
  <c r="E253" i="3"/>
  <c r="V33" i="3"/>
  <c r="S33" i="3"/>
  <c r="O33" i="3"/>
  <c r="N33" i="3"/>
  <c r="E33" i="3"/>
  <c r="N234" i="3"/>
  <c r="E234" i="3"/>
  <c r="N452" i="3"/>
  <c r="E452" i="3"/>
  <c r="V23" i="3"/>
  <c r="S23" i="3"/>
  <c r="O23" i="3"/>
  <c r="N23" i="3"/>
  <c r="E23" i="3"/>
  <c r="N76" i="3"/>
  <c r="E76" i="3"/>
  <c r="N438" i="3"/>
  <c r="E438" i="3"/>
  <c r="N193" i="3"/>
  <c r="E193" i="3"/>
  <c r="N358" i="3"/>
  <c r="E358" i="3"/>
  <c r="S299" i="3"/>
  <c r="N299" i="3"/>
  <c r="E299" i="3"/>
  <c r="N347" i="3"/>
  <c r="E347" i="3"/>
  <c r="S460" i="3"/>
  <c r="N460" i="3"/>
  <c r="E460" i="3"/>
  <c r="S755" i="3"/>
  <c r="N755" i="3"/>
  <c r="E755" i="3"/>
  <c r="N249" i="3"/>
  <c r="E249" i="3"/>
  <c r="E661" i="3"/>
  <c r="V67" i="3"/>
  <c r="S67" i="3"/>
  <c r="N67" i="3"/>
  <c r="E67" i="3"/>
  <c r="S38" i="3"/>
  <c r="O38" i="3"/>
  <c r="N38" i="3"/>
  <c r="E38" i="3"/>
  <c r="O64" i="3"/>
  <c r="N64" i="3"/>
  <c r="E64" i="3"/>
  <c r="E458" i="3"/>
  <c r="N244" i="3"/>
  <c r="E244" i="3"/>
  <c r="E167" i="3"/>
  <c r="V328" i="3"/>
  <c r="S328" i="3"/>
  <c r="N328" i="3"/>
  <c r="E328" i="3"/>
  <c r="S191" i="3"/>
  <c r="N191" i="3"/>
  <c r="E191" i="3"/>
  <c r="S290" i="3"/>
  <c r="N290" i="3"/>
  <c r="E290" i="3"/>
  <c r="S406" i="3"/>
  <c r="N406" i="3"/>
  <c r="E406" i="3"/>
  <c r="N207" i="3"/>
  <c r="E207" i="3"/>
  <c r="N292" i="3"/>
  <c r="E292" i="3"/>
  <c r="E296" i="3"/>
  <c r="S288" i="3"/>
  <c r="N288" i="3"/>
  <c r="E288" i="3"/>
  <c r="E112" i="3"/>
  <c r="S93" i="3"/>
  <c r="N93" i="3"/>
  <c r="E93" i="3"/>
  <c r="N361" i="3"/>
  <c r="E361" i="3"/>
  <c r="N434" i="3"/>
  <c r="E434" i="3"/>
  <c r="N353" i="3"/>
  <c r="E353" i="3"/>
  <c r="N337" i="3"/>
  <c r="E337" i="3"/>
  <c r="S344" i="3"/>
  <c r="N344" i="3"/>
  <c r="E344" i="3"/>
  <c r="N178" i="3"/>
  <c r="E178" i="3"/>
  <c r="N657" i="3"/>
  <c r="E657" i="3"/>
  <c r="N491" i="3"/>
  <c r="E491" i="3"/>
  <c r="S495" i="3"/>
  <c r="E495" i="3"/>
  <c r="N468" i="3"/>
  <c r="E468" i="3"/>
  <c r="N749" i="3"/>
  <c r="E749" i="3"/>
  <c r="S227" i="3"/>
  <c r="N227" i="3"/>
  <c r="N46" i="3"/>
  <c r="S542" i="3"/>
  <c r="N542" i="3"/>
  <c r="E542" i="3"/>
  <c r="S456" i="3"/>
  <c r="N456" i="3"/>
  <c r="E456" i="3"/>
  <c r="N407" i="3"/>
  <c r="E407" i="3"/>
  <c r="N509" i="3"/>
  <c r="E509" i="3"/>
  <c r="S501" i="3"/>
  <c r="N501" i="3"/>
  <c r="E501" i="3"/>
  <c r="S609" i="3"/>
  <c r="N609" i="3"/>
  <c r="E609" i="3"/>
  <c r="S172" i="3"/>
  <c r="N172" i="3"/>
  <c r="E172" i="3"/>
  <c r="N261" i="3"/>
  <c r="E261" i="3"/>
  <c r="N473" i="3"/>
  <c r="E473" i="3"/>
  <c r="N594" i="3"/>
  <c r="E594" i="3"/>
  <c r="N502" i="3"/>
  <c r="E502" i="3"/>
  <c r="N375" i="3"/>
  <c r="E375" i="3"/>
  <c r="N522" i="3"/>
  <c r="E522" i="3"/>
  <c r="S653" i="3"/>
  <c r="N653" i="3"/>
  <c r="E653" i="3"/>
  <c r="S260" i="3"/>
  <c r="N260" i="3"/>
  <c r="E260" i="3"/>
  <c r="S161" i="3"/>
  <c r="N161" i="3"/>
  <c r="E161" i="3"/>
  <c r="O102" i="3"/>
  <c r="N102" i="3"/>
  <c r="E102" i="3"/>
  <c r="S117" i="3"/>
  <c r="O117" i="3"/>
  <c r="N117" i="3"/>
  <c r="E117" i="3"/>
  <c r="S382" i="3"/>
  <c r="N382" i="3"/>
  <c r="E382" i="3"/>
  <c r="E324" i="3"/>
  <c r="V175" i="3"/>
  <c r="S175" i="3"/>
  <c r="N175" i="3"/>
  <c r="E175" i="3"/>
  <c r="N360" i="3"/>
  <c r="E360" i="3"/>
  <c r="V265" i="3"/>
  <c r="S265" i="3"/>
  <c r="N265" i="3"/>
  <c r="E265" i="3"/>
  <c r="S205" i="3"/>
  <c r="N205" i="3"/>
  <c r="E205" i="3"/>
  <c r="N349" i="3"/>
  <c r="E349" i="3"/>
  <c r="N212" i="3"/>
  <c r="E212" i="3"/>
  <c r="E323" i="3"/>
  <c r="S386" i="3"/>
  <c r="N386" i="3"/>
  <c r="E386" i="3"/>
  <c r="V119" i="3"/>
  <c r="S119" i="3"/>
  <c r="N119" i="3"/>
  <c r="E119" i="3"/>
  <c r="S155" i="3"/>
  <c r="N155" i="3"/>
  <c r="E155" i="3"/>
  <c r="S97" i="3"/>
  <c r="N97" i="3"/>
  <c r="E97" i="3"/>
  <c r="S559" i="3"/>
  <c r="E559" i="3"/>
  <c r="S411" i="3"/>
  <c r="N411" i="3"/>
  <c r="E411" i="3"/>
  <c r="S380" i="3"/>
  <c r="N380" i="3"/>
  <c r="E380" i="3"/>
  <c r="N494" i="3"/>
  <c r="E494" i="3"/>
  <c r="N443" i="3"/>
  <c r="E443" i="3"/>
  <c r="N740" i="3"/>
  <c r="E740" i="3"/>
  <c r="N198" i="3"/>
  <c r="E198" i="3"/>
  <c r="S173" i="3"/>
  <c r="N173" i="3"/>
  <c r="E173" i="3"/>
  <c r="N455" i="3"/>
  <c r="E455" i="3"/>
  <c r="N336" i="3"/>
  <c r="E336" i="3"/>
  <c r="N378" i="3"/>
  <c r="E378" i="3"/>
  <c r="N256" i="3"/>
  <c r="E256" i="3"/>
  <c r="V131" i="3"/>
  <c r="S131" i="3"/>
  <c r="O131" i="3"/>
  <c r="N131" i="3"/>
  <c r="E131" i="3"/>
  <c r="V91" i="3"/>
  <c r="S91" i="3"/>
  <c r="N91" i="3"/>
  <c r="E91" i="3"/>
  <c r="S142" i="3"/>
  <c r="N142" i="3"/>
  <c r="E142" i="3"/>
  <c r="S121" i="3"/>
  <c r="N121" i="3"/>
  <c r="E121" i="3"/>
  <c r="S540" i="3"/>
  <c r="N540" i="3"/>
  <c r="E540" i="3"/>
  <c r="V222" i="3"/>
  <c r="S222" i="3"/>
  <c r="N222" i="3"/>
  <c r="E222" i="3"/>
  <c r="S246" i="3"/>
  <c r="N246" i="3"/>
  <c r="E246" i="3"/>
  <c r="S110" i="3"/>
  <c r="N110" i="3"/>
  <c r="E110" i="3"/>
  <c r="V36" i="3"/>
  <c r="S36" i="3"/>
  <c r="N36" i="3"/>
  <c r="E36" i="3"/>
  <c r="S55" i="3"/>
  <c r="O55" i="3"/>
  <c r="N55" i="3"/>
  <c r="E55" i="3"/>
  <c r="S451" i="3"/>
  <c r="N451" i="3"/>
  <c r="E451" i="3"/>
  <c r="S57" i="3"/>
  <c r="N57" i="3"/>
  <c r="E57" i="3"/>
  <c r="N229" i="3"/>
  <c r="E229" i="3"/>
  <c r="N143" i="3"/>
  <c r="E143" i="3"/>
  <c r="N306" i="3"/>
  <c r="E306" i="3"/>
  <c r="V147" i="3"/>
  <c r="S147" i="3"/>
  <c r="N147" i="3"/>
  <c r="E147" i="3"/>
  <c r="N82" i="3"/>
  <c r="E82" i="3"/>
  <c r="S586" i="3"/>
  <c r="N586" i="3"/>
  <c r="E586" i="3"/>
  <c r="N295" i="3"/>
  <c r="E295" i="3"/>
  <c r="E716" i="3"/>
  <c r="N408" i="3"/>
  <c r="E408" i="3"/>
  <c r="N129" i="3"/>
  <c r="E129" i="3"/>
  <c r="S751" i="3"/>
  <c r="N751" i="3"/>
  <c r="E751" i="3"/>
  <c r="V136" i="3"/>
  <c r="S136" i="3"/>
  <c r="N136" i="3"/>
  <c r="E136" i="3"/>
  <c r="S68" i="3"/>
  <c r="N68" i="3"/>
  <c r="E68" i="3"/>
  <c r="V61" i="3"/>
  <c r="S61" i="3"/>
  <c r="O61" i="3"/>
  <c r="N61" i="3"/>
  <c r="E61" i="3"/>
  <c r="S196" i="3"/>
  <c r="N196" i="3"/>
  <c r="E196" i="3"/>
  <c r="V40" i="3"/>
  <c r="S40" i="3"/>
  <c r="N40" i="3"/>
  <c r="E40" i="3"/>
  <c r="S428" i="3"/>
  <c r="N428" i="3"/>
  <c r="E428" i="3"/>
  <c r="V331" i="3"/>
  <c r="S331" i="3"/>
  <c r="N331" i="3"/>
  <c r="E331" i="3"/>
  <c r="S241" i="3"/>
  <c r="N241" i="3"/>
  <c r="E241" i="3"/>
  <c r="S601" i="3"/>
  <c r="N601" i="3"/>
  <c r="E601" i="3"/>
  <c r="S410" i="3"/>
  <c r="N410" i="3"/>
  <c r="E410" i="3"/>
  <c r="S226" i="3"/>
  <c r="N226" i="3"/>
  <c r="E226" i="3"/>
  <c r="S610" i="3"/>
  <c r="N610" i="3"/>
  <c r="E610" i="3"/>
  <c r="S297" i="3"/>
  <c r="N297" i="3"/>
  <c r="E297" i="3"/>
  <c r="S174" i="3"/>
  <c r="N174" i="3"/>
  <c r="E174" i="3"/>
  <c r="S49" i="3"/>
  <c r="N49" i="3"/>
  <c r="E49" i="3"/>
  <c r="V350" i="3"/>
  <c r="S350" i="3"/>
  <c r="N350" i="3"/>
  <c r="E350" i="3"/>
  <c r="E148" i="3"/>
  <c r="E538" i="3"/>
  <c r="S479" i="3"/>
  <c r="N479" i="3"/>
  <c r="E479" i="3"/>
  <c r="S423" i="3"/>
  <c r="N423" i="3"/>
  <c r="E423" i="3"/>
  <c r="S409" i="3"/>
  <c r="N409" i="3"/>
  <c r="E409" i="3"/>
  <c r="N326" i="3"/>
  <c r="E326" i="3"/>
  <c r="S561" i="3"/>
  <c r="E561" i="3"/>
  <c r="N729" i="3"/>
  <c r="E729" i="3"/>
  <c r="N523" i="3"/>
  <c r="E523" i="3"/>
  <c r="N483" i="3"/>
  <c r="E483" i="3"/>
  <c r="N370" i="3"/>
  <c r="E370" i="3"/>
  <c r="N420" i="3"/>
  <c r="E420" i="3"/>
  <c r="N345" i="3"/>
  <c r="E345" i="3"/>
  <c r="V271" i="3"/>
  <c r="S271" i="3"/>
  <c r="N271" i="3"/>
  <c r="E271" i="3"/>
  <c r="S11" i="3"/>
  <c r="O11" i="3"/>
  <c r="N11" i="3"/>
  <c r="E11" i="3"/>
  <c r="E783" i="3"/>
  <c r="S574" i="3"/>
  <c r="N574" i="3"/>
  <c r="E574" i="3"/>
  <c r="N436" i="3"/>
  <c r="E436" i="3"/>
  <c r="S550" i="3"/>
  <c r="N550" i="3"/>
  <c r="E550" i="3"/>
  <c r="S533" i="3"/>
  <c r="N533" i="3"/>
  <c r="E533" i="3"/>
  <c r="N189" i="3"/>
  <c r="E189" i="3"/>
  <c r="N672" i="3"/>
  <c r="E672" i="3"/>
  <c r="E620" i="3"/>
  <c r="N392" i="3"/>
  <c r="E392" i="3"/>
  <c r="S274" i="3"/>
  <c r="N274" i="3"/>
  <c r="E274" i="3"/>
  <c r="O60" i="3"/>
  <c r="N60" i="3"/>
  <c r="E60" i="3"/>
  <c r="S262" i="3"/>
  <c r="N262" i="3"/>
  <c r="E262" i="3"/>
  <c r="N329" i="3"/>
  <c r="E329" i="3"/>
  <c r="N278" i="3"/>
  <c r="E278" i="3"/>
  <c r="N164" i="3"/>
  <c r="E164" i="3"/>
  <c r="V242" i="3"/>
  <c r="S242" i="3"/>
  <c r="N242" i="3"/>
  <c r="E242" i="3"/>
  <c r="N321" i="3"/>
  <c r="E321" i="3"/>
  <c r="N686" i="3"/>
  <c r="E686" i="3"/>
  <c r="O180" i="3"/>
  <c r="N180" i="3"/>
  <c r="E180" i="3"/>
  <c r="N235" i="3"/>
  <c r="E235" i="3"/>
  <c r="N334" i="3"/>
  <c r="E334" i="3"/>
  <c r="N209" i="3"/>
  <c r="E209" i="3"/>
  <c r="S702" i="3"/>
  <c r="E702" i="3"/>
  <c r="S600" i="3"/>
  <c r="N600" i="3"/>
  <c r="E600" i="3"/>
  <c r="N245" i="3"/>
  <c r="E245" i="3"/>
  <c r="E604" i="3"/>
  <c r="N220" i="3"/>
  <c r="E220" i="3"/>
  <c r="N101" i="3"/>
  <c r="E101" i="3"/>
  <c r="N275" i="3"/>
  <c r="E275" i="3"/>
  <c r="N393" i="3"/>
  <c r="E393" i="3"/>
  <c r="O181" i="3"/>
  <c r="N181" i="3"/>
  <c r="E181" i="3"/>
  <c r="S257" i="3"/>
  <c r="N257" i="3"/>
  <c r="E257" i="3"/>
  <c r="S486" i="3"/>
  <c r="N486" i="3"/>
  <c r="E486" i="3"/>
  <c r="S516" i="3"/>
  <c r="N516" i="3"/>
  <c r="E516" i="3"/>
  <c r="N194" i="3"/>
  <c r="E194" i="3"/>
  <c r="N120" i="3"/>
  <c r="E120" i="3"/>
  <c r="S45" i="3"/>
  <c r="N45" i="3"/>
  <c r="E45" i="3"/>
  <c r="N697" i="3"/>
  <c r="E697" i="3"/>
  <c r="E598" i="3"/>
  <c r="N447" i="3"/>
  <c r="E447" i="3"/>
  <c r="N282" i="3"/>
  <c r="E282" i="3"/>
  <c r="N750" i="3"/>
  <c r="E750" i="3"/>
  <c r="E545" i="3"/>
  <c r="S583" i="3"/>
  <c r="E583" i="3"/>
  <c r="S562" i="3"/>
  <c r="N562" i="3"/>
  <c r="E562" i="3"/>
  <c r="S449" i="3"/>
  <c r="N449" i="3"/>
  <c r="E449" i="3"/>
  <c r="N322" i="3"/>
  <c r="E322" i="3"/>
  <c r="S318" i="3"/>
  <c r="N318" i="3"/>
  <c r="E318" i="3"/>
  <c r="V74" i="3"/>
  <c r="S74" i="3"/>
  <c r="O74" i="3"/>
  <c r="N74" i="3"/>
  <c r="E74" i="3"/>
  <c r="V214" i="3"/>
  <c r="S214" i="3"/>
  <c r="N214" i="3"/>
  <c r="E214" i="3"/>
  <c r="S144" i="3"/>
  <c r="N144" i="3"/>
  <c r="E144" i="3"/>
  <c r="V548" i="3"/>
  <c r="S548" i="3"/>
  <c r="O548" i="3"/>
  <c r="N548" i="3"/>
  <c r="E548" i="3"/>
  <c r="V291" i="3"/>
  <c r="S291" i="3"/>
  <c r="N291" i="3"/>
  <c r="E291" i="3"/>
  <c r="E391" i="3"/>
  <c r="S122" i="3"/>
  <c r="N122" i="3"/>
  <c r="E122" i="3"/>
  <c r="N377" i="3"/>
  <c r="E377" i="3"/>
  <c r="N258" i="3"/>
  <c r="E258" i="3"/>
  <c r="E648" i="3"/>
  <c r="S158" i="3"/>
  <c r="N158" i="3"/>
  <c r="E158" i="3"/>
  <c r="N593" i="3"/>
  <c r="E593" i="3"/>
  <c r="N304" i="3"/>
  <c r="E304" i="3"/>
  <c r="N219" i="3"/>
  <c r="E219" i="3"/>
  <c r="E623" i="3"/>
  <c r="S289" i="3"/>
  <c r="N289" i="3"/>
  <c r="E289" i="3"/>
  <c r="N482" i="3"/>
  <c r="E482" i="3"/>
  <c r="N485" i="3"/>
  <c r="E485" i="3"/>
  <c r="V255" i="3"/>
  <c r="S255" i="3"/>
  <c r="N255" i="3"/>
  <c r="E255" i="3"/>
  <c r="S590" i="3"/>
  <c r="N590" i="3"/>
  <c r="E590" i="3"/>
  <c r="E346" i="3"/>
  <c r="N305" i="3"/>
  <c r="E305" i="3"/>
  <c r="S316" i="3"/>
  <c r="E316" i="3"/>
  <c r="N591" i="3"/>
  <c r="E591" i="3"/>
  <c r="S539" i="3"/>
  <c r="E539" i="3"/>
  <c r="N497" i="3"/>
  <c r="E497" i="3"/>
  <c r="S48" i="3"/>
  <c r="E48" i="3"/>
  <c r="N526" i="3"/>
  <c r="E526" i="3"/>
  <c r="E563" i="3"/>
  <c r="E298" i="3"/>
  <c r="E647" i="3"/>
  <c r="E551" i="3"/>
  <c r="E780" i="3"/>
  <c r="S650" i="3"/>
  <c r="N650" i="3"/>
  <c r="E650" i="3"/>
  <c r="E399" i="3"/>
  <c r="N342" i="3"/>
  <c r="E342" i="3"/>
  <c r="S204" i="3"/>
  <c r="N204" i="3"/>
  <c r="E204" i="3"/>
  <c r="N603" i="3"/>
  <c r="E603" i="3"/>
  <c r="E656" i="3"/>
  <c r="N558" i="3"/>
  <c r="E558" i="3"/>
  <c r="N401" i="3"/>
  <c r="E401" i="3"/>
  <c r="S355" i="3"/>
  <c r="N355" i="3"/>
  <c r="E355" i="3"/>
  <c r="N396" i="3"/>
  <c r="E396" i="3"/>
  <c r="E668" i="3"/>
  <c r="N216" i="3"/>
  <c r="E216" i="3"/>
  <c r="N383" i="3"/>
  <c r="E383" i="3"/>
  <c r="E777" i="3"/>
  <c r="S273" i="3"/>
  <c r="N273" i="3"/>
  <c r="E273" i="3"/>
  <c r="S118" i="3"/>
  <c r="N118" i="3"/>
  <c r="E118" i="3"/>
  <c r="S104" i="3"/>
  <c r="O104" i="3"/>
  <c r="N104" i="3"/>
  <c r="E104" i="3"/>
  <c r="S521" i="3"/>
  <c r="N521" i="3"/>
  <c r="E521" i="3"/>
  <c r="S369" i="3"/>
  <c r="N369" i="3"/>
  <c r="E369" i="3"/>
  <c r="S536" i="3"/>
  <c r="E536" i="3"/>
  <c r="S267" i="3"/>
  <c r="N267" i="3"/>
  <c r="E267" i="3"/>
  <c r="N171" i="3"/>
  <c r="E171" i="3"/>
  <c r="N556" i="3"/>
  <c r="E556" i="3"/>
  <c r="N114" i="3"/>
  <c r="E114" i="3"/>
  <c r="O43" i="3"/>
  <c r="N43" i="3"/>
  <c r="E43" i="3"/>
  <c r="N165" i="3"/>
  <c r="E165" i="3"/>
  <c r="N103" i="3"/>
  <c r="E103" i="3"/>
  <c r="N416" i="3"/>
  <c r="E416" i="3"/>
  <c r="O283" i="3"/>
  <c r="N283" i="3"/>
  <c r="E283" i="3"/>
  <c r="N385" i="3"/>
  <c r="E385" i="3"/>
  <c r="N301" i="3"/>
  <c r="E301" i="3"/>
  <c r="S332" i="3"/>
  <c r="N332" i="3"/>
  <c r="E332" i="3"/>
  <c r="N270" i="3"/>
  <c r="E270" i="3"/>
  <c r="N138" i="3"/>
  <c r="E138" i="3"/>
  <c r="S414" i="3"/>
  <c r="N414" i="3"/>
  <c r="N268" i="3"/>
  <c r="E268" i="3"/>
  <c r="S573" i="3"/>
  <c r="N573" i="3"/>
  <c r="E573" i="3"/>
  <c r="N223" i="3"/>
  <c r="E223" i="3"/>
  <c r="N52" i="3"/>
  <c r="E52" i="3"/>
  <c r="N286" i="3"/>
  <c r="E286" i="3"/>
  <c r="O149" i="3"/>
  <c r="N149" i="3"/>
  <c r="E149" i="3"/>
  <c r="S510" i="3"/>
  <c r="N510" i="3"/>
  <c r="E510" i="3"/>
  <c r="S481" i="3"/>
  <c r="N481" i="3"/>
  <c r="E481" i="3"/>
  <c r="N238" i="3"/>
  <c r="E238" i="3"/>
  <c r="N300" i="3"/>
  <c r="E300" i="3"/>
  <c r="V34" i="3"/>
  <c r="S34" i="3"/>
  <c r="N34" i="3"/>
  <c r="E34" i="3"/>
  <c r="V94" i="3"/>
  <c r="S94" i="3"/>
  <c r="N94" i="3"/>
  <c r="E94" i="3"/>
  <c r="N184" i="3"/>
  <c r="E184" i="3"/>
  <c r="N359" i="3"/>
  <c r="E359" i="3"/>
  <c r="S619" i="3"/>
  <c r="N619" i="3"/>
  <c r="E619" i="3"/>
  <c r="N676" i="3"/>
  <c r="E676" i="3"/>
  <c r="E303" i="3"/>
  <c r="S254" i="3"/>
  <c r="N254" i="3"/>
  <c r="E254" i="3"/>
  <c r="S430" i="3"/>
  <c r="E430" i="3"/>
  <c r="N293" i="3"/>
  <c r="E293" i="3"/>
  <c r="S537" i="3"/>
  <c r="N537" i="3"/>
  <c r="E537" i="3"/>
  <c r="S441" i="3"/>
  <c r="E441" i="3"/>
  <c r="N639" i="3"/>
  <c r="E639" i="3"/>
  <c r="N279" i="3"/>
  <c r="E279" i="3"/>
  <c r="S463" i="3"/>
  <c r="N463" i="3"/>
  <c r="E463" i="3"/>
  <c r="N140" i="3"/>
  <c r="E140" i="3"/>
  <c r="N320" i="3"/>
  <c r="E320" i="3"/>
  <c r="N402" i="3"/>
  <c r="E402" i="3"/>
  <c r="S56" i="3"/>
  <c r="N56" i="3"/>
  <c r="E56" i="3"/>
  <c r="S29" i="3"/>
  <c r="N29" i="3"/>
  <c r="E29" i="3"/>
  <c r="N141" i="3"/>
  <c r="E141" i="3"/>
  <c r="S580" i="3"/>
  <c r="N580" i="3"/>
  <c r="E580" i="3"/>
  <c r="S86" i="3"/>
  <c r="N86" i="3"/>
  <c r="E86" i="3"/>
  <c r="V80" i="3"/>
  <c r="S80" i="3"/>
  <c r="N80" i="3"/>
  <c r="E80" i="3"/>
  <c r="S264" i="3"/>
  <c r="N264" i="3"/>
  <c r="E264" i="3"/>
  <c r="N111" i="3"/>
  <c r="E111" i="3"/>
  <c r="N100" i="3"/>
  <c r="E100" i="3"/>
  <c r="S239" i="3"/>
  <c r="N239" i="3"/>
  <c r="E239" i="3"/>
  <c r="S636" i="3"/>
  <c r="N636" i="3"/>
  <c r="E636" i="3"/>
  <c r="N389" i="3"/>
  <c r="E389" i="3"/>
  <c r="N535" i="3"/>
  <c r="E535" i="3"/>
  <c r="E775" i="3"/>
  <c r="N581" i="3"/>
  <c r="E581" i="3"/>
  <c r="N308" i="3"/>
  <c r="E308" i="3"/>
  <c r="N721" i="3"/>
  <c r="E721" i="3"/>
  <c r="S471" i="3"/>
  <c r="N471" i="3"/>
  <c r="E471" i="3"/>
  <c r="N641" i="3"/>
  <c r="E641" i="3"/>
  <c r="S663" i="3"/>
  <c r="S695" i="3"/>
  <c r="S435" i="3"/>
  <c r="N435" i="3"/>
  <c r="N224" i="3"/>
  <c r="E224" i="3"/>
  <c r="E203" i="3"/>
  <c r="V87" i="3"/>
  <c r="S87" i="3"/>
  <c r="N87" i="3"/>
  <c r="E87" i="3"/>
  <c r="N73" i="3"/>
  <c r="E73" i="3"/>
  <c r="S276" i="3"/>
  <c r="N276" i="3"/>
  <c r="E276" i="3"/>
  <c r="O313" i="3"/>
  <c r="N313" i="3"/>
  <c r="E313" i="3"/>
  <c r="N187" i="3"/>
  <c r="E187" i="3"/>
  <c r="N233" i="3"/>
  <c r="E233" i="3"/>
  <c r="N294" i="3"/>
  <c r="E294" i="3"/>
  <c r="E771" i="3"/>
  <c r="E770" i="3"/>
  <c r="N190" i="3"/>
  <c r="E190" i="3"/>
  <c r="N715" i="3"/>
  <c r="E715" i="3"/>
  <c r="N311" i="3"/>
  <c r="E311" i="3"/>
  <c r="S565" i="3"/>
  <c r="N565" i="3"/>
  <c r="E565" i="3"/>
  <c r="N614" i="3"/>
  <c r="E614" i="3"/>
  <c r="N373" i="3"/>
  <c r="E373" i="3"/>
  <c r="S439" i="3"/>
  <c r="E439" i="3"/>
  <c r="N134" i="3"/>
  <c r="E134" i="3"/>
  <c r="N310" i="3"/>
  <c r="E310" i="3"/>
  <c r="N704" i="3"/>
  <c r="E704" i="3"/>
  <c r="N628" i="3"/>
  <c r="E628" i="3"/>
  <c r="N553" i="3"/>
  <c r="E553" i="3"/>
  <c r="N85" i="3"/>
  <c r="E85" i="3"/>
  <c r="E515" i="3"/>
  <c r="E525" i="3"/>
  <c r="N400" i="3"/>
  <c r="E400" i="3"/>
  <c r="N417" i="3"/>
  <c r="E417" i="3"/>
  <c r="N543" i="3"/>
  <c r="S412" i="3"/>
  <c r="N412" i="3"/>
  <c r="E412" i="3"/>
  <c r="S698" i="3"/>
  <c r="N698" i="3"/>
  <c r="S442" i="3"/>
  <c r="O442" i="3"/>
  <c r="N442" i="3"/>
  <c r="E442" i="3"/>
  <c r="N314" i="3"/>
  <c r="E314" i="3"/>
  <c r="S351" i="3"/>
  <c r="N351" i="3"/>
  <c r="E351" i="3"/>
  <c r="S584" i="3"/>
  <c r="N584" i="3"/>
  <c r="E584" i="3"/>
  <c r="S475" i="3"/>
  <c r="N475" i="3"/>
  <c r="E475" i="3"/>
  <c r="S58" i="3"/>
  <c r="N58" i="3"/>
  <c r="E58" i="3"/>
  <c r="S611" i="3"/>
  <c r="N611" i="3"/>
  <c r="E611" i="3"/>
  <c r="N587" i="3"/>
  <c r="E587" i="3"/>
  <c r="S547" i="3"/>
  <c r="O547" i="3"/>
  <c r="N547" i="3"/>
  <c r="E547" i="3"/>
  <c r="N388" i="3"/>
  <c r="E388" i="3"/>
  <c r="E302" i="3"/>
  <c r="S98" i="3"/>
  <c r="O98" i="3"/>
  <c r="N98" i="3"/>
  <c r="E98" i="3"/>
  <c r="N195" i="3"/>
  <c r="E195" i="3"/>
  <c r="N662" i="3"/>
  <c r="E662" i="3"/>
  <c r="S564" i="3"/>
  <c r="N564" i="3"/>
  <c r="E564" i="3"/>
  <c r="N478" i="3"/>
  <c r="E478" i="3"/>
  <c r="S596" i="3"/>
  <c r="N596" i="3"/>
  <c r="E596" i="3"/>
  <c r="S682" i="3"/>
  <c r="N682" i="3"/>
  <c r="E682" i="3"/>
  <c r="N339" i="3"/>
  <c r="E339" i="3"/>
  <c r="N356" i="3"/>
  <c r="E356" i="3"/>
  <c r="V309" i="3"/>
  <c r="S309" i="3"/>
  <c r="N309" i="3"/>
  <c r="E309" i="3"/>
  <c r="N340" i="3"/>
  <c r="E340" i="3"/>
  <c r="N707" i="3"/>
  <c r="E707" i="3"/>
  <c r="N512" i="3"/>
  <c r="E512" i="3"/>
  <c r="N450" i="3"/>
  <c r="E450" i="3"/>
  <c r="N710" i="3"/>
  <c r="E710" i="3"/>
  <c r="S426" i="3"/>
  <c r="N426" i="3"/>
  <c r="E426" i="3"/>
  <c r="S763" i="3"/>
  <c r="E763" i="3"/>
  <c r="N182" i="3"/>
  <c r="E182" i="3"/>
  <c r="N366" i="3"/>
  <c r="E366" i="3"/>
  <c r="N231" i="3"/>
  <c r="E231" i="3"/>
  <c r="S63" i="3"/>
  <c r="N63" i="3"/>
  <c r="E63" i="3"/>
  <c r="S599" i="3"/>
  <c r="N599" i="3"/>
  <c r="E599" i="3"/>
  <c r="N77" i="3"/>
  <c r="E77" i="3"/>
  <c r="S319" i="3"/>
  <c r="N319" i="3"/>
  <c r="E319" i="3"/>
  <c r="E731" i="3"/>
  <c r="E626" i="3"/>
  <c r="E446" i="3"/>
  <c r="S390" i="3"/>
  <c r="N390" i="3"/>
  <c r="E390" i="3"/>
  <c r="S693" i="3"/>
  <c r="N693" i="3"/>
  <c r="E693" i="3"/>
  <c r="E744" i="3"/>
  <c r="S597" i="3"/>
  <c r="N597" i="3"/>
  <c r="E597" i="3"/>
  <c r="S588" i="3"/>
  <c r="S616" i="3"/>
  <c r="S549" i="3"/>
  <c r="N549" i="3"/>
  <c r="E549" i="3"/>
  <c r="N363" i="3"/>
  <c r="E363" i="3"/>
  <c r="N664" i="3"/>
  <c r="E664" i="3"/>
  <c r="S612" i="3"/>
  <c r="N612" i="3"/>
  <c r="E612" i="3"/>
  <c r="S541" i="3"/>
  <c r="N541" i="3"/>
  <c r="S467" i="3"/>
  <c r="N467" i="3"/>
  <c r="N150" i="3"/>
  <c r="E150" i="3"/>
  <c r="N327" i="3"/>
  <c r="E327" i="3"/>
  <c r="S575" i="3"/>
  <c r="N575" i="3"/>
  <c r="E575" i="3"/>
  <c r="E738" i="3"/>
  <c r="N445" i="3"/>
  <c r="E445" i="3"/>
  <c r="S367" i="3"/>
  <c r="N367" i="3"/>
  <c r="E367" i="3"/>
  <c r="N717" i="3"/>
  <c r="E717" i="3"/>
  <c r="S768" i="3"/>
  <c r="E768" i="3"/>
  <c r="S127" i="3"/>
  <c r="N127" i="3"/>
  <c r="E127" i="3"/>
  <c r="S126" i="3"/>
  <c r="O126" i="3"/>
  <c r="N126" i="3"/>
  <c r="E126" i="3"/>
  <c r="N215" i="3"/>
  <c r="E215" i="3"/>
  <c r="E767" i="3"/>
  <c r="N185" i="3"/>
  <c r="E185" i="3"/>
  <c r="N202" i="3"/>
  <c r="E202" i="3"/>
  <c r="N151" i="3"/>
  <c r="E151" i="3"/>
  <c r="N761" i="3"/>
  <c r="E761" i="3"/>
  <c r="N66" i="3"/>
  <c r="E66" i="3"/>
  <c r="N252" i="3"/>
  <c r="E252" i="3"/>
  <c r="S228" i="3"/>
  <c r="N228" i="3"/>
  <c r="E228" i="3"/>
  <c r="N644" i="3"/>
  <c r="S154" i="3"/>
  <c r="N154" i="3"/>
  <c r="S638" i="3"/>
  <c r="N638" i="3"/>
  <c r="E634" i="3"/>
  <c r="E384" i="3"/>
  <c r="N465" i="3"/>
  <c r="E465" i="3"/>
  <c r="N493" i="3"/>
  <c r="E493" i="3"/>
  <c r="E632" i="3"/>
  <c r="N660" i="3"/>
  <c r="E660" i="3"/>
  <c r="N754" i="3"/>
  <c r="E754" i="3"/>
  <c r="S357" i="3"/>
  <c r="N357" i="3"/>
  <c r="E357" i="3"/>
  <c r="S529" i="3"/>
  <c r="N529" i="3"/>
  <c r="E529" i="3"/>
  <c r="N89" i="3"/>
  <c r="E89" i="3"/>
  <c r="O133" i="3"/>
  <c r="N133" i="3"/>
  <c r="E133" i="3"/>
  <c r="N746" i="3"/>
  <c r="E746" i="3"/>
  <c r="E766" i="3"/>
  <c r="O145" i="3"/>
  <c r="N145" i="3"/>
  <c r="E145" i="3"/>
  <c r="E453" i="3"/>
  <c r="S500" i="3"/>
  <c r="N500" i="3"/>
  <c r="E500" i="3"/>
  <c r="S395" i="3"/>
  <c r="N395" i="3"/>
  <c r="E395" i="3"/>
  <c r="S719" i="3"/>
  <c r="N719" i="3"/>
  <c r="E719" i="3"/>
  <c r="S546" i="3"/>
  <c r="N546" i="3"/>
  <c r="E546" i="3"/>
  <c r="N315" i="3"/>
  <c r="S365" i="3"/>
  <c r="N365" i="3"/>
  <c r="E365" i="3"/>
  <c r="N527" i="3"/>
  <c r="E527" i="3"/>
  <c r="S760" i="3"/>
  <c r="N760" i="3"/>
  <c r="E760" i="3"/>
  <c r="N727" i="3"/>
  <c r="E727" i="3"/>
  <c r="N726" i="3"/>
  <c r="E726" i="3"/>
  <c r="S743" i="3"/>
  <c r="N743" i="3"/>
  <c r="S651" i="3"/>
  <c r="N651" i="3"/>
  <c r="N555" i="3"/>
  <c r="N362" i="3"/>
  <c r="E362" i="3"/>
  <c r="S666" i="3"/>
  <c r="E666" i="3"/>
  <c r="N566" i="3"/>
  <c r="E566" i="3"/>
  <c r="N403" i="3"/>
  <c r="E403" i="3"/>
  <c r="E615" i="3"/>
  <c r="S736" i="3"/>
  <c r="N736" i="3"/>
  <c r="E736" i="3"/>
  <c r="N578" i="3"/>
  <c r="E578" i="3"/>
  <c r="N124" i="3"/>
  <c r="E124" i="3"/>
  <c r="S759" i="3"/>
  <c r="E759" i="3"/>
  <c r="N576" i="3"/>
  <c r="E576" i="3"/>
  <c r="S637" i="3"/>
  <c r="N637" i="3"/>
  <c r="E637" i="3"/>
</calcChain>
</file>

<file path=xl/sharedStrings.xml><?xml version="1.0" encoding="utf-8"?>
<sst xmlns="http://schemas.openxmlformats.org/spreadsheetml/2006/main" count="19413" uniqueCount="6935">
  <si>
    <t>Algeria</t>
  </si>
  <si>
    <t>Africa</t>
  </si>
  <si>
    <t>Angola</t>
  </si>
  <si>
    <t>CasaCivilPRA</t>
  </si>
  <si>
    <t>Benin</t>
  </si>
  <si>
    <t>primaturebj</t>
  </si>
  <si>
    <t>BeninMae</t>
  </si>
  <si>
    <t>beningouv</t>
  </si>
  <si>
    <t>Botswana</t>
  </si>
  <si>
    <t>BWGovernment</t>
  </si>
  <si>
    <t>MOFAIC</t>
  </si>
  <si>
    <t>Burkina Faso</t>
  </si>
  <si>
    <t>isaacyzida</t>
  </si>
  <si>
    <t>Burundi</t>
  </si>
  <si>
    <t>BdiPresidence</t>
  </si>
  <si>
    <t>BurundiGov</t>
  </si>
  <si>
    <t>BurundiForeign</t>
  </si>
  <si>
    <t>Cameroon</t>
  </si>
  <si>
    <t>PR_Paul_Biya</t>
  </si>
  <si>
    <t>Cape Verde</t>
  </si>
  <si>
    <t>PresidenteCV</t>
  </si>
  <si>
    <t>Central African Republic</t>
  </si>
  <si>
    <t>CathySambaPanza</t>
  </si>
  <si>
    <t>MKOfficiel</t>
  </si>
  <si>
    <t>PRIMATURERCA</t>
  </si>
  <si>
    <t>Chad</t>
  </si>
  <si>
    <t>ID_Itno</t>
  </si>
  <si>
    <t>PMTCHAD</t>
  </si>
  <si>
    <t>SassouCG</t>
  </si>
  <si>
    <t>Mapon_Matata</t>
  </si>
  <si>
    <t>PrimatureRDC</t>
  </si>
  <si>
    <t>Djibouti</t>
  </si>
  <si>
    <t>DjibPrimature</t>
  </si>
  <si>
    <t>djiboutidiplo</t>
  </si>
  <si>
    <t>Egypt</t>
  </si>
  <si>
    <t>AlsisiOfficial</t>
  </si>
  <si>
    <t>EgyPresidency</t>
  </si>
  <si>
    <t>MOFAEGYPT</t>
  </si>
  <si>
    <t>egyptgovportal</t>
  </si>
  <si>
    <t>MfaEgypt</t>
  </si>
  <si>
    <t>Ethiopia</t>
  </si>
  <si>
    <t>HailemariamD</t>
  </si>
  <si>
    <t>DrTedros</t>
  </si>
  <si>
    <t>mfaethiopia</t>
  </si>
  <si>
    <t>Gabon</t>
  </si>
  <si>
    <t>PresidentABO</t>
  </si>
  <si>
    <t>PresidenceGA</t>
  </si>
  <si>
    <t>Gambia</t>
  </si>
  <si>
    <t>jammehofficial</t>
  </si>
  <si>
    <t>Ghana</t>
  </si>
  <si>
    <t>JDMahama</t>
  </si>
  <si>
    <t>PresidencyGhana</t>
  </si>
  <si>
    <t>HannaTetteh</t>
  </si>
  <si>
    <t>mfarighana</t>
  </si>
  <si>
    <t>osucastle</t>
  </si>
  <si>
    <t>Guinea</t>
  </si>
  <si>
    <t>Pr_Alpha_Conde</t>
  </si>
  <si>
    <t>Presidence_gn</t>
  </si>
  <si>
    <t>GouvGN</t>
  </si>
  <si>
    <t>Sekhoutoureya</t>
  </si>
  <si>
    <t>Ivory Coast</t>
  </si>
  <si>
    <t>Presidenceci</t>
  </si>
  <si>
    <t>Daniel_k_Duncan</t>
  </si>
  <si>
    <t>Gouvci</t>
  </si>
  <si>
    <t>primatureci</t>
  </si>
  <si>
    <t>Kenya</t>
  </si>
  <si>
    <t>UKenyatta</t>
  </si>
  <si>
    <t>StateHouseKenya</t>
  </si>
  <si>
    <t>AMB_A_Mohammed</t>
  </si>
  <si>
    <t>ForeignOfficeKE</t>
  </si>
  <si>
    <t>KenyaGov</t>
  </si>
  <si>
    <t>mfapresskenya</t>
  </si>
  <si>
    <t>Liberia</t>
  </si>
  <si>
    <t>emansionliberia</t>
  </si>
  <si>
    <t>Libya</t>
  </si>
  <si>
    <t>Madagascar</t>
  </si>
  <si>
    <t>PresidenceMada</t>
  </si>
  <si>
    <t>DGRAVELONARIVO</t>
  </si>
  <si>
    <t>Malawi</t>
  </si>
  <si>
    <t>APMutharika</t>
  </si>
  <si>
    <t>Mali</t>
  </si>
  <si>
    <t>IBK_2013</t>
  </si>
  <si>
    <t>PresidenceMali</t>
  </si>
  <si>
    <t>GouvMali</t>
  </si>
  <si>
    <t>AbdoulayeDiop8</t>
  </si>
  <si>
    <t>Morocco</t>
  </si>
  <si>
    <t>ChefGov_ma</t>
  </si>
  <si>
    <t>MarocDiplomatie</t>
  </si>
  <si>
    <t>Maroc_eGov</t>
  </si>
  <si>
    <t>Mozambique</t>
  </si>
  <si>
    <t>carlosarosario2</t>
  </si>
  <si>
    <t>Namibia</t>
  </si>
  <si>
    <t>hagegeingob</t>
  </si>
  <si>
    <t>namibia_mfa</t>
  </si>
  <si>
    <t>Niger</t>
  </si>
  <si>
    <t>Nigeria</t>
  </si>
  <si>
    <t>foreignaffairng</t>
  </si>
  <si>
    <t>Rwanda</t>
  </si>
  <si>
    <t>PaulKagame</t>
  </si>
  <si>
    <t>UrugwiroVillage</t>
  </si>
  <si>
    <t>amurekezi</t>
  </si>
  <si>
    <t>LMushikiwabo</t>
  </si>
  <si>
    <t>RwandaMFA</t>
  </si>
  <si>
    <t>Senegal</t>
  </si>
  <si>
    <t>macky_sall</t>
  </si>
  <si>
    <t>MankeurNdiaye</t>
  </si>
  <si>
    <t>SeychellesMFA</t>
  </si>
  <si>
    <t>Seychelles</t>
  </si>
  <si>
    <t>StateHouseSey</t>
  </si>
  <si>
    <t>Sierra Leone</t>
  </si>
  <si>
    <t>ebkoroma</t>
  </si>
  <si>
    <t>StateHouseSL</t>
  </si>
  <si>
    <t>CommsUnitSL</t>
  </si>
  <si>
    <t>Somalia</t>
  </si>
  <si>
    <t>TheVillaSomalia</t>
  </si>
  <si>
    <t>SomaliPM</t>
  </si>
  <si>
    <t>MinisterMOFA</t>
  </si>
  <si>
    <t>mofasomalia</t>
  </si>
  <si>
    <t>South Africa</t>
  </si>
  <si>
    <t>SAPresident</t>
  </si>
  <si>
    <t>PresidencyZA</t>
  </si>
  <si>
    <t>GovernmentZA</t>
  </si>
  <si>
    <t>DIRCO_ZA</t>
  </si>
  <si>
    <t>South Sudan</t>
  </si>
  <si>
    <t>RepSouthSudan</t>
  </si>
  <si>
    <t>Sudan</t>
  </si>
  <si>
    <t>mofasudan</t>
  </si>
  <si>
    <t>Tanzania</t>
  </si>
  <si>
    <t>foreigntanzania</t>
  </si>
  <si>
    <t>Togo</t>
  </si>
  <si>
    <t>FEGnassingbe</t>
  </si>
  <si>
    <t>republicoftogo</t>
  </si>
  <si>
    <t>rdussey</t>
  </si>
  <si>
    <t>togodiplomatie</t>
  </si>
  <si>
    <t>Tunisia</t>
  </si>
  <si>
    <t>BejiCEOfficial</t>
  </si>
  <si>
    <t>presidenceTN</t>
  </si>
  <si>
    <t>Habib_essid</t>
  </si>
  <si>
    <t>Al_Kasbah</t>
  </si>
  <si>
    <t>TunisieDiplo</t>
  </si>
  <si>
    <t>PMTunisie</t>
  </si>
  <si>
    <t>gov_tunisie</t>
  </si>
  <si>
    <t>Uganda</t>
  </si>
  <si>
    <t>KagutaMuseveni</t>
  </si>
  <si>
    <t>StateHouseUg</t>
  </si>
  <si>
    <t>RuhakanaR</t>
  </si>
  <si>
    <t>UgandaMFA</t>
  </si>
  <si>
    <t>Zambia</t>
  </si>
  <si>
    <t>HonEdgarCLungu</t>
  </si>
  <si>
    <t>StateHousePress</t>
  </si>
  <si>
    <t>Lesotho</t>
  </si>
  <si>
    <t>Mauritania</t>
  </si>
  <si>
    <t>Sao Tome and Principe</t>
  </si>
  <si>
    <t>Afghanistan</t>
  </si>
  <si>
    <t>Asia</t>
  </si>
  <si>
    <t>ashrafghani</t>
  </si>
  <si>
    <t>ARG_AFG</t>
  </si>
  <si>
    <t>SalahRabbani</t>
  </si>
  <si>
    <t>MFA_Afghanistan</t>
  </si>
  <si>
    <t>Armenia</t>
  </si>
  <si>
    <t>PresidentAM_arm</t>
  </si>
  <si>
    <t>MFAofArmenia</t>
  </si>
  <si>
    <t>Azerbaijan</t>
  </si>
  <si>
    <t>azpresident</t>
  </si>
  <si>
    <t>AzerbaijanPA</t>
  </si>
  <si>
    <t>AzerbaijanMFA</t>
  </si>
  <si>
    <t>presidentaz</t>
  </si>
  <si>
    <t>Bahrain</t>
  </si>
  <si>
    <t>BahrainCPnews</t>
  </si>
  <si>
    <t>khalidalkhalifa</t>
  </si>
  <si>
    <t>bahdiplomatic</t>
  </si>
  <si>
    <t>Bhutan</t>
  </si>
  <si>
    <t>tsheringtobgay</t>
  </si>
  <si>
    <t>Brunei Darussalam</t>
  </si>
  <si>
    <t>brunei_pmo</t>
  </si>
  <si>
    <t>East Timor</t>
  </si>
  <si>
    <t>TaurMatanRuak</t>
  </si>
  <si>
    <t>PRepublicaTL</t>
  </si>
  <si>
    <t>Georgia</t>
  </si>
  <si>
    <t>MargvelashviliG</t>
  </si>
  <si>
    <t>GovernmentGeo</t>
  </si>
  <si>
    <t>MFAgovge</t>
  </si>
  <si>
    <t>India</t>
  </si>
  <si>
    <t>RashtrapatiBhvn</t>
  </si>
  <si>
    <t>narendramodi</t>
  </si>
  <si>
    <t>PMOIndia</t>
  </si>
  <si>
    <t>SushmaSwaraj</t>
  </si>
  <si>
    <t>IndianDiplomacy</t>
  </si>
  <si>
    <t>MEAIndia</t>
  </si>
  <si>
    <t>Indonesia</t>
  </si>
  <si>
    <t>jokowi</t>
  </si>
  <si>
    <t>IstanaRakyat</t>
  </si>
  <si>
    <t>setkabgoid</t>
  </si>
  <si>
    <t>Portal_Kemlu_RI</t>
  </si>
  <si>
    <t>Iran</t>
  </si>
  <si>
    <t>khamenei_ir</t>
  </si>
  <si>
    <t>HassanRouhani</t>
  </si>
  <si>
    <t>JZarif</t>
  </si>
  <si>
    <t>IranMFA</t>
  </si>
  <si>
    <t>Khamenei_ar</t>
  </si>
  <si>
    <t>Rouhani_ir</t>
  </si>
  <si>
    <t>Iraq</t>
  </si>
  <si>
    <t>PresidentFuad</t>
  </si>
  <si>
    <t>HaiderAlAbadi</t>
  </si>
  <si>
    <t>IraqiPMO</t>
  </si>
  <si>
    <t>al_jaffaary</t>
  </si>
  <si>
    <t>IraqMFA</t>
  </si>
  <si>
    <t>Israel</t>
  </si>
  <si>
    <t>PresidentRuvi</t>
  </si>
  <si>
    <t>netanyahu</t>
  </si>
  <si>
    <t>IsraeliPM</t>
  </si>
  <si>
    <t>IsraelMFA</t>
  </si>
  <si>
    <t>rubirivlin</t>
  </si>
  <si>
    <t>Japan</t>
  </si>
  <si>
    <t>AbeShinzo</t>
  </si>
  <si>
    <t>MofaJapan_jp</t>
  </si>
  <si>
    <t>MofaJapan_en</t>
  </si>
  <si>
    <t>Jordan</t>
  </si>
  <si>
    <t>QueenRania</t>
  </si>
  <si>
    <t>RHCJO</t>
  </si>
  <si>
    <t>DrEnsour</t>
  </si>
  <si>
    <t>PrimeMinistry</t>
  </si>
  <si>
    <t>NasserJudeh</t>
  </si>
  <si>
    <t>ForeignMinistry</t>
  </si>
  <si>
    <t>Kazakhstan</t>
  </si>
  <si>
    <t>AkordaPress</t>
  </si>
  <si>
    <t>KarimMassimov</t>
  </si>
  <si>
    <t>primeministerkz</t>
  </si>
  <si>
    <t>MFA_KZ</t>
  </si>
  <si>
    <t>KarimMassimov_E</t>
  </si>
  <si>
    <t>Kuwait</t>
  </si>
  <si>
    <t>MOFAKuwait</t>
  </si>
  <si>
    <t>MOFAKuwait_en</t>
  </si>
  <si>
    <t>Kyrgyzstan</t>
  </si>
  <si>
    <t>kyrgyzpresident</t>
  </si>
  <si>
    <t>pressslujba</t>
  </si>
  <si>
    <t>Lebanon</t>
  </si>
  <si>
    <t>SalamTammam</t>
  </si>
  <si>
    <t>Gebran_Bassil</t>
  </si>
  <si>
    <t>Malaysia</t>
  </si>
  <si>
    <t>NajibRazak</t>
  </si>
  <si>
    <t>PMOMalaysia</t>
  </si>
  <si>
    <t>Anifah_myg</t>
  </si>
  <si>
    <t>anifah_aman</t>
  </si>
  <si>
    <t>Maldives</t>
  </si>
  <si>
    <t>PresidentYameen</t>
  </si>
  <si>
    <t>presidencymv</t>
  </si>
  <si>
    <t>dunyamaumoon</t>
  </si>
  <si>
    <t>MDVForeign</t>
  </si>
  <si>
    <t>foreignMV</t>
  </si>
  <si>
    <t>Mauritius</t>
  </si>
  <si>
    <t>aguribfakim</t>
  </si>
  <si>
    <t>Mongolia</t>
  </si>
  <si>
    <t>elbegdorj</t>
  </si>
  <si>
    <t>SaikhanbilegPM</t>
  </si>
  <si>
    <t>PurevsurenL</t>
  </si>
  <si>
    <t>ts_elbegdorj</t>
  </si>
  <si>
    <t>Nepal</t>
  </si>
  <si>
    <t>kpsharmaoli</t>
  </si>
  <si>
    <t>PM_Nepal</t>
  </si>
  <si>
    <t>KTnepal</t>
  </si>
  <si>
    <t>MofaNepal</t>
  </si>
  <si>
    <t>@SomaliPM</t>
  </si>
  <si>
    <t>Oman</t>
  </si>
  <si>
    <t>MofaOman</t>
  </si>
  <si>
    <t>Pakistan</t>
  </si>
  <si>
    <t>PMNawazSharif</t>
  </si>
  <si>
    <t>pid_gov</t>
  </si>
  <si>
    <t>PakDiplomacy</t>
  </si>
  <si>
    <t>Papua New Guinea</t>
  </si>
  <si>
    <t>PM_GOV_PG</t>
  </si>
  <si>
    <t>Philippines</t>
  </si>
  <si>
    <t>noynoyaquino</t>
  </si>
  <si>
    <t>GovPH_PCOO</t>
  </si>
  <si>
    <t>dfaspokesperson</t>
  </si>
  <si>
    <t>PresidentNoy</t>
  </si>
  <si>
    <t>Qatar</t>
  </si>
  <si>
    <t>TameemAlthani</t>
  </si>
  <si>
    <t>HukoomiQatar</t>
  </si>
  <si>
    <t>MofaQatar_AR</t>
  </si>
  <si>
    <t>QaTaR_</t>
  </si>
  <si>
    <t>MofaQatar_EN</t>
  </si>
  <si>
    <t>Saudi Arabia</t>
  </si>
  <si>
    <t>KingSalman</t>
  </si>
  <si>
    <t>AdelAljubeir</t>
  </si>
  <si>
    <t>KSAMOFA</t>
  </si>
  <si>
    <t>Saudiegov</t>
  </si>
  <si>
    <t>Singapore</t>
  </si>
  <si>
    <t>leehsienloong</t>
  </si>
  <si>
    <t>govsingapore</t>
  </si>
  <si>
    <t>VivianBala</t>
  </si>
  <si>
    <t>MFAsg</t>
  </si>
  <si>
    <t>South Korea</t>
  </si>
  <si>
    <t>GH_PARK</t>
  </si>
  <si>
    <t>bluehousekorea</t>
  </si>
  <si>
    <t>PrimeMinisterKR</t>
  </si>
  <si>
    <t>mofa_kr</t>
  </si>
  <si>
    <t>govkorea</t>
  </si>
  <si>
    <t>MOFAkr_eng</t>
  </si>
  <si>
    <t>Sri Lanka</t>
  </si>
  <si>
    <t>MaithripalaS</t>
  </si>
  <si>
    <t>PMDNewsGov</t>
  </si>
  <si>
    <t>RW_UNP</t>
  </si>
  <si>
    <t>CabinetSL</t>
  </si>
  <si>
    <t>MangalaLK</t>
  </si>
  <si>
    <t>MFA_SriLanka</t>
  </si>
  <si>
    <t>Syria</t>
  </si>
  <si>
    <t>Presidency_Sy</t>
  </si>
  <si>
    <t>Tajikistan</t>
  </si>
  <si>
    <t>presstj</t>
  </si>
  <si>
    <t>MID_Tajikistan</t>
  </si>
  <si>
    <t>EmomaliRahmon</t>
  </si>
  <si>
    <t>MFA_Tajikistan</t>
  </si>
  <si>
    <t>Thailand</t>
  </si>
  <si>
    <t>prdthailand</t>
  </si>
  <si>
    <t>MFAThai</t>
  </si>
  <si>
    <t>ThaiKhuFah</t>
  </si>
  <si>
    <t>United Arab Emirates</t>
  </si>
  <si>
    <t>HHShkMohd</t>
  </si>
  <si>
    <t>OFMUAE</t>
  </si>
  <si>
    <t>ABZayed</t>
  </si>
  <si>
    <t>MOFAUAE</t>
  </si>
  <si>
    <t>MBZNews</t>
  </si>
  <si>
    <t>mofa_uae</t>
  </si>
  <si>
    <t>Uzbekistan</t>
  </si>
  <si>
    <t>GOVuz</t>
  </si>
  <si>
    <t>Yemen</t>
  </si>
  <si>
    <t>HadiPresident</t>
  </si>
  <si>
    <t>KhaledBahah</t>
  </si>
  <si>
    <t>Bangladesh</t>
  </si>
  <si>
    <t>Vietnam</t>
  </si>
  <si>
    <t>Albania</t>
  </si>
  <si>
    <t>Europe</t>
  </si>
  <si>
    <t>ediramaal</t>
  </si>
  <si>
    <t>ditmirbushati</t>
  </si>
  <si>
    <t>AlbanianMFA</t>
  </si>
  <si>
    <t>Andorra</t>
  </si>
  <si>
    <t>GovernAndorra</t>
  </si>
  <si>
    <t>Austria</t>
  </si>
  <si>
    <t>teamkanzler</t>
  </si>
  <si>
    <t>sebastiankurz</t>
  </si>
  <si>
    <t>MFA_Austria</t>
  </si>
  <si>
    <t>Belarus</t>
  </si>
  <si>
    <t>BelarusMID</t>
  </si>
  <si>
    <t>BelarusMFA</t>
  </si>
  <si>
    <t>Belgium</t>
  </si>
  <si>
    <t>MonarchieBe</t>
  </si>
  <si>
    <t>CharlesMichel</t>
  </si>
  <si>
    <t>dreynders</t>
  </si>
  <si>
    <t>BelgiumMFA</t>
  </si>
  <si>
    <t>Bosnia and Herzegovina</t>
  </si>
  <si>
    <t>B_Izetbegovic</t>
  </si>
  <si>
    <t>DrZvizdic</t>
  </si>
  <si>
    <t>Bulgaria</t>
  </si>
  <si>
    <t>BoykoBorissov</t>
  </si>
  <si>
    <t>BgPresidency</t>
  </si>
  <si>
    <t>DanielMitov</t>
  </si>
  <si>
    <t>MFABulgaria</t>
  </si>
  <si>
    <t>Croatia</t>
  </si>
  <si>
    <t>uredprh</t>
  </si>
  <si>
    <t>VladaRH</t>
  </si>
  <si>
    <t>MVEP_hr</t>
  </si>
  <si>
    <t>Cyprus</t>
  </si>
  <si>
    <t>AnastasiadesCY</t>
  </si>
  <si>
    <t>CYpresidency</t>
  </si>
  <si>
    <t>GovCyprus</t>
  </si>
  <si>
    <t>IKasoulides</t>
  </si>
  <si>
    <t>CyprusMFA</t>
  </si>
  <si>
    <t>MZemanOficialni</t>
  </si>
  <si>
    <t>SlavekSobotka</t>
  </si>
  <si>
    <t>strakovka</t>
  </si>
  <si>
    <t>ZaoralekL</t>
  </si>
  <si>
    <t>mzvcr</t>
  </si>
  <si>
    <t>CzechMFA</t>
  </si>
  <si>
    <t>Denmark</t>
  </si>
  <si>
    <t>larsloekke</t>
  </si>
  <si>
    <t>Kristian_Jensen</t>
  </si>
  <si>
    <t>UM_dk</t>
  </si>
  <si>
    <t>Estonia</t>
  </si>
  <si>
    <t>IlvesToomas</t>
  </si>
  <si>
    <t>TaaviRoivas</t>
  </si>
  <si>
    <t>StenbockiMaja</t>
  </si>
  <si>
    <t>MarinaKaljurand</t>
  </si>
  <si>
    <t>valismin</t>
  </si>
  <si>
    <t>EstonianGovt</t>
  </si>
  <si>
    <t>F.Y.R.O.M.</t>
  </si>
  <si>
    <t>GjorgeIvanov</t>
  </si>
  <si>
    <t>VladaMK</t>
  </si>
  <si>
    <t>NikolaPoposki</t>
  </si>
  <si>
    <t>Finland</t>
  </si>
  <si>
    <t>niinisto</t>
  </si>
  <si>
    <t>TPKanslia</t>
  </si>
  <si>
    <t>juhasipila</t>
  </si>
  <si>
    <t>valtioneuvosto</t>
  </si>
  <si>
    <t>Ulkoministerio</t>
  </si>
  <si>
    <t>France</t>
  </si>
  <si>
    <t>fhollande</t>
  </si>
  <si>
    <t>Elysee</t>
  </si>
  <si>
    <t>manuelvalls</t>
  </si>
  <si>
    <t>gouvernementFR</t>
  </si>
  <si>
    <t>francediplo</t>
  </si>
  <si>
    <t>Germany</t>
  </si>
  <si>
    <t>RegSprecher</t>
  </si>
  <si>
    <t>AuswaertigesAmt</t>
  </si>
  <si>
    <t>GermanyDiplo</t>
  </si>
  <si>
    <t>Greece</t>
  </si>
  <si>
    <t>govgr</t>
  </si>
  <si>
    <t>NikosKotzias</t>
  </si>
  <si>
    <t>GreeceMFA</t>
  </si>
  <si>
    <t>tsipras_eu</t>
  </si>
  <si>
    <t>Hungary</t>
  </si>
  <si>
    <t>Viktor_Orban</t>
  </si>
  <si>
    <t>kormany_hu</t>
  </si>
  <si>
    <t>Iceland</t>
  </si>
  <si>
    <t>forsaetisradun</t>
  </si>
  <si>
    <t>MFAIceland</t>
  </si>
  <si>
    <t>Ireland</t>
  </si>
  <si>
    <t>md_higgins</t>
  </si>
  <si>
    <t>PresidentIRL</t>
  </si>
  <si>
    <t>EndaKennyTD</t>
  </si>
  <si>
    <t>merrionstreet</t>
  </si>
  <si>
    <t>CharlieFlanagan</t>
  </si>
  <si>
    <t>dfatirl</t>
  </si>
  <si>
    <t>govdotie</t>
  </si>
  <si>
    <t>Italy</t>
  </si>
  <si>
    <t>matteorenzi</t>
  </si>
  <si>
    <t>Palazzo_Chigi</t>
  </si>
  <si>
    <t>PaoloGentiloni</t>
  </si>
  <si>
    <t>Latvia</t>
  </si>
  <si>
    <t>Vejonis</t>
  </si>
  <si>
    <t>Rigas_pils</t>
  </si>
  <si>
    <t>Brivibas36</t>
  </si>
  <si>
    <t>edgarsrinkevics</t>
  </si>
  <si>
    <t>Arlietas</t>
  </si>
  <si>
    <t>Latvian_MFA</t>
  </si>
  <si>
    <t>Liechtenstein</t>
  </si>
  <si>
    <t>adrian_hasler</t>
  </si>
  <si>
    <t>regierung_fl</t>
  </si>
  <si>
    <t>MFA_LI</t>
  </si>
  <si>
    <t>Lithuania</t>
  </si>
  <si>
    <t>Grybauskaite_LT</t>
  </si>
  <si>
    <t>AButkevicius</t>
  </si>
  <si>
    <t>Vyriausybe</t>
  </si>
  <si>
    <t>LinkeviciusL</t>
  </si>
  <si>
    <t>LithuaniaMFA</t>
  </si>
  <si>
    <t>Luxembourg</t>
  </si>
  <si>
    <t>CourGrandDucale</t>
  </si>
  <si>
    <t>Xavier_Bettel</t>
  </si>
  <si>
    <t>Malta</t>
  </si>
  <si>
    <t>presidentMT</t>
  </si>
  <si>
    <t>JosephMuscat_JM</t>
  </si>
  <si>
    <t>DOImalta</t>
  </si>
  <si>
    <t>MFAMalta</t>
  </si>
  <si>
    <t>eGovMalta</t>
  </si>
  <si>
    <t>Moldova</t>
  </si>
  <si>
    <t>Nicolae_Timofti</t>
  </si>
  <si>
    <t>presedinte_md</t>
  </si>
  <si>
    <t>GuvernulRMD</t>
  </si>
  <si>
    <t>Diplomacy_RM</t>
  </si>
  <si>
    <t>GuvernulRM</t>
  </si>
  <si>
    <t>Monaco</t>
  </si>
  <si>
    <t>palaismonaco</t>
  </si>
  <si>
    <t>GvtMonaco</t>
  </si>
  <si>
    <t>GovMonaco</t>
  </si>
  <si>
    <t>Montenegro</t>
  </si>
  <si>
    <t>MeGovernment</t>
  </si>
  <si>
    <t>VladaCG</t>
  </si>
  <si>
    <t>Netherlands</t>
  </si>
  <si>
    <t>koninklijkhuis</t>
  </si>
  <si>
    <t>MinPres</t>
  </si>
  <si>
    <t>Rijksoverheid</t>
  </si>
  <si>
    <t>Regering</t>
  </si>
  <si>
    <t>DutchMFA</t>
  </si>
  <si>
    <t>Norway</t>
  </si>
  <si>
    <t>Kronprinsparet</t>
  </si>
  <si>
    <t>erna_solberg</t>
  </si>
  <si>
    <t>Statsmin_kontor</t>
  </si>
  <si>
    <t>borgebrende</t>
  </si>
  <si>
    <t>Utenriksdept</t>
  </si>
  <si>
    <t>NorwayMFA</t>
  </si>
  <si>
    <t>Poland</t>
  </si>
  <si>
    <t>AndrzejDuda</t>
  </si>
  <si>
    <t>prezydentpl</t>
  </si>
  <si>
    <t>BeataSzydlo</t>
  </si>
  <si>
    <t>PremierRP</t>
  </si>
  <si>
    <t>MSZ_RP</t>
  </si>
  <si>
    <t>PolandMFA</t>
  </si>
  <si>
    <t>Portugal</t>
  </si>
  <si>
    <t>CostaPS2015</t>
  </si>
  <si>
    <t>govpt</t>
  </si>
  <si>
    <t>MNEGOVPT</t>
  </si>
  <si>
    <t>Romania</t>
  </si>
  <si>
    <t>KlausIohannis</t>
  </si>
  <si>
    <t>CiolosDacian</t>
  </si>
  <si>
    <t>guv_ro</t>
  </si>
  <si>
    <t>MAERomania</t>
  </si>
  <si>
    <t>Russia</t>
  </si>
  <si>
    <t>PutinRF</t>
  </si>
  <si>
    <t>KremlinRussia</t>
  </si>
  <si>
    <t>MedvedevRussia</t>
  </si>
  <si>
    <t>Pravitelstvo_RF</t>
  </si>
  <si>
    <t>MID_RF</t>
  </si>
  <si>
    <t>PutinRF_Eng</t>
  </si>
  <si>
    <t>KremlinRussia_E</t>
  </si>
  <si>
    <t>MedvedevRussiaE</t>
  </si>
  <si>
    <t>GovernmentRF</t>
  </si>
  <si>
    <t>Serbia</t>
  </si>
  <si>
    <t>predsednikrs</t>
  </si>
  <si>
    <t>PresidencySrb</t>
  </si>
  <si>
    <t>avucic</t>
  </si>
  <si>
    <t>SerbianGov</t>
  </si>
  <si>
    <t>DacicIvica</t>
  </si>
  <si>
    <t>SerbianPM</t>
  </si>
  <si>
    <t>vladaOCDrs</t>
  </si>
  <si>
    <t>Slovakia</t>
  </si>
  <si>
    <t>Andrej_Kiska</t>
  </si>
  <si>
    <t>MiroslavLajcak</t>
  </si>
  <si>
    <t>SlovakiaMFA</t>
  </si>
  <si>
    <t>Slovenia</t>
  </si>
  <si>
    <t>BorutPahor</t>
  </si>
  <si>
    <t>MiroCerar</t>
  </si>
  <si>
    <t>MZZRS</t>
  </si>
  <si>
    <t>Spain</t>
  </si>
  <si>
    <t>CasaReal</t>
  </si>
  <si>
    <t>marianorajoy</t>
  </si>
  <si>
    <t>desdelamoncloa</t>
  </si>
  <si>
    <t>IgnacioYbanez</t>
  </si>
  <si>
    <t>MAECgob</t>
  </si>
  <si>
    <t>SpainMFA</t>
  </si>
  <si>
    <t>Sweden</t>
  </si>
  <si>
    <t>Kungahuset</t>
  </si>
  <si>
    <t>margotwallstrom</t>
  </si>
  <si>
    <t>Utrikesdep</t>
  </si>
  <si>
    <t>SweMFA</t>
  </si>
  <si>
    <t>Switzerland</t>
  </si>
  <si>
    <t>BR_Sprecher</t>
  </si>
  <si>
    <t>Turkey</t>
  </si>
  <si>
    <t>RT_Erdogan</t>
  </si>
  <si>
    <t>tcbestepe</t>
  </si>
  <si>
    <t>Ahmet_Davutoglu</t>
  </si>
  <si>
    <t>MevlutCavusoglu</t>
  </si>
  <si>
    <t>MFATurkey</t>
  </si>
  <si>
    <t>trpresidency</t>
  </si>
  <si>
    <t>Ukraine</t>
  </si>
  <si>
    <t>poroshenko</t>
  </si>
  <si>
    <t>Yatsenyuk_AP</t>
  </si>
  <si>
    <t>Kabmin_UA</t>
  </si>
  <si>
    <t>Pavlo Klimkin</t>
  </si>
  <si>
    <t>MFA_Ukraine</t>
  </si>
  <si>
    <t>United Kingdom</t>
  </si>
  <si>
    <t>David_Cameron</t>
  </si>
  <si>
    <t>Number10gov</t>
  </si>
  <si>
    <t>PHammondMP</t>
  </si>
  <si>
    <t>foreignoffice</t>
  </si>
  <si>
    <t>cabinetofficeuk</t>
  </si>
  <si>
    <t>UKUrdu</t>
  </si>
  <si>
    <t>San Marino</t>
  </si>
  <si>
    <t>Antigua and Barbuda</t>
  </si>
  <si>
    <t>North America</t>
  </si>
  <si>
    <t>antiguagov</t>
  </si>
  <si>
    <t>ABLPGastonbrown</t>
  </si>
  <si>
    <t>Bahamas</t>
  </si>
  <si>
    <t>pgchristie</t>
  </si>
  <si>
    <t>Barbados</t>
  </si>
  <si>
    <t>gisbarbados</t>
  </si>
  <si>
    <t>Belize</t>
  </si>
  <si>
    <t>BarrowDean</t>
  </si>
  <si>
    <t>belizegov</t>
  </si>
  <si>
    <t>Canada</t>
  </si>
  <si>
    <t>JustinTrudeau</t>
  </si>
  <si>
    <t>CanadianPM</t>
  </si>
  <si>
    <t>HonStephaneDion</t>
  </si>
  <si>
    <t>CanadaFP</t>
  </si>
  <si>
    <t>CanadaPE</t>
  </si>
  <si>
    <t>Costa Rica</t>
  </si>
  <si>
    <t>luisguillermosr</t>
  </si>
  <si>
    <t>presidenciacr</t>
  </si>
  <si>
    <t>NoticiaCR</t>
  </si>
  <si>
    <t>cancilleriacrc</t>
  </si>
  <si>
    <t>Cuba</t>
  </si>
  <si>
    <t>RaulCastroR</t>
  </si>
  <si>
    <t>CubaMINREX</t>
  </si>
  <si>
    <t>Dominica</t>
  </si>
  <si>
    <t>SkerritR</t>
  </si>
  <si>
    <t>Dominican Republic</t>
  </si>
  <si>
    <t>DaniloMedina</t>
  </si>
  <si>
    <t>PresidenciaRD</t>
  </si>
  <si>
    <t>MIREXRD</t>
  </si>
  <si>
    <t>El Salvador</t>
  </si>
  <si>
    <t>sanchezceren</t>
  </si>
  <si>
    <t>presidencia_sv</t>
  </si>
  <si>
    <t>cancilleriasv</t>
  </si>
  <si>
    <t>Grenada</t>
  </si>
  <si>
    <t>VoteKeith2013</t>
  </si>
  <si>
    <t>govgd</t>
  </si>
  <si>
    <t>Guatemala</t>
  </si>
  <si>
    <t>jimmymoralesgt</t>
  </si>
  <si>
    <t>GuatemalaGob</t>
  </si>
  <si>
    <t>MinexGt</t>
  </si>
  <si>
    <t>Haiti</t>
  </si>
  <si>
    <t>palaisnational</t>
  </si>
  <si>
    <t>PrimatureHT</t>
  </si>
  <si>
    <t>MAEHaiti</t>
  </si>
  <si>
    <t>Honduras</t>
  </si>
  <si>
    <t>JuanOrlandoH</t>
  </si>
  <si>
    <t>Presidencia_HN</t>
  </si>
  <si>
    <t>SRECIHonduras</t>
  </si>
  <si>
    <t>PresidenciadeHN</t>
  </si>
  <si>
    <t>ComunicadosHN</t>
  </si>
  <si>
    <t>Jamaica</t>
  </si>
  <si>
    <t>OPMJamaica</t>
  </si>
  <si>
    <t>Mexico</t>
  </si>
  <si>
    <t>EPN</t>
  </si>
  <si>
    <t>PresidenciaMX</t>
  </si>
  <si>
    <t>gobmx</t>
  </si>
  <si>
    <t>ruizmassieu</t>
  </si>
  <si>
    <t>SRE_mx</t>
  </si>
  <si>
    <t>Panama</t>
  </si>
  <si>
    <t>JC_Varela</t>
  </si>
  <si>
    <t>PresidenciaPma</t>
  </si>
  <si>
    <t>IsabelStMalo</t>
  </si>
  <si>
    <t>CancilleriaPma</t>
  </si>
  <si>
    <t>CancilleriaPA</t>
  </si>
  <si>
    <t>Saint Kitts and Nevis</t>
  </si>
  <si>
    <t>skngov</t>
  </si>
  <si>
    <t>pdhnisbett</t>
  </si>
  <si>
    <t>Saint Lucia</t>
  </si>
  <si>
    <t>SaintLuciaGov</t>
  </si>
  <si>
    <t>ComradeRalph</t>
  </si>
  <si>
    <t>Trinidad and Tobago</t>
  </si>
  <si>
    <t>otptt</t>
  </si>
  <si>
    <t>KeithRowleyPNM</t>
  </si>
  <si>
    <t>mfagovtt</t>
  </si>
  <si>
    <t>United States</t>
  </si>
  <si>
    <t>BarackObama</t>
  </si>
  <si>
    <t>WhiteHouse</t>
  </si>
  <si>
    <t>POTUS</t>
  </si>
  <si>
    <t>Cabinet</t>
  </si>
  <si>
    <t>JohnKerry</t>
  </si>
  <si>
    <t>StateDept</t>
  </si>
  <si>
    <t>lacasablanca</t>
  </si>
  <si>
    <t>Nicaragua</t>
  </si>
  <si>
    <t>Australia</t>
  </si>
  <si>
    <t>Oceania</t>
  </si>
  <si>
    <t>TurnbullMalcolm</t>
  </si>
  <si>
    <t>JulieBishopMP</t>
  </si>
  <si>
    <t>dfat</t>
  </si>
  <si>
    <t>Fiji</t>
  </si>
  <si>
    <t>frankjosh156</t>
  </si>
  <si>
    <t>InokeRatu</t>
  </si>
  <si>
    <t>MFAFiji</t>
  </si>
  <si>
    <t>FijiGovernment</t>
  </si>
  <si>
    <t>FijiMFA</t>
  </si>
  <si>
    <t>Marshall Islands</t>
  </si>
  <si>
    <t>Nauru</t>
  </si>
  <si>
    <t>Republic_Nauru</t>
  </si>
  <si>
    <t>New Zealand</t>
  </si>
  <si>
    <t>johnkeypm</t>
  </si>
  <si>
    <t>murray_mccully</t>
  </si>
  <si>
    <t>Palau</t>
  </si>
  <si>
    <t>TommyRemengesau</t>
  </si>
  <si>
    <t>Samoa</t>
  </si>
  <si>
    <t>Tonga</t>
  </si>
  <si>
    <t>micwebTonga</t>
  </si>
  <si>
    <t>Vanuatu</t>
  </si>
  <si>
    <t>govofvanuatu</t>
  </si>
  <si>
    <t>Tuvalu</t>
  </si>
  <si>
    <t>Argentina</t>
  </si>
  <si>
    <t>South America</t>
  </si>
  <si>
    <t>mauriciomacri</t>
  </si>
  <si>
    <t>CasaRosada</t>
  </si>
  <si>
    <t>Bolivia</t>
  </si>
  <si>
    <t>mincombolivia</t>
  </si>
  <si>
    <t>Brazil</t>
  </si>
  <si>
    <t>casacivilbr</t>
  </si>
  <si>
    <t>imprensaPR</t>
  </si>
  <si>
    <t>ItamaratyGovBr</t>
  </si>
  <si>
    <t>BrazilGovNews</t>
  </si>
  <si>
    <t>Chile</t>
  </si>
  <si>
    <t>PrensaMichelle</t>
  </si>
  <si>
    <t>GobiernodeChile</t>
  </si>
  <si>
    <t>HeraldoMunoz</t>
  </si>
  <si>
    <t>Minrel_Chile</t>
  </si>
  <si>
    <t>Colombia</t>
  </si>
  <si>
    <t>JuanManSantos</t>
  </si>
  <si>
    <t>infopresidencia</t>
  </si>
  <si>
    <t>CancilleriaCol</t>
  </si>
  <si>
    <t>Ecuador</t>
  </si>
  <si>
    <t>MashiRafael</t>
  </si>
  <si>
    <t>Presidencia_Ec</t>
  </si>
  <si>
    <t>CancilleriaEc</t>
  </si>
  <si>
    <t>MFAEcuador</t>
  </si>
  <si>
    <t>Guyana</t>
  </si>
  <si>
    <t>PresDGranger</t>
  </si>
  <si>
    <t>MOTPGuyana</t>
  </si>
  <si>
    <t>opmguyana</t>
  </si>
  <si>
    <t>Paraguay</t>
  </si>
  <si>
    <t>Horacio_Cartes</t>
  </si>
  <si>
    <t>PresidenciaPy</t>
  </si>
  <si>
    <t>mreparaguay</t>
  </si>
  <si>
    <t>PrensaHC</t>
  </si>
  <si>
    <t>Peru</t>
  </si>
  <si>
    <t>Ollanta_HumalaT</t>
  </si>
  <si>
    <t>prensapalacio</t>
  </si>
  <si>
    <t>pcmperu</t>
  </si>
  <si>
    <t>CancilleriaPeru</t>
  </si>
  <si>
    <t>Uruguay</t>
  </si>
  <si>
    <t>TabareVazquez</t>
  </si>
  <si>
    <t>SCpresidenciauy</t>
  </si>
  <si>
    <t>MinExterioresUY</t>
  </si>
  <si>
    <t>Venezuela</t>
  </si>
  <si>
    <t>NicolasMaduro</t>
  </si>
  <si>
    <t>PresidencialVen</t>
  </si>
  <si>
    <t>DrodriguezVen</t>
  </si>
  <si>
    <t>vencancilleria</t>
  </si>
  <si>
    <t>Suriname</t>
  </si>
  <si>
    <t>Kosovo</t>
  </si>
  <si>
    <t>HashimThaciRKS</t>
  </si>
  <si>
    <t>MFAKOSOVO</t>
  </si>
  <si>
    <t>Vatican</t>
  </si>
  <si>
    <t>Pontifex</t>
  </si>
  <si>
    <t>TerzaLoggia</t>
  </si>
  <si>
    <t>Palestine</t>
  </si>
  <si>
    <t>PalestinianGov</t>
  </si>
  <si>
    <t>pmofa</t>
  </si>
  <si>
    <t>JunckerEU</t>
  </si>
  <si>
    <t>EU_Commission</t>
  </si>
  <si>
    <t>FedericaMog</t>
  </si>
  <si>
    <t>eu_eeas</t>
  </si>
  <si>
    <t>Puerto Rico</t>
  </si>
  <si>
    <t>agarciapadilla</t>
  </si>
  <si>
    <t>fortalezapr</t>
  </si>
  <si>
    <t>DeptEstadoPR</t>
  </si>
  <si>
    <t>Gobierno_CR</t>
  </si>
  <si>
    <t>mgonzalezsanz</t>
  </si>
  <si>
    <t>CRcancilleria</t>
  </si>
  <si>
    <t>MindeGobierno</t>
  </si>
  <si>
    <t>Geography/Account Type/Language</t>
  </si>
  <si>
    <t>Twitter account</t>
  </si>
  <si>
    <t>Name</t>
  </si>
  <si>
    <t>Description</t>
  </si>
  <si>
    <t>Link</t>
  </si>
  <si>
    <t>id</t>
  </si>
  <si>
    <t>Followers</t>
  </si>
  <si>
    <t>Following</t>
  </si>
  <si>
    <t>Continent</t>
  </si>
  <si>
    <t>Country</t>
  </si>
  <si>
    <t>Institution</t>
  </si>
  <si>
    <t>Personal/Institutional</t>
  </si>
  <si>
    <t>Language</t>
  </si>
  <si>
    <t>Dormant/Active/Protected</t>
  </si>
  <si>
    <t>Tweets personally</t>
  </si>
  <si>
    <t>Header</t>
  </si>
  <si>
    <t>First Tweet Link</t>
  </si>
  <si>
    <t>Retweets</t>
  </si>
  <si>
    <t>Favourites</t>
  </si>
  <si>
    <t>Most Retweeted Link</t>
  </si>
  <si>
    <t>Lists</t>
  </si>
  <si>
    <t>Lists yes/no N°</t>
  </si>
  <si>
    <t>Subscribed to lists</t>
  </si>
  <si>
    <t>Embassy List</t>
  </si>
  <si>
    <t>Missions on Twitter</t>
  </si>
  <si>
    <t>Tweets</t>
  </si>
  <si>
    <t>Joined Twitter</t>
  </si>
  <si>
    <t>User #</t>
  </si>
  <si>
    <t>Location</t>
  </si>
  <si>
    <t>Protected</t>
  </si>
  <si>
    <t>Follows</t>
  </si>
  <si>
    <t>Followed</t>
  </si>
  <si>
    <t>Mutual</t>
  </si>
  <si>
    <t>Yes</t>
  </si>
  <si>
    <t>No</t>
  </si>
  <si>
    <t>President</t>
  </si>
  <si>
    <t>Personal</t>
  </si>
  <si>
    <t>n/a</t>
  </si>
  <si>
    <t>Abdelmalek Sellal</t>
  </si>
  <si>
    <t>Prime Minister</t>
  </si>
  <si>
    <t>Active</t>
  </si>
  <si>
    <t>Algérie</t>
  </si>
  <si>
    <t>fr</t>
  </si>
  <si>
    <t>Casa Civil Angola</t>
  </si>
  <si>
    <t>Presidency</t>
  </si>
  <si>
    <t>Institutional</t>
  </si>
  <si>
    <t>Dormant since 20.08.2012</t>
  </si>
  <si>
    <t>https://twitter.com/CasaCivilPRA/lists</t>
  </si>
  <si>
    <t>pt</t>
  </si>
  <si>
    <t>http://twiplomacy.com/info/africa/Benin</t>
  </si>
  <si>
    <t>Benin Gouvernance</t>
  </si>
  <si>
    <t>Government</t>
  </si>
  <si>
    <t>en</t>
  </si>
  <si>
    <t>Public Figure</t>
  </si>
  <si>
    <t>Botswana Government</t>
  </si>
  <si>
    <t>https://twitter.com/BWGovernment/lists</t>
  </si>
  <si>
    <t>Gaborone, Botswana</t>
  </si>
  <si>
    <t>The Ministry exists to promote and manage foreign relations as well as advance Botswana's interests abroad. It also provides protocol and consular services</t>
  </si>
  <si>
    <t>Foreign Ministry</t>
  </si>
  <si>
    <t>https://twitter.com/MOFAIC/lists</t>
  </si>
  <si>
    <t>Lt-COL Isaac Y. Zida</t>
  </si>
  <si>
    <t>Ouagadougou | Burkina Faso</t>
  </si>
  <si>
    <t>Pierre Nkurunziza</t>
  </si>
  <si>
    <t>Athens</t>
  </si>
  <si>
    <t>Burundi | Présidence</t>
  </si>
  <si>
    <t>https://twitter.com/BdiPresidence/lists</t>
  </si>
  <si>
    <t>Burundi Government</t>
  </si>
  <si>
    <t>Portail des institutions de la République du Burundi</t>
  </si>
  <si>
    <t>https://twitter.com/BurundiGov/lists</t>
  </si>
  <si>
    <t>Foreign Ministry Bu</t>
  </si>
  <si>
    <t>Dormant since 06.11.2014</t>
  </si>
  <si>
    <t>https://twitter.com/BurundiForeign/status/511887851043438592</t>
  </si>
  <si>
    <t>Bujumbura ,Burundi</t>
  </si>
  <si>
    <t>President Paul Biya</t>
  </si>
  <si>
    <t>2e président du Cameroun, j'ai accédé à la présidence le 06 nov 1982 après la démission du Président A. AHIDJO. Depuis, le renouveau du Cameroun est en marche.</t>
  </si>
  <si>
    <t>https://twitter.com/PR_Paul_Biya/lists</t>
  </si>
  <si>
    <t>Yaoundé</t>
  </si>
  <si>
    <t>en-gb</t>
  </si>
  <si>
    <t>Jorge Carlos Fonseca</t>
  </si>
  <si>
    <t>https://twitter.com/PresidenteCV/lists</t>
  </si>
  <si>
    <t>Mahamat KAMOUN</t>
  </si>
  <si>
    <t>Compte officiel, du Premier Ministre centrafricain.</t>
  </si>
  <si>
    <t>http://twiplomacy.com/info/africa/Central-African-Republic</t>
  </si>
  <si>
    <t>https://twitter.com/MKOfficiel/statuses/565403314867957760</t>
  </si>
  <si>
    <t>Bangui - Centrafrique</t>
  </si>
  <si>
    <t>PRIMATURE-RCA</t>
  </si>
  <si>
    <t>Dormant since 21.11.2014</t>
  </si>
  <si>
    <t>Idriss Déby Itno</t>
  </si>
  <si>
    <t>Président de la République du Tchad, Chef des armées et Homme politique.</t>
  </si>
  <si>
    <t>https://twitter.com/ID_Itno/lists</t>
  </si>
  <si>
    <t>Primature du Tchad</t>
  </si>
  <si>
    <t>Compte Twitter Officiel de la Primature de la République du Tchad.</t>
  </si>
  <si>
    <t>Inactive</t>
  </si>
  <si>
    <t>Dormant since 20.04.2012</t>
  </si>
  <si>
    <t>https://twitter.com/PMTCHAD/statuses/192462501504499713</t>
  </si>
  <si>
    <t>https://twitter.com/PMTCHAD/lists</t>
  </si>
  <si>
    <t>N'Djamena, Tchad</t>
  </si>
  <si>
    <t>dhoinine</t>
  </si>
  <si>
    <t>Dr Ikililou Dhoinine</t>
  </si>
  <si>
    <t>Comores</t>
  </si>
  <si>
    <t>Dormant since 10.04.2012</t>
  </si>
  <si>
    <t>Denis Sassou Nguesso</t>
  </si>
  <si>
    <t>Brazzaville</t>
  </si>
  <si>
    <t>Congo</t>
  </si>
  <si>
    <t>https://twitter.com/SassouCG/lists</t>
  </si>
  <si>
    <t>http://twiplomacy.com/info/africa/Democratic-Republic-of-Congo</t>
  </si>
  <si>
    <t>Democratic Republic of Congo</t>
  </si>
  <si>
    <t>MATATA PONYO Mapon</t>
  </si>
  <si>
    <t>Premier Ministre de la République Démocratique du Congo</t>
  </si>
  <si>
    <t>Kinshasa</t>
  </si>
  <si>
    <t>Compte twitter officiel de la Primature de la République Démocratique du Congo / Facebook: http://t.co/8VDyvts81w</t>
  </si>
  <si>
    <t>https://twitter.com/PrimatureRDC/statuses/497305098390081536</t>
  </si>
  <si>
    <t>https://twitter.com/PrimatureRDC/lists</t>
  </si>
  <si>
    <t>https://twitter.com/IsmaelOGuelleh/status/675978805144657920</t>
  </si>
  <si>
    <t>Djibouti Diplomatie</t>
  </si>
  <si>
    <t>Nairobi</t>
  </si>
  <si>
    <t>PRIMATURE DE DJIBOUT</t>
  </si>
  <si>
    <t>Dormant since 25.05.2014</t>
  </si>
  <si>
    <t>Baghdad</t>
  </si>
  <si>
    <t>Abdelfattah Elsisi</t>
  </si>
  <si>
    <t>Cairo, Egypt</t>
  </si>
  <si>
    <t>بوابة الحكومة</t>
  </si>
  <si>
    <t>بوابة خدمات الحكومة المصرية</t>
  </si>
  <si>
    <t>Foreign Minister</t>
  </si>
  <si>
    <t>MOFA Egypt</t>
  </si>
  <si>
    <t>https://twitter.com/MOFAEGYPT/lists</t>
  </si>
  <si>
    <t>Egyptian Presidency</t>
  </si>
  <si>
    <t>Follow us for the latest news about the Egyptian Presidency</t>
  </si>
  <si>
    <t>Dormant since 03.07.2013</t>
  </si>
  <si>
    <t>https://twitter.com/EgyPresidency/lists</t>
  </si>
  <si>
    <t>Hailemariam Desalegn</t>
  </si>
  <si>
    <t>Deputy-Prime Minister and Foreign Minister of the Federal Democratic Republic of Ethiopia. Deputy-Chairman of @EPRDF</t>
  </si>
  <si>
    <t>Dormant since 07.05.2012</t>
  </si>
  <si>
    <t>https://twitter.com/HailemariamD/lists</t>
  </si>
  <si>
    <t>Addis Ababa</t>
  </si>
  <si>
    <t>Tedros Adhanom</t>
  </si>
  <si>
    <t>https://twitter.com/DrTedros/lists</t>
  </si>
  <si>
    <t>Addis Ababa, Ethiopia</t>
  </si>
  <si>
    <t>Ethiopian Diplomacy</t>
  </si>
  <si>
    <t>https://twitter.com/mfaethiopia/lists</t>
  </si>
  <si>
    <t>Ali Bongo Ondimba</t>
  </si>
  <si>
    <t>Président de la République Gabonaise</t>
  </si>
  <si>
    <t>Libreville, Gabon</t>
  </si>
  <si>
    <t>République Gabonaise</t>
  </si>
  <si>
    <t>PrimatureGabon</t>
  </si>
  <si>
    <t>Paul BIYOGHE MBA</t>
  </si>
  <si>
    <t>Dormant since 24.06.2010</t>
  </si>
  <si>
    <t>https://twitter.com/PrimatureGabon/statuses/16917842687</t>
  </si>
  <si>
    <t>https://twitter.com/PrimatureGabon/lists</t>
  </si>
  <si>
    <t>GouvGabon</t>
  </si>
  <si>
    <t>Gouvernement Gabon</t>
  </si>
  <si>
    <t>Compte officiel du Gouvernment gabonais - Official account of the Gabonese Government</t>
  </si>
  <si>
    <t>Libreville</t>
  </si>
  <si>
    <t>London</t>
  </si>
  <si>
    <t>Prof Yahya Jammeh</t>
  </si>
  <si>
    <t>President of the Republic of The Gambia</t>
  </si>
  <si>
    <t>https://twitter.com/jammehofficial/lists</t>
  </si>
  <si>
    <t>Banjul</t>
  </si>
  <si>
    <t>John Dramani Mahama</t>
  </si>
  <si>
    <t>Official account of H.E. John Dramani Mahama, President of the Republic of Ghana, run by staff. Tweets by H.E. are signed– JM. http://t.co/vVhUu325UZ</t>
  </si>
  <si>
    <t>Yes rarely</t>
  </si>
  <si>
    <t>https://twitter.com/JDMahama/lists</t>
  </si>
  <si>
    <t>Presidency of Ghana</t>
  </si>
  <si>
    <t>His Excellency President John Mahama was born in Damongo, in the Damango-Daboya constituency of Ghana.</t>
  </si>
  <si>
    <t>Dormant since 6.12.2013</t>
  </si>
  <si>
    <t>https://twitter.com/PresidencyGhana/statuses/277921557370777601</t>
  </si>
  <si>
    <t>https://twitter.com/PresidencyGhana/lists</t>
  </si>
  <si>
    <t>Hanna Tetteh</t>
  </si>
  <si>
    <t>Yes 10</t>
  </si>
  <si>
    <t>https://twitter.com/HannaTetteh/lists</t>
  </si>
  <si>
    <t>Accra, Ghana</t>
  </si>
  <si>
    <t>http://twiplomacy.com/info/africa/Ghana</t>
  </si>
  <si>
    <t>https://twitter.com/Mo_IbrahimFdn/status/667400093394452482</t>
  </si>
  <si>
    <t>https://twitter.com/mfarighana/lists</t>
  </si>
  <si>
    <t>Prof. Alpha Condé</t>
  </si>
  <si>
    <t>Président de la République de Guinée)</t>
  </si>
  <si>
    <t>Dormant since 22.11.2013</t>
  </si>
  <si>
    <t>https://twitter.com/Pr_Alpha_Conde/lists</t>
  </si>
  <si>
    <t>Guinée</t>
  </si>
  <si>
    <t>Brussels</t>
  </si>
  <si>
    <t>PRG</t>
  </si>
  <si>
    <t>http://twiplomacy.com/info/africa/Guinea</t>
  </si>
  <si>
    <t>Gouvernement GN</t>
  </si>
  <si>
    <t>Compte Officiel du Gouvernement guinéen. #GouvGN #GN224</t>
  </si>
  <si>
    <t>Guinee</t>
  </si>
  <si>
    <t>Présidence de Guinée</t>
  </si>
  <si>
    <t>Bienvenue sur le compte Twitter officiel de la Présidence de la République de Guinée.</t>
  </si>
  <si>
    <t>Dormant since 22.05.2013</t>
  </si>
  <si>
    <t>https://twitter.com/Sekhoutoureya/statuses/337154567504547842</t>
  </si>
  <si>
    <t>https://twitter.com/Sekhoutoureya/lists</t>
  </si>
  <si>
    <t>ADO__Solutions</t>
  </si>
  <si>
    <t>ADO_Solutions</t>
  </si>
  <si>
    <t>Côte d'Ivoire</t>
  </si>
  <si>
    <t>adosolutions</t>
  </si>
  <si>
    <t>Alassane D. Ouattara</t>
  </si>
  <si>
    <t>Twitter officiel Alassane Dramane Ouattara, Président la République de Côte d'Ivoire.</t>
  </si>
  <si>
    <t>https://twitter.com/adosolutions/lists</t>
  </si>
  <si>
    <t>https://twitter.com/Presidenceci/statuses/564550586608402432</t>
  </si>
  <si>
    <t>https://twitter.com/Presidenceci/lists</t>
  </si>
  <si>
    <t>Côte d'Ivoire.</t>
  </si>
  <si>
    <t>Daniel Kablan DUNCAN</t>
  </si>
  <si>
    <t>Dormant since 23.11.2012</t>
  </si>
  <si>
    <t>https://twitter.com/Daniel_k_Duncan/lists</t>
  </si>
  <si>
    <t>GOUV.CI</t>
  </si>
  <si>
    <t>https://twitter.com/Gouvci/lists</t>
  </si>
  <si>
    <t>Uhuru Kenyatta</t>
  </si>
  <si>
    <t>President of The Republic of Kenya.</t>
  </si>
  <si>
    <t>https://twitter.com/UKenyatta/statuses/440352310699773952</t>
  </si>
  <si>
    <t>https://twitter.com/UKenyatta/lists</t>
  </si>
  <si>
    <t>Nairobi, Kenya</t>
  </si>
  <si>
    <t>State House Kenya</t>
  </si>
  <si>
    <t>https://twitter.com/StateHouseKenya/lists</t>
  </si>
  <si>
    <t>Kenya Government</t>
  </si>
  <si>
    <t>https://twitter.com/KenyaGov/lists</t>
  </si>
  <si>
    <t>AMB:Amina Mohamed</t>
  </si>
  <si>
    <t>https://twitter.com/AMB_A_Mohammed/lists</t>
  </si>
  <si>
    <t>Ministry of Foreign Affairs</t>
  </si>
  <si>
    <t>ForeignAffairsKenya</t>
  </si>
  <si>
    <t>Nairobi-Kenya</t>
  </si>
  <si>
    <t>PSCU_Digital</t>
  </si>
  <si>
    <t>PSCU Kenya Digital</t>
  </si>
  <si>
    <t>Embracing the digital age! The Home of Presidential and Government News</t>
  </si>
  <si>
    <t>https://twitter.com/PSCU_Digital/statuses/507811960478773248</t>
  </si>
  <si>
    <t>Pakalitha</t>
  </si>
  <si>
    <t>Pakalitha Mosisili</t>
  </si>
  <si>
    <t>Ke tla le busa ho fihlela le tloaela!</t>
  </si>
  <si>
    <t>Dormant since 12.07.2013</t>
  </si>
  <si>
    <t>Executive Mansion</t>
  </si>
  <si>
    <t>The official Twitter page of the President of the Republic of Liberia</t>
  </si>
  <si>
    <t>https://twitter.com/emansionliberia/lists</t>
  </si>
  <si>
    <t>Monrovia, Liberia</t>
  </si>
  <si>
    <t>https://twitter.com/GovernmentLY</t>
  </si>
  <si>
    <t>Dormant since 10.01.2013</t>
  </si>
  <si>
    <t>Dormant since 18.06.2015</t>
  </si>
  <si>
    <t>PrésidenceMadagascar</t>
  </si>
  <si>
    <t>Compte Twitter Officiel de la Communication de la Présidence de la République de Madagascar</t>
  </si>
  <si>
    <t>https://twitter.com/PresidenceMada/lists</t>
  </si>
  <si>
    <t>Iavoloha</t>
  </si>
  <si>
    <t>https://twitter.com/DGRAVELONARIVO</t>
  </si>
  <si>
    <t>https://twitter.com/DGRAVELONARIVO/status/357857928646107136</t>
  </si>
  <si>
    <t>https://twitter.com/DGRAVELONARIVO/lists</t>
  </si>
  <si>
    <t>https://twitter.com/APMutharika</t>
  </si>
  <si>
    <t>Ibrahim B. Keita</t>
  </si>
  <si>
    <t>Président de la République du #Mali. https://t.co/NdfeNMxyFz</t>
  </si>
  <si>
    <t>Dormant since 14.04.2014</t>
  </si>
  <si>
    <t>https://twitter.com/IBK_2013/lists</t>
  </si>
  <si>
    <t>Presidence Mali</t>
  </si>
  <si>
    <t>Fil officiel de la Présidence de la République du #Mali</t>
  </si>
  <si>
    <t>https://twitter.com/PresidenceMali/lists</t>
  </si>
  <si>
    <t>Bamako</t>
  </si>
  <si>
    <t>Primature du Mali</t>
  </si>
  <si>
    <t>Le Premier Ministre est le Chef du Gouvernement, à ce titre, il dirige et coordonne l'action gouvernementale.</t>
  </si>
  <si>
    <t>http://twiplomacy.com/info/africa/Mali</t>
  </si>
  <si>
    <t>Abdoulaye Diop</t>
  </si>
  <si>
    <t>OuldAbdelAziz</t>
  </si>
  <si>
    <t>Ould Abdel Aziz</t>
  </si>
  <si>
    <t>الحساب الرسمي لرئيس الجمهورية الإسلامية الموريتانية_President de la Republique Islamique de Mauritanie</t>
  </si>
  <si>
    <t>Dormant since 30.09.2013</t>
  </si>
  <si>
    <t>https://twitter.com/OuldAbdelAziz/statuses/319345631636361216</t>
  </si>
  <si>
    <t>ar</t>
  </si>
  <si>
    <t>عبد الإله ابن كيران</t>
  </si>
  <si>
    <t>رئيس الحكومة</t>
  </si>
  <si>
    <t>https://twitter.com/ChefGov_ma/lists</t>
  </si>
  <si>
    <t>MAEC Maroc</t>
  </si>
  <si>
    <t>Compte Officiel du Ministère des Affaires Etrangères et de la Coopération du Royaume du Maroc</t>
  </si>
  <si>
    <t>https://twitter.com/MarocDiplomatie/lists</t>
  </si>
  <si>
    <t>Rabat,Maroc</t>
  </si>
  <si>
    <t>eGov Maroc</t>
  </si>
  <si>
    <t>Compte du programme de l'eGouvernement Marocain | Priorité de #MarocNumeric2013 | Direction de l'@EconomieNumeric (MICIEN) | Contact: eGov@mcinet.gov.ma</t>
  </si>
  <si>
    <t>Rabat, Maroc</t>
  </si>
  <si>
    <t>Filipe Jacinto Nyusi</t>
  </si>
  <si>
    <t>http://twiplomacy.com/info/africa/Mozambique</t>
  </si>
  <si>
    <t>Filipe Nyusi</t>
  </si>
  <si>
    <t>https://twitter.com/AdeleeaAndrigo/status/507030636096679936</t>
  </si>
  <si>
    <t>Maputo, Mozambique</t>
  </si>
  <si>
    <t>https://twitter.com/carlosarosario2</t>
  </si>
  <si>
    <t>FilipeNyusi</t>
  </si>
  <si>
    <t>Dormant since 07.11.2014</t>
  </si>
  <si>
    <t>https://twitter.com/FilipeNyusi/status/511794329078464512</t>
  </si>
  <si>
    <t>Candidato da FRELIMO à Presidência da República de Moçambique, nas eleições gerais e provinciais de 15 de Outubro de 2014</t>
  </si>
  <si>
    <t>Moçambique</t>
  </si>
  <si>
    <t>Hage Geingob</t>
  </si>
  <si>
    <t>President of the Republic of Namibia</t>
  </si>
  <si>
    <t>Yes sometimes</t>
  </si>
  <si>
    <t>Namibia Foreign Min.</t>
  </si>
  <si>
    <t>Dormant since 24.05.2015</t>
  </si>
  <si>
    <t>Présidence du Niger</t>
  </si>
  <si>
    <t>Issoufou Mahamadou</t>
  </si>
  <si>
    <t>Compte Twitter officiel de la Présidence de la République du Niger.</t>
  </si>
  <si>
    <t>Niamey</t>
  </si>
  <si>
    <t>MBuhari</t>
  </si>
  <si>
    <t>Muhammadu Buhari</t>
  </si>
  <si>
    <t>This is the official account of Muhammadu Buhari, President of Nigeria | Personal tweets are signed -MB</t>
  </si>
  <si>
    <t>NGRPresident</t>
  </si>
  <si>
    <t>President Buhari</t>
  </si>
  <si>
    <t>AsoRock</t>
  </si>
  <si>
    <t>Aso Rock</t>
  </si>
  <si>
    <t>Foreign Affairs NGN</t>
  </si>
  <si>
    <t>Paul Kagame</t>
  </si>
  <si>
    <t>President of the Republic of Rwanda, write to: paulkagame@gov.rw</t>
  </si>
  <si>
    <t>https://twitter.com/PaulKagame/statuses/381872831018975232</t>
  </si>
  <si>
    <t>Rwanda, Africa</t>
  </si>
  <si>
    <t>Presidency | Rwanda</t>
  </si>
  <si>
    <t>Official Twitter account of the Office of the President of Rwanda.Your unique opportunity to follow the work of President Paul Kagame on a daily basis.</t>
  </si>
  <si>
    <t>https://twitter.com/UrugwiroVillage/lists</t>
  </si>
  <si>
    <t>Kigali, Rwanda</t>
  </si>
  <si>
    <t>Murekezi Anastase</t>
  </si>
  <si>
    <t>RwandaGov</t>
  </si>
  <si>
    <t>Government of Rwanda</t>
  </si>
  <si>
    <t>PrimatureRwanda</t>
  </si>
  <si>
    <t>Primature</t>
  </si>
  <si>
    <t>https://twitter.com/PrimatureRwanda/lists</t>
  </si>
  <si>
    <t>Louise Mushikiwabo</t>
  </si>
  <si>
    <t>Minister of Foreign Affairs &amp; Cooperation, Rwanda</t>
  </si>
  <si>
    <t>https://twitter.com/LMushikiwabo/lists</t>
  </si>
  <si>
    <t>PatriceTrovoada</t>
  </si>
  <si>
    <t>Patrice Trovoada</t>
  </si>
  <si>
    <t>Macky SALL</t>
  </si>
  <si>
    <t>Sénégal</t>
  </si>
  <si>
    <t>Mankeur Ndiaye</t>
  </si>
  <si>
    <t>https://twitter.com/MankeurNdiaye/lists</t>
  </si>
  <si>
    <t>Dakar</t>
  </si>
  <si>
    <t>SeychellesStateHouse</t>
  </si>
  <si>
    <t>The Office of the President of the Republic of Seychelles presents news concerning President James Michel and Seychelles national news.</t>
  </si>
  <si>
    <t>https://twitter.com/StateHouseSey/statuses/506755829593157632</t>
  </si>
  <si>
    <t>https://twitter.com/StateHouseSey/lists</t>
  </si>
  <si>
    <t>MFA Seychelles</t>
  </si>
  <si>
    <t>The Official Twitter account of the Ministry of Foreign Affairs of the Republic of Seychelles</t>
  </si>
  <si>
    <t>https://twitter.com/SeychellesMFA/lists</t>
  </si>
  <si>
    <t>Victoria, Mahé, Seychelles</t>
  </si>
  <si>
    <t>Ernest Bai Koroma</t>
  </si>
  <si>
    <t>I am Ernest Bai Koroma, President of the Republic of Sierra Leone. I became President of Sierra Leone in 2007 and I was re-elected for a second term - Nov. 2012</t>
  </si>
  <si>
    <t>Dormant since 27.05.2013</t>
  </si>
  <si>
    <t>https://twitter.com/ebkoroma/lists</t>
  </si>
  <si>
    <t>Freetown, Sierra Leone</t>
  </si>
  <si>
    <t>State House</t>
  </si>
  <si>
    <t>https://twitter.com/StateHouseSL/statuses/328141452511162369</t>
  </si>
  <si>
    <t>https://twitter.com/StateHouseSL/lists</t>
  </si>
  <si>
    <t>Freetown</t>
  </si>
  <si>
    <t>Communications Unit</t>
  </si>
  <si>
    <t>Communications Unit @StateHouseSL. Tweets managed by @jaraski. Re-tweets do NOT imply endorsement or agreement...#SierraLeone</t>
  </si>
  <si>
    <t>Villa Somalia</t>
  </si>
  <si>
    <t>https://twitter.com/TheVillaSomalia/lists</t>
  </si>
  <si>
    <t>Mogadishu, Somalia</t>
  </si>
  <si>
    <t>https://twitter.com/SomaliPM/lists</t>
  </si>
  <si>
    <t>PMOComms</t>
  </si>
  <si>
    <t>PMOCOMMS</t>
  </si>
  <si>
    <t>Only Official Account for the Somali Prime Minister  Communications Office (2014)</t>
  </si>
  <si>
    <t>https://twitter.com/PMOComms/statuses/568350296780505088</t>
  </si>
  <si>
    <t>Abdusalam H. Omer</t>
  </si>
  <si>
    <t>Official twitter account of the Minister of Foreign Affairs and Investment Promotion of the Federal Republic of Somalia</t>
  </si>
  <si>
    <t>Foreign Affairs</t>
  </si>
  <si>
    <t>https://twitter.com/mofasomalia/lists</t>
  </si>
  <si>
    <t>Mogadishu-Somalia</t>
  </si>
  <si>
    <t>somaligov_</t>
  </si>
  <si>
    <t>SOMALI   GOVERMENT</t>
  </si>
  <si>
    <t>SOMALIA</t>
  </si>
  <si>
    <t>Jacob G. Zuma</t>
  </si>
  <si>
    <t>President of the Republic of South Africa.</t>
  </si>
  <si>
    <t>https://twitter.com/SAPresident/statuses/321577941333057536</t>
  </si>
  <si>
    <t>https://twitter.com/SAPresident/lists</t>
  </si>
  <si>
    <t>Pretoria, South Africa</t>
  </si>
  <si>
    <t>This is the official Twitter page of The Presidency of the Republic of South Africa</t>
  </si>
  <si>
    <t>https://twitter.com/PresidencyZA/statuses/348884210674708484</t>
  </si>
  <si>
    <t>https://twitter.com/PresidencyZA/lists</t>
  </si>
  <si>
    <t>South African Gov</t>
  </si>
  <si>
    <t>https://twitter.com/DIRCO_ZA</t>
  </si>
  <si>
    <t>https://twitter.com/DIRCO_ZA/status/560793928111509504</t>
  </si>
  <si>
    <t>https://twitter.com/DIRCO_ZA/lists</t>
  </si>
  <si>
    <t>Gov of South Sudan</t>
  </si>
  <si>
    <t>The Official Twitter account for the Government of South Sudan.</t>
  </si>
  <si>
    <t>https://twitter.com/RepSouthSudan/statuses/413682525219717120</t>
  </si>
  <si>
    <t>https://twitter.com/RepSouthSudan/lists</t>
  </si>
  <si>
    <t>Republic of South Sudan</t>
  </si>
  <si>
    <t>وزارة خارجية السودان</t>
  </si>
  <si>
    <t>Dar es Salaam, Tanzania</t>
  </si>
  <si>
    <t>https://twitter.com/foreigntanzania/lists</t>
  </si>
  <si>
    <t>??</t>
  </si>
  <si>
    <t>Lomé, Togo</t>
  </si>
  <si>
    <t>TOGO</t>
  </si>
  <si>
    <t>Le site officiel de la République Togolaise</t>
  </si>
  <si>
    <t>https://twitter.com/republicoftogo/statuses/430473616661041155</t>
  </si>
  <si>
    <t>Robert Dussey</t>
  </si>
  <si>
    <t>TOGO DIPLOMATIE</t>
  </si>
  <si>
    <t>Le portail d'information de la politique étrangère de la République Togolaise</t>
  </si>
  <si>
    <t>https://twitter.com/togodiplomatie/statuses/559422440548626433</t>
  </si>
  <si>
    <t>Lomé</t>
  </si>
  <si>
    <t>Beji Caid Essebsi</t>
  </si>
  <si>
    <t>الحساب الرسمي للباجي قائد السبسي الرئيس الخامس للجمهورية التونسية</t>
  </si>
  <si>
    <t>تونس - الرئاسة</t>
  </si>
  <si>
    <t>الحساب الخاص برئاسة الجمهورية التونسية على تويتر</t>
  </si>
  <si>
    <t>https://twitter.com/presidenceTN/lists</t>
  </si>
  <si>
    <t>Carthage - Tunis</t>
  </si>
  <si>
    <t>الحبيب الصيد</t>
  </si>
  <si>
    <t>Présidence du Gouv</t>
  </si>
  <si>
    <t>Bienvenue sur le compte officiel de la présidence du gouvernement de la république tunisienne.</t>
  </si>
  <si>
    <t>http://twiplomacy.com/info/africa/Tunisia</t>
  </si>
  <si>
    <t>Dormant since 16.04.2013</t>
  </si>
  <si>
    <t>https://twitter.com/PMTunisie/statuses/179612067270107139</t>
  </si>
  <si>
    <t>La Kasbah, 1020 Tunis, Tunisie</t>
  </si>
  <si>
    <t>Alkasbah</t>
  </si>
  <si>
    <t>رئاسة الحكومة  - http://t.co/Oi1UeZpKva</t>
  </si>
  <si>
    <t>Tunisie Diplomatie</t>
  </si>
  <si>
    <t>Ministère tunisien des Affaires Etrangères - Retrouvez-nous sur https://t.co/RRZv6lPD</t>
  </si>
  <si>
    <t>Dormant since 24.07.2013</t>
  </si>
  <si>
    <t>https://twitter.com/TunisieDiplo/lists</t>
  </si>
  <si>
    <t>Tunis, Tunisie</t>
  </si>
  <si>
    <t>Yoweri K Museveni</t>
  </si>
  <si>
    <t>President of the Republic of Uganda</t>
  </si>
  <si>
    <t>https://twitter.com/KagutaMuseveni/statuses/459364673373360128</t>
  </si>
  <si>
    <t>https://twitter.com/KagutaMuseveni/lists</t>
  </si>
  <si>
    <t>State House Uganda</t>
  </si>
  <si>
    <t>The Official State House Uganda Twitter page. All Information Posted and Viewd on this page are subjected to the State House User Policy.</t>
  </si>
  <si>
    <t>https://twitter.com/StateHouseUg/statuses/438211139118563328</t>
  </si>
  <si>
    <t>https://twitter.com/StateHouseUg/lists</t>
  </si>
  <si>
    <t>Uganda (Entebbe)</t>
  </si>
  <si>
    <t>Dr. Ruhakana Rugunda</t>
  </si>
  <si>
    <t>https://twitter.com/RuhakanaR/lists</t>
  </si>
  <si>
    <t>OPMUganda</t>
  </si>
  <si>
    <t>OPM Uganda</t>
  </si>
  <si>
    <t>https://twitter.com/OPMUganda/lists</t>
  </si>
  <si>
    <t>UgandaMediaCent</t>
  </si>
  <si>
    <t>Uganda Media Centre</t>
  </si>
  <si>
    <t>The Government of Uganda's Official centre for Public Communications</t>
  </si>
  <si>
    <t>https://twitter.com/UgandaMediaCent/lists</t>
  </si>
  <si>
    <t>Kampala, Uganda.</t>
  </si>
  <si>
    <t>https://twitter.com/UgandaMFA/statuses/436114653345611776</t>
  </si>
  <si>
    <t>https://twitter.com/UgandaMFA/lists</t>
  </si>
  <si>
    <t>Hon. Edgar. C. Lungu</t>
  </si>
  <si>
    <t>https://twitter.com/HonEdgarCLungu/lists</t>
  </si>
  <si>
    <t>StateHouse PressZM</t>
  </si>
  <si>
    <t>The State House Press Office is one of the offices of Five Special Assistants attending to the President of Zambia.</t>
  </si>
  <si>
    <t>Dormant since 29.08.2012</t>
  </si>
  <si>
    <t>https://twitter.com/StateHousePress/lists</t>
  </si>
  <si>
    <t>Lusaka, Zambia</t>
  </si>
  <si>
    <t>Ashraf Ghani</t>
  </si>
  <si>
    <t>President of the Islamic Republic of Afghanistan. Personal tweets from Dr. Ashraf Ghani are signed - AG.</t>
  </si>
  <si>
    <t>https://twitter.com/ashrafghani/lists</t>
  </si>
  <si>
    <t>Kabul</t>
  </si>
  <si>
    <t>https://twitter.com/ARG_AFG/lists</t>
  </si>
  <si>
    <t>afgexecutive</t>
  </si>
  <si>
    <t>Chief Executive Officer</t>
  </si>
  <si>
    <t>GMICafghanistan</t>
  </si>
  <si>
    <t>GMIC Afghanistan</t>
  </si>
  <si>
    <t>The GMIC was established in 2007 to respond to the great information need of the Afghan public, media,national and international stakeholders.</t>
  </si>
  <si>
    <t>https://twitter.com/GMICafghanistan/lists</t>
  </si>
  <si>
    <t>Kabul-Afghanistan</t>
  </si>
  <si>
    <t>OAAInformation</t>
  </si>
  <si>
    <t>Cabinet Office Afg</t>
  </si>
  <si>
    <t>Official Twitter Page for OAA - Afghanistan's Office of Administrative Affairs &amp; Cabinet Secretariat. The 1st source of information for Cabinet and Government.</t>
  </si>
  <si>
    <t>Dormant since 18.05.2014</t>
  </si>
  <si>
    <t>https://twitter.com/OAAInformation/statuses/257340330238689280</t>
  </si>
  <si>
    <t>https://twitter.com/OAAInformation/lists</t>
  </si>
  <si>
    <t>Marble Palace, Kabul</t>
  </si>
  <si>
    <t>Salahuddin Rabbani</t>
  </si>
  <si>
    <t>The Official Twitter account of Salahuddin Rabbani, Head of Jamiat-e Islami Afghanistan and Chairman of the Afghanistan High Peace Council.</t>
  </si>
  <si>
    <t>MFA Afghanistan</t>
  </si>
  <si>
    <t>The Ministry of Foreign Affairs of the Islamic Republic of Afghanistan</t>
  </si>
  <si>
    <t>https://twitter.com/MFA_Afghanistan/statuses/403215297819475968</t>
  </si>
  <si>
    <t>https://twitter.com/MFA_Afghanistan/lists</t>
  </si>
  <si>
    <t>President.am Press</t>
  </si>
  <si>
    <t>Հայաստանի Հանրապետության Նախագահի մամլո ծառայություն</t>
  </si>
  <si>
    <t>Dormant since 30.11.2013</t>
  </si>
  <si>
    <t>https://twitter.com/PresidentAM_arm/statuses/406705922535194624</t>
  </si>
  <si>
    <t>https://twitter.com/PresidentAM_arm/lists</t>
  </si>
  <si>
    <t>Երևան, Հայաստան</t>
  </si>
  <si>
    <t>Yerevan</t>
  </si>
  <si>
    <t>MFA of Armenia</t>
  </si>
  <si>
    <t>https://twitter.com/MFAofArmenia/lists</t>
  </si>
  <si>
    <t>PresidentAM_eng</t>
  </si>
  <si>
    <t>Press Office of the President of the Republic of Armenia</t>
  </si>
  <si>
    <t>https://twitter.com/PresidentAM_eng/lists</t>
  </si>
  <si>
    <t>Yerevan, Armenia</t>
  </si>
  <si>
    <t>PresidentAM_rus</t>
  </si>
  <si>
    <t>Пресс служба Президента Республики Армения</t>
  </si>
  <si>
    <t>https://twitter.com/PresidentAM_rus/lists</t>
  </si>
  <si>
    <t>Ереван, Армения</t>
  </si>
  <si>
    <t>İlham Əliyev</t>
  </si>
  <si>
    <t>Azərbaycan Respublikasının Prezidenti İlham Əliyevin rəsmi twitter kanalı.</t>
  </si>
  <si>
    <t>Ilham Aliyev</t>
  </si>
  <si>
    <t>https://twitter.com/azpresident/lists</t>
  </si>
  <si>
    <t>Bakı, Azərbaycan</t>
  </si>
  <si>
    <t>Prezident Administrasiyası / Azərbaycan Respublikası / Rəsmi Twitter səhifəsi - Administration of the President / Republic of Azerbaijan / Official Twitter page</t>
  </si>
  <si>
    <t>https://twitter.com/AzerbaijanPA/lists</t>
  </si>
  <si>
    <t>Baku, Azerbaijan</t>
  </si>
  <si>
    <t>MFA Azerbaijan</t>
  </si>
  <si>
    <t>Welcome to the Official Twitter channel of the Ministry of Foreign Affairs of the Republic of Azerbaijan</t>
  </si>
  <si>
    <t>https://twitter.com/AzerbaijanMFA/lists</t>
  </si>
  <si>
    <t>Official twitter channel of the President of the Republic of Azerbaijan - Ilham Aliyev.</t>
  </si>
  <si>
    <t>https://twitter.com/presidentaz/lists</t>
  </si>
  <si>
    <t>اخبار سمو ولي العهد</t>
  </si>
  <si>
    <t>Royal Court</t>
  </si>
  <si>
    <t>خالد بن احمد</t>
  </si>
  <si>
    <t>Diplomat,Ambassador,Foreign Minister of Bahrain,Reader,World traveler,Bon Vivant</t>
  </si>
  <si>
    <t>https://twitter.com/khalidalkhalifa/statuses/527931588722434049</t>
  </si>
  <si>
    <t>https://twitter.com/khalidalkhalifa/lists</t>
  </si>
  <si>
    <t>Kingdom of Bahrain</t>
  </si>
  <si>
    <t>وزارة الخارجية</t>
  </si>
  <si>
    <t>The Official Twitter Account of The Ministry of Foreign Affairs</t>
  </si>
  <si>
    <t>A2IBangladesh</t>
  </si>
  <si>
    <t>http://twiplomacy.com/info/asia/Bangladesh</t>
  </si>
  <si>
    <t>https://twitter.com/A2IBangladesh</t>
  </si>
  <si>
    <t>Tshering Tobgay</t>
  </si>
  <si>
    <t>PM</t>
  </si>
  <si>
    <t>https://twitter.com/tsheringtobgay/lists</t>
  </si>
  <si>
    <t>PMBhutan</t>
  </si>
  <si>
    <t>http://twiplomacy.com/info/asia/Bhutan</t>
  </si>
  <si>
    <t>BhutanGov</t>
  </si>
  <si>
    <t>Bhutan Government</t>
  </si>
  <si>
    <t>Dormant since 04.06.2014</t>
  </si>
  <si>
    <t>https://twitter.com/BhutanGov/status/395991013027639297</t>
  </si>
  <si>
    <t>Thimphu, Bhutan</t>
  </si>
  <si>
    <t>PMOBhutan</t>
  </si>
  <si>
    <t>Bhutan Cabinet</t>
  </si>
  <si>
    <t>Dormant since 11.07.2014</t>
  </si>
  <si>
    <t>https://twitter.com/PMOBhutan/status/361732135222120449</t>
  </si>
  <si>
    <t>Gyalyong Tshogkhang, Thimphu</t>
  </si>
  <si>
    <t>Brunei PMO</t>
  </si>
  <si>
    <t>The Official twitter account of Prime Minister's Office of Brunei Darussalam.</t>
  </si>
  <si>
    <t>Brunei</t>
  </si>
  <si>
    <t>https://twitter.com/brunei_pmo/lists</t>
  </si>
  <si>
    <t>GOV_BN</t>
  </si>
  <si>
    <t>GOVBN</t>
  </si>
  <si>
    <t>Taur Matan Ruak</t>
  </si>
  <si>
    <t>Former leader of independence forces, head of armed forces of new democracy of Timor-Leste. Sworn in as President Timor-Leste May 20, 2012.</t>
  </si>
  <si>
    <t>Dormant since 20.05.2012</t>
  </si>
  <si>
    <t>https://twitter.com/TaurMatanRuak/statuses/164126552383176704</t>
  </si>
  <si>
    <t>https://twitter.com/TaurMatanRuak/lists</t>
  </si>
  <si>
    <t>Dili, Timor-Leste</t>
  </si>
  <si>
    <t>https://twitter.com/PRepublicaTL/lists</t>
  </si>
  <si>
    <t>http://twiplomacy.com/info/asia/East-Timor</t>
  </si>
  <si>
    <t>President Of Georgia</t>
  </si>
  <si>
    <t>President of Georgia Giorgi Margvelashvili was elected on October 27, 2013 with more than 62% of the vote</t>
  </si>
  <si>
    <t>https://twitter.com/MargvelashviliG/lists</t>
  </si>
  <si>
    <t>Tbilisi, Georgia</t>
  </si>
  <si>
    <t>Tbilisi</t>
  </si>
  <si>
    <t>https://twitter.com/PrimeMinisterGE/lists</t>
  </si>
  <si>
    <t>Official Twitter Channel of Georgian Government</t>
  </si>
  <si>
    <t>https://twitter.com/GovernmentGeo/lists</t>
  </si>
  <si>
    <t>MFA of Georgia</t>
  </si>
  <si>
    <t>https://twitter.com/MFAgovge/lists</t>
  </si>
  <si>
    <t>govgeoabkhaz</t>
  </si>
  <si>
    <t>Қырҭтәыла Аиҳабыра</t>
  </si>
  <si>
    <t>President of India</t>
  </si>
  <si>
    <t>This is the official Twitter account of Rashtrapati Bhavan and is run by President’s Secretariat.  Tweets from the President are signed – President Mukherjee</t>
  </si>
  <si>
    <t>https://twitter.com/RashtrapatiBhvn/statuses/547629053327319040</t>
  </si>
  <si>
    <t>New Delhi</t>
  </si>
  <si>
    <t>Narendra Modi</t>
  </si>
  <si>
    <t>Prime Minister of India</t>
  </si>
  <si>
    <t>https://twitter.com/narendramodi/lists</t>
  </si>
  <si>
    <t>PMO India</t>
  </si>
  <si>
    <t>Office of the Prime Minister of India</t>
  </si>
  <si>
    <t>https://twitter.com/PMOIndia/lists</t>
  </si>
  <si>
    <t>Sushma Swaraj</t>
  </si>
  <si>
    <t>Indian Diplomacy</t>
  </si>
  <si>
    <t>Institutional/Personal</t>
  </si>
  <si>
    <t>Joko Widodo</t>
  </si>
  <si>
    <t>Jakarta</t>
  </si>
  <si>
    <t>Istana untuk Rakyat</t>
  </si>
  <si>
    <t>Istura adalah Akun resmi Istana untuk Rakyat. Sebuah wahana komunikasi dan berbagi informasi dari Istana Kepresidenan untuk mendekatkan rakyat dengan istananya.</t>
  </si>
  <si>
    <t>https://twitter.com/IstanaRakyat/statuses/424173821889757184</t>
  </si>
  <si>
    <t>https://twitter.com/IstanaRakyat/lists</t>
  </si>
  <si>
    <t>Sekretariat Kabinet</t>
  </si>
  <si>
    <t>KEMLU RI</t>
  </si>
  <si>
    <t>Akun twitter resmi Kementerian Luar Negeri Republik Indonesia. The Official Twitter Account of the Ministry of Foreign Affairs of Republic Indonesia</t>
  </si>
  <si>
    <t>MoFA_Indonesia</t>
  </si>
  <si>
    <t>MoFA of Indonesia</t>
  </si>
  <si>
    <t>The official Tweet from the Ministry of Foreign Affairs of Indonesia</t>
  </si>
  <si>
    <t>https://twitter.com/MoFA_Indonesia/statuses/359566313326247937</t>
  </si>
  <si>
    <t>https://twitter.com/MoFA_Indonesia/lists</t>
  </si>
  <si>
    <t>deplu</t>
  </si>
  <si>
    <t>Deplu</t>
  </si>
  <si>
    <t>Tweets from the Department of Foreign Affairs of Indonesia</t>
  </si>
  <si>
    <t>Dormant since 28.01.2013</t>
  </si>
  <si>
    <t>https://twitter.com/deplu/lists</t>
  </si>
  <si>
    <t>Khamenei.ir</t>
  </si>
  <si>
    <t>Religious Leader</t>
  </si>
  <si>
    <t>https://twitter.com/khamenei_ir/lists</t>
  </si>
  <si>
    <t>Tehran</t>
  </si>
  <si>
    <t>الإمام الخامنئي</t>
  </si>
  <si>
    <t>الموقع الإعلامی لمکتب حفظ و نشر آثار سماحة آية الله العظمى السيد علي الخامنئي</t>
  </si>
  <si>
    <t>Tehran, I.R.IRAN</t>
  </si>
  <si>
    <t>Tehran, Iran</t>
  </si>
  <si>
    <t>Hassan Rouhani</t>
  </si>
  <si>
    <t>Iranian President's Sole English Account ¦ Persian @Rouhani_ir ¦ media@rouhani.ir</t>
  </si>
  <si>
    <t>https://twitter.com/HassanRouhani/lists</t>
  </si>
  <si>
    <t>Javad Zarif</t>
  </si>
  <si>
    <t>Foreign Minister of Islamic Republic of Iran</t>
  </si>
  <si>
    <t>https://twitter.com/JZarif/lists</t>
  </si>
  <si>
    <t>Iran MFA</t>
  </si>
  <si>
    <t>https://twitter.com/IranMFA/status/506697139032834049</t>
  </si>
  <si>
    <t>Iran's Ministry of Foreign Affairs</t>
  </si>
  <si>
    <t>Khamenei_es</t>
  </si>
  <si>
    <t>Ayatolá Jamenei</t>
  </si>
  <si>
    <t>Síguenos por las actualizaciones regulares y noticias sobre el Ayatolá Seyyed Ali Jamenei, el Líder Supremo de Irán----- Cuenta Inglés:@khamenei_ir</t>
  </si>
  <si>
    <t>Teherán</t>
  </si>
  <si>
    <t>https://twitter.com/Rouhani_ir/lists</t>
  </si>
  <si>
    <t>Fuad Masum</t>
  </si>
  <si>
    <t>Baghdad, Iraq</t>
  </si>
  <si>
    <t>https://twitter.com/PresidentFuad/status/560771464690167808</t>
  </si>
  <si>
    <t>Haider Al-Abadi</t>
  </si>
  <si>
    <t>Prime Minister of Iraq | Former Deputy Speaker of CoR | MP since 2006 | Former Chairman Finance Committee | Former Chairman of Economic &amp; Investment Committee</t>
  </si>
  <si>
    <t>http://twiplomacy.com/info/asia/Iraq</t>
  </si>
  <si>
    <t>https://twitter.com/IraqiPMO</t>
  </si>
  <si>
    <t>https://twitter.com/IraqiPMO/status/641643691350757377</t>
  </si>
  <si>
    <t>https://twitter.com/IraqiPMO/lists</t>
  </si>
  <si>
    <t>إبراهيم الجعفري</t>
  </si>
  <si>
    <t>Dormant since 09.08.2013</t>
  </si>
  <si>
    <t>https://twitter.com/al_jaffaary/lists</t>
  </si>
  <si>
    <t>Iraq MFA</t>
  </si>
  <si>
    <t>https://twitter.com/IraqMFA/lists</t>
  </si>
  <si>
    <t>Reuven Rivlin</t>
  </si>
  <si>
    <t>Follow for live updates from the 10th President of the State of Israel - Official Account</t>
  </si>
  <si>
    <t>Jerusalem, Israel</t>
  </si>
  <si>
    <t>https://twitter.com/netanyahu/lists</t>
  </si>
  <si>
    <t>Jerusalem</t>
  </si>
  <si>
    <t>PM of Israel</t>
  </si>
  <si>
    <t>The official Twitter account of the Office of the Prime Minister of Israel</t>
  </si>
  <si>
    <t>Benjamin Netanyahu</t>
  </si>
  <si>
    <t>https://twitter.com/IsraeliPM/lists</t>
  </si>
  <si>
    <t>Israel Foreign Min.</t>
  </si>
  <si>
    <t>Official channel of Israel's Ministry of Foreign Affairs (MFA) Maintained by the Digital Diplomacy Team.  See the @Israel Channel too!</t>
  </si>
  <si>
    <t>Israel ישראל</t>
  </si>
  <si>
    <t>https://twitter.com/Israel/statuses/460437419674718208</t>
  </si>
  <si>
    <t>IsraeliPM_heb</t>
  </si>
  <si>
    <t>ראש ממשלת ישראל</t>
  </si>
  <si>
    <t>https://twitter.com/IsraeliPM_heb/statuses/362800759454183424</t>
  </si>
  <si>
    <t>https://twitter.com/IsraeliPM_heb/lists</t>
  </si>
  <si>
    <t>ירושלים</t>
  </si>
  <si>
    <t>Israelipm_ar</t>
  </si>
  <si>
    <t>بنيامين نتنياهو</t>
  </si>
  <si>
    <t>https://twitter.com/Israelipm_ar/lists</t>
  </si>
  <si>
    <t>أورشليم القدس, اسرائيل</t>
  </si>
  <si>
    <t>ראובן (רובי) ריבלין</t>
  </si>
  <si>
    <t>ישראל</t>
  </si>
  <si>
    <t>he</t>
  </si>
  <si>
    <t>JapanGov</t>
  </si>
  <si>
    <t>The Gov't of Japan</t>
  </si>
  <si>
    <t>Official Twitter of the Government of Japan</t>
  </si>
  <si>
    <t>https://twitter.com/JapanGov/statuses/506395653732171776</t>
  </si>
  <si>
    <t>Tokyo</t>
  </si>
  <si>
    <t>kantei</t>
  </si>
  <si>
    <t>首相官邸</t>
  </si>
  <si>
    <t>本アカウントは首相官邸の公式アカウントです。首相官邸ＨＰに掲載される総理についての更新情報などを中心にお届けします。</t>
  </si>
  <si>
    <t>https://twitter.com/kantei/lists</t>
  </si>
  <si>
    <t>ja</t>
  </si>
  <si>
    <t>JPN_PMO</t>
  </si>
  <si>
    <t>PM's Office of Japan</t>
  </si>
  <si>
    <t>This is the official English twitter account of Prime Minister's Office of Japan. Our Facebook URL is                          http://t.co/jC4DZ32NDr</t>
  </si>
  <si>
    <t>https://twitter.com/JPN_PMO/statuses/47994581312225282</t>
  </si>
  <si>
    <t>https://twitter.com/JPN_PMO/lists</t>
  </si>
  <si>
    <t>外務省</t>
  </si>
  <si>
    <t>https://twitter.com/MofaJapan_jp/lists</t>
  </si>
  <si>
    <t>東京都千代田区</t>
  </si>
  <si>
    <t>MOFA of Japan</t>
  </si>
  <si>
    <t>https://twitter.com/MofaJapan_en/lists</t>
  </si>
  <si>
    <t>japan</t>
  </si>
  <si>
    <t>This account has been managed by the Government of Japan since March 10, 2015.</t>
  </si>
  <si>
    <t>https://twitter.com/japan/statuses/575562934887280640</t>
  </si>
  <si>
    <t>Kantei_Saigai</t>
  </si>
  <si>
    <t>首相官邸(災害・危機管理情報)</t>
  </si>
  <si>
    <t>https://twitter.com/Kantei_Saigai/lists</t>
  </si>
  <si>
    <t>Rania Al Abdullah</t>
  </si>
  <si>
    <t>A mum and a wife with a really cool day job الملكة رانيا العبدالله - المملكة الأردنية الهاشمية</t>
  </si>
  <si>
    <t>Amman, Jordan</t>
  </si>
  <si>
    <t>Queen</t>
  </si>
  <si>
    <t>RHC</t>
  </si>
  <si>
    <t>https://twitter.com/RHCJO/lists</t>
  </si>
  <si>
    <t>Jordan - الأردن</t>
  </si>
  <si>
    <t>د. عبدالله النسور</t>
  </si>
  <si>
    <t>Prime Minister - Hashemite Kingdom of Jordan</t>
  </si>
  <si>
    <t>https://twitter.com/DrEnsour/lists</t>
  </si>
  <si>
    <t>Prime Ministry JO</t>
  </si>
  <si>
    <t>The Prime Ministry of the Hashemite Kingdom of Jordan. Email: Twitter@pm.gov.jo</t>
  </si>
  <si>
    <t>https://twitter.com/PrimeMinistry/statuses/567981824992940032</t>
  </si>
  <si>
    <t>Nasser S. Judeh</t>
  </si>
  <si>
    <t>https://twitter.com/NasserJudeh/statuses/560429921139322883</t>
  </si>
  <si>
    <t>https://twitter.com/NasserJudeh/lists</t>
  </si>
  <si>
    <t>https://twitter.com/ForeignMinistry/lists</t>
  </si>
  <si>
    <t>Пресс-служба Акорды</t>
  </si>
  <si>
    <t>Қазақстан Республикасы Президентінің Баспасөз қызметі               Press Office of The President of the Republic of Kazakhstan</t>
  </si>
  <si>
    <t>https://twitter.com/AkordaPress/lists</t>
  </si>
  <si>
    <t>Қазақстан Республикасы, Астана</t>
  </si>
  <si>
    <t>ru</t>
  </si>
  <si>
    <t>Карим Масимов</t>
  </si>
  <si>
    <t>Премьер-министр Республики Казахстан English version is here @KarimMassimov_E</t>
  </si>
  <si>
    <t>Dormant since 22.11.2012</t>
  </si>
  <si>
    <t>https://twitter.com/KarimMassimov/statuses/250091993693290496</t>
  </si>
  <si>
    <t>https://twitter.com/KarimMassimov/lists</t>
  </si>
  <si>
    <t>Астана, Казахстан</t>
  </si>
  <si>
    <t>PrimeMinister.kz</t>
  </si>
  <si>
    <t>https://twitter.com/primeministerkz/lists</t>
  </si>
  <si>
    <t>Астана</t>
  </si>
  <si>
    <t>MFA Kazakhstan</t>
  </si>
  <si>
    <t>Ministry of Foreign Affairs, Republic of Kazakhstan</t>
  </si>
  <si>
    <t>https://twitter.com/MFA_KZ/lists</t>
  </si>
  <si>
    <t>Astana, Kazakhstan</t>
  </si>
  <si>
    <t>ortcomkz</t>
  </si>
  <si>
    <t>СЦК создана для улучшения взаимодействия между государственными органами и СМИ</t>
  </si>
  <si>
    <t>https://twitter.com/ortcomkz/lists</t>
  </si>
  <si>
    <t>ortcomkzE</t>
  </si>
  <si>
    <t>Central Communications Office for the President of Kazakhstan</t>
  </si>
  <si>
    <t>https://twitter.com/ortcomkzE/statuses/525135184371662848</t>
  </si>
  <si>
    <t>https://twitter.com/ortcomkzE/lists</t>
  </si>
  <si>
    <t>Karim Massimov</t>
  </si>
  <si>
    <t>https://twitter.com/KarimMassimov_E/statuses/271660774378848256</t>
  </si>
  <si>
    <t>https://twitter.com/KarimMassimov_E/lists</t>
  </si>
  <si>
    <t>https://twitter.com/MOFAKuwait/statuses/502457720096563201</t>
  </si>
  <si>
    <t>https://twitter.com/MOFAKuwait/lists</t>
  </si>
  <si>
    <t>http://twiplomacy.com/info/asia/Kuwait</t>
  </si>
  <si>
    <t>https://twitter.com/UNHCRJo/status/608618148254887937</t>
  </si>
  <si>
    <t>https://twitter.com/MOFAKuwait_en/lists</t>
  </si>
  <si>
    <t>Президент КР</t>
  </si>
  <si>
    <t>Официальные новости.Аппарат Президента Кыргызской Республики Алмазбека Атамбаева.Расмий жаңылыктар.Кыргыз Республикасынын Президентинин Аппараты.</t>
  </si>
  <si>
    <t>Бишкек, Кыргызстан</t>
  </si>
  <si>
    <t>OkmotKG</t>
  </si>
  <si>
    <t>Правительство КР</t>
  </si>
  <si>
    <t>https://twitter.com/OkmotKG/status/439312011160477697</t>
  </si>
  <si>
    <t>Официальный аккаунт Правительства Кыргызской Республики</t>
  </si>
  <si>
    <t>МИД КР</t>
  </si>
  <si>
    <t>Официальный twitter-аккаунт Министерства иностранных дел Кыргызской Республики</t>
  </si>
  <si>
    <t>г.Бишкек, бул.Эркиндик, 57</t>
  </si>
  <si>
    <t>Tammam Salam</t>
  </si>
  <si>
    <t>The official twitter account of the Prime Minister of Lebanon Tammam Salam</t>
  </si>
  <si>
    <t>Gebran Bassil</t>
  </si>
  <si>
    <t>Mohd Najib Tun Razak</t>
  </si>
  <si>
    <t>Prime Minister of Malaysia, working towards a #BetterNation</t>
  </si>
  <si>
    <t>Msia PM Press Office</t>
  </si>
  <si>
    <t>Official Press Office Twitter account for the Prime Minister of Malaysia</t>
  </si>
  <si>
    <t>https://twitter.com/PMOMalaysia/statuses/314240115423735809</t>
  </si>
  <si>
    <t>Putrajaya, Malaysia</t>
  </si>
  <si>
    <t>Anifah Aman</t>
  </si>
  <si>
    <t>The official Twitter account of the Minister of Foreign Affairs</t>
  </si>
  <si>
    <t>https://twitter.com/anifah_aman/lists</t>
  </si>
  <si>
    <t>Malaysia_Gov</t>
  </si>
  <si>
    <t>Malaysia Government</t>
  </si>
  <si>
    <t>Malaysia is a federal constitutional monarchy consisting of 13 States and 3 Federal Territories. RTs do not equal endorsement.</t>
  </si>
  <si>
    <t>https://twitter.com/Malaysia_Gov/lists</t>
  </si>
  <si>
    <t>myGovPortal</t>
  </si>
  <si>
    <t>MyGovernment</t>
  </si>
  <si>
    <t>https://twitter.com/myGovPortal/statuses/91908401092771842</t>
  </si>
  <si>
    <t>https://twitter.com/myGovPortal/lists</t>
  </si>
  <si>
    <t>Abdulla Yameen</t>
  </si>
  <si>
    <t>https://twitter.com/PresidentYameen/lists</t>
  </si>
  <si>
    <t>Presidency Maldives</t>
  </si>
  <si>
    <t>Official Twitter account of The President's Office. Follow for the latest from President Yameen and his Administration.</t>
  </si>
  <si>
    <t>https://twitter.com/presidencymv/lists</t>
  </si>
  <si>
    <t>Republic of Maldives</t>
  </si>
  <si>
    <t>MFA-Maldives</t>
  </si>
  <si>
    <t>Official Twitter Account of the Ministry of Foreign Affairs of the Republic of Maldives</t>
  </si>
  <si>
    <t>Dormant since 24.12.2012</t>
  </si>
  <si>
    <t>Цахиагийн ЭЛБЭГДОРЖ</t>
  </si>
  <si>
    <t>https://twitter.com/elbegdorj/lists</t>
  </si>
  <si>
    <t>Ulaanbaatar, Mongolia</t>
  </si>
  <si>
    <t>President's Office</t>
  </si>
  <si>
    <t>Dormant since 02.01.2015</t>
  </si>
  <si>
    <t>https://twitter.com/ts_elbegdorj/lists</t>
  </si>
  <si>
    <t>https://twitter.com/SaikhanbilegPM/status/652055339487985664</t>
  </si>
  <si>
    <t>https://twitter.com/SaikhanbilegPM/lists</t>
  </si>
  <si>
    <t>pmoffice_mn</t>
  </si>
  <si>
    <t>PM's office</t>
  </si>
  <si>
    <t>Ерөнхий сайдын ажлын алба</t>
  </si>
  <si>
    <t>Dormant since 13.10.2014</t>
  </si>
  <si>
    <t>https://twitter.com/pmoffice_mn/lists</t>
  </si>
  <si>
    <t>Purevsuren Lundeg</t>
  </si>
  <si>
    <t>Гадаад хэргийн сайд Foreign Minister of Mongolia   http://t.co/O3OXUFcUjc</t>
  </si>
  <si>
    <t>MongolDiplomacy</t>
  </si>
  <si>
    <t>https://twitter.com/MongolDiplomacy/lists</t>
  </si>
  <si>
    <t>MFA Mongolia</t>
  </si>
  <si>
    <t>zasagmn</t>
  </si>
  <si>
    <t>zasag</t>
  </si>
  <si>
    <t>МОНГОЛ УЛСЫН ЕРӨНХИЙ САЙД Н.АЛТАНХУЯГИЙН ТЭРГҮҮЛСЭН ШИНЭЧЛЭЛИЙН ЗАСГИЙН ГАЗАР</t>
  </si>
  <si>
    <t>Dormant since 14.11.2013</t>
  </si>
  <si>
    <t>https://twitter.com/zasagmn/statuses/319973508186787841</t>
  </si>
  <si>
    <t>GovernmentMN</t>
  </si>
  <si>
    <t>Government Mongolia</t>
  </si>
  <si>
    <t>Official twitter for Government of Mongolia</t>
  </si>
  <si>
    <t>https://twitter.com/GovernmentMN/lists</t>
  </si>
  <si>
    <t>https://twitter.com/kpsharmaoli</t>
  </si>
  <si>
    <t>https://twitter.com/kpsharmaoli/status/516859217920016384</t>
  </si>
  <si>
    <t>https://twitter.com/kpsharmaoli/lists</t>
  </si>
  <si>
    <t>https://twitter.com/PM_Nepal</t>
  </si>
  <si>
    <t>https://twitter.com/PM_Nepal/status/608653079991336960</t>
  </si>
  <si>
    <t>https://twitter.com/PM_Nepal/lists</t>
  </si>
  <si>
    <t>https://twitter.com/KTnepal</t>
  </si>
  <si>
    <t>Kamal Thapa</t>
  </si>
  <si>
    <t>https://twitter.com/KTnepal/status/304914985086251008</t>
  </si>
  <si>
    <t>https://twitter.com/KTnepal/lists</t>
  </si>
  <si>
    <t>https://twitter.com/MofaNepal/status/569728633289314305</t>
  </si>
  <si>
    <t>https://twitter.com/MofaNepal/lists</t>
  </si>
  <si>
    <t>الحساب الرسمي لوزارة الخارجية العمانية</t>
  </si>
  <si>
    <t>MOFA</t>
  </si>
  <si>
    <t>https://twitter.com/MofaOman/lists</t>
  </si>
  <si>
    <t>سلطنة عمان</t>
  </si>
  <si>
    <t>PID Pakistan</t>
  </si>
  <si>
    <t>https://twitter.com/pid_gov/status/101563079892008960</t>
  </si>
  <si>
    <t>Press Information Department, Government of Pakistan</t>
  </si>
  <si>
    <t>Islamabad</t>
  </si>
  <si>
    <t>Mian Nawaz Sharif</t>
  </si>
  <si>
    <t>https://twitter.com/PMNawazSharif/statuses/426275564916592640</t>
  </si>
  <si>
    <t>https://twitter.com/PMNawazSharif/lists</t>
  </si>
  <si>
    <t>Lahore, Pakistan</t>
  </si>
  <si>
    <t>ForeignOfficePk</t>
  </si>
  <si>
    <t>SpokespersonMOFA</t>
  </si>
  <si>
    <t>https://twitter.com/ForeignOfficePk/status/472776127862161409</t>
  </si>
  <si>
    <t>Public Diplomacy PK</t>
  </si>
  <si>
    <t>Official Twitter account for the Public Diplomacy Division of the Ministry of Foreign Affairs, Government of Pakistan. Contact us at publicdiplomacy@mofa.gov.pk</t>
  </si>
  <si>
    <t>Dormant since 04.06.2013</t>
  </si>
  <si>
    <t>https://twitter.com/PakDiplomacy/statuses/251179451113668608</t>
  </si>
  <si>
    <t>https://twitter.com/PakDiplomacy/lists</t>
  </si>
  <si>
    <t>all around the world</t>
  </si>
  <si>
    <t>RamiHamdalla</t>
  </si>
  <si>
    <t>Rami Hamdallah</t>
  </si>
  <si>
    <t>https://twitter.com/RamiHamdalla/status/343678192189595648</t>
  </si>
  <si>
    <t>Ramallah</t>
  </si>
  <si>
    <t>Gov. Media Center</t>
  </si>
  <si>
    <t>PGMC is responsible for managing the outflow of governmental media relations and information data collected through Arab, Israeli, and foreign media outlets.</t>
  </si>
  <si>
    <t>https://twitter.com/PalestinianGov/lists</t>
  </si>
  <si>
    <t>Ramallah, Palestine</t>
  </si>
  <si>
    <t>https://twitter.com/pmofa</t>
  </si>
  <si>
    <t>PM O'Neill</t>
  </si>
  <si>
    <t>Noynoy Aquino</t>
  </si>
  <si>
    <t>President of the Republic of the Philippines</t>
  </si>
  <si>
    <t>Metro Manila, Philippines</t>
  </si>
  <si>
    <t>PCOO</t>
  </si>
  <si>
    <t>The Official Twitter Account of the Presidential Communications Operations Office of the Philippine Government</t>
  </si>
  <si>
    <t>https://twitter.com/GovPH_PCOO/lists</t>
  </si>
  <si>
    <t>DFA Spokesperson</t>
  </si>
  <si>
    <t>The Spokesperson of the Department of Foreign Affairs, Philippines. Visit http://t.co/y8LtTolfBV for other official pronouncements.</t>
  </si>
  <si>
    <t>https://twitter.com/dfaspokesperson/lists</t>
  </si>
  <si>
    <t>P-Noy</t>
  </si>
  <si>
    <t>We request everyone to now follow @noynoyaquino, the President's official Twitter account. Thank you.</t>
  </si>
  <si>
    <t>Dormant since 22.07.2012</t>
  </si>
  <si>
    <t>https://twitter.com/PresidentNoy/statuses/148967056233074690</t>
  </si>
  <si>
    <t>http://twiplomacy.com/info/asia/Qatar</t>
  </si>
  <si>
    <t>Emir</t>
  </si>
  <si>
    <t>https://twitter.com/TameemAlthani/status/203815170743607296</t>
  </si>
  <si>
    <t>https://twitter.com/TameemAlthani/lists</t>
  </si>
  <si>
    <t>https://twitter.com/HukoomiQatar</t>
  </si>
  <si>
    <t>https://twitter.com/HukoomiQatar/status/60314154413719552</t>
  </si>
  <si>
    <t>https://twitter.com/HukoomiQatar/lists</t>
  </si>
  <si>
    <t>وزارة الخارجية - قطر</t>
  </si>
  <si>
    <t>الحساب الرسمي لوزارة الخارجية القطرية</t>
  </si>
  <si>
    <t>https://twitter.com/MofaQatar_AR/statuses/568724669223690240</t>
  </si>
  <si>
    <t>https://twitter.com/MofaQatar_AR/lists</t>
  </si>
  <si>
    <t>MOFA - Qatar</t>
  </si>
  <si>
    <t>The official twitter account for the Ministry of Foreign Affairs - Qatar</t>
  </si>
  <si>
    <t>https://twitter.com/MofaQatar_EN/statuses/552879221714870272</t>
  </si>
  <si>
    <t>https://twitter.com/MofaQatar_EN/lists</t>
  </si>
  <si>
    <t>سلمان بن عبدالعزيز</t>
  </si>
  <si>
    <t>الحساب الرسمي لخادم الحرمين الشريفين الملك سلمان بن عبدالعزيز آل سعود، ملك المملكة العربية السعودية</t>
  </si>
  <si>
    <t>Royal</t>
  </si>
  <si>
    <t>https://twitter.com/KingSalman/lists</t>
  </si>
  <si>
    <t>المملكة العربية السعودية</t>
  </si>
  <si>
    <t>سعودي</t>
  </si>
  <si>
    <t>البوابة الوطنية للتعاملات الإلكترونية الحكومية</t>
  </si>
  <si>
    <t>عادل بن أحمد الجبير</t>
  </si>
  <si>
    <t>https://twitter.com/AdelAljubeir/lists</t>
  </si>
  <si>
    <t>الحساب الرسمي لوزارة الخارجية في المملكة العربية السعودية. The official Twitter account of the Ministry of Foreign Affairs of the Kingdom of Saudi Arabia.</t>
  </si>
  <si>
    <t>https://twitter.com/KSAMOFA/lists</t>
  </si>
  <si>
    <t>Lee Hsien Loong</t>
  </si>
  <si>
    <t>https://twitter.com/leehsienloong/statuses/579736017864798208</t>
  </si>
  <si>
    <t>https://twitter.com/leehsienloong/lists</t>
  </si>
  <si>
    <t>Singapore Government</t>
  </si>
  <si>
    <t>Gov.sg - the official Twitter account of the Singapore government. Your first stop for the very latest policy announcements, information and news on Singapore.</t>
  </si>
  <si>
    <t>https://twitter.com/VivianBala</t>
  </si>
  <si>
    <t>Vivian Balakrishnan</t>
  </si>
  <si>
    <t>박근혜(Park Geun Hye)</t>
  </si>
  <si>
    <t>대한민국 18대 대통령 박근혜의 공식 트위터입니다.</t>
  </si>
  <si>
    <t>ko</t>
  </si>
  <si>
    <t>대한민국 청와대</t>
  </si>
  <si>
    <t>청와대 공식 트위터 계정 / Official Cheong Wa Dae twitter account - Office of the president, the Republic of Korea</t>
  </si>
  <si>
    <t>대한민국</t>
  </si>
  <si>
    <t>국무총리실(PMO)</t>
  </si>
  <si>
    <t>https://twitter.com/PrimeMinisterKR/statuses/487097354739544064</t>
  </si>
  <si>
    <t>외교부</t>
  </si>
  <si>
    <t>외교부 공식 트위터입니다.</t>
  </si>
  <si>
    <t>대한민국 정부포털</t>
  </si>
  <si>
    <t>대한민국 정부포털 공식 트위터입니다.</t>
  </si>
  <si>
    <t>서울</t>
  </si>
  <si>
    <t>Welcome to the Republic of Korea Ministry of Foreign Affairs' official Twitter.</t>
  </si>
  <si>
    <t>https://twitter.com/MOFAkr_eng/statuses/459971476037189633</t>
  </si>
  <si>
    <t>Seoul, Korea</t>
  </si>
  <si>
    <t>Maithripala Sirisena</t>
  </si>
  <si>
    <t>Ranil Wickremesinghe</t>
  </si>
  <si>
    <t>Prime Minister of the Democratic Socialist Republic of Sri Lanka</t>
  </si>
  <si>
    <t>Mangala Samaraweera</t>
  </si>
  <si>
    <t>https://twitter.com/RW_UNP/status/538708316759683072</t>
  </si>
  <si>
    <t>MFA SL</t>
  </si>
  <si>
    <t>https://twitter.com/MFA_SriLanka</t>
  </si>
  <si>
    <t>https://twitter.com/MFA_SriLanka/status/444438497940611072</t>
  </si>
  <si>
    <t>https://twitter.com/MFA_SriLanka/lists</t>
  </si>
  <si>
    <t>Colombo</t>
  </si>
  <si>
    <t>MFASriLanka</t>
  </si>
  <si>
    <t>http://twiplomacy.com/info/asia/Sri-Lanka</t>
  </si>
  <si>
    <t>https://twitter.com/MFASriLanka/status/604938171827154944</t>
  </si>
  <si>
    <t>https://twitter.com/MFASriLanka/lists</t>
  </si>
  <si>
    <t>LankaMFA</t>
  </si>
  <si>
    <t>Ministry of Foreign Affairs, Sri Lanka</t>
  </si>
  <si>
    <t>https://twitter.com/LankaMFA/statuses/568662247318233088</t>
  </si>
  <si>
    <t>https://twitter.com/LankaMFA/lists</t>
  </si>
  <si>
    <t>Syrian Presidency</t>
  </si>
  <si>
    <t>This is the official Twitter account for the Presidency of the Syrian Arab Republic, offering updates on Presidential news and events.</t>
  </si>
  <si>
    <t>https://twitter.com/Presidency_Sy/lists</t>
  </si>
  <si>
    <t>https://twitter.com/presstj/lists</t>
  </si>
  <si>
    <t>Таджикистан</t>
  </si>
  <si>
    <t>https://twitter.com/MID_Tajikistan/status/624144831242067968</t>
  </si>
  <si>
    <t>https://twitter.com/MID_Tajikistan/lists</t>
  </si>
  <si>
    <t>http://twiplomacy.com/info/asia/Tajikistan</t>
  </si>
  <si>
    <t>https://twitter.com/MFA_Tajikistan/status/624139131996606465</t>
  </si>
  <si>
    <t>https://twitter.com/MFA_Tajikistan/lists</t>
  </si>
  <si>
    <t>Emomali Rahmon</t>
  </si>
  <si>
    <t>The President of Republic of Tajikistan.</t>
  </si>
  <si>
    <t>https://twitter.com/EmomaliRahmon/lists</t>
  </si>
  <si>
    <t>Душанбе |Dushanbe|</t>
  </si>
  <si>
    <t>Thai Khu Fah</t>
  </si>
  <si>
    <t>ศูนย์ประชาสัมพันธ์ข่าวรัฐบาลไทย Thai Government News Center</t>
  </si>
  <si>
    <t>https://twitter.com/ThaiKhuFah/statuses/476660222459518977</t>
  </si>
  <si>
    <t>Bangkok, Thailand</t>
  </si>
  <si>
    <t>th</t>
  </si>
  <si>
    <t>กรมประชาสัมพันธ์</t>
  </si>
  <si>
    <t>Thailand's Government Public Relations Department, Office of the Prime Minister. The provider of official news and information about Thailand.</t>
  </si>
  <si>
    <t>https://twitter.com/prdthailand/lists</t>
  </si>
  <si>
    <t>กระทรวงการต่างประเทศ</t>
  </si>
  <si>
    <t>ติดตามข่าวสารเพิ่มเติมบนโซเชียลมีเดียอีกช่องทางที่                                  Facebook : กระทรวงการต่างประเทศ</t>
  </si>
  <si>
    <t>MFAupdate</t>
  </si>
  <si>
    <t>MFA Thailand</t>
  </si>
  <si>
    <t>https://twitter.com/MFAupdate/statuses/478138221696528384</t>
  </si>
  <si>
    <t>MFAThai_PR_EN</t>
  </si>
  <si>
    <t>MFAThai ENG</t>
  </si>
  <si>
    <t>Official Press Release in English version by Ministry of Foreign Affairs of Thailand</t>
  </si>
  <si>
    <t>https://twitter.com/MFAThai_PR_EN/statuses/271619911950954496</t>
  </si>
  <si>
    <t>HH Sheikh Mohammed</t>
  </si>
  <si>
    <t>Official Tweets by His Highness Sheikh Mohammed bin Rashid Al Maktoum</t>
  </si>
  <si>
    <t>Dubai, UAE</t>
  </si>
  <si>
    <t>عبدالله بن زايد</t>
  </si>
  <si>
    <t>https://twitter.com/MOFAUAE/lists</t>
  </si>
  <si>
    <t>OFM</t>
  </si>
  <si>
    <t>https://twitter.com/OFMUAE/lists</t>
  </si>
  <si>
    <t>UAE</t>
  </si>
  <si>
    <t>أخبار محمد بن زايد</t>
  </si>
  <si>
    <t>حساب تويتر الرسمي لأخبار صاحب السمو الشيخ محمد بن زايد آل نهيان The official twitter account for the news of HH Mohamed bin Zayed Al Nahyan</t>
  </si>
  <si>
    <t>https://twitter.com/MBZNews/statuses/518834561187196928</t>
  </si>
  <si>
    <t>https://twitter.com/MBZNews/lists</t>
  </si>
  <si>
    <t>UAEmGov</t>
  </si>
  <si>
    <t>حكومة دولة الامارات</t>
  </si>
  <si>
    <t>https://twitter.com/UAEmGov/statuses/545438904778629120</t>
  </si>
  <si>
    <t>https://twitter.com/UAEmGov/lists</t>
  </si>
  <si>
    <t>UAE / الإمارات</t>
  </si>
  <si>
    <t>GOV.UZ</t>
  </si>
  <si>
    <t>The Governmental Portal of The Republic of Uzbekistan is the official state information resource of the Government of The Republic of Uzbekistan.</t>
  </si>
  <si>
    <t>https://twitter.com/GOVuz/lists</t>
  </si>
  <si>
    <t>Tashkent, Uzbekistan</t>
  </si>
  <si>
    <t>عبدربه منصور هادي</t>
  </si>
  <si>
    <t>https://twitter.com/HadiPresident/lists</t>
  </si>
  <si>
    <t>اليمن</t>
  </si>
  <si>
    <t>Khaled Bahah</t>
  </si>
  <si>
    <t>BujarNishani</t>
  </si>
  <si>
    <t>Bujar Nishani</t>
  </si>
  <si>
    <t>Edi Rama</t>
  </si>
  <si>
    <t>Faqja Zyrtare e Kryeministrit të Republikës së Shqipërisë</t>
  </si>
  <si>
    <t>https://twitter.com/ediramaal/lists</t>
  </si>
  <si>
    <t>Tirane - Shqipëri</t>
  </si>
  <si>
    <t>Vienna</t>
  </si>
  <si>
    <t>Ditmir Bushati</t>
  </si>
  <si>
    <t>Father &amp; husband. Foreign Minister of Albania. @AlbanianMFA</t>
  </si>
  <si>
    <t>https://twitter.com/ditmirbushati/lists</t>
  </si>
  <si>
    <t>Albanian MFA</t>
  </si>
  <si>
    <t>Official Twitter feed of the Albanian Ministry of Foreign Affairs</t>
  </si>
  <si>
    <t>https://twitter.com/AlbanianMFA/lists</t>
  </si>
  <si>
    <t>Tirana, Albania</t>
  </si>
  <si>
    <t>Govern d’Andorra</t>
  </si>
  <si>
    <t>https://twitter.com/GovernAndorra/lists</t>
  </si>
  <si>
    <t>ca</t>
  </si>
  <si>
    <t>Dormant since 22.11.2011</t>
  </si>
  <si>
    <t>https://twitter.com/teamkanzler/statuses/138970417028272128</t>
  </si>
  <si>
    <t>https://twitter.com/teamkanzler/lists</t>
  </si>
  <si>
    <t>Wien</t>
  </si>
  <si>
    <t>Berlin</t>
  </si>
  <si>
    <t>de</t>
  </si>
  <si>
    <t>Sebastian Kurz</t>
  </si>
  <si>
    <t>Minister - Europa, Integration, Äußeres - Bundesobmann Junge ÖVP // Foreign Minister of Austria (@MFA_Austria)</t>
  </si>
  <si>
    <t>https://twitter.com/sebastiankurz/lists</t>
  </si>
  <si>
    <t>MFA Austria</t>
  </si>
  <si>
    <t>former @Minoritenplatz8; Österreichisches Außenministerium, Austrian Foreign Ministry, Ministère des Affaires étrangères d'Autriche</t>
  </si>
  <si>
    <t>Vienna, Austria</t>
  </si>
  <si>
    <t>Официальный twitter-аккаунт Министерства иностранных дел Республики Беларусь (For tweets in English please follow @BelarusMFA)</t>
  </si>
  <si>
    <t>https://twitter.com/BelarusMID/lists</t>
  </si>
  <si>
    <t>Belarus MFA</t>
  </si>
  <si>
    <t>Official English language twitter of the Ministry of Foreign Affairs of the Republic of Belarus (For tweets in Belarusian and Russian please follow @BelarusMID)</t>
  </si>
  <si>
    <t>https://twitter.com/BelarusMFA/lists</t>
  </si>
  <si>
    <t>Minsk</t>
  </si>
  <si>
    <t>Belgian Royal Palace</t>
  </si>
  <si>
    <t>Officieel Twitter-kanaal van het Koninklijk Paleis, België - Compte Twitter officiel du Palais Royal, Belgique</t>
  </si>
  <si>
    <t>Royal Palace</t>
  </si>
  <si>
    <t>https://twitter.com/MonarchieBe/lists</t>
  </si>
  <si>
    <t>Charles Michel</t>
  </si>
  <si>
    <t>Premier Ministre de Belgique / Eerste Minister van België / Premierminister von Belgien</t>
  </si>
  <si>
    <t>didier reynders</t>
  </si>
  <si>
    <t>deputy prime minister and foreign affairs minister</t>
  </si>
  <si>
    <t>https://twitter.com/dreynders/lists</t>
  </si>
  <si>
    <t>belgium</t>
  </si>
  <si>
    <t>Belgium MFA</t>
  </si>
  <si>
    <t>Bakir Izetbegović</t>
  </si>
  <si>
    <t>https://twitter.com/B_Izetbegovic/lists</t>
  </si>
  <si>
    <t>Sarajevo, Bosna i Hercegovina</t>
  </si>
  <si>
    <t>Dr Denis Zvizdić</t>
  </si>
  <si>
    <t>https://twitter.com/DrZvizdic/lists</t>
  </si>
  <si>
    <t>rplevneliev</t>
  </si>
  <si>
    <t>Росен Плевнелиев</t>
  </si>
  <si>
    <t>Страница на Росен Плевнелиев, поддържана от щаба за президентската кампания #rplevneliev2011. Туитовете от Росен са подписани с инициали РП</t>
  </si>
  <si>
    <t>Dormant since 30.10.2011</t>
  </si>
  <si>
    <t>https://twitter.com/rplevneliev/lists</t>
  </si>
  <si>
    <t>Sofia</t>
  </si>
  <si>
    <t>Bulgarian Presidency</t>
  </si>
  <si>
    <t>Administration of the Bulgarian President - Press Office/Администрация на Президента</t>
  </si>
  <si>
    <t>https://twitter.com/BgPresidency/lists</t>
  </si>
  <si>
    <t>Bulgaria, Sofia</t>
  </si>
  <si>
    <t>Boyko Borissov</t>
  </si>
  <si>
    <t>Prime Minister of the Republic of Bulgaria</t>
  </si>
  <si>
    <t>Daniel Mitov</t>
  </si>
  <si>
    <t>Foreign Minister of Bulgaria</t>
  </si>
  <si>
    <t>MFA Bulgaria</t>
  </si>
  <si>
    <t>Министерство на външните работи на Република България | Ministry of Foreign Affairs of the Republic of Bulgaria</t>
  </si>
  <si>
    <t>https://twitter.com/MFABulgaria/statuses/512890439108952064</t>
  </si>
  <si>
    <t>https://twitter.com/MFABulgaria/lists</t>
  </si>
  <si>
    <t>Sofia, Bulgaria</t>
  </si>
  <si>
    <t>Kolinda GK</t>
  </si>
  <si>
    <t>Ured predsjednika RH</t>
  </si>
  <si>
    <t>Službeni twitter account ureda Predsjednika Republike Hrvatske.</t>
  </si>
  <si>
    <t>https://twitter.com/uredprh/lists</t>
  </si>
  <si>
    <t>Zagreb, Croatia</t>
  </si>
  <si>
    <t>Vlada R. Hrvatske</t>
  </si>
  <si>
    <t>MVEP</t>
  </si>
  <si>
    <t>Ministarstvo vanjskih i europskih poslova / Ministry of Foreign and European Affairs of the Republic of Croatia</t>
  </si>
  <si>
    <t>Trg Nikole Šubića Zrinskog 7-8</t>
  </si>
  <si>
    <t>Nicos Anastasiades</t>
  </si>
  <si>
    <t>Νίκος Αναστασιάδης, Πρόεδρος της Κυπριακής Δημοκρατίας/ President of the Republic of Cyprus; see also @CYpresidency</t>
  </si>
  <si>
    <t>https://twitter.com/AnastasiadesCY/lists</t>
  </si>
  <si>
    <t>Προεδρία της ΚΔ</t>
  </si>
  <si>
    <t>https://twitter.com/CYpresidency/lists</t>
  </si>
  <si>
    <t>Cyprus Portal</t>
  </si>
  <si>
    <t>https://twitter.com/GovCyprus/lists</t>
  </si>
  <si>
    <t>Ioannis Kasoulides</t>
  </si>
  <si>
    <t>Minister of Foreign Affairs of the Republic of Cyprus (2013- , 1997-2003)</t>
  </si>
  <si>
    <t>https://twitter.com/IKasoulides/lists</t>
  </si>
  <si>
    <t>Nicosia</t>
  </si>
  <si>
    <t>Cyprus MFA</t>
  </si>
  <si>
    <t>Ministry of Foreign Affairs of the Republic of Cyprus, Official Account -  Υπουργείο Εξωτερικών Κυπριακής Δημοκρατίας, Επίσημος Λογαριασμός</t>
  </si>
  <si>
    <t>https://twitter.com/CyprusMFA/lists</t>
  </si>
  <si>
    <t>Nicosia, Cyprus</t>
  </si>
  <si>
    <t>Miloš Zeman</t>
  </si>
  <si>
    <t>Dormant since 07.10.2013</t>
  </si>
  <si>
    <t>https://twitter.com/MZemanOficialni/lists</t>
  </si>
  <si>
    <t>Prezident České republiky</t>
  </si>
  <si>
    <t>cs</t>
  </si>
  <si>
    <t>Bohuslav Sobotka</t>
  </si>
  <si>
    <t>Předseda vlády a sociální demokrat</t>
  </si>
  <si>
    <t>https://twitter.com/SlavekSobotka/status/580051688150720512</t>
  </si>
  <si>
    <t>Úřad vlády ČR</t>
  </si>
  <si>
    <t>Oficiální twitter účet Úřadu vlády České republiky</t>
  </si>
  <si>
    <t>Prague, Czech Republic</t>
  </si>
  <si>
    <t>https://twitter.com/strakovka/lists</t>
  </si>
  <si>
    <t>Praha, Malá Strana</t>
  </si>
  <si>
    <t>Prague</t>
  </si>
  <si>
    <t>Lubomír Zaorálek</t>
  </si>
  <si>
    <t>Oficiální profil/Official Profile. Ministr zahraničních věcí, místopředseda ČSSD, poslanec PS PČR -- Minister of Foreign Affairs, CSSD Deputy Chairman, MP</t>
  </si>
  <si>
    <t>https://twitter.com/ZaoralekL/statuses/553514820990156801</t>
  </si>
  <si>
    <t>MZV ČR</t>
  </si>
  <si>
    <t>Vítejte na oficiálním Twitteru Ministerstva zahraničních věcí České republiky. V angličtině tweetujeme na @CzechMFA.</t>
  </si>
  <si>
    <t>Praha</t>
  </si>
  <si>
    <t>Czech MFA</t>
  </si>
  <si>
    <t>Welcome to the official Twitter account of the Ministry of Foreign Affairs of the Czech Republic. Tweets in Czech are at @mzvcr.</t>
  </si>
  <si>
    <t>Lars Løkke Rasmussen</t>
  </si>
  <si>
    <t>https://twitter.com/larsloekke/lists</t>
  </si>
  <si>
    <t>Kristian Jensen</t>
  </si>
  <si>
    <t>https://twitter.com/Kristian_Jensen/status/1383674750</t>
  </si>
  <si>
    <t>https://twitter.com/Kristian_Jensen/lists</t>
  </si>
  <si>
    <t>Udenrigsministeriet</t>
  </si>
  <si>
    <t>Seneste nyt fra Udenrigsministeriet (Ministry of Foreign Affairs of Denmark). Læs ministeriets retningslinjer for sociale medier på http://t.co/5dZkWPbrZ1</t>
  </si>
  <si>
    <t>Danmark</t>
  </si>
  <si>
    <t>da</t>
  </si>
  <si>
    <t>toomas hendrik ilves</t>
  </si>
  <si>
    <t>vaata kodukalt/look at my homepage</t>
  </si>
  <si>
    <t>Tallinn</t>
  </si>
  <si>
    <t>Taavi Rõivas</t>
  </si>
  <si>
    <t>https://twitter.com/TaaviRoivas/statuses/523530893613617152</t>
  </si>
  <si>
    <t>Valitsuse uudised</t>
  </si>
  <si>
    <t>Vabariigi Valitsuse uudised. For tweets in English, visit @EstonianGovt</t>
  </si>
  <si>
    <t>https://twitter.com/StenbockiMaja/statuses/448537553763708928</t>
  </si>
  <si>
    <t>Tallinn, Eesti</t>
  </si>
  <si>
    <t>Marina Kaljurand</t>
  </si>
  <si>
    <t>Estonian MFA</t>
  </si>
  <si>
    <t>https://twitter.com/valismin/statuses/536192926846828544</t>
  </si>
  <si>
    <t>Tallinn, Islandi Väljak 1</t>
  </si>
  <si>
    <t>Estonian Government</t>
  </si>
  <si>
    <t>Tallinn, Estonia</t>
  </si>
  <si>
    <t>donaldtusk</t>
  </si>
  <si>
    <t>Donald Tusk</t>
  </si>
  <si>
    <t>Oficjalny profil Donalda Tuska. The official profile of Donald Tusk.</t>
  </si>
  <si>
    <t>EU</t>
  </si>
  <si>
    <t>Council President</t>
  </si>
  <si>
    <t>Warsaw</t>
  </si>
  <si>
    <t>eucopresident</t>
  </si>
  <si>
    <t>Twitter channel of Donald Tusk, President of the European Council. Managed by the media team.</t>
  </si>
  <si>
    <t>EUCouncil</t>
  </si>
  <si>
    <t>EU Council</t>
  </si>
  <si>
    <t>28 EU governments making decisions together at the European Council &amp; Council of the EU. Learn, participate, share. Latest news @eucouncilpress #eucouncil #euco</t>
  </si>
  <si>
    <t>Brussels, Belgium</t>
  </si>
  <si>
    <t>Jean-Claude Juncker</t>
  </si>
  <si>
    <t>President of the @EU_Commission</t>
  </si>
  <si>
    <t>Commission President</t>
  </si>
  <si>
    <t>European Commission</t>
  </si>
  <si>
    <t>Commission</t>
  </si>
  <si>
    <t>Federica Mogherini</t>
  </si>
  <si>
    <t>it</t>
  </si>
  <si>
    <t>EU External Action</t>
  </si>
  <si>
    <t>HQ: Brussels</t>
  </si>
  <si>
    <t>EUCouncilTVNews</t>
  </si>
  <si>
    <t>EU Council TV News</t>
  </si>
  <si>
    <t>Video coverage of Council news. Download our video packages in broadcast quality or embed them on your web page.</t>
  </si>
  <si>
    <t>EUCouncilPress</t>
  </si>
  <si>
    <t>EU Council Press</t>
  </si>
  <si>
    <t>Dormant since 17.02.2009</t>
  </si>
  <si>
    <t>Skopje</t>
  </si>
  <si>
    <t>Влада на Македонија</t>
  </si>
  <si>
    <t>https://twitter.com/VladaMK/lists</t>
  </si>
  <si>
    <t>Македонија</t>
  </si>
  <si>
    <t>Nikola Poposki</t>
  </si>
  <si>
    <t>Official channel of the Macedonian Minister of Foreign Affairs, maintained by PR OFFICE</t>
  </si>
  <si>
    <t>https://twitter.com/NikolaPoposki/lists</t>
  </si>
  <si>
    <t>Sauli Niinistö</t>
  </si>
  <si>
    <t>https://twitter.com/niinisto/lists</t>
  </si>
  <si>
    <t>https://twitter.com/TPKanslia/lists</t>
  </si>
  <si>
    <t>Helsinki, Finland</t>
  </si>
  <si>
    <t>Juha Sipilä</t>
  </si>
  <si>
    <t>Hallituksen ja ministeriöiden tuoreimmat uutiset. Tiliä ylläpitää Valtioneuvoston viestintäosasto http://t.co/yWe70paZ2G</t>
  </si>
  <si>
    <t>https://twitter.com/valtioneuvosto/lists</t>
  </si>
  <si>
    <t>Suomi</t>
  </si>
  <si>
    <t>fi</t>
  </si>
  <si>
    <t>Valtioneuvosto</t>
  </si>
  <si>
    <t>Ulkoministeriö</t>
  </si>
  <si>
    <t>FinGovernment</t>
  </si>
  <si>
    <t>Finnish Government</t>
  </si>
  <si>
    <t>Latest from the Finnish Government and ministries</t>
  </si>
  <si>
    <t>https://twitter.com/FinGovernment/lists</t>
  </si>
  <si>
    <t>statsradet</t>
  </si>
  <si>
    <t>Statsrådet</t>
  </si>
  <si>
    <t>De senaste nyheterna från regeringen och ministerierna</t>
  </si>
  <si>
    <t>https://twitter.com/statsradet/statuses/527023044020424705</t>
  </si>
  <si>
    <t>https://twitter.com/statsradet/lists</t>
  </si>
  <si>
    <t>François Hollande</t>
  </si>
  <si>
    <t>Président de la République française</t>
  </si>
  <si>
    <t>https://twitter.com/fhollande/lists</t>
  </si>
  <si>
    <t>Élysée</t>
  </si>
  <si>
    <t>Manuel Valls</t>
  </si>
  <si>
    <t>Premier ministre</t>
  </si>
  <si>
    <t>Gouvernement</t>
  </si>
  <si>
    <t>SIG</t>
  </si>
  <si>
    <t>France Diplomatie</t>
  </si>
  <si>
    <t>Paris, France</t>
  </si>
  <si>
    <t>francediplo_EN</t>
  </si>
  <si>
    <t>France Diplomacy</t>
  </si>
  <si>
    <t>French Ministry of Foreign Affairs and International Development - Quai d'Orsay    Official English version of @francediplo, @francediplo_AR, @francediplo_ES</t>
  </si>
  <si>
    <t>Matignon</t>
  </si>
  <si>
    <t>Dormant since 01.04.2014</t>
  </si>
  <si>
    <t>https://twitter.com/Matignon/statuses/450668637041741825</t>
  </si>
  <si>
    <t>francediplo_ES</t>
  </si>
  <si>
    <t>Diplomacia francesa</t>
  </si>
  <si>
    <t>Cuenta oficial del Ministerio francés de Asuntos Exteriores y Desarrollo Internacional - Quai d'Orsay - @francediplo #Francia #Diplomacia</t>
  </si>
  <si>
    <t>París, Francia</t>
  </si>
  <si>
    <t>French_Gov</t>
  </si>
  <si>
    <t>French Government</t>
  </si>
  <si>
    <t>French government's official twitter account for English speakers</t>
  </si>
  <si>
    <t>francediplo_AR</t>
  </si>
  <si>
    <t>الخارجية الفرنسية</t>
  </si>
  <si>
    <t>باريس</t>
  </si>
  <si>
    <t>Steffen Seibert</t>
  </si>
  <si>
    <t>Auswärtiges Amt</t>
  </si>
  <si>
    <t>GermanForeignOffice</t>
  </si>
  <si>
    <t>News from the German Foreign Office - Follow us in German as well @AuswaertigesAmt</t>
  </si>
  <si>
    <t>atsipras</t>
  </si>
  <si>
    <t>Alexis Tsipras</t>
  </si>
  <si>
    <t>https://twitter.com/atsipras/lists</t>
  </si>
  <si>
    <t>https://twitter.com/tsipras_eu/lists</t>
  </si>
  <si>
    <t>PrimeministerGR</t>
  </si>
  <si>
    <t>https://twitter.com/PrimeministerGR/lists</t>
  </si>
  <si>
    <t>government.gov.gr</t>
  </si>
  <si>
    <t>Ο επίσημος λογαριασμός της ιστοσελίδας της Ελληνικής Κυβέρνησης. (Ευθύνη διαχείρισης: Ομάδα Επικοινωνιακού Σχεδιασμού της Γ.Γ του Πρωθυπουργού)</t>
  </si>
  <si>
    <t>Dormant since 31.05.2012</t>
  </si>
  <si>
    <t>Dormant since 15.06.2012</t>
  </si>
  <si>
    <t>https://twitter.com/govgr/lists</t>
  </si>
  <si>
    <t>Nikos Kotzias</t>
  </si>
  <si>
    <t>Υπουργείο Εξωτερικών</t>
  </si>
  <si>
    <t>Επίσημος λογαριασμός twitter του Υπουργείου Εξωτερικών. Official twitter account of the Greek Ministry of Foreign Affairs | Greece in the World.</t>
  </si>
  <si>
    <t>https://twitter.com/GreeceMFA/lists</t>
  </si>
  <si>
    <t>Athens, Greece</t>
  </si>
  <si>
    <t>Orbán Viktor</t>
  </si>
  <si>
    <t>Dormant since 14.03.2010</t>
  </si>
  <si>
    <t>https://twitter.com/Viktor_Orban/lists</t>
  </si>
  <si>
    <t>Budapest</t>
  </si>
  <si>
    <t>Kormányportál</t>
  </si>
  <si>
    <t>Magyarország Kormánya hivatalos portáljának Twitter oldala</t>
  </si>
  <si>
    <t>Budapest, Hungary</t>
  </si>
  <si>
    <t>https://twitter.com/kormany_hu/statuses/25945265361920001</t>
  </si>
  <si>
    <t>https://twitter.com/kormany_hu/lists</t>
  </si>
  <si>
    <t>hu</t>
  </si>
  <si>
    <t>Forsætisráðuneytið</t>
  </si>
  <si>
    <t>no</t>
  </si>
  <si>
    <t>https://twitter.com/forsaetisradun/lists</t>
  </si>
  <si>
    <t>Reykjavik, Iceland</t>
  </si>
  <si>
    <t>MFA Iceland</t>
  </si>
  <si>
    <t>https://twitter.com/MFAIceland/statuses/563341000819867648</t>
  </si>
  <si>
    <t>Reykjavík, Iceland</t>
  </si>
  <si>
    <t>Michael D Higgins</t>
  </si>
  <si>
    <t>President of Ireland</t>
  </si>
  <si>
    <t>Dormant since 11.11.2011</t>
  </si>
  <si>
    <t>https://twitter.com/md_higgins/statuses/130305517045293056</t>
  </si>
  <si>
    <t>http://twiplomacy.com/info/europe/Ireland</t>
  </si>
  <si>
    <t>https://twitter.com/PresidentIRL/status/675599902118961152</t>
  </si>
  <si>
    <t>https://twitter.com/PresidentIRL/lists</t>
  </si>
  <si>
    <t>Enda Kenny</t>
  </si>
  <si>
    <t>MerrionStreet.ie</t>
  </si>
  <si>
    <t>Dublin 2</t>
  </si>
  <si>
    <t>Charlie Flanagan</t>
  </si>
  <si>
    <t>IrishForeignMinistry</t>
  </si>
  <si>
    <t>\\News from the Department of Foreign Affairs &amp; Trade, Ireland// Twitter Policy: http://t.co/k0OkxAlj2h</t>
  </si>
  <si>
    <t>Dublin, Ireland</t>
  </si>
  <si>
    <t>eGovernment Ireland</t>
  </si>
  <si>
    <t>Quirinale Uff Stampa</t>
  </si>
  <si>
    <t>Quirinale</t>
  </si>
  <si>
    <t>Matteo Renzi</t>
  </si>
  <si>
    <t>Presidente del Consiglio dei Ministri. Segretario del PD</t>
  </si>
  <si>
    <t>https://twitter.com/matteorenzi/statuses/278038799609634817</t>
  </si>
  <si>
    <t>https://twitter.com/matteorenzi/lists</t>
  </si>
  <si>
    <t>Profilo ufficiale della Presidenza del Consiglio dei Ministri. Governo italiano.</t>
  </si>
  <si>
    <t>https://twitter.com/Palazzo_Chigi/statuses/555776417364197377</t>
  </si>
  <si>
    <t>https://twitter.com/Palazzo_Chigi/lists</t>
  </si>
  <si>
    <t>Paolo Gentiloni</t>
  </si>
  <si>
    <t>ItalyMFA</t>
  </si>
  <si>
    <t>Farnesina</t>
  </si>
  <si>
    <t>Profilo ufficiale del Ministero degli Affari Esteri e della Cooperazione Internazionale | Ministry of Foreign Affairs and International Cooperation of Italy</t>
  </si>
  <si>
    <t>https://twitter.com/ItalyMFA</t>
  </si>
  <si>
    <t>Roma, Italia</t>
  </si>
  <si>
    <t>Hashim Thaçi</t>
  </si>
  <si>
    <t>https://twitter.com/HashimThaciRKS/lists</t>
  </si>
  <si>
    <t>Kosova</t>
  </si>
  <si>
    <t>MFAKosovo</t>
  </si>
  <si>
    <t>Raimonds Vējonis</t>
  </si>
  <si>
    <t>Valsts prezidents</t>
  </si>
  <si>
    <t>Rātslaukums 7, Rīga</t>
  </si>
  <si>
    <t>Valdības māja</t>
  </si>
  <si>
    <t>Ministru kabinets / Government of Latvia</t>
  </si>
  <si>
    <t>Brīvības bulvāris 36, Rīga</t>
  </si>
  <si>
    <t>Edgars Rinkēvičs</t>
  </si>
  <si>
    <t>Latvijas Republikas ārlietu ministrs/ Minister of Foreign Affairs of the Republic of Latvia</t>
  </si>
  <si>
    <t>Latvija/Latvia</t>
  </si>
  <si>
    <t>Ārlietu ministrija</t>
  </si>
  <si>
    <t>Rīga, Latvija</t>
  </si>
  <si>
    <t>Latvian MFA</t>
  </si>
  <si>
    <t>Adrian Hasler</t>
  </si>
  <si>
    <t>Bern</t>
  </si>
  <si>
    <t>Reg. Liechtenstein</t>
  </si>
  <si>
    <t>Dormant since 26.03.2013</t>
  </si>
  <si>
    <t>https://twitter.com/regierung_fl/lists</t>
  </si>
  <si>
    <t>Liechtenstein MFA</t>
  </si>
  <si>
    <t>Offizielles Twitterkonto des Liechtensteinischen Ministeriums für Äusseres - Official Twitter account of the Liechtenstein Ministry for Foreign Affairs</t>
  </si>
  <si>
    <t>https://twitter.com/MFA_LI/statuses/518051448652054528</t>
  </si>
  <si>
    <t>https://twitter.com/MFA_LI/lists</t>
  </si>
  <si>
    <t>Vaduz</t>
  </si>
  <si>
    <t>Dalia Grybauskaitė</t>
  </si>
  <si>
    <t>President of the Republic of Lithuania</t>
  </si>
  <si>
    <t>https://twitter.com/Grybauskaite_LT/lists</t>
  </si>
  <si>
    <t>Algirdas Butkevičius</t>
  </si>
  <si>
    <t>Prime Minister of the Republic of Lithuania</t>
  </si>
  <si>
    <t>https://twitter.com/AButkevicius/lists</t>
  </si>
  <si>
    <t>Vilnius, Lietuva</t>
  </si>
  <si>
    <t>LR Vyriausybė</t>
  </si>
  <si>
    <t>Sveiki atvykę į oficialų Vyriausybės puslapį socialiniame tinkle Twitter! Welcome to official Twitter account of the Government of the Republic of Lithuania</t>
  </si>
  <si>
    <t>https://twitter.com/Vyriausybe/statuses/374859486349250560</t>
  </si>
  <si>
    <t>https://twitter.com/Vyriausybe/lists</t>
  </si>
  <si>
    <t>Gedimino pr. 11, Vilnius.</t>
  </si>
  <si>
    <t>Linas Linkevicius</t>
  </si>
  <si>
    <t>Lithuania’s Minister of Foreign Affairs</t>
  </si>
  <si>
    <t>https://twitter.com/LinkeviciusL/statuses/502845958229852162</t>
  </si>
  <si>
    <t>https://twitter.com/LinkeviciusL/lists</t>
  </si>
  <si>
    <t>Vilnius, Lithuania</t>
  </si>
  <si>
    <t>Lithuania MFA</t>
  </si>
  <si>
    <t>This is the official account of the Ministry of Foreign Affairs of the Republic of Lithuania. This account is managed by the MFA Communications team.</t>
  </si>
  <si>
    <t>https://twitter.com/LithuaniaMFA/statuses/566935829399232512</t>
  </si>
  <si>
    <t>LT_MFA_Stratcom</t>
  </si>
  <si>
    <t>LT MFA STRATCOM</t>
  </si>
  <si>
    <t>This is the official account of the Strategic Communication Group of the Lithuanian Ministry of Foreign Affairs.</t>
  </si>
  <si>
    <t>Cour Grand-Ducale</t>
  </si>
  <si>
    <t>Les activités à la Cour Grand-Ducale du Luxembourg. Latest activities from the Grand-Ducal Court of Luxembourg.</t>
  </si>
  <si>
    <t>Princely Palace</t>
  </si>
  <si>
    <t>https://twitter.com/CourGrandDucale/lists</t>
  </si>
  <si>
    <t>Bettel Xavier</t>
  </si>
  <si>
    <t>https://twitter.com/Xavier_Bettel/lists</t>
  </si>
  <si>
    <t>gouv_lu</t>
  </si>
  <si>
    <t>GouvernementLU</t>
  </si>
  <si>
    <t>Compte officiel du gouvernement luxembourgeois. Official account of the Luxembourgish government.</t>
  </si>
  <si>
    <t>Marie-Louise Coleiro</t>
  </si>
  <si>
    <t>This is the Official Twitter Profile of Marie-Louise Coleiro Preca - President of Malta.</t>
  </si>
  <si>
    <t>Joseph Muscat</t>
  </si>
  <si>
    <t>Prime Minister and Leader of the Labour Party - Malta. This profile is run by the PL campaign team. Personal tweets by Joseph Muscat are signed -JM.</t>
  </si>
  <si>
    <t>http://twiplomacy.com/info/europe/Malta</t>
  </si>
  <si>
    <t>https://twitter.com/JosephMuscat_JM/statuses/553622052587204608</t>
  </si>
  <si>
    <t>https://twitter.com/JosephMuscat_JM/lists</t>
  </si>
  <si>
    <t>https://twitter.com/MFAMalta/status/661236510474244096</t>
  </si>
  <si>
    <t>https://twitter.com/MFAMalta/lists</t>
  </si>
  <si>
    <t>DOI (Malta)</t>
  </si>
  <si>
    <t>Department of Information (Malta) provides the public with information on Government policies, services and activities as well as on matters of public interest.</t>
  </si>
  <si>
    <t>Valletta, Malta</t>
  </si>
  <si>
    <t>Nicolae Timofti</t>
  </si>
  <si>
    <t>Președintele Republicii Moldova</t>
  </si>
  <si>
    <t>Dormant since 06.11.2013</t>
  </si>
  <si>
    <t>https://twitter.com/Nicolae_Timofti/lists</t>
  </si>
  <si>
    <t>Chișinău</t>
  </si>
  <si>
    <t>https://twitter.com/presedinte_md/statuses/575655124661497857</t>
  </si>
  <si>
    <t>https://twitter.com/presedinte_md/lists</t>
  </si>
  <si>
    <t>Republica Moldova</t>
  </si>
  <si>
    <t>ro</t>
  </si>
  <si>
    <t>https://twitter.com/GuvernulRMD/status/500568569650749440</t>
  </si>
  <si>
    <t>MFA Moldova</t>
  </si>
  <si>
    <t>Official twitter-account of the Ministry of Foreign Affairs and European Integration of the Republic of Moldova</t>
  </si>
  <si>
    <t>https://twitter.com/Diplomacy_RM/lists</t>
  </si>
  <si>
    <t>Chisinau, Moldova</t>
  </si>
  <si>
    <t>palaisprinciermonaco</t>
  </si>
  <si>
    <t>https://twitter.com/palaismonaco/lists</t>
  </si>
  <si>
    <t>Gouvernement Monaco</t>
  </si>
  <si>
    <t>https://twitter.com/GvtMonaco/lists</t>
  </si>
  <si>
    <t>Government of Monaco</t>
  </si>
  <si>
    <t>Govt. of Montenegro</t>
  </si>
  <si>
    <t>https://twitter.com/MeGovernment/lists</t>
  </si>
  <si>
    <t>Vlada Crne Gore</t>
  </si>
  <si>
    <t>https://twitter.com/VladaCG/lists</t>
  </si>
  <si>
    <t>Koninklijk Huis</t>
  </si>
  <si>
    <t>Dit is het officiële Twitter-kanaal over het Koninklijk Huis van de Rijksvoorlichtingsdienst. This is the official Twitter account of the Dutch Royal House</t>
  </si>
  <si>
    <t>Royal House</t>
  </si>
  <si>
    <t>https://twitter.com/koninklijkhuis/lists</t>
  </si>
  <si>
    <t>The Hague/the Netherlands</t>
  </si>
  <si>
    <t>Minister-president</t>
  </si>
  <si>
    <t>Minister-president van Nederland – Redactie door de Rijksvoorlichtingsdienst – Wij zijn benieuwd naar jullie reacties</t>
  </si>
  <si>
    <t>https://twitter.com/MinPres/lists</t>
  </si>
  <si>
    <t>Nederland</t>
  </si>
  <si>
    <t>Den Haag</t>
  </si>
  <si>
    <t>nl</t>
  </si>
  <si>
    <t>https://twitter.com/DutchMFA/lists/representations-abroad/members</t>
  </si>
  <si>
    <t>The Hague</t>
  </si>
  <si>
    <t>The Hague, Netherlands</t>
  </si>
  <si>
    <t>Det kongelige hoff</t>
  </si>
  <si>
    <t>Official twitter stream on behalf of Their Royal Highnesses The Crown Prince and Crown Princess of Norway</t>
  </si>
  <si>
    <t>Royal Couple</t>
  </si>
  <si>
    <t>https://twitter.com/Kronprinsparet/lists</t>
  </si>
  <si>
    <t>Oslo</t>
  </si>
  <si>
    <t>Erna Solberg</t>
  </si>
  <si>
    <t>https://twitter.com/erna_solberg/lists</t>
  </si>
  <si>
    <t>Hordaland, Bergen</t>
  </si>
  <si>
    <t>Stockholm</t>
  </si>
  <si>
    <t>SMK</t>
  </si>
  <si>
    <t>Statsministerens kontor bistår statsministeren i å lede og samordne arbeidet i regjeringen.</t>
  </si>
  <si>
    <t>https://twitter.com/Statsmin_kontor/statuses/95237316863471616</t>
  </si>
  <si>
    <t>Børge Brende</t>
  </si>
  <si>
    <t>Norway, Oslo</t>
  </si>
  <si>
    <t>Utenriksdepartement</t>
  </si>
  <si>
    <t>Norway MFA</t>
  </si>
  <si>
    <t>Norwegian Ministry of Foreign Affairs official Twitter profile in English. For tweets in Norwegian, visit @Utenriksdept</t>
  </si>
  <si>
    <t>Andrzej Duda</t>
  </si>
  <si>
    <t>https://twitter.com/AndrzejDuda/lists</t>
  </si>
  <si>
    <t>https://twitter.com/prezydentpl/statuses/436794733407379457</t>
  </si>
  <si>
    <t>https://twitter.com/prezydentpl/lists</t>
  </si>
  <si>
    <t>Warszawa, Polska</t>
  </si>
  <si>
    <t>https://twitter.com/BeataSzydlo</t>
  </si>
  <si>
    <t>Beata Szydło</t>
  </si>
  <si>
    <t>Prezes Rady Ministrów RP</t>
  </si>
  <si>
    <t>Kancelaria Premiera</t>
  </si>
  <si>
    <t>https://twitter.com/PremierRP/lists</t>
  </si>
  <si>
    <t>pl</t>
  </si>
  <si>
    <t>MSZ RP</t>
  </si>
  <si>
    <t>Ministerstwo Spraw Zagranicznych Rzeczypospolitej Polskiej</t>
  </si>
  <si>
    <t>Poland MFA</t>
  </si>
  <si>
    <t>Ministry of Foreign Affairs of the Republic of Poland</t>
  </si>
  <si>
    <t>Warsaw, Poland</t>
  </si>
  <si>
    <t>Dormant since 27.05.2015</t>
  </si>
  <si>
    <t>Lisboa, Portugal</t>
  </si>
  <si>
    <t>https://twitter.com/CostaPS2015</t>
  </si>
  <si>
    <t>https://twitter.com/govpt/lists</t>
  </si>
  <si>
    <t>MNE GOV PT</t>
  </si>
  <si>
    <t>Twitter Oficial do Ministério dos Negócios Estrangeiros / Ministry of Foreign Affairs of Portugal</t>
  </si>
  <si>
    <t>Klaus Iohannis</t>
  </si>
  <si>
    <t>https://twitter.com/KlausIohannis/statuses/534106024207466497</t>
  </si>
  <si>
    <t>http://twiplomacy.com/info/europe/Romania</t>
  </si>
  <si>
    <t>https://twitter.com/CiolosDacian/status/666398082528071680</t>
  </si>
  <si>
    <t>https://twitter.com/CiolosDacian/lists</t>
  </si>
  <si>
    <t>Guvernul României</t>
  </si>
  <si>
    <t>https://twitter.com/guv_ro/lists</t>
  </si>
  <si>
    <t>Bucharest, Romania</t>
  </si>
  <si>
    <t>https://twitter.com/MAERomania/statuses/465108730334703616</t>
  </si>
  <si>
    <t>Владимир Путин</t>
  </si>
  <si>
    <t>Официальный аккаунт поддержки Президента Российской Федерации Владимира Путина. Личные сообщения отмечены #ВП</t>
  </si>
  <si>
    <t>https://twitter.com/PutinRF/lists</t>
  </si>
  <si>
    <t>Москва, Кремль</t>
  </si>
  <si>
    <t>Президент России</t>
  </si>
  <si>
    <t>Кремль. Официальные новости</t>
  </si>
  <si>
    <t>https://twitter.com/KremlinRussia/lists</t>
  </si>
  <si>
    <t>Москва, Россия</t>
  </si>
  <si>
    <t>Moscow</t>
  </si>
  <si>
    <t>Дмитрий Медведев</t>
  </si>
  <si>
    <t>Председатель Правительства Российской Федерации.Аккаунт на английском - @MedvedevRussiaE</t>
  </si>
  <si>
    <t>https://twitter.com/MedvedevRussia/lists</t>
  </si>
  <si>
    <t>Россия, Москва</t>
  </si>
  <si>
    <t>Правительство России</t>
  </si>
  <si>
    <t>https://twitter.com/Pravitelstvo_RF/lists</t>
  </si>
  <si>
    <t>Москва</t>
  </si>
  <si>
    <t>МИД России</t>
  </si>
  <si>
    <t>http://twiplomacy.com/info/europe/Russia</t>
  </si>
  <si>
    <t>https://twitter.com/Russia/status/537875224432484352</t>
  </si>
  <si>
    <t>https://twitter.com/Russia/lists</t>
  </si>
  <si>
    <t>Dmitry Medvedev</t>
  </si>
  <si>
    <t>Prime Minister of Russia. For tweets in Russian, follow @MedvedevRussia</t>
  </si>
  <si>
    <t>https://twitter.com/MedvedevRussiaE/lists</t>
  </si>
  <si>
    <t>Moscow, Russia</t>
  </si>
  <si>
    <t>Government of Russia</t>
  </si>
  <si>
    <t>https://twitter.com/GovernmentRF/lists</t>
  </si>
  <si>
    <t>mfa_russia</t>
  </si>
  <si>
    <t>MFA Russia</t>
  </si>
  <si>
    <t>President of Russia</t>
  </si>
  <si>
    <t>Official Kremlin news</t>
  </si>
  <si>
    <t>https://twitter.com/KremlinRussia_E/statuses/542988237208580096</t>
  </si>
  <si>
    <t>https://twitter.com/KremlinRussia_E/lists</t>
  </si>
  <si>
    <t>Vladimir Putin</t>
  </si>
  <si>
    <t>The official twitter channel for President of the Russian Federation. Tweets from the President are signed #VP</t>
  </si>
  <si>
    <t>https://twitter.com/PutinRF_Eng/lists</t>
  </si>
  <si>
    <t>Kremlin, Moscow</t>
  </si>
  <si>
    <t>Томислав Николић</t>
  </si>
  <si>
    <t>Званичан налог председника Републике Србије на Твитеру. Твитови председника почињу са ТН:</t>
  </si>
  <si>
    <t>https://twitter.com/predsednikrs/lists</t>
  </si>
  <si>
    <t>Република Србија</t>
  </si>
  <si>
    <t>Presidency of Serbia</t>
  </si>
  <si>
    <t>This is the official account of the Presidency of Serbia. This account is managed by the Presidency media team.</t>
  </si>
  <si>
    <t>https://twitter.com/PresidencySrb/lists</t>
  </si>
  <si>
    <t>Александар Вучић</t>
  </si>
  <si>
    <t>Србија, Београд</t>
  </si>
  <si>
    <t>Serbian Government</t>
  </si>
  <si>
    <t>Official Twitter account of the Government of the Republic of Serbia in English. We welcome your suggestions, questions ...</t>
  </si>
  <si>
    <t>https://twitter.com/SerbianGov/statuses/468369067318214657</t>
  </si>
  <si>
    <t>https://twitter.com/SerbianGov/lists</t>
  </si>
  <si>
    <t>Nemanjina 11, Belgrade, SERBIA</t>
  </si>
  <si>
    <t>ivica dacic</t>
  </si>
  <si>
    <t>Rodjen u Prizrenu 1. januara 1966. Predsednik Socijalisticke partije Srbije, zamenik premijera i ministar unutrasnjih poslova u Vladi Srbije.</t>
  </si>
  <si>
    <t>Beograd, Srbija</t>
  </si>
  <si>
    <t>Kancelarija za OCD</t>
  </si>
  <si>
    <t>Kancelarija za saradnju sa civilnim društvom Vlade Republike Srbije. Stvaramo podsticajno okruženje za #OCDrs (organizacije civilnog društva u Srbiji)</t>
  </si>
  <si>
    <t>https://twitter.com/vladaOCDrs/statuses/511952465336348672</t>
  </si>
  <si>
    <t>Званични твитер налог председника Владе Републике Србије / The official Twitter channel of the Prime Minister of the Republic of Serbia</t>
  </si>
  <si>
    <t>Немањина 11, Београд</t>
  </si>
  <si>
    <t>Andrej Kiska</t>
  </si>
  <si>
    <t>fico2014</t>
  </si>
  <si>
    <t>ROBERT FICO</t>
  </si>
  <si>
    <t>SMER  –   SOCIÁLNA  DEMOKRACIA</t>
  </si>
  <si>
    <t>Dormant since 28.03.2014</t>
  </si>
  <si>
    <t>https://twitter.com/fico2014/lists</t>
  </si>
  <si>
    <t>Bratislava</t>
  </si>
  <si>
    <t>Miroslav Lajčák</t>
  </si>
  <si>
    <t>https://twitter.com/MiroslavLajcak/lists</t>
  </si>
  <si>
    <t>Slovakia MFA</t>
  </si>
  <si>
    <t>Ministry of Foreign and European Affairs of the Slovak republic, Ministerstvo zahraničných vecí a európskych záležitostí Slovenskej republiky</t>
  </si>
  <si>
    <t>https://twitter.com/SlovakiaMFA/lists</t>
  </si>
  <si>
    <t>Borut Pahor</t>
  </si>
  <si>
    <t>Uradni račun predsednika Republike Slovenije Boruta Pahorja. Tvita ekipa, tviti PRS označeni z BP/Official channel of the President of the Republic of Slovenia</t>
  </si>
  <si>
    <t>dr. Miro Cerar</t>
  </si>
  <si>
    <t>Prime Minister of the Republic of Slovenia / Uradni račun dr. Mira Cerarja, predsednika Vlade Republike Slovenije in predsednika stranke SMC. Zanj tvita ekipa.</t>
  </si>
  <si>
    <t>vladaRS</t>
  </si>
  <si>
    <t>Vlada R. Slovenije</t>
  </si>
  <si>
    <t>Tvita Urad vlade za komuniciranje. |  English account @govSlovenia</t>
  </si>
  <si>
    <t>https://twitter.com/vladaRS/lists</t>
  </si>
  <si>
    <t>Slovenija</t>
  </si>
  <si>
    <t>MFA SLOVENIA</t>
  </si>
  <si>
    <t>Ministry of Foreign Affairs of the Republic of Slovenia. Ministrstvo za zunanje zadeve Republike Slovenije. Tvita služba za odnose z javnostmi MZZ.</t>
  </si>
  <si>
    <t>Ljubljana, Slovenia</t>
  </si>
  <si>
    <t>govSlovenia</t>
  </si>
  <si>
    <t>Slovenian Government</t>
  </si>
  <si>
    <t>Official English language Twitter account of the Government of the Republic of Slovenia. | Slovenski profil @vladaRS</t>
  </si>
  <si>
    <t>https://twitter.com/govSlovenia/lists</t>
  </si>
  <si>
    <t>Casa de S.M. el Rey</t>
  </si>
  <si>
    <t>Información e imágenes sobre la actividad de la Familia Real española y la Casa de S.M. el Rey. Normas de uso http://t.co/un8JnSHqUS</t>
  </si>
  <si>
    <t>Royal Household</t>
  </si>
  <si>
    <t>Madrid</t>
  </si>
  <si>
    <t>es</t>
  </si>
  <si>
    <t>Mariano Rajoy Brey</t>
  </si>
  <si>
    <t>https://twitter.com/marianorajoy/lists</t>
  </si>
  <si>
    <t>La Moncloa</t>
  </si>
  <si>
    <t>Madrid (Spain)</t>
  </si>
  <si>
    <t>http://twiplomacy.com/info/europe/Spain</t>
  </si>
  <si>
    <t>https://twitter.com/IgnacioYbanez</t>
  </si>
  <si>
    <t>https://twitter.com/IgnacioYbanez/status/586107384076115968</t>
  </si>
  <si>
    <t>https://twitter.com/IgnacioYbanez/lists</t>
  </si>
  <si>
    <t>Exteriores</t>
  </si>
  <si>
    <t>Bienvenido a la cuenta oficial del Ministerio de Asuntos Exteriores y de Cooperación de España.Normas de uso: http://t.co/ZvrxVMVLaS Cuenta en inglés: @SpainMFA</t>
  </si>
  <si>
    <t>Welcome to the official English Twitter of the Ministry of Foreign Affairs and Cooperation of Spain. Rules of use: http://t.co/pj2X2R8Yfh</t>
  </si>
  <si>
    <t>Margot Wallström</t>
  </si>
  <si>
    <t>Minister for Foreign Affairs of Sweden</t>
  </si>
  <si>
    <t>Utrikesdepartementet</t>
  </si>
  <si>
    <t>https://twitter.com/Utrikesdep/statuses/467619919488905216</t>
  </si>
  <si>
    <t>Stockholm, Sverige</t>
  </si>
  <si>
    <t>sv</t>
  </si>
  <si>
    <t>Swedish MFA</t>
  </si>
  <si>
    <t>Stockholm, Sweden</t>
  </si>
  <si>
    <t>André Simonazzi</t>
  </si>
  <si>
    <t>Sprecher des Schweiz. Bundesrates. Porte-parole du Conseil fédéral. Portavoce del Consiglio federale. Spokesman Swiss Government. Teamtweets enden mit (BK)</t>
  </si>
  <si>
    <t>https://twitter.com/BR_Sprecher/lists</t>
  </si>
  <si>
    <t>Bern, Schweiz</t>
  </si>
  <si>
    <t>Recep Tayyip Erdoğan</t>
  </si>
  <si>
    <t>Türkiye Cumhuriyeti Cumhurbaşkanı - President of the Republic of Turkey</t>
  </si>
  <si>
    <t>https://twitter.com/RT_Erdogan/lists</t>
  </si>
  <si>
    <t>Ankara, Turkey</t>
  </si>
  <si>
    <t>tr</t>
  </si>
  <si>
    <t>T.C.Cumhurbaşkanlığı</t>
  </si>
  <si>
    <t>https://twitter.com/tcbestepe/lists</t>
  </si>
  <si>
    <t>Ankara</t>
  </si>
  <si>
    <t>Ahmet Davutoğlu</t>
  </si>
  <si>
    <t>Türkiye Cumhuriyeti Başbakanı - Adalet ve Kalkınma Partisi Genel Başkanı</t>
  </si>
  <si>
    <t>https://twitter.com/Ahmet_Davutoglu/lists</t>
  </si>
  <si>
    <t>Byegm</t>
  </si>
  <si>
    <t>Başbakanlık Byegm</t>
  </si>
  <si>
    <t>Mevlüt Çavuşoğlu</t>
  </si>
  <si>
    <t>TC Dışişleri Bakanı, Antalya MV, AKPM Onursal Başkanı – Minister of Foreign Affairs of Republic of Turkey, MP for Antalya, Hon. President of the PACE</t>
  </si>
  <si>
    <t>https://twitter.com/MevlutCavusoglu/statuses/427437953284333568</t>
  </si>
  <si>
    <t>TC_Disisleri</t>
  </si>
  <si>
    <t>Dışişleri Bakanlığı</t>
  </si>
  <si>
    <t>https://twitter.com/TC_Disisleri/lists</t>
  </si>
  <si>
    <t>Türkiye</t>
  </si>
  <si>
    <t>BasbakanlikKDK</t>
  </si>
  <si>
    <t>Kamu Diplomasisi</t>
  </si>
  <si>
    <t>https://twitter.com/BasbakanlikKDK/lists</t>
  </si>
  <si>
    <t>TURKEY</t>
  </si>
  <si>
    <t>MFATurkeyArabic</t>
  </si>
  <si>
    <t>Turkish MFA Arabic</t>
  </si>
  <si>
    <t>الصفحة الرسمية لوزارة الخارجية التركية على موقع تويتر</t>
  </si>
  <si>
    <t>https://twitter.com/MFATurkeyArabic/lists</t>
  </si>
  <si>
    <t>Ankara, TURKEY</t>
  </si>
  <si>
    <t>A_Davutoglu_ar</t>
  </si>
  <si>
    <t>https://twitter.com/A_Davutoglu_ar/lists</t>
  </si>
  <si>
    <t>A_Davutoglu_eng</t>
  </si>
  <si>
    <t>Prime Minister of Republic of Turkey - Chairman of AK PARTY</t>
  </si>
  <si>
    <t>https://twitter.com/A_Davutoglu_eng/lists</t>
  </si>
  <si>
    <t>TROfficeofPD</t>
  </si>
  <si>
    <t>Public Diplomacy, TR</t>
  </si>
  <si>
    <t>Official Twitter Account of Office of #PublicDiplomacy, Prime Ministry of Turkey. Follow us: @basbakanlikkdk @DiploPubliqueTR @PDTurkeyArabic</t>
  </si>
  <si>
    <t>https://twitter.com/TROfficeofPD/statuses/500177663022342144</t>
  </si>
  <si>
    <t>https://twitter.com/TROfficeofPD/lists</t>
  </si>
  <si>
    <t>ByegmENG</t>
  </si>
  <si>
    <t>Turkey PM Press&amp;Info</t>
  </si>
  <si>
    <t>MFATurkeyFrench</t>
  </si>
  <si>
    <t>Turkish MFA French</t>
  </si>
  <si>
    <t>Ministère des Affaires étrangères de la République de Turquie- Retrouvez-nous en anglais sur @MFATurkey et en arabe sur @MFATurkeyArabic</t>
  </si>
  <si>
    <t>https://twitter.com/MFATurkeyFrench/lists</t>
  </si>
  <si>
    <t>Turkish MFA</t>
  </si>
  <si>
    <t>Official Twitter page of the Ministry of Foreign Affairs of the Republic of Turkey @tc_disisleri (Türkçe) @MFATurkeyArabic @MFATurkeyFrench</t>
  </si>
  <si>
    <t>https://twitter.com/MFATurkey/lists</t>
  </si>
  <si>
    <t>Turkish Presidency</t>
  </si>
  <si>
    <t>https://twitter.com/trpresidency/lists</t>
  </si>
  <si>
    <t>DiploPubliqueTR</t>
  </si>
  <si>
    <t>Turquie en Français</t>
  </si>
  <si>
    <t>Compte géré par le Bureau de la Diplomatie Publique, Office du Premier Ministre Turc. Retrouvez-nous aussi sur @BasbakanlikKDK @TROfficeofPD @PDTurkeyArabic</t>
  </si>
  <si>
    <t>https://twitter.com/DiploPubliqueTR/lists</t>
  </si>
  <si>
    <t>TURQUIE</t>
  </si>
  <si>
    <t>PDTurkeyArabic</t>
  </si>
  <si>
    <t>الدبلوماسية العامة</t>
  </si>
  <si>
    <t>https://twitter.com/PDTurkeyArabic/lists</t>
  </si>
  <si>
    <t>تركيا</t>
  </si>
  <si>
    <t>Петро Порошенко</t>
  </si>
  <si>
    <t>Президент України,                                                                                           The President of Ukraine</t>
  </si>
  <si>
    <t>Kyiv</t>
  </si>
  <si>
    <t>uk</t>
  </si>
  <si>
    <t>APUkraine</t>
  </si>
  <si>
    <t>APU</t>
  </si>
  <si>
    <t>Київ</t>
  </si>
  <si>
    <t>Arseniy Yatsenyuk</t>
  </si>
  <si>
    <t>https://twitter.com/Yatsenyuk_AP/lists</t>
  </si>
  <si>
    <t>Україна</t>
  </si>
  <si>
    <t>Кабмін України</t>
  </si>
  <si>
    <t>https://twitter.com/Kabmin_UA/lists</t>
  </si>
  <si>
    <t>Україна, Київ</t>
  </si>
  <si>
    <t>Kabmin_UA_e</t>
  </si>
  <si>
    <t>Kabmin of Ukraine</t>
  </si>
  <si>
    <t>Official Cabinet of Ministers of Ukraine Twitter account. Messages received through official  Cabinet of Ministers of Ukraine pages. Learn more</t>
  </si>
  <si>
    <t>https://twitter.com/Kabmin_UA_e/lists</t>
  </si>
  <si>
    <t>Kyiv, Ukraine</t>
  </si>
  <si>
    <t>PavloKlimkin</t>
  </si>
  <si>
    <t>Minister for Foreign Affairs of Ukraine</t>
  </si>
  <si>
    <t>https://twitter.com/PavloKlimkin/statuses/504949237889921024</t>
  </si>
  <si>
    <t>https://twitter.com/PavloKlimkin/lists</t>
  </si>
  <si>
    <t>MFA of Ukraine</t>
  </si>
  <si>
    <t>Welcome to the official Twitter account of the Ministry of Foreign Affairs of Ukraine! Minister Klimkin tweets from @PavloKlimkin.</t>
  </si>
  <si>
    <t>https://twitter.com/MFA_Ukraine/lists/ukrainian-missions/members</t>
  </si>
  <si>
    <t>Ukraine, Kyiv</t>
  </si>
  <si>
    <t>TheBankova</t>
  </si>
  <si>
    <t>The Bankova</t>
  </si>
  <si>
    <t>Kabmin_UA_r</t>
  </si>
  <si>
    <t>Кабмин Украины</t>
  </si>
  <si>
    <t>Официальное Twitter-представительство Кабинета Министров Украины. Информация поступает с официального веб-сайта Кабинета Министров Украины. Более детально:</t>
  </si>
  <si>
    <t>https://twitter.com/Kabmin_UA_r/statuses/389764132477878272</t>
  </si>
  <si>
    <t>https://twitter.com/Kabmin_UA_r/lists</t>
  </si>
  <si>
    <t>David Cameron</t>
  </si>
  <si>
    <t>Prime Minister and Leader of the @Conservatives</t>
  </si>
  <si>
    <t>https://twitter.com/David_Cameron/lists</t>
  </si>
  <si>
    <t>UK</t>
  </si>
  <si>
    <t>UK Prime Minister</t>
  </si>
  <si>
    <t>10 Downing Street, London</t>
  </si>
  <si>
    <t>Cabinet Office</t>
  </si>
  <si>
    <t>Official Twitter feed from the UK's Cabinet Office</t>
  </si>
  <si>
    <t>Philip Hammond</t>
  </si>
  <si>
    <t>Foreign Office (FCO)</t>
  </si>
  <si>
    <t>Pope Francis</t>
  </si>
  <si>
    <t>Welcome to the official Twitter page of His Holiness Pope Francis</t>
  </si>
  <si>
    <t>https://twitter.com/Pontifex/lists</t>
  </si>
  <si>
    <t>Vatican City</t>
  </si>
  <si>
    <t>Benvenuti alla pagina Twitter ufficiale della Segreteria di Stato. Welcome to the official Twitter page of the Secretariat of State.</t>
  </si>
  <si>
    <t>https://twitter.com/TerzaLoggia/statuses/309278437107974144</t>
  </si>
  <si>
    <t>https://twitter.com/TerzaLoggia/lists</t>
  </si>
  <si>
    <t>Santa Sede - Holy See</t>
  </si>
  <si>
    <t>Pontifex_it</t>
  </si>
  <si>
    <t>Papa Francesco</t>
  </si>
  <si>
    <t>Benvenuti alla pagina Twitter ufficiale di Sua Santità Papa Francesco</t>
  </si>
  <si>
    <t>https://twitter.com/Pontifex_it/statuses/313247631109398528</t>
  </si>
  <si>
    <t>https://twitter.com/Pontifex_it/lists</t>
  </si>
  <si>
    <t>Città del Vaticano</t>
  </si>
  <si>
    <t>Pontifex_es</t>
  </si>
  <si>
    <t>Papa Francisco</t>
  </si>
  <si>
    <t>Bienvenido al Twitter oficial de Su Santidad Papa Francisco</t>
  </si>
  <si>
    <t>https://twitter.com/Pontifex_es/lists</t>
  </si>
  <si>
    <t>Ciudad del Vaticano</t>
  </si>
  <si>
    <t>Pontifex_pt</t>
  </si>
  <si>
    <t>Bem-vindo ao Twitter oficial de Sua Santidade Papa Francisco</t>
  </si>
  <si>
    <t>https://twitter.com/Pontifex_pt/lists</t>
  </si>
  <si>
    <t>Cidade do Vaticano</t>
  </si>
  <si>
    <t>Pontifex_ln</t>
  </si>
  <si>
    <t>Papa Franciscus</t>
  </si>
  <si>
    <t>Tuus adventus in paginam publicam Papae Francisci breviloquentis optatissimus est.</t>
  </si>
  <si>
    <t>https://twitter.com/Pontifex_ln/statuses/457821059962507265</t>
  </si>
  <si>
    <t>https://twitter.com/Pontifex_ln/lists</t>
  </si>
  <si>
    <t>Ex Civitate Vaticana</t>
  </si>
  <si>
    <t>Pontifex_fr</t>
  </si>
  <si>
    <t>Pape François</t>
  </si>
  <si>
    <t>Bienvenue sur la page Twitter officielle du Pape François</t>
  </si>
  <si>
    <t>https://twitter.com/Pontifex_fr/lists</t>
  </si>
  <si>
    <t>Cité du Vatican</t>
  </si>
  <si>
    <t>Pontifex_pl</t>
  </si>
  <si>
    <t>Papież Franciszek</t>
  </si>
  <si>
    <t>Witamy na oficjalnej stronie Twitter Jego Świątobliwości Papieża Franciszka</t>
  </si>
  <si>
    <t>https://twitter.com/Pontifex_pl/statuses/313247631046488064</t>
  </si>
  <si>
    <t>https://twitter.com/Pontifex_pl/lists</t>
  </si>
  <si>
    <t>Watykan</t>
  </si>
  <si>
    <t>Pontifex_de</t>
  </si>
  <si>
    <t>Papst Franziskus</t>
  </si>
  <si>
    <t>Willkommen auf der offiziellen Twitter-Seite Seiner Heiligkeit Papst Franziskus</t>
  </si>
  <si>
    <t>https://twitter.com/Pontifex_de/lists</t>
  </si>
  <si>
    <t>Vatikanstadt</t>
  </si>
  <si>
    <t>Pontifex_ar</t>
  </si>
  <si>
    <t>البابا فرنسيس</t>
  </si>
  <si>
    <t>أهلاً بكم في الصفحة الرسمية تويتر لقداسة البابا فرنسيس</t>
  </si>
  <si>
    <t>https://twitter.com/Pontifex_ar/lists</t>
  </si>
  <si>
    <t>حاضرة الفاتيكان</t>
  </si>
  <si>
    <t>gastonbrowne</t>
  </si>
  <si>
    <t>Gaston Browne</t>
  </si>
  <si>
    <t>https://twitter.com/gastonbrowne/status/461099603031760896</t>
  </si>
  <si>
    <t>Prime Minister - Antigua &amp; Barbuda</t>
  </si>
  <si>
    <t>Antigua &amp; Barbuda</t>
  </si>
  <si>
    <t>Official Twitter page for the Government of Antigua and Barbuda</t>
  </si>
  <si>
    <t>Dormant since 07.02.2013</t>
  </si>
  <si>
    <t>https://twitter.com/ABLPGastonbrown/status/293146005157847041</t>
  </si>
  <si>
    <t>Gaston Browne is a Champion of the people. He has provided his people with action centred leadership. He is the new Political Leader of the Antigua Labour Party</t>
  </si>
  <si>
    <t>Perry Christie</t>
  </si>
  <si>
    <t>Prime Minister and leader of the Progressive Liberal Party</t>
  </si>
  <si>
    <t>Dormant since 14.07.2012</t>
  </si>
  <si>
    <t>https://twitter.com/pgchristie/statuses/199822451591479296</t>
  </si>
  <si>
    <t>https://twitter.com/pgchristie/lists</t>
  </si>
  <si>
    <t>http://twiplomacy.com/info/north-america/Barbados</t>
  </si>
  <si>
    <t>https://twitter.com/gisbarbados</t>
  </si>
  <si>
    <t>https://twitter.com/gisbarbados/status/467310499986546688</t>
  </si>
  <si>
    <t>https://twitter.com/gisbarbados/lists</t>
  </si>
  <si>
    <t>Dean O. Barrow</t>
  </si>
  <si>
    <t>Born in Belize City on March 2, 1951.  First elected to the House of Representatives in 1984.  Sworn in as Prime Minister of Belize on Friday, February 8, 2008.</t>
  </si>
  <si>
    <t>Dormant since 27.07.2011</t>
  </si>
  <si>
    <t>https://twitter.com/BarrowDean/lists</t>
  </si>
  <si>
    <t>Government of Belize</t>
  </si>
  <si>
    <t>Government at Service of The People</t>
  </si>
  <si>
    <t>Dormant since 17.06.2010</t>
  </si>
  <si>
    <t>Belize, Central America</t>
  </si>
  <si>
    <t>https://twitter.com/JustinTrudeau</t>
  </si>
  <si>
    <t>Justin Trudeau</t>
  </si>
  <si>
    <t>https://twitter.com/JustinTrudeau/status/779795425</t>
  </si>
  <si>
    <t>https://twitter.com/JustinTrudeau/lists</t>
  </si>
  <si>
    <t>http://twiplomacy.com/info/north-america/Canada</t>
  </si>
  <si>
    <t>https://twitter.com/CanadianPM/status/662031271594500096</t>
  </si>
  <si>
    <t>https://twitter.com/CanadianPM/lists</t>
  </si>
  <si>
    <t>https://twitter.com/PMcanadien/status/662031376393326594</t>
  </si>
  <si>
    <t>https://twitter.com/PMcanadien/lists</t>
  </si>
  <si>
    <t>https://twitter.com/HonStephaneDion</t>
  </si>
  <si>
    <t>Stéphane Dion</t>
  </si>
  <si>
    <t>https://twitter.com/HonStephaneDion/status/393404960567595008</t>
  </si>
  <si>
    <t>Luis Guillermo Solís</t>
  </si>
  <si>
    <t>Primer Servidor de la República de Costa Rica 2014 - 2018</t>
  </si>
  <si>
    <t>Casa Presidencial CR</t>
  </si>
  <si>
    <t>https://twitter.com/presidenciacr/statuses/464461874365747200</t>
  </si>
  <si>
    <t>GobiernoCR</t>
  </si>
  <si>
    <t>http://twiplomacy.com/info/north-america/Costa-Rica</t>
  </si>
  <si>
    <t>https://twitter.com/Gobierno_CR/status/567388375020093441</t>
  </si>
  <si>
    <t>Por una ciudadanía mejor informada</t>
  </si>
  <si>
    <t>La Noticia CR</t>
  </si>
  <si>
    <t>Manuel A. Gonzalez S</t>
  </si>
  <si>
    <t>https://twitter.com/mgonzalezsanz/status/475501214151753728</t>
  </si>
  <si>
    <t>Ministro de Relaciones Exteriores de Costa Rica.</t>
  </si>
  <si>
    <t>https://twitter.com/CRcancilleria/status/527861475915083776</t>
  </si>
  <si>
    <t>El Ministerio de Relaciones Exteriores de Costa Rica fue creado el 9 de abril de 1844.</t>
  </si>
  <si>
    <t>Raúl Castro Ruz</t>
  </si>
  <si>
    <t>Discursos y noticias de Raúl Castro, Primer Secretario del @PartidoPCC y Presidente del Consejo de Estado y de Ministro de Cuba publicadas en @Cubadebate</t>
  </si>
  <si>
    <t>https://twitter.com/RaulCastroR/statuses/356444395643486209</t>
  </si>
  <si>
    <t>https://twitter.com/RaulCastroR/lists</t>
  </si>
  <si>
    <t>Cancillería de Cuba</t>
  </si>
  <si>
    <t>https://twitter.com/CubaMINREX/lists</t>
  </si>
  <si>
    <t>Roosevelt Skerrit</t>
  </si>
  <si>
    <t>Prime Minister of the Commonwealth of Dominica</t>
  </si>
  <si>
    <t>Danilo Medina</t>
  </si>
  <si>
    <t>Presidente constitucional de la República Dominicana. Comprometido con construir un país de oportunidades y bienestar. Padre de 3 bellas hijas, esposo de Candy.</t>
  </si>
  <si>
    <t>Republica Dominicana</t>
  </si>
  <si>
    <t>Cuenta twitter oficial de la Presidencia de la República Dominicana.</t>
  </si>
  <si>
    <t>República Dominicana</t>
  </si>
  <si>
    <t>Andrés Navarro</t>
  </si>
  <si>
    <t>Arquitecto Urbanista. Docente Universidad Autónoma de Santo Domingo. Canciller de la República Dominicana. Miembro del Partido de la Liberaciòn Dominicana.</t>
  </si>
  <si>
    <t>Cancillería RD</t>
  </si>
  <si>
    <t>https://twitter.com/MIREXRD/statuses/573128307811610624</t>
  </si>
  <si>
    <t>https://twitter.com/MIREXRD/lists</t>
  </si>
  <si>
    <t>Santo Domingo, D.N.</t>
  </si>
  <si>
    <t>San Salvador, El Salvador</t>
  </si>
  <si>
    <t>https://twitter.com/sanchezceren/lists</t>
  </si>
  <si>
    <t>Casa Presidencial</t>
  </si>
  <si>
    <t>Cuenta oficial de la Presidencia de la República de El Salvador.</t>
  </si>
  <si>
    <t>San Salvador</t>
  </si>
  <si>
    <t>RREE El Salvador</t>
  </si>
  <si>
    <t>https://twitter.com/cancilleriasv/lists</t>
  </si>
  <si>
    <t>http://twiplomacy.com/info/north-america/Grenada</t>
  </si>
  <si>
    <t>https://twitter.com/VoteKeith2013/status/281019222937698304</t>
  </si>
  <si>
    <t>https://twitter.com/VoteKeith2013/lists</t>
  </si>
  <si>
    <t>Gov't of Grenada</t>
  </si>
  <si>
    <t>https://twitter.com/govgd/lists</t>
  </si>
  <si>
    <t>http://twiplomacy.com/info/north-america/Guatemala</t>
  </si>
  <si>
    <t>https://twitter.com/jimmymoralesgt</t>
  </si>
  <si>
    <t>Jimmy Morales</t>
  </si>
  <si>
    <t>https://twitter.com/jimmymoralesgt/status/375615043280572416</t>
  </si>
  <si>
    <t>https://twitter.com/jimmymoralesgt/lists</t>
  </si>
  <si>
    <t>Gobierno Guatemala</t>
  </si>
  <si>
    <t>https://twitter.com/GuatemalaGob/lists</t>
  </si>
  <si>
    <t>MINEX Guatemala</t>
  </si>
  <si>
    <t>https://twitter.com/MinexGt/lists</t>
  </si>
  <si>
    <t>Michel Martelly</t>
  </si>
  <si>
    <t>Haïti</t>
  </si>
  <si>
    <t>Primature Haïti</t>
  </si>
  <si>
    <t>Compte Twitter Officiel de la Primature | Kont Twitè Ofisyèl Gouvènman an</t>
  </si>
  <si>
    <t>Juan Orlando H.</t>
  </si>
  <si>
    <t>Cuenta Oficial de la Casa Presidencial de Honduras.</t>
  </si>
  <si>
    <t>Comunicados Honduras</t>
  </si>
  <si>
    <t>Dormant since 11.06.2013</t>
  </si>
  <si>
    <t>https://twitter.com/ComunicadosHN/lists</t>
  </si>
  <si>
    <t>https://twitter.com/SRECIHonduras</t>
  </si>
  <si>
    <t>https://twitter.com/SRECIHonduras/lists</t>
  </si>
  <si>
    <t>https://twitter.com/OPMJamaica/statuses/258281768283680768</t>
  </si>
  <si>
    <t>https://twitter.com/OPMJamaica/lists</t>
  </si>
  <si>
    <t>Enrique Peña Nieto</t>
  </si>
  <si>
    <t>https://twitter.com/EPN/lists</t>
  </si>
  <si>
    <t>México</t>
  </si>
  <si>
    <t>Presidencia México</t>
  </si>
  <si>
    <t>Oficina de la Presidencia de la República 2012 - 2018.</t>
  </si>
  <si>
    <t>Claudia Ruiz Massieu</t>
  </si>
  <si>
    <t>Secretaria de Relaciones Exteriores</t>
  </si>
  <si>
    <t>SRE México</t>
  </si>
  <si>
    <t>Juan Carlos Varela</t>
  </si>
  <si>
    <t>Presidente Constitucional de la República de Panamá.</t>
  </si>
  <si>
    <t>https://twitter.com/JC_Varela/statuses/463117119551705090</t>
  </si>
  <si>
    <t>https://twitter.com/JC_Varela/lists</t>
  </si>
  <si>
    <t>República de Panamá</t>
  </si>
  <si>
    <t>Presidencia  Panamá</t>
  </si>
  <si>
    <t>Cuenta Oficial de la Presidencia de la República de Panamá</t>
  </si>
  <si>
    <t>https://twitter.com/PresidenciaPma/statuses/545550398980104193</t>
  </si>
  <si>
    <t>Isabel Saint Malo</t>
  </si>
  <si>
    <t>Cuenta oficial de la Vicepresidenta y Ministra de Relaciones Exteriores de la República de Panamá. Tweets personales son firmados -ISMA.</t>
  </si>
  <si>
    <t>Cancillería Panamá</t>
  </si>
  <si>
    <t>Cuenta Oficial del Ministerio de Relaciones Exteriores de la República de Panamá</t>
  </si>
  <si>
    <t>Palacio Bolívar,  Panamá</t>
  </si>
  <si>
    <t>Dormant since 11.12.2013</t>
  </si>
  <si>
    <t>https://twitter.com/CancilleriaPA/lists</t>
  </si>
  <si>
    <t>Palacio Bolívar</t>
  </si>
  <si>
    <t>Alejandro</t>
  </si>
  <si>
    <t>Governor</t>
  </si>
  <si>
    <t>https://twitter.com/agarciapadilla/lists</t>
  </si>
  <si>
    <t>La Fortaleza</t>
  </si>
  <si>
    <t>Últimas informaciones desde el centro de operaciones de la Rama Ejecutiva de Puerto Rico</t>
  </si>
  <si>
    <t>Office of the Governor</t>
  </si>
  <si>
    <t>San Juan, PR</t>
  </si>
  <si>
    <t>Dept de Estado</t>
  </si>
  <si>
    <t>State Department</t>
  </si>
  <si>
    <t>SKN Government</t>
  </si>
  <si>
    <t>The official Twitter account of the government of St. Kitts and Nevis.</t>
  </si>
  <si>
    <t>St Kitts and Nevis</t>
  </si>
  <si>
    <t>Patrice Nisbett</t>
  </si>
  <si>
    <t>https://twitter.com/pdhnisbett/lists</t>
  </si>
  <si>
    <t>St. Lucia Government</t>
  </si>
  <si>
    <t>Government of Saint Lucia Twitter Account</t>
  </si>
  <si>
    <t>https://twitter.com/SaintLuciaGov/lists</t>
  </si>
  <si>
    <t>http://twiplomacy.com/info/south-america/St-Vincent-and-the-Grenadines</t>
  </si>
  <si>
    <t>https://twitter.com/ComradeRalph</t>
  </si>
  <si>
    <t>Ralph Gonsalves</t>
  </si>
  <si>
    <t>St. Vincent and the Grenadines</t>
  </si>
  <si>
    <t>https://twitter.com/ComradeRalph/status/649002120956481536</t>
  </si>
  <si>
    <t>https://twitter.com/ComradeRalph/lists</t>
  </si>
  <si>
    <t>http://twiplomacy.com/info/north-america/Trinidad-and-Tobago</t>
  </si>
  <si>
    <t>https://twitter.com/otptt</t>
  </si>
  <si>
    <t>https://twitter.com/otptt/status/461240146902679552</t>
  </si>
  <si>
    <t>https://twitter.com/otptt/lists</t>
  </si>
  <si>
    <t>https://twitter.com/KeithRowleyPNM</t>
  </si>
  <si>
    <t>https://twitter.com/Reuters/status/73397087944970240</t>
  </si>
  <si>
    <t>https://twitter.com/KeithRowleyPNM/lists</t>
  </si>
  <si>
    <t>https://twitter.com/mfagovtt/statuses/468847280825843714</t>
  </si>
  <si>
    <t>https://twitter.com/mfagovtt/lists</t>
  </si>
  <si>
    <t>Barack Obama</t>
  </si>
  <si>
    <t>This account is run by Organizing for Action staff. Tweets from the President are signed -bo.</t>
  </si>
  <si>
    <t>Washington, DC</t>
  </si>
  <si>
    <t>President Obama</t>
  </si>
  <si>
    <t>The White House</t>
  </si>
  <si>
    <t>The Cabinet</t>
  </si>
  <si>
    <t>The @WhiteHouse Office of Cabinet Affairs. Tweets may be archived. More at http://t.co/2ZAdkt2hg6</t>
  </si>
  <si>
    <t>https://twitter.com/Cabinet/lists</t>
  </si>
  <si>
    <t>Washington, D.C.</t>
  </si>
  <si>
    <t>John Kerry</t>
  </si>
  <si>
    <t>Husband, father, grandfather, brother, former Senator, 68th U.S. Secretary of @StateDept</t>
  </si>
  <si>
    <t>Dormant since 18.12.2012</t>
  </si>
  <si>
    <t xml:space="preserve">Secretary of State </t>
  </si>
  <si>
    <t>https://twitter.com/JohnKerry/statuses/552903866422136832</t>
  </si>
  <si>
    <t>https://twitter.com/JohnKerry/lists</t>
  </si>
  <si>
    <t>Proud Bostonian</t>
  </si>
  <si>
    <t>Department of State</t>
  </si>
  <si>
    <t>USAdarFarsi</t>
  </si>
  <si>
    <t>USA darFarsi</t>
  </si>
  <si>
    <t>https://twitter.com/USAdarFarsi/statuses/578693327761088512</t>
  </si>
  <si>
    <t>https://twitter.com/USAdarFarsi/lists</t>
  </si>
  <si>
    <t>EconEngage</t>
  </si>
  <si>
    <t>Econ Engage</t>
  </si>
  <si>
    <t>Official Twitter of the State Dept’s Economic &amp; Business Affairs Bureau. We promote economic security and prosperity at home &amp; abroad. RTs aren’t endorsements.</t>
  </si>
  <si>
    <t>La Casa Blanca</t>
  </si>
  <si>
    <t>Cuenta oficial de la Casa Blanca. Comentarios recibidos a través de esta página están sujetos a la Ley de Archivos Presidenciales. Vea http://t.co/5lIlUh1L9N</t>
  </si>
  <si>
    <t>https://twitter.com/lacasablanca/statuses/545276443601543168</t>
  </si>
  <si>
    <t>Washington, DC, EE.UU.</t>
  </si>
  <si>
    <t>StateDeptLive</t>
  </si>
  <si>
    <t>StateDept Live</t>
  </si>
  <si>
    <t>Welcome to the official U.S. Department of State Live Twitter!</t>
  </si>
  <si>
    <t>USAemPortugues</t>
  </si>
  <si>
    <t>USA em Português</t>
  </si>
  <si>
    <t>Conta oficial do Departamento de Estado dos EUA em Português.</t>
  </si>
  <si>
    <t>https://twitter.com/USAemPortugues/statuses/563363120840577025</t>
  </si>
  <si>
    <t>https://twitter.com/USAemPortugues/lists</t>
  </si>
  <si>
    <t>USAenEspanol</t>
  </si>
  <si>
    <t>USA en Español</t>
  </si>
  <si>
    <t>Cuenta oficial del Departamento de Estado de EE.UU. en español.</t>
  </si>
  <si>
    <t>https://twitter.com/USAenEspanol/statuses/568921160030621696</t>
  </si>
  <si>
    <t>https://twitter.com/USAenEspanol/lists</t>
  </si>
  <si>
    <t>USAenFrancais</t>
  </si>
  <si>
    <t>USA en Français</t>
  </si>
  <si>
    <t>Nous sommes la direction des affaires publiques du département d’Etat américain et nous voulons renforcer les liens entre les Etats-Unis et les Francophones.</t>
  </si>
  <si>
    <t>https://twitter.com/USAenFrancais/statuses/552863163490631680</t>
  </si>
  <si>
    <t>https://twitter.com/USAenFrancais/lists</t>
  </si>
  <si>
    <t>USAHindiMein</t>
  </si>
  <si>
    <t>USA HindiMein</t>
  </si>
  <si>
    <t>अमेरिकी विदेश विभाग का इंटरनेशनल इंगेजमेंट ऑफिस अमेरिका और हिंदी मीडिया के बीच संवाद हेतु कार्य करता है।</t>
  </si>
  <si>
    <t>https://twitter.com/USAHindiMein/statuses/296248881241542656</t>
  </si>
  <si>
    <t>https://twitter.com/USAHindiMein/lists</t>
  </si>
  <si>
    <t>USA_Zhongwen</t>
  </si>
  <si>
    <t>USA in Zhongwen</t>
  </si>
  <si>
    <t>欢迎来到美国国务院中文官方推特帐号!</t>
  </si>
  <si>
    <t>https://twitter.com/USA_Zhongwen/lists</t>
  </si>
  <si>
    <t>USApoRusski</t>
  </si>
  <si>
    <t>https://twitter.com/USApoRusski/lists</t>
  </si>
  <si>
    <t>USAUrdu</t>
  </si>
  <si>
    <t>USA Urdu</t>
  </si>
  <si>
    <t>https://twitter.com/USAUrdu/lists</t>
  </si>
  <si>
    <t>USAbilAraby</t>
  </si>
  <si>
    <t>الخارجية الأمريكية</t>
  </si>
  <si>
    <t>نحن مكتب التواصل الإعلامي التابع لوزارة الخارجية الأمريكية. هدفنا تعزيز أواصر التعاون والتواصل الأمريكي الرسمي مع وسائل الإعلام العربية</t>
  </si>
  <si>
    <t>https://twitter.com/USAbilAraby/statuses/569144525463166976</t>
  </si>
  <si>
    <t>Malcolm Turnbull</t>
  </si>
  <si>
    <t>Julie Bishop</t>
  </si>
  <si>
    <t>https://twitter.com/JulieBishopMP/statuses/550422081087619072</t>
  </si>
  <si>
    <t>https://twitter.com/JulieBishopMP/lists</t>
  </si>
  <si>
    <t>DFAT</t>
  </si>
  <si>
    <t>Official account of Australia’s Department of Foreign Affairs &amp; Trade. Follow @smartraveller for travel updates. For consular assistance 24/7 ph +61 2 6261 3305</t>
  </si>
  <si>
    <t>FijiPM</t>
  </si>
  <si>
    <t>JV Bainimarama</t>
  </si>
  <si>
    <t>The office of Josaia Voreqe Bainimarama, Prime Minister of the Republic of Fiji</t>
  </si>
  <si>
    <t>https://twitter.com/FijiPM/lists</t>
  </si>
  <si>
    <t>Suva, Fiji</t>
  </si>
  <si>
    <t>FijiRepublic</t>
  </si>
  <si>
    <t>Republic of Fiji</t>
  </si>
  <si>
    <t>https://twitter.com/FijiRepublic/lists</t>
  </si>
  <si>
    <t>ratu inoke kubuabola</t>
  </si>
  <si>
    <t>https://twitter.com/InokeRatu/lists</t>
  </si>
  <si>
    <t>Fiji Foreign Affairs</t>
  </si>
  <si>
    <t>Official Account of Fiji's Ministry of Foreign Affairs. Engagement through #digitaldiplomacy</t>
  </si>
  <si>
    <t>https://twitter.com/MFAFiji/statuses/575485820754247681</t>
  </si>
  <si>
    <t>http://twiplomacy.com/info/oceania/Nauru</t>
  </si>
  <si>
    <t>https://twitter.com/Republic_Nauru/status/625555907246604288</t>
  </si>
  <si>
    <t>https://twitter.com/Republic_Nauru/lists</t>
  </si>
  <si>
    <t>John Key</t>
  </si>
  <si>
    <t>https://twitter.com/johnkeypm/statuses/382968272011816960</t>
  </si>
  <si>
    <t>https://twitter.com/johnkeypm/lists</t>
  </si>
  <si>
    <t>Murray McCully</t>
  </si>
  <si>
    <t>Dormant since 29.07.2009</t>
  </si>
  <si>
    <t>https://twitter.com/murray_mccully/statuses/2904562817</t>
  </si>
  <si>
    <t>Tommy Remengesau, Jr</t>
  </si>
  <si>
    <t>Alii and welcome to the official Twitter account for the President of the Republic of #Palau-- Tommy E. Remengesau, Jr.!</t>
  </si>
  <si>
    <t>https://twitter.com/TommyRemengesau/lists</t>
  </si>
  <si>
    <t>Republic of Palau</t>
  </si>
  <si>
    <t>MPMCTweeter</t>
  </si>
  <si>
    <t>MPMC Tweeter</t>
  </si>
  <si>
    <t>Ministry of Prime Minister &amp; Cabinet for Samoa</t>
  </si>
  <si>
    <t>samoagovt</t>
  </si>
  <si>
    <t>Government of Samoa</t>
  </si>
  <si>
    <t>Dormant since 21.03.2013</t>
  </si>
  <si>
    <t>https://twitter.com/MPMCTweeter/lists</t>
  </si>
  <si>
    <t>Samoa, Apia</t>
  </si>
  <si>
    <t>https://twitter.com/samoagovt/lists</t>
  </si>
  <si>
    <t>Tonga Government Portal website/ Prime Minister Office/ Ministry of Information and Communications</t>
  </si>
  <si>
    <t>https://twitter.com/micwebTonga/lists</t>
  </si>
  <si>
    <t>Nuku'alofa/Kingdom of Tonga</t>
  </si>
  <si>
    <t>IakobaItaleli</t>
  </si>
  <si>
    <t>Sir Iakoba Italeli</t>
  </si>
  <si>
    <t>Welcome to the official Twitter account for the Governor-General of #Tuvalu-- Sir Iakoba Taeia Italel</t>
  </si>
  <si>
    <t>Governor General</t>
  </si>
  <si>
    <t>Vanuatu Government</t>
  </si>
  <si>
    <t>Vanuatu Government Online Social Network</t>
  </si>
  <si>
    <t>Dormant since 30.07.2012</t>
  </si>
  <si>
    <t>https://twitter.com/govofvanuatu/lists</t>
  </si>
  <si>
    <t>http://twiplomacy.com/info/south-america/Argentina</t>
  </si>
  <si>
    <t>https://twitter.com/mauriciomacri</t>
  </si>
  <si>
    <t>Mauricio Macri</t>
  </si>
  <si>
    <t>Presidente de la República Argentina. Casado. 4 hijos. Hincha de Boca.</t>
  </si>
  <si>
    <t>https://twitter.com/mauriciomacri/status/1596109644</t>
  </si>
  <si>
    <t>https://twitter.com/mauriciomacri/lists</t>
  </si>
  <si>
    <t>Casa Rosada</t>
  </si>
  <si>
    <t>MinisteriodeGobierno</t>
  </si>
  <si>
    <t>https://twitter.com/MindeGobierno/status/452210331524530176</t>
  </si>
  <si>
    <t>Nos incorporamos a esta comunidad virtual para servirles mejor. Gracias.</t>
  </si>
  <si>
    <t>Min. de Comunicacion</t>
  </si>
  <si>
    <t>El Ministerio de Comunicación fue creado mediante Decreto Supremo N° 0793 del 15 de febrero de 2011.</t>
  </si>
  <si>
    <t>La Paz - Bolivia</t>
  </si>
  <si>
    <t>Brasília</t>
  </si>
  <si>
    <t>Casa Civil</t>
  </si>
  <si>
    <t>Perfil oficial da Casa Civil da Presidência da República</t>
  </si>
  <si>
    <t>Imprensa Presidência</t>
  </si>
  <si>
    <t>Secretaria de Imprensa da Presidência da República traz informações sobre a agenda da presidenta Dilma Rousseff em todo o País.</t>
  </si>
  <si>
    <t>Brasil</t>
  </si>
  <si>
    <t>MRE Brasil–Itamaraty</t>
  </si>
  <si>
    <t>Brasília, DF</t>
  </si>
  <si>
    <t>Brazil Gov News</t>
  </si>
  <si>
    <t>Official Twitter channel of SECOM with the latest news from the Brazilian Federal Government.</t>
  </si>
  <si>
    <t>Brasilia, Brazil</t>
  </si>
  <si>
    <t>Itamaraty_ES</t>
  </si>
  <si>
    <t>Itamaraty Brasil</t>
  </si>
  <si>
    <t>Itamaraty_EN</t>
  </si>
  <si>
    <t>Itamaraty Brazil</t>
  </si>
  <si>
    <t>https://twitter.com/Itamaraty_EN/statuses/575771394765684736</t>
  </si>
  <si>
    <t>Brasília, Brazil</t>
  </si>
  <si>
    <t>Dormant since 16.03.2014</t>
  </si>
  <si>
    <t>https://twitter.com/PrensaMichelle/lists</t>
  </si>
  <si>
    <t>Santiago</t>
  </si>
  <si>
    <t>Gobierno de Chile</t>
  </si>
  <si>
    <t>Santiago, Chile</t>
  </si>
  <si>
    <t>Heraldo Muñoz</t>
  </si>
  <si>
    <t>Ministro de Relaciones Exteriores de Chile</t>
  </si>
  <si>
    <t>Cancillería Chile</t>
  </si>
  <si>
    <t>Juan Manuel Santos</t>
  </si>
  <si>
    <t>Presidente de Colombia</t>
  </si>
  <si>
    <t>Presidencia Colombia</t>
  </si>
  <si>
    <t>Cancillería Colombia</t>
  </si>
  <si>
    <t>La Cancillería de Colombia promueve tanto los intereses nacionales a través de la política exterior, como los vínculos con colombianos que viven fuera del país.</t>
  </si>
  <si>
    <t>https://twitter.com/CancilleriaCol/lists</t>
  </si>
  <si>
    <t>Rafael Correa</t>
  </si>
  <si>
    <t>Presidente Constitucional de la República del Ecuador.</t>
  </si>
  <si>
    <t>Quito, Ecuador</t>
  </si>
  <si>
    <t>https://twitter.com/MashiRafael/statuses/410452217410625536</t>
  </si>
  <si>
    <t>https://twitter.com/MashiRafael/lists</t>
  </si>
  <si>
    <t>Presidencia Ecuador</t>
  </si>
  <si>
    <t>Cuenta Oficial de Twitter de la Presidencia de la República de Ecuador.</t>
  </si>
  <si>
    <t>https://twitter.com/Presidencia_Ec/lists</t>
  </si>
  <si>
    <t>Cancillería Ecuador</t>
  </si>
  <si>
    <t>http://twiplomacy.com/info/south-america/Ecuador</t>
  </si>
  <si>
    <t>https://twitter.com/MFAEcuador/status/593146299605745664</t>
  </si>
  <si>
    <t>https://twitter.com/MFAEcuador/lists</t>
  </si>
  <si>
    <t>http://twiplomacy.com/info/south-america/Guyana</t>
  </si>
  <si>
    <t>https://twitter.com/PresDGranger</t>
  </si>
  <si>
    <t>https://twitter.com/PresDGranger/status/599067774590169088</t>
  </si>
  <si>
    <t>https://twitter.com/PresDGranger/lists</t>
  </si>
  <si>
    <t>https://twitter.com/MOTPGuyana</t>
  </si>
  <si>
    <t>The Ministry of the Presidency is the ministerial department of the Cooperative Republic of Guyana, which houses the Office of the President</t>
  </si>
  <si>
    <t>https://twitter.com/MOTPGuyana/status/609444725838450688</t>
  </si>
  <si>
    <t>https://twitter.com/MOTPGuyana/lists</t>
  </si>
  <si>
    <t>https://twitter.com/opmguyana</t>
  </si>
  <si>
    <t>https://twitter.com/opmguyana/status/609376666436141056</t>
  </si>
  <si>
    <t>https://twitter.com/opmguyana/lists</t>
  </si>
  <si>
    <t>Cuenta oficial del Presidente Constitucional de la República del Paraguay</t>
  </si>
  <si>
    <t>https://twitter.com/Horacio_Cartes/lists</t>
  </si>
  <si>
    <t>Presidencia Paraguay</t>
  </si>
  <si>
    <t>Cuenta oficial de la Presidencia de la República del Paraguay.</t>
  </si>
  <si>
    <t>https://twitter.com/PresidenciaPy/lists</t>
  </si>
  <si>
    <t>Cancillería Paraguay</t>
  </si>
  <si>
    <t>Cuenta Oficial del Ministerio de Relaciones Exteriores de la República del Paraguay.</t>
  </si>
  <si>
    <t>https://twitter.com/mreparaguay/lists</t>
  </si>
  <si>
    <t>Asunción, Paraguay</t>
  </si>
  <si>
    <t>Cuenta oficial del equipo de prensa del Presidente Constitucional de la República del Paraguay @Horacio_Cartes.</t>
  </si>
  <si>
    <t>Dormant since 29.08.2013</t>
  </si>
  <si>
    <t>https://twitter.com/PrensaHC/statuses/367002378894983168</t>
  </si>
  <si>
    <t>https://twitter.com/PrensaHC/lists</t>
  </si>
  <si>
    <t>Ollanta Humala Tasso</t>
  </si>
  <si>
    <t>Presidente Constitucional de la República del Perú. Oficial (r) del Ejército, felizmente casado y orgulloso padre de Illariy, Nayra y Samin.</t>
  </si>
  <si>
    <t>Dormant since 07.05.2014</t>
  </si>
  <si>
    <t>https://twitter.com/Ollanta_HumalaT/lists</t>
  </si>
  <si>
    <t>Lima Perú</t>
  </si>
  <si>
    <t>Presidencia Perú</t>
  </si>
  <si>
    <t>Gobierno del Perú informa.</t>
  </si>
  <si>
    <t>Perú</t>
  </si>
  <si>
    <t>Consejo de Ministros</t>
  </si>
  <si>
    <t>Lima - Perú</t>
  </si>
  <si>
    <t>Cancillería del Perú</t>
  </si>
  <si>
    <t>Bouterse2015</t>
  </si>
  <si>
    <t>Dési Bouterse</t>
  </si>
  <si>
    <t>Sec. Comunicación</t>
  </si>
  <si>
    <t>Montevideo, Uruguay</t>
  </si>
  <si>
    <t>http://twiplomacy.com/info/south-america/Uruguay</t>
  </si>
  <si>
    <t>https://twitter.com/MinExterioresUY/status/642391249845141504</t>
  </si>
  <si>
    <t>https://twitter.com/MinExterioresUY/lists</t>
  </si>
  <si>
    <t>Tabare Vazquez</t>
  </si>
  <si>
    <t>Presidente de la Republica Oriental del Uruguay</t>
  </si>
  <si>
    <t>Dormant since 20.03.2009</t>
  </si>
  <si>
    <t>https://twitter.com/TabareVazquez/statuses/1360841926</t>
  </si>
  <si>
    <t>Montevideo, Uruguay.</t>
  </si>
  <si>
    <t>Nicolás Maduro</t>
  </si>
  <si>
    <t>Presidente de la República Bolivariana de Venezuela. Hijo de Chávez. Construyendo la Patria con eficiencia revolucionaria.</t>
  </si>
  <si>
    <t>https://twitter.com/NicolasMaduro/lists</t>
  </si>
  <si>
    <t>Prensa Presidencial</t>
  </si>
  <si>
    <t>https://twitter.com/PresidencialVen/lists</t>
  </si>
  <si>
    <t>Delcy Rodríguez</t>
  </si>
  <si>
    <t>Ministra del Poder Popular para Relaciones Exteriores de la República Bolivariana de Venezuela.</t>
  </si>
  <si>
    <t>Cancillería Vzla</t>
  </si>
  <si>
    <t>Cuenta oficial del Ministerio del Poder Popular para Relaciones Exteriores de la República Bolivariana de Venezuela.</t>
  </si>
  <si>
    <t>https://twitter.com/vencancilleria/lists</t>
  </si>
  <si>
    <t>maduro_en</t>
  </si>
  <si>
    <t>President of the Bolivarian Republic of Venezuela. Son of Chávez. Building the Homeland with revolutionary efficiency. English translation of @NicolasMaduro</t>
  </si>
  <si>
    <t>https://twitter.com/maduro_en/statuses/580014349152059392</t>
  </si>
  <si>
    <t>https://twitter.com/maduro_en/lists</t>
  </si>
  <si>
    <t>maduro_pt</t>
  </si>
  <si>
    <t>https://twitter.com/maduro_pt/lists</t>
  </si>
  <si>
    <t>maduro_fr</t>
  </si>
  <si>
    <t>https://twitter.com/maduro_fr/lists</t>
  </si>
  <si>
    <t>maduro_ar</t>
  </si>
  <si>
    <t>رئيس جمهورية فنزويلا البوليفارية. ابن تشافيز. نبني الوطن بكفاءة ثورية.@NicolasMaduro</t>
  </si>
  <si>
    <t>https://twitter.com/maduro_ar/statuses/553249876302389248</t>
  </si>
  <si>
    <t>https://twitter.com/maduro_ar/lists</t>
  </si>
  <si>
    <t>maduro_cmn</t>
  </si>
  <si>
    <t>https://twitter.com/maduro_cmn/statuses/456481297049735168</t>
  </si>
  <si>
    <t>https://twitter.com/maduro_cmn/lists</t>
  </si>
  <si>
    <t>zh-cn</t>
  </si>
  <si>
    <t>maduro_zh</t>
  </si>
  <si>
    <t>https://twitter.com/maduro_zh/statuses/438783727918137344</t>
  </si>
  <si>
    <t>https://twitter.com/maduro_zh/lists</t>
  </si>
  <si>
    <t>maduro_be</t>
  </si>
  <si>
    <t>https://twitter.com/maduro_be/lists</t>
  </si>
  <si>
    <t>maduro_hi</t>
  </si>
  <si>
    <t>https://twitter.com/maduro_hi/lists</t>
  </si>
  <si>
    <t>hi</t>
  </si>
  <si>
    <t>maduro_de</t>
  </si>
  <si>
    <t>https://twitter.com/maduro_de/lists</t>
  </si>
  <si>
    <t>maduro_pl</t>
  </si>
  <si>
    <t>https://twitter.com/maduro_pl/lists</t>
  </si>
  <si>
    <t>maduro_ja</t>
  </si>
  <si>
    <t>https://twitter.com/maduro_ja/lists</t>
  </si>
  <si>
    <t>maduro_cn</t>
  </si>
  <si>
    <t>https://twitter.com/maduro_cn/lists</t>
  </si>
  <si>
    <t>maduro_ru</t>
  </si>
  <si>
    <t>https://twitter.com/maduro_ru/lists</t>
  </si>
  <si>
    <t>maduro_it</t>
  </si>
  <si>
    <t>https://twitter.com/maduro_it/lists</t>
  </si>
  <si>
    <t>Ismail Omar Guelleh</t>
  </si>
  <si>
    <t>Dormant since 08.04.2011</t>
  </si>
  <si>
    <t>Catherine SAMBAPANZA</t>
  </si>
  <si>
    <t>Bangui</t>
  </si>
  <si>
    <t>安倍晋三</t>
  </si>
  <si>
    <t>https://twitter.com/AbeShinzo/lists</t>
  </si>
  <si>
    <t>http://twiplomacy.com/info/asia/Mauritius</t>
  </si>
  <si>
    <t>https://twitter.com/aguribfakim</t>
  </si>
  <si>
    <t>https://twitter.com/aguribfakim/status/248444860326109185</t>
  </si>
  <si>
    <t>https://twitter.com/aguribfakim/lists</t>
  </si>
  <si>
    <t>Ministère AE Bénin</t>
  </si>
  <si>
    <t>Cotonou - Benin</t>
  </si>
  <si>
    <t>PRIMATURE BENIN</t>
  </si>
  <si>
    <t>Page Officielle</t>
  </si>
  <si>
    <t>Dormant since 15.08.2013</t>
  </si>
  <si>
    <t>RobertFico</t>
  </si>
  <si>
    <t>Robert Fico</t>
  </si>
  <si>
    <t>Predseda vlády SR, právnik, predseda strany SMER – sociálna demokracia</t>
  </si>
  <si>
    <t>Dormant since 05.12.2009</t>
  </si>
  <si>
    <t>https://twitter.com/RobertFico/statuses/6349658238</t>
  </si>
  <si>
    <t>https://twitter.com/RobertFico/lists</t>
  </si>
  <si>
    <t>Gouvrdcongo</t>
  </si>
  <si>
    <t>Gouvernement RdCONGO</t>
  </si>
  <si>
    <t>Compte Officiel du Gouvernement de la Republique Démocratique du Congo</t>
  </si>
  <si>
    <t>Dormant since 20.11.2012</t>
  </si>
  <si>
    <t>RepdemCongo</t>
  </si>
  <si>
    <t>Gouvernement RDC</t>
  </si>
  <si>
    <t>Republique Democratique du Congo</t>
  </si>
  <si>
    <t>Dormant since 13.04.2013</t>
  </si>
  <si>
    <t>Afrique Central</t>
  </si>
  <si>
    <t>Secradjib</t>
  </si>
  <si>
    <t>Secrétariat Exécutif</t>
  </si>
  <si>
    <t>Ghana's President</t>
  </si>
  <si>
    <t>News about the Ghanaian President.</t>
  </si>
  <si>
    <t>https://twitter.com/osucastle/statuses/227832320202248192</t>
  </si>
  <si>
    <t>https://twitter.com/osucastle/lists</t>
  </si>
  <si>
    <t>Le Premier Ministre</t>
  </si>
  <si>
    <t>Dormant since 05.12.2012</t>
  </si>
  <si>
    <t>https://twitter.com/primatureci/statuses/276351076020678656</t>
  </si>
  <si>
    <t>https://twitter.com/primatureci/lists</t>
  </si>
  <si>
    <t>MFA Kenya</t>
  </si>
  <si>
    <t>Ministry of Foreign Affairs Kenya Press Division</t>
  </si>
  <si>
    <t>https://twitter.com/mfapresskenya/lists</t>
  </si>
  <si>
    <t>theDIRCO</t>
  </si>
  <si>
    <t>DIRCO ZA</t>
  </si>
  <si>
    <t>https://twitter.com/theDIRCO/lists</t>
  </si>
  <si>
    <t>gouvernement tunisie</t>
  </si>
  <si>
    <t>Dormant since 25.12.2014</t>
  </si>
  <si>
    <t>press_president</t>
  </si>
  <si>
    <t>Press Office</t>
  </si>
  <si>
    <t>Follow @PresidentAM_eng, @PresidentAM_rus and @PresidentAM_arm for updates</t>
  </si>
  <si>
    <t>https://twitter.com/press_president/lists</t>
  </si>
  <si>
    <t>govtofgeorgia</t>
  </si>
  <si>
    <t>Republic of Georgia</t>
  </si>
  <si>
    <t>Gov. of Georgia</t>
  </si>
  <si>
    <t>Dormant since 14.12.2009</t>
  </si>
  <si>
    <t>https://twitter.com/govtofgeorgia/lists</t>
  </si>
  <si>
    <t>T'Bilisi, Georgia</t>
  </si>
  <si>
    <t>GeorgianGovernm</t>
  </si>
  <si>
    <t>Georgian Government</t>
  </si>
  <si>
    <t>https://twitter.com/GeorgianGovernm/lists</t>
  </si>
  <si>
    <t>MFAIraq</t>
  </si>
  <si>
    <t>MoFA Iraq</t>
  </si>
  <si>
    <t>https://twitter.com/MFAIraq/lists</t>
  </si>
  <si>
    <t>Iraq Embassy</t>
  </si>
  <si>
    <t>Dormant since 15.03.2013</t>
  </si>
  <si>
    <t>https://twitter.com/IEmbassy/lists</t>
  </si>
  <si>
    <t>eng_pm_kz</t>
  </si>
  <si>
    <t>PM KZ</t>
  </si>
  <si>
    <t>English-language twitter account of the official site of the Prime Minister of Kazakhstan @KarimMassimov_E</t>
  </si>
  <si>
    <t>Dormant since 13.10.2011</t>
  </si>
  <si>
    <t>https://twitter.com/eng_pm_kz/lists</t>
  </si>
  <si>
    <t>kaz_pm_kz</t>
  </si>
  <si>
    <t>ҚР Премьер-Министрі ресми сайтының қазақ тіліндегі твиттер-аккаунты @KarimMassimov</t>
  </si>
  <si>
    <t>https://twitter.com/kaz_pm_kz/lists</t>
  </si>
  <si>
    <t>https://twitter.com/Anifah_myg/lists</t>
  </si>
  <si>
    <t>Hilaaleege</t>
  </si>
  <si>
    <t>Residence of the President - Republic of Maldives</t>
  </si>
  <si>
    <t>https://twitter.com/Hilaaleege/lists</t>
  </si>
  <si>
    <t>Male' - Republic of Maldives</t>
  </si>
  <si>
    <t>Maldives Foreign</t>
  </si>
  <si>
    <t>Official Twitter of Ministry of Foreign Affairs - Republic of Maldives</t>
  </si>
  <si>
    <t>https://twitter.com/foreignMV/lists</t>
  </si>
  <si>
    <t>MaldivesPO</t>
  </si>
  <si>
    <t>News and updates from the President’s Office about the changes\developments made by the government of Maldives. Comments &amp; messages received maybe archived.</t>
  </si>
  <si>
    <t>https://twitter.com/MaldivesPO/statuses/207936076931805184</t>
  </si>
  <si>
    <t>https://twitter.com/MaldivesPO/lists</t>
  </si>
  <si>
    <t>Dunya Maumoon</t>
  </si>
  <si>
    <t>https://twitter.com/dunyamaumoon/lists</t>
  </si>
  <si>
    <t>قرارات</t>
  </si>
  <si>
    <t>https://twitter.com/QaTaR_/statuses/536971673380352000</t>
  </si>
  <si>
    <t>https://twitter.com/QaTaR_/lists</t>
  </si>
  <si>
    <t>Sri Lanka Cabinet</t>
  </si>
  <si>
    <t>The Official Twitter account of the Office of the Cabinet of Ministers - Sri Lanka. Tweets are by the Social Media Team, unless specified.</t>
  </si>
  <si>
    <t>Dormant since 16.11.2013</t>
  </si>
  <si>
    <t>https://twitter.com/CabinetSL/lists</t>
  </si>
  <si>
    <t>MFAThai_Pol</t>
  </si>
  <si>
    <t>Dormant since 25.05.2012</t>
  </si>
  <si>
    <t>https://twitter.com/MFAThai_Pol/lists</t>
  </si>
  <si>
    <t>th_mfa</t>
  </si>
  <si>
    <t>กระทรวงต่างประเทศ</t>
  </si>
  <si>
    <t>https://twitter.com/th_mfa/lists</t>
  </si>
  <si>
    <t>UAEGover</t>
  </si>
  <si>
    <t>UAE Government</t>
  </si>
  <si>
    <t>مشروع توحيد دولة الإمارات العربية المتحده الكترونيا</t>
  </si>
  <si>
    <t>Dormant since 07.03.2012</t>
  </si>
  <si>
    <t>https://twitter.com/UAEGover/lists</t>
  </si>
  <si>
    <t>MOFA UAE</t>
  </si>
  <si>
    <t>https://twitter.com/mofa_uae/lists</t>
  </si>
  <si>
    <t>Malta eGovernment</t>
  </si>
  <si>
    <t>The eGovernment Department aims to create new Government of Malta online services, and bring them all together in one simple, seamless framework.</t>
  </si>
  <si>
    <t>Dormant since 22.04.2013</t>
  </si>
  <si>
    <t>MITA, Malta, EU</t>
  </si>
  <si>
    <t>Dormant since 15.10.2010</t>
  </si>
  <si>
    <t>https://twitter.com/Regering/statuses/27352968639</t>
  </si>
  <si>
    <t>https://twitter.com/Regering/lists</t>
  </si>
  <si>
    <t>PresidentUA</t>
  </si>
  <si>
    <t>Щоденник Президента</t>
  </si>
  <si>
    <t>Twitter представництво Президента України</t>
  </si>
  <si>
    <t>https://twitter.com/PresidentUA/statuses/56057252725006336</t>
  </si>
  <si>
    <t>https://twitter.com/PresidentUA/lists</t>
  </si>
  <si>
    <t>RelacionesExteriores</t>
  </si>
  <si>
    <t>https://twitter.com/cancilleriacrc/lists</t>
  </si>
  <si>
    <t>Michel Martelly, President of the Republic of Haiti - Blog about the president...</t>
  </si>
  <si>
    <t>Dormant since 04.05.2011</t>
  </si>
  <si>
    <t>https://twitter.com/palaisnational/statuses/65774906880704512</t>
  </si>
  <si>
    <t>https://twitter.com/palaisnational/lists</t>
  </si>
  <si>
    <t>Palais National</t>
  </si>
  <si>
    <t>MAE_Haiti</t>
  </si>
  <si>
    <t>Chancellerie d'Haiti</t>
  </si>
  <si>
    <t>https://twitter.com/MAE_Haiti/statuses/444213846975475712</t>
  </si>
  <si>
    <t>https://twitter.com/MAE_Haiti/lists</t>
  </si>
  <si>
    <t>Presidencia Honduras</t>
  </si>
  <si>
    <t>Dormant since 16.06.2011</t>
  </si>
  <si>
    <t>https://twitter.com/PresidenciadeHN/lists</t>
  </si>
  <si>
    <t>EPP_Nicaragua</t>
  </si>
  <si>
    <t>El Pueblo Presidente</t>
  </si>
  <si>
    <t>Portal informativo del Poder Ciudadano · Nicaragua Libre.</t>
  </si>
  <si>
    <t>Nicaragua.</t>
  </si>
  <si>
    <t>Fiji's Diplomatic Window to the world.</t>
  </si>
  <si>
    <t>https://twitter.com/FijiMFA/lists</t>
  </si>
  <si>
    <t>Suva Fiji</t>
  </si>
  <si>
    <t>Fiji Government</t>
  </si>
  <si>
    <t>The official twitter account of the Fijian Government</t>
  </si>
  <si>
    <t>https://twitter.com/FijiGovernment/lists</t>
  </si>
  <si>
    <t>HassanalBolkia2</t>
  </si>
  <si>
    <t>Hassanal Bolkiah</t>
  </si>
  <si>
    <t>This twitter account is controlled by a spokesman for the sultan Brunei Darussalam</t>
  </si>
  <si>
    <t>Dormant since 05.02.2014</t>
  </si>
  <si>
    <t>https://twitter.com/HassanalBolkia2/lists</t>
  </si>
  <si>
    <t>Jorgecfonseca</t>
  </si>
  <si>
    <t>Canal do Candidato a presidência da republica de Cabo Verde no twitter. Notícias, agenda, e declarações políticas.</t>
  </si>
  <si>
    <t>https://twitter.com/Jorgecfonseca/lists</t>
  </si>
  <si>
    <t>14.906777,-23.519441</t>
  </si>
  <si>
    <t>Directia comunicare</t>
  </si>
  <si>
    <t>Dormant since 15.08.2012</t>
  </si>
  <si>
    <t>https://twitter.com/GuvernulRM/lists</t>
  </si>
  <si>
    <t>Ouagadougou</t>
  </si>
  <si>
    <t>Twiplomacy Link</t>
  </si>
  <si>
    <t>KBZayed</t>
  </si>
  <si>
    <t>خليفة بن زايد</t>
  </si>
  <si>
    <t>https://twitter.com/KBZayed/lists</t>
  </si>
  <si>
    <t>jeanmarcayrault</t>
  </si>
  <si>
    <t>Jean-Marc Ayrault</t>
  </si>
  <si>
    <t>Male', Maldives</t>
  </si>
  <si>
    <t>Average RTs/Tweet</t>
  </si>
  <si>
    <t>True</t>
  </si>
  <si>
    <t>False</t>
  </si>
  <si>
    <t>La Paz, Bolivia</t>
  </si>
  <si>
    <t>KvirikashviliGi</t>
  </si>
  <si>
    <t>https://twitter.com/KvirikashviliGi</t>
  </si>
  <si>
    <t>http://twiplomacy.com/info/europe/San-Marino</t>
  </si>
  <si>
    <t>Comienza un tiempo de diálogo. ¡Bienvenidos a Casa Rosada!</t>
  </si>
  <si>
    <t>https://twitter.com/SusanaMalcorra</t>
  </si>
  <si>
    <t>SusanaMalcorra</t>
  </si>
  <si>
    <t>https://twitter.com/CasaRosada</t>
  </si>
  <si>
    <t>https://twitter.com/SusanaMalcorra/status/684861049233891329</t>
  </si>
  <si>
    <t>https://twitter.com/CasaRosada/status/679329430611877888</t>
  </si>
  <si>
    <t>https://twitter.com/CasaRosada/lists</t>
  </si>
  <si>
    <t>https://twitter.com/SusanaMalcorra/lists</t>
  </si>
  <si>
    <t>https://twitter.com/KvirikashviliGi/status/689534716442189824</t>
  </si>
  <si>
    <t>https://twitter.com/KvirikashviliGiE/lists</t>
  </si>
  <si>
    <t>PMofTimorLeste</t>
  </si>
  <si>
    <t>https://twitter.com/PMofTimorLeste</t>
  </si>
  <si>
    <t>https://twitter.com/PMofTimorLeste/lists</t>
  </si>
  <si>
    <t>https://twitter.com/PMofTimorLeste/status/591044628826103808</t>
  </si>
  <si>
    <t>https://twitter.com/mfarighana</t>
  </si>
  <si>
    <t>https://twitter.com/MOFAKuwait_en</t>
  </si>
  <si>
    <t>https://twitter.com/MFASriLanka</t>
  </si>
  <si>
    <t>https://twitter.com/MFA_Tajikistan</t>
  </si>
  <si>
    <t>https://twitter.com/Russia</t>
  </si>
  <si>
    <t>https://twitter.com/MFAEcuador</t>
  </si>
  <si>
    <t>https://twitter.com/Pmcanadien</t>
  </si>
  <si>
    <t>https://twitter.com/MofaNepal</t>
  </si>
  <si>
    <t>https://twitter.com/TameemAlthani</t>
  </si>
  <si>
    <t>https://twitter.com/MID_Tajikistan</t>
  </si>
  <si>
    <t>https://twitter.com/PresidentIRL</t>
  </si>
  <si>
    <t>https://twitter.com/MFAMalta</t>
  </si>
  <si>
    <t>https://twitter.com/CiolosDacian</t>
  </si>
  <si>
    <t>https://twitter.com/CanadianPM</t>
  </si>
  <si>
    <t>https://twitter.com/VoteKeith2013</t>
  </si>
  <si>
    <t>https://twitter.com/Republic_Nauru</t>
  </si>
  <si>
    <t>https://twitter.com/MinExterioresUY</t>
  </si>
  <si>
    <t>https://twitter.com/OPM_TT</t>
  </si>
  <si>
    <t>OPM_TT</t>
  </si>
  <si>
    <t>https://twitter.com/OPM_TT/status/660184645586124800</t>
  </si>
  <si>
    <t>https://twitter.com/HildaHeine</t>
  </si>
  <si>
    <t>HildaHeine</t>
  </si>
  <si>
    <t>https://twitter.com/HildaHeine/status/693808487059558400</t>
  </si>
  <si>
    <t>António Costa</t>
  </si>
  <si>
    <t>República Portuguesa</t>
  </si>
  <si>
    <t>OPM Guyana</t>
  </si>
  <si>
    <t>https://twitter.com/KBZayed</t>
  </si>
  <si>
    <t>https://twitter.com/KBZayed/status/214461620074717185</t>
  </si>
  <si>
    <t>Sultan</t>
  </si>
  <si>
    <t>rochkaborepf</t>
  </si>
  <si>
    <t>https://twitter.com/rochkaborepf/status/616294784467013633</t>
  </si>
  <si>
    <t>MarisKucinskis</t>
  </si>
  <si>
    <t>Favorites</t>
  </si>
  <si>
    <t>Ayatollah Khamenei</t>
  </si>
  <si>
    <t>GIS Dominica</t>
  </si>
  <si>
    <t>https://twitter.com/MagufuliJP</t>
  </si>
  <si>
    <t>MagufuliJP</t>
  </si>
  <si>
    <t>https://twitter.com/Balozi_Mahiga</t>
  </si>
  <si>
    <t>Balozi_Mahiga</t>
  </si>
  <si>
    <t>https://twitter.com/majaliwa_kassim</t>
  </si>
  <si>
    <t>majaliwa_kassim</t>
  </si>
  <si>
    <t>https://twitter.com/jeanmarcayrault</t>
  </si>
  <si>
    <t>https://twitter.com/GISDominica</t>
  </si>
  <si>
    <t>https://twitter.com/MAEHaiti</t>
  </si>
  <si>
    <t>http://twiplomacy.com/info/africa/Cape-Verde</t>
  </si>
  <si>
    <t>GISDominica</t>
  </si>
  <si>
    <t>GovernmentLY</t>
  </si>
  <si>
    <t>https://twitter.com/majaliwa_kassim/lists</t>
  </si>
  <si>
    <t>https://twitter.com/MagufuliJP/lists</t>
  </si>
  <si>
    <t>https://twitter.com/GISDominica/lists</t>
  </si>
  <si>
    <t>https://twitter.com/HildaHeine/lists</t>
  </si>
  <si>
    <t>https://twitter.com/MFAEcuador/lists/ecuador-consulates</t>
  </si>
  <si>
    <t>https://twitter.com/MinCanadaAE</t>
  </si>
  <si>
    <t>https://twitter.com/MinCanadaFA</t>
  </si>
  <si>
    <t>https://twitter.com/president_nepal</t>
  </si>
  <si>
    <t>https://twitter.com/votealpha2015</t>
  </si>
  <si>
    <t>https://twitter.com/PMDNewsGov</t>
  </si>
  <si>
    <t>https://twitter.com/MFA_analysis</t>
  </si>
  <si>
    <t>https://twitter.com/MofaJapan_ITPR</t>
  </si>
  <si>
    <t>https://twitter.com/IsmailOguelleh</t>
  </si>
  <si>
    <t>MinCanadaAE</t>
  </si>
  <si>
    <t>MinCanadaFA</t>
  </si>
  <si>
    <t>president_nepal</t>
  </si>
  <si>
    <t>votealpha2015</t>
  </si>
  <si>
    <t>MFA_analysis</t>
  </si>
  <si>
    <t>MofaJapan_ITPR</t>
  </si>
  <si>
    <t>IsmailOguelleh</t>
  </si>
  <si>
    <t>https://twitter.com/MinCanadaAE/lists</t>
  </si>
  <si>
    <t>https://twitter.com/MinCanadaFA/lists</t>
  </si>
  <si>
    <t>https://twitter.com/president_nepal/lists</t>
  </si>
  <si>
    <t>https://twitter.com/votealpha2015/lists</t>
  </si>
  <si>
    <t>https://twitter.com/PMDNewsGov/lists</t>
  </si>
  <si>
    <t>https://twitter.com/MFA_analysis/lists</t>
  </si>
  <si>
    <t>https://twitter.com/MofaJapan_ITPR/lists</t>
  </si>
  <si>
    <t>https://twitter.com/IsmailOguelleh/lists</t>
  </si>
  <si>
    <t>https://twitter.com/rterdogan_ar</t>
  </si>
  <si>
    <t>https://twitter.com/pid_gov</t>
  </si>
  <si>
    <t>https://twitter.com/AsoRock/lists</t>
  </si>
  <si>
    <t>https://twitter.com/APUkraine/status/486921861176254464</t>
  </si>
  <si>
    <t>https://twitter.com/foreignaffairng/lists</t>
  </si>
  <si>
    <t>https://twitter.com/NGRPresident/lists</t>
  </si>
  <si>
    <t>https://twitter.com/OPM_TT/lists</t>
  </si>
  <si>
    <t>https://twitter.com/POTUS/lists</t>
  </si>
  <si>
    <t>https://twitter.com/ruizmassieu/lists</t>
  </si>
  <si>
    <t>https://twitter.com/TheBankova/lists</t>
  </si>
  <si>
    <t>https://twitter.com/TurnbullMalcolm/lists</t>
  </si>
  <si>
    <t>https://twitter.com/Vejonis/lists</t>
  </si>
  <si>
    <t>Dormant since 17.04.2015</t>
  </si>
  <si>
    <t>Dormant since 28.05.2015</t>
  </si>
  <si>
    <t>Dormant since 10.02.2015</t>
  </si>
  <si>
    <t>Dormant since 30.12.2013</t>
  </si>
  <si>
    <t>Dormant since 14.11.2015</t>
  </si>
  <si>
    <t>https://twitter.com/AdelAljubeir/status/597862275828023298</t>
  </si>
  <si>
    <t>https://twitter.com/AndrzejDuda/status/27337929606</t>
  </si>
  <si>
    <t>https://twitter.com/DrZvizdic/status/604961391167029248</t>
  </si>
  <si>
    <t>https://twitter.com/MBuhari/status/603926958334959617</t>
  </si>
  <si>
    <t>https://twitter.com/afgexecutive/status/531797665114488832</t>
  </si>
  <si>
    <t>https://twitter.com/foreignaffairng/status/372043712018149376</t>
  </si>
  <si>
    <t>https://twitter.com/Itamaraty_ES/status/601090544769638400</t>
  </si>
  <si>
    <t>https://twitter.com/larsloekke/status/428633049753210880</t>
  </si>
  <si>
    <t>https://twitter.com/MCHaiti/status/639807820569808896</t>
  </si>
  <si>
    <t>https://twitter.com/MFA_analysis/status/370148436584046593</t>
  </si>
  <si>
    <t>https://twitter.com/MinCanadaAE/status/672154843616821253</t>
  </si>
  <si>
    <t>https://twitter.com/MinCanadaFA/status/672106263770243072</t>
  </si>
  <si>
    <t>https://twitter.com/MofaJapan_ITPR/status/197255778955051008</t>
  </si>
  <si>
    <t>https://twitter.com/namibia_mfa/status/601911533170520064</t>
  </si>
  <si>
    <t>https://twitter.com/NGRPresident/status/552896003683389440</t>
  </si>
  <si>
    <t>https://twitter.com/OPMUganda/status/380332115738378240</t>
  </si>
  <si>
    <t>https://twitter.com/PMDNewsGov/status/629598528784875520</t>
  </si>
  <si>
    <t>https://twitter.com/POTUS/status/600324682190053376</t>
  </si>
  <si>
    <t>https://twitter.com/president_nepal/status/665384367447904256</t>
  </si>
  <si>
    <t>https://twitter.com/PresidentYameen/status/402312492853911552</t>
  </si>
  <si>
    <t>https://twitter.com/RuhakanaR/status/513648869952217088</t>
  </si>
  <si>
    <t>https://twitter.com/ruizmassieu/status/66657206585659392</t>
  </si>
  <si>
    <t>https://twitter.com/TurnbullMalcolm/status/958736820</t>
  </si>
  <si>
    <t>https://twitter.com/Vejonis/status/9537122322</t>
  </si>
  <si>
    <t>https://twitter.com/votealpha2015/status/642297718573019136</t>
  </si>
  <si>
    <t>https://twitter.com/VivianBala/status/2150693759</t>
  </si>
  <si>
    <t>https://twitter.com/MagufuliJP/status/621591230569414656</t>
  </si>
  <si>
    <t>https://twitter.com/CostaPS2015/status/630365085932908545</t>
  </si>
  <si>
    <t>https://twitter.com/MfaEgypt/status/552495198362947585</t>
  </si>
  <si>
    <t>https://twitter.com/Balozi_Mahiga/status/608504661641953281</t>
  </si>
  <si>
    <t>https://twitter.com/pmofa/status/223801898736697345</t>
  </si>
  <si>
    <t>https://twitter.com/jeanmarcayrault/status/6299895437</t>
  </si>
  <si>
    <t>https://twitter.com/GISDominica/status/537982299707801600</t>
  </si>
  <si>
    <t>https://twitter.com/carlosarosario2/status/565059883473453059</t>
  </si>
  <si>
    <t>https://twitter.com/majaliwa_kassim/status/680074316181016577</t>
  </si>
  <si>
    <t>https://twitter.com/BeataSzydlo/status/6568088914</t>
  </si>
  <si>
    <t>https://twitter.com/Balozi_Mahiga/lists</t>
  </si>
  <si>
    <t>https://twitter.com/MofaJapan_ITPR/lists/%E5%A4%96%E5%8B%99%E7%9C%81%E3%83%BB%E5%9C%A8%E5%A4%96%E5%85%AC%E9%A4%A8/members</t>
  </si>
  <si>
    <t>https://twitter.com/BeataSzydlo/lists</t>
  </si>
  <si>
    <t>https://twitter.com/carlosarosario2/lists</t>
  </si>
  <si>
    <t>https://twitter.com/CostaPS2015/lists</t>
  </si>
  <si>
    <t>https://twitter.com/jeanmarcayrault/lists</t>
  </si>
  <si>
    <t>https://twitter.com/MFAEGYPT/lists</t>
  </si>
  <si>
    <t>https://twitter.com/pmofa/lists</t>
  </si>
  <si>
    <t>https://twitter.com/VivianBala/lists</t>
  </si>
  <si>
    <t>https://twitter.com/A2IBangladesh/lists</t>
  </si>
  <si>
    <t>https://twitter.com/aguribfakim/statuses/651099249283858432</t>
  </si>
  <si>
    <t>https://twitter.com/AdelAljubeir/statuses/683772019167653889</t>
  </si>
  <si>
    <t>https://twitter.com/AndrzejDuda/statuses/665306304202694656</t>
  </si>
  <si>
    <t>https://twitter.com/mauriciomacri/statuses/666062051899482112</t>
  </si>
  <si>
    <t>https://twitter.com/CasaRosada/statuses/679329430611877888</t>
  </si>
  <si>
    <t>https://twitter.com/SusanaMalcorra/statuses/684861049233891329</t>
  </si>
  <si>
    <t>https://twitter.com/TurnbullMalcolm/statuses/665333623638220800</t>
  </si>
  <si>
    <t>https://twitter.com/gisbarbados/statuses/509073886395498497</t>
  </si>
  <si>
    <t>https://twitter.com/DrZvizdic/statuses/677142689893244928</t>
  </si>
  <si>
    <t>https://twitter.com/rochkaborepf/statuses/709084527977697280</t>
  </si>
  <si>
    <t>https://twitter.com/JustinTrudeau/statuses/692350250606931969</t>
  </si>
  <si>
    <t>https://twitter.com/CanadianPM/statuses/692356393635074048</t>
  </si>
  <si>
    <t>https://twitter.com/PMcanadien/statuses/703716305405259776</t>
  </si>
  <si>
    <t>https://twitter.com/Itamaraty_ES/statuses/622127639168462848</t>
  </si>
  <si>
    <t>https://twitter.com/HonStephaneDion/statuses/692449566315155457</t>
  </si>
  <si>
    <t>https://twitter.com/larsloekke/statuses/702207541867110400</t>
  </si>
  <si>
    <t>https://twitter.com/Kristian_Jensen/statuses/665302928970772480</t>
  </si>
  <si>
    <t>https://twitter.com/PMofTimorLeste/statuses/605637924441325568</t>
  </si>
  <si>
    <t>https://twitter.com/MFAEcuador/statuses/611210622273982464</t>
  </si>
  <si>
    <t>https://twitter.com/MfaEgypt/statuses/663045700326973440</t>
  </si>
  <si>
    <t>https://twitter.com/jeanmarcayrault/statuses/442040444600721408</t>
  </si>
  <si>
    <t>https://twitter.com/jimmymoralesgt/statuses/688502074280030208</t>
  </si>
  <si>
    <t>https://twitter.com/PresDGranger/statuses/599067774590169088</t>
  </si>
  <si>
    <t>https://twitter.com/MOTPGuyana/statuses/686668348415971329</t>
  </si>
  <si>
    <t>https://twitter.com/IraqiPMO/statuses/672911663381786624</t>
  </si>
  <si>
    <t>https://twitter.com/KingSalman/statuses/560910747178250240</t>
  </si>
  <si>
    <t>https://twitter.com/AsoRock/statuses/604224384501485569</t>
  </si>
  <si>
    <t>https://twitter.com/NGRPresident/statuses/666728534778454018</t>
  </si>
  <si>
    <t>https://twitter.com/PresidentIRL/statuses/675599902118961152</t>
  </si>
  <si>
    <t>https://twitter.com/MofaJapan_ITPR/statuses/629511258786508800</t>
  </si>
  <si>
    <t>https://twitter.com/Vejonis/statuses/666859059119857664</t>
  </si>
  <si>
    <t>https://twitter.com/PresidentYameen/statuses/402470993026764800</t>
  </si>
  <si>
    <t>https://twitter.com/MFAMalta/statuses/700030219676205057</t>
  </si>
  <si>
    <t>https://twitter.com/HildaHeine/statuses/693808487059558400</t>
  </si>
  <si>
    <t>https://twitter.com/ruizmassieu/statuses/665313934337966082</t>
  </si>
  <si>
    <t>https://twitter.com/Republic_Nauru/statuses/695397259295350788</t>
  </si>
  <si>
    <t>https://twitter.com/kpsharmaoli/statuses/651676231214100481</t>
  </si>
  <si>
    <t>https://twitter.com/PM_Nepal/statuses/662919198402674688</t>
  </si>
  <si>
    <t>https://twitter.com/pmofa/statuses/586050949170475011</t>
  </si>
  <si>
    <t>https://twitter.com/BeataSzydlo/statuses/689559352064221184</t>
  </si>
  <si>
    <t>https://twitter.com/TameemAlthani/statuses/581020082517590016</t>
  </si>
  <si>
    <t>https://twitter.com/HukoomiQatar/statuses/680795258205020160</t>
  </si>
  <si>
    <t>https://twitter.com/CiolosDacian/statuses/691920678669455362</t>
  </si>
  <si>
    <t>https://twitter.com/filip_pavel</t>
  </si>
  <si>
    <t>filip_pavel</t>
  </si>
  <si>
    <t>https://twitter.com/filip_pavel/status/188724409622724608</t>
  </si>
  <si>
    <t>Dormant since 09.09.2013</t>
  </si>
  <si>
    <t>https://twitter.com/filip_pavelD/lists</t>
  </si>
  <si>
    <t>https://twitter.com/KTnepal/statuses/694175997478850561</t>
  </si>
  <si>
    <t>https://twitter.com/Russia/statuses/680010599116312576</t>
  </si>
  <si>
    <t>https://twitter.com/VivianBala/statuses/304785204088811520</t>
  </si>
  <si>
    <t>https://twitter.com/PMDNewsGov/statuses/670566962804690944</t>
  </si>
  <si>
    <t>https://twitter.com/ComradeRalph/statuses/675085412398927873</t>
  </si>
  <si>
    <t>https://twitter.com/MID_Tajikistan/statuses/661542653763452928</t>
  </si>
  <si>
    <t>https://twitter.com/MagufuliJP/statuses/659724430617280512</t>
  </si>
  <si>
    <t>https://twitter.com/majaliwa_kassim/statuses/680480276116537344</t>
  </si>
  <si>
    <t>https://twitter.com/RuhakanaR/statuses/642600438450270208</t>
  </si>
  <si>
    <t>https://twitter.com/TheBankova/statuses/648541179194294273</t>
  </si>
  <si>
    <t>https://twitter.com/KBZayed/statuses/614408911240560640</t>
  </si>
  <si>
    <t>https://twitter.com/POTUS/statuses/614435467120001024</t>
  </si>
  <si>
    <t>https://twitter.com/carlosarosario2/statuses/565059883473453059</t>
  </si>
  <si>
    <t>https://twitter.com/CostaPS2015/statuses/665308967942225922</t>
  </si>
  <si>
    <t>https://twitter.com/VoteKeith2013/statuses/281019222937698304</t>
  </si>
  <si>
    <t>https://twitter.com/KeithRowleyPNM/statuses/129747027205701632</t>
  </si>
  <si>
    <t>https://twitter.com/president_nepal/statuses/669370042950119424</t>
  </si>
  <si>
    <t>https://twitter.com/MarisKucinskis</t>
  </si>
  <si>
    <t>https://twitter.com/MarisKucinskis/lists</t>
  </si>
  <si>
    <t>https://twitter.com/MarisKucinskis/statuses/697727635632291840</t>
  </si>
  <si>
    <t>https://twitter.com/MarisKucinskis/status/374793535246966784</t>
  </si>
  <si>
    <t>https://twitter.com/Petrit</t>
  </si>
  <si>
    <t>Petrit</t>
  </si>
  <si>
    <t>https://twitter.com/Petrit/status/24836511</t>
  </si>
  <si>
    <t>https://twitter.com/Petrit/lists</t>
  </si>
  <si>
    <t>patrice_talon</t>
  </si>
  <si>
    <t>https://twitter.com/patrice_talon</t>
  </si>
  <si>
    <t>https://twitter.com/patrice_talon/status/677479675661312000</t>
  </si>
  <si>
    <t>https://twitter.com/patrice_talon/lists</t>
  </si>
  <si>
    <t>https://twitter.com/patrice_talon/statuses/684130161005096962</t>
  </si>
  <si>
    <t>https://twitter.com/JanelidzeMkh/lists</t>
  </si>
  <si>
    <t>https://twitter.com/JanelidzeMkh</t>
  </si>
  <si>
    <t>JanelidzeMkh</t>
  </si>
  <si>
    <t>https://twitter.com/JanelidzeMkh/status/700548453642936321</t>
  </si>
  <si>
    <t>https://twitter.com/telle_serge</t>
  </si>
  <si>
    <t>telle_serge</t>
  </si>
  <si>
    <t>https://twitter.com/telle_serge/lists</t>
  </si>
  <si>
    <t>MFA_Mongolia</t>
  </si>
  <si>
    <t>https://twitter.com/MFA_Mongolia/lists</t>
  </si>
  <si>
    <t>rterdogan_ar</t>
  </si>
  <si>
    <t>https://twitter.com/rterdogan_ar/statuses/475389524647088128</t>
  </si>
  <si>
    <t>https://twitter.com/rterdogan_ar/lists</t>
  </si>
  <si>
    <t>https://twitter.com/PresidenceTg</t>
  </si>
  <si>
    <t>PresidenceTg</t>
  </si>
  <si>
    <t>https://twitter.com/PresidenceTg/status/702892278499700736</t>
  </si>
  <si>
    <t>https://twitter.com/PresidenceTg/lists</t>
  </si>
  <si>
    <t>togoprimature</t>
  </si>
  <si>
    <t>https://twitter.com/togoprimature</t>
  </si>
  <si>
    <t>https://twitter.com/togoprimature/lists</t>
  </si>
  <si>
    <t>https://twitter.com/togoprimature/status/709784782956326912</t>
  </si>
  <si>
    <t>https://twitter.com/GuillaumeLong</t>
  </si>
  <si>
    <t>GuillaumeLong</t>
  </si>
  <si>
    <t>https://twitter.com/GuillaumeLong/Lists</t>
  </si>
  <si>
    <t>https://twitter.com/GuillaumeLong/status/136824847123746816</t>
  </si>
  <si>
    <t>https://twitter.com/zinsouofficiel</t>
  </si>
  <si>
    <t>zinsouofficiel</t>
  </si>
  <si>
    <t>https://twitter.com/zinsouofficiel/status/612607223374741504</t>
  </si>
  <si>
    <t>https://twitter.com/zinsouofficiel/lists</t>
  </si>
  <si>
    <t>https://twitter.com/zinsouofficiel/statuses/711759588526329856</t>
  </si>
  <si>
    <t>gouvbenin</t>
  </si>
  <si>
    <t>https://twitter.com/gouvbenin/status/651343284472778753</t>
  </si>
  <si>
    <t>https://twitter.com/gouvbenin/lists</t>
  </si>
  <si>
    <t>https://twitter.com/gouvbenin/statuses/671631569988251648</t>
  </si>
  <si>
    <t>https://twitter.com/gouvbenin</t>
  </si>
  <si>
    <t>PresAlphaConde</t>
  </si>
  <si>
    <t>https://twitter.com/PresAlphaConde/lists</t>
  </si>
  <si>
    <t>https://twitter.com/PresAlphaConde</t>
  </si>
  <si>
    <t>https://twitter.com/PresAlphaConde/status/624614221456642048</t>
  </si>
  <si>
    <t>https://twitter.com/PresAlphaConde/statuses/665303932080640001</t>
  </si>
  <si>
    <t>https://twitter.com/_BR_JSA</t>
  </si>
  <si>
    <t>_BR_JSA</t>
  </si>
  <si>
    <t>CancilleriaARG</t>
  </si>
  <si>
    <t>https://twitter.com/CancilleriaARG/lists</t>
  </si>
  <si>
    <t>https://twitter.com/CancilleriaARG/statuses/19944355522</t>
  </si>
  <si>
    <t>https://twitter.com/Elysee_Com</t>
  </si>
  <si>
    <t>Elysee_Com</t>
  </si>
  <si>
    <t>https://twitter.com/GuvernulRM</t>
  </si>
  <si>
    <t>https://twitter.com/Jorgecfonseca</t>
  </si>
  <si>
    <t>Dormant since 02.05.2013</t>
  </si>
  <si>
    <t>https://twitter.com/Kungahuset</t>
  </si>
  <si>
    <t>https://twitter.com/presidencia_cl</t>
  </si>
  <si>
    <t>presidencia_cl</t>
  </si>
  <si>
    <t>https://twitter.com/PresidentKE</t>
  </si>
  <si>
    <t>PresidentKE</t>
  </si>
  <si>
    <t>https://twitter.com/presidencia_cl/lists</t>
  </si>
  <si>
    <t>https://twitter.com/Elysee_Com/lists</t>
  </si>
  <si>
    <t>https://twitter.com/PresidentKE/lists</t>
  </si>
  <si>
    <t>https://twitter.com/Kungahuset/lists</t>
  </si>
  <si>
    <t>https://twitter.com/_BR_JSA/lists</t>
  </si>
  <si>
    <t>https://twitter.com/Jorgecfonseca/status/97351465189916672</t>
  </si>
  <si>
    <t>https://twitter.com/presidencia_cl/status/319918989033758720</t>
  </si>
  <si>
    <t>https://twitter.com/Elysee_Com/status/582545015181828097</t>
  </si>
  <si>
    <t>https://twitter.com/PresidentKE/status/555750703466283009</t>
  </si>
  <si>
    <t>https://twitter.com/GuvernulRM/status/56299950887272448</t>
  </si>
  <si>
    <t>https://twitter.com/_BR_JSA/status/555085148363165699</t>
  </si>
  <si>
    <t>https://twitter.com/presidencia_cl/statuses/675038184401670145</t>
  </si>
  <si>
    <t>https://twitter.com/Elysee_Com/statuses/583166155197669376</t>
  </si>
  <si>
    <t>https://twitter.com/PresidentKE/statuses/635810778898108416</t>
  </si>
  <si>
    <t>https://twitter.com/_BR_JSA/statuses/712196561191698433</t>
  </si>
  <si>
    <t>https://twitter.com/GeoffreyOnyeama</t>
  </si>
  <si>
    <t>GeoffreyOnyeama</t>
  </si>
  <si>
    <t>https://twitter.com/GeoffreyOnyeama/status/708775988721618944</t>
  </si>
  <si>
    <t>https://twitter.com/GeoffreyOnyeama/lists</t>
  </si>
  <si>
    <t>https://twitter.com/Sigurduringij</t>
  </si>
  <si>
    <t>https://twitter.com/SigurdurIngiJ/status/461168372676558850</t>
  </si>
  <si>
    <t>https://twitter.com/Sigurduringij/lists</t>
  </si>
  <si>
    <t>https://twitter.com/SigurdurIngiJ/statuses/512145776605429760</t>
  </si>
  <si>
    <t>SigurdurIngiJ</t>
  </si>
  <si>
    <t>https://twitter.com/prensa_palacio</t>
  </si>
  <si>
    <t>https://twitter.com/Prensa_Palacio/status/629279654000635904</t>
  </si>
  <si>
    <t>https://twitter.com/prensa_palacio/lists</t>
  </si>
  <si>
    <t>https://twitter.com/Prensa_Palacio/statuses/671326231246282752</t>
  </si>
  <si>
    <t>iGABahrain</t>
  </si>
  <si>
    <t>https://twitter.com/iGABahrain/lists</t>
  </si>
  <si>
    <t>MOFAVietNam</t>
  </si>
  <si>
    <t>https://twitter.com/MOFAVietNam</t>
  </si>
  <si>
    <t>https://twitter.com/MOFAVietNam/status/661105865894703104</t>
  </si>
  <si>
    <t>https://twitter.com/MOFAVietNam/lists</t>
  </si>
  <si>
    <t>https://twitter.com/MOFAVietNam/statuses/674776465825632256</t>
  </si>
  <si>
    <t>MinBZ</t>
  </si>
  <si>
    <t>https://twitter.com/MinBZ</t>
  </si>
  <si>
    <t>AndrewHolnessJM</t>
  </si>
  <si>
    <t>https://twitter.com/AndrewHolnessJM/lists</t>
  </si>
  <si>
    <t>https://twitter.com/AndrewHolnessJM/statuses/703101959784411137</t>
  </si>
  <si>
    <t>https://twitter.com/AndrewHolnessJM/status/119773483227033600</t>
  </si>
  <si>
    <t>Issoufoumhm</t>
  </si>
  <si>
    <t>https://twitter.com/Issoufoumhm</t>
  </si>
  <si>
    <t>https://twitter.com/Issoufoumhm/lists</t>
  </si>
  <si>
    <t>https://twitter.com/Issoufoumhm/status/688863689521389568?ref_src=twsrc%5Etfw</t>
  </si>
  <si>
    <t>https://twitter.com/Issoufoumhm/statuses/693099652015636481</t>
  </si>
  <si>
    <t>https://twitter.com/govsuriname</t>
  </si>
  <si>
    <t>govsuriname</t>
  </si>
  <si>
    <t>ugolini_massimo</t>
  </si>
  <si>
    <t>PresidenceHT</t>
  </si>
  <si>
    <t>https://twitter.com/JocelermeP</t>
  </si>
  <si>
    <t>https://twitter.com/JocelermePriver</t>
  </si>
  <si>
    <t>JocelermePriver</t>
  </si>
  <si>
    <t>JocelermeP</t>
  </si>
  <si>
    <t>EnexJeanCharles</t>
  </si>
  <si>
    <t>JnCharlesEnexPM</t>
  </si>
  <si>
    <t>https://twitter.com/EnexJeanCharles</t>
  </si>
  <si>
    <t>https://twitter.com/JnCharlesEnexPM</t>
  </si>
  <si>
    <t>https://twitter.com/PresidenceHT</t>
  </si>
  <si>
    <t>MaltaGov</t>
  </si>
  <si>
    <t>https://twitter.com/MaltaGov</t>
  </si>
  <si>
    <t>Captain Regent</t>
  </si>
  <si>
    <t>https://twitter.com/ugolini_massimo</t>
  </si>
  <si>
    <t>http://twiplomacy.com/info/south-america/Suriname</t>
  </si>
  <si>
    <t>ForeignStrategy</t>
  </si>
  <si>
    <t>https://twitter.com/frankjosh156</t>
  </si>
  <si>
    <t>https://twitter.com/HassanalBolkia2</t>
  </si>
  <si>
    <t>I_Luksic</t>
  </si>
  <si>
    <t>pnkurunziza</t>
  </si>
  <si>
    <t>https://twitter.com/pnkurunziza/lists</t>
  </si>
  <si>
    <t>https://twitter.com/ByegmRU</t>
  </si>
  <si>
    <t>https://twitter.com/ChileMFA</t>
  </si>
  <si>
    <t>https://twitter.com/I_Luksic</t>
  </si>
  <si>
    <t>https://twitter.com/Khamenei_Fra</t>
  </si>
  <si>
    <t>https://twitter.com/ABZayed</t>
  </si>
  <si>
    <t>https://twitter.com/FCOArabic</t>
  </si>
  <si>
    <t>https://twitter.com/IsraelArabic</t>
  </si>
  <si>
    <t>https://twitter.com/IsraelHebrew</t>
  </si>
  <si>
    <t>https://twitter.com/IsraelRussian</t>
  </si>
  <si>
    <t>ByegmRU</t>
  </si>
  <si>
    <t>ChileMFA</t>
  </si>
  <si>
    <t>Khamenei_Fra</t>
  </si>
  <si>
    <t>FCOArabic</t>
  </si>
  <si>
    <t>IsraelArabic</t>
  </si>
  <si>
    <t>IsraelHebrew</t>
  </si>
  <si>
    <t>IsraelRussian</t>
  </si>
  <si>
    <t>https://twitter.com/ByegmRU/lists</t>
  </si>
  <si>
    <t>https://twitter.com/ChileMFA/lists</t>
  </si>
  <si>
    <t>https://twitter.com/I_Luksic/lists</t>
  </si>
  <si>
    <t>https://twitter.com/Khamenei_Fra/lists</t>
  </si>
  <si>
    <t>https://twitter.com/ABZayed/lists</t>
  </si>
  <si>
    <t>https://twitter.com/FCOArabic/lists</t>
  </si>
  <si>
    <t>https://twitter.com/frankjosh156/lists</t>
  </si>
  <si>
    <t>https://twitter.com/IsraelArabic/lists</t>
  </si>
  <si>
    <t>https://twitter.com/IsraelHebrew/lists</t>
  </si>
  <si>
    <t>https://twitter.com/IsraelRussian/lists</t>
  </si>
  <si>
    <t>https://twitter.com/HassanalBolkia2/status/429599541638094848</t>
  </si>
  <si>
    <t>https://twitter.com/Khamenei_Fra/status/670906651382272000</t>
  </si>
  <si>
    <t>https://twitter.com/IsraelArabic/status/25544304634105857</t>
  </si>
  <si>
    <t>https://twitter.com/IsraelHebrew/status/105210263443218432</t>
  </si>
  <si>
    <t>https://twitter.com/IsraelRussian/status/100163247193325568</t>
  </si>
  <si>
    <t>https://twitter.com/ABZayed/status/129119255970058240</t>
  </si>
  <si>
    <t>https://twitter.com/I_Luksic/status/719839061985402880</t>
  </si>
  <si>
    <t>https://twitter.com/ByegmRU/status/702137584273768449</t>
  </si>
  <si>
    <t>https://twitter.com/FCOArabic/status/17526663143</t>
  </si>
  <si>
    <t>https://twitter.com/OAS_official/status/698938180289093632</t>
  </si>
  <si>
    <t>https://twitter.com/JocelermePriver/status/148011221193469953</t>
  </si>
  <si>
    <t>https://twitter.com/PresidenceHT/status/698893890594717696</t>
  </si>
  <si>
    <t>https://twitter.com/JnCharlesEnexPM/status/713056647824875520</t>
  </si>
  <si>
    <t>https://twitter.com/EnexJeanCharles/status/148818753528926211</t>
  </si>
  <si>
    <t>https://twitter.com/frankjosh156/status/473888242152910849</t>
  </si>
  <si>
    <t>https://twitter.com/ChileMFA/status/697415312141115392</t>
  </si>
  <si>
    <t>https://twitter.com/govsuriname/status/601452681052327936</t>
  </si>
  <si>
    <t>https://twitter.com/HassanalBolkia2/statuses/431065424763969537</t>
  </si>
  <si>
    <t>https://twitter.com/IsraelArabic/statuses/379152559094501376</t>
  </si>
  <si>
    <t>https://twitter.com/IsraelHebrew/statuses/715505126383988736</t>
  </si>
  <si>
    <t>https://twitter.com/IsraelRussian/statuses/455016201110827008</t>
  </si>
  <si>
    <t>https://twitter.com/ABZayed/statuses/493420290781634560</t>
  </si>
  <si>
    <t>https://twitter.com/FCOArabic/statuses/709149565363036160</t>
  </si>
  <si>
    <t>https://twitter.com/JocelermeP/statuses/698957802363031553</t>
  </si>
  <si>
    <t>https://twitter.com/PresidenceHT/statuses/715151330398982144</t>
  </si>
  <si>
    <t>https://twitter.com/JnCharlesEnexPM/statuses/713175724341899264</t>
  </si>
  <si>
    <t>https://twitter.com/frankjosh156/statuses/669835856258052096</t>
  </si>
  <si>
    <t>https://twitter.com/ChileMFA/statuses/704376298802696194</t>
  </si>
  <si>
    <t>https://twitter.com/MaltaGov/lists</t>
  </si>
  <si>
    <t>https://twitter.com/ugolini_massimo/lists</t>
  </si>
  <si>
    <t>https://twitter.com/JocelermeP/lists</t>
  </si>
  <si>
    <t>https://twitter.com/JocelermePriver/lists</t>
  </si>
  <si>
    <t>https://twitter.com/PresidenceHT/lists</t>
  </si>
  <si>
    <t>https://twitter.com/EnexJeanCharles/lists</t>
  </si>
  <si>
    <t>https://twitter.com/JnCharlesEnexPM/lists</t>
  </si>
  <si>
    <t>https://twitter.com/govsuriname/lists</t>
  </si>
  <si>
    <t>J N Schneider-Ammann</t>
  </si>
  <si>
    <t>Bundespräsident - Vorsteher WBF – Président de la Confédération –  Chef du DEFR</t>
  </si>
  <si>
    <t>Wed Jan 07 07:09:48 +0000 2015</t>
  </si>
  <si>
    <t>Mon Dec 12 12:36:14 +0000 2011</t>
  </si>
  <si>
    <t>Mon Dec 12 11:02:34 +0000 2011</t>
  </si>
  <si>
    <t>A2I Programme</t>
  </si>
  <si>
    <t>to increase transparency, improve governance, reduce time, difficulties and costs of obtaining government services for under-served communities of Bangladesh.</t>
  </si>
  <si>
    <t>Mon Feb 11 11:56:11 +0000 2013</t>
  </si>
  <si>
    <t>Wed Oct 26 16:21:12 +0000 2011</t>
  </si>
  <si>
    <t>Thu Jan 19 06:02:29 +0000 2012</t>
  </si>
  <si>
    <t>Sun Jan 20 17:08:06 +0000 2013</t>
  </si>
  <si>
    <t>Thu Mar 24 11:16:01 +0000 2011</t>
  </si>
  <si>
    <t>حساب شخصي</t>
  </si>
  <si>
    <t>Wed Oct 26 08:40:18 +0000 2011</t>
  </si>
  <si>
    <t>Tue May 05 13:50:23 +0000 2015</t>
  </si>
  <si>
    <t>Mon Oct 04 09:32:48 +0000 2010</t>
  </si>
  <si>
    <t>Thu Oct 29 10:32:52 +0000 2009</t>
  </si>
  <si>
    <t>Mon Jun 13 19:54:04 +0000 2011</t>
  </si>
  <si>
    <t>Dr. Abdullah</t>
  </si>
  <si>
    <t>This account is run by Media Office of the Chief Executive of Afghanistan. Tweets from Chief Executive are signed - AA. https://t.co/AIR7GNXI5t</t>
  </si>
  <si>
    <t>Mon Nov 10 12:03:32 +0000 2014</t>
  </si>
  <si>
    <t>Gobernador del Estado Libre Asociado de Puerto Rico. Governor of Puerto Rico. Tuits del Gobernador son firmados -AGP</t>
  </si>
  <si>
    <t>Fri May 07 13:55:11 +0000 2010</t>
  </si>
  <si>
    <t>Ameenah Gurib-Fakim</t>
  </si>
  <si>
    <t>6th President of the Republic of Mauritius</t>
  </si>
  <si>
    <t>Sat Jun 19 08:14:58 +0000 2010</t>
  </si>
  <si>
    <t>Sun Aug 22 14:36:03 +0000 2010</t>
  </si>
  <si>
    <t>Sat Jul 14 19:01:11 +0000 2012</t>
  </si>
  <si>
    <t>أعرف جيداً متى بدأت المسؤولية في حياتي.. وأستطيع أن أؤرخ متى تحملتها.. ولكنني لا يمكن أن أؤرخ متى ستنتهي.. لأن المسؤولية ستنتهي بإنتهاء حياتي..</t>
  </si>
  <si>
    <t>Fri Oct 21 10:07:15 +0000 2011</t>
  </si>
  <si>
    <t>Iraq, Baghdad</t>
  </si>
  <si>
    <t>Sun Oct 14 23:10:05 +0000 2012</t>
  </si>
  <si>
    <t>Thu May 13 13:32:13 +0000 2010</t>
  </si>
  <si>
    <t>الحساب الرسمي للرئيس عبدالفتاح السيسي رئيس جمهورية مصر العربية - تنتهي تغريدات الرئيس السيسي بكلمة #الرئيس</t>
  </si>
  <si>
    <t>Sun Mar 30 15:50:56 +0000 2014</t>
  </si>
  <si>
    <t>Thu Apr 25 11:06:58 +0000 2013</t>
  </si>
  <si>
    <t>AmSellal</t>
  </si>
  <si>
    <t>Compte officiel de Mr Abdelmalek Sellal</t>
  </si>
  <si>
    <t>Fri Mar 28 16:28:17 +0000 2014</t>
  </si>
  <si>
    <t>Prime Minister of Rwanda</t>
  </si>
  <si>
    <t>Fri Jun 17 21:29:38 +0000 2011</t>
  </si>
  <si>
    <t>Wed May 02 07:53:00 +0000 2012</t>
  </si>
  <si>
    <t>President of the Slovak Republic</t>
  </si>
  <si>
    <t>Tue Jun 10 11:15:02 +0000 2014</t>
  </si>
  <si>
    <t>andresnavarrog</t>
  </si>
  <si>
    <t>Thu May 27 20:59:23 +0000 2010</t>
  </si>
  <si>
    <t>Andrew Holness</t>
  </si>
  <si>
    <t>Father of two, @JulietHolness' Husband, Prime Minister of Jamaica, Leader of @JLPJamaica. Tweets may be archived.</t>
  </si>
  <si>
    <t>Fri Sep 30 13:52:28 +0000 2011</t>
  </si>
  <si>
    <t>Wed Oct 13 07:58:45 +0000 2010</t>
  </si>
  <si>
    <t>Kraków</t>
  </si>
  <si>
    <t>Mon Feb 14 07:30:30 +0000 2011</t>
  </si>
  <si>
    <t>Sat Feb 19 10:01:23 +0000 2011</t>
  </si>
  <si>
    <t>Tue Jul 13 17:19:49 +0000 2010</t>
  </si>
  <si>
    <t>APM</t>
  </si>
  <si>
    <t>President of the Republic of Malawi</t>
  </si>
  <si>
    <t>Mon Nov 03 11:19:20 +0000 2014</t>
  </si>
  <si>
    <t>Lilongwe, Malawi</t>
  </si>
  <si>
    <t>Адміністрація Президента України  / Presidential Administration of Ukraine. For English @TheBankova</t>
  </si>
  <si>
    <t>Wed Jul 09 17:06:51 +0000 2014</t>
  </si>
  <si>
    <t>ارگ</t>
  </si>
  <si>
    <t>Official Account of the Office of the President of Afghanistan - ARG Presidential Palace.</t>
  </si>
  <si>
    <t>Wed Nov 16 06:45:37 +0000 2011</t>
  </si>
  <si>
    <t>ولسمشرۍ ماڼۍ</t>
  </si>
  <si>
    <t>ĀM izstrādā un īsteno LV ārpolitiku, lai radītu labvēlīgus apstākļus starptautiskajai drošībai un iekšpolitiskajai stabilitātei. In English, follow @Latvian_MFA</t>
  </si>
  <si>
    <t>Mon Oct 04 09:24:33 +0000 2010</t>
  </si>
  <si>
    <t>Thu Jun 11 12:34:40 +0000 2009</t>
  </si>
  <si>
    <t>Follow for the latest from the Federal Government of Nigeria. Managed by the Digital Strategy &amp; Engagement Unit (DSEU) in the Office of @NGRPresident</t>
  </si>
  <si>
    <t>Sat Apr 04 12:07:16 +0000 2015</t>
  </si>
  <si>
    <t>Federal Capital Territory</t>
  </si>
  <si>
    <t>Wed Jul 13 11:08:10 +0000 2011</t>
  </si>
  <si>
    <t>Aktuelle Nachrichten aus dem Auswärtigen Amt - Auf Englisch: @GermanyDiplo - Impressum: https://t.co/hDOLfIIbLM</t>
  </si>
  <si>
    <t>Mon Mar 28 15:09:35 +0000 2011</t>
  </si>
  <si>
    <t>The official account of the Prime Minister of Serbia and the president of the Serbian Progressive Party / Званичан налог премијера Србије и председника СНС</t>
  </si>
  <si>
    <t>Tue Aug 16 21:40:53 +0000 2011</t>
  </si>
  <si>
    <t>sr</t>
  </si>
  <si>
    <t>Wed Jan 11 10:37:36 +0000 2012</t>
  </si>
  <si>
    <t>Thu Apr 07 12:52:03 +0000 2011</t>
  </si>
  <si>
    <t>Tue Jul 27 04:39:13 +0000 2010</t>
  </si>
  <si>
    <t>Mon Aug 23 08:30:59 +0000 2010</t>
  </si>
  <si>
    <t>Tue Nov 24 19:22:46 +0000 2009</t>
  </si>
  <si>
    <t>Wed May 09 23:42:10 +0000 2012</t>
  </si>
  <si>
    <t>Augustine Mahiga</t>
  </si>
  <si>
    <t>Balozi Dkt. Augustino Philip Mahiga.</t>
  </si>
  <si>
    <t>Tue Jun 09 17:40:59 +0000 2015</t>
  </si>
  <si>
    <t>Mon Mar 05 22:08:25 +0000 2007</t>
  </si>
  <si>
    <t>Thu Jun 23 21:03:58 +0000 2011</t>
  </si>
  <si>
    <t>Thu Nov 11 11:54:05 +0000 2010</t>
  </si>
  <si>
    <t>Présidence de la République du Burundi.</t>
  </si>
  <si>
    <t>Fri Feb 03 17:49:12 +0000 2012</t>
  </si>
  <si>
    <t>Thu Sep 24 16:26:48 +0000 2009</t>
  </si>
  <si>
    <t>Polska</t>
  </si>
  <si>
    <t>Tue Sep 09 07:44:06 +0000 2014</t>
  </si>
  <si>
    <t>Fri May 13 10:59:53 +0000 2011</t>
  </si>
  <si>
    <t>МИД Беларуси</t>
  </si>
  <si>
    <t>Thu Aug 25 07:25:00 +0000 2011</t>
  </si>
  <si>
    <t>Belgian Ministry of Foreign Affairs, Development Cooperation &amp; Foreign Trade - Official Account</t>
  </si>
  <si>
    <t>Tue Sep 27 09:03:44 +0000 2011</t>
  </si>
  <si>
    <t>Tue Jun 15 15:04:26 +0000 2010</t>
  </si>
  <si>
    <t>Sat Jan 11 03:47:23 +0000 2014</t>
  </si>
  <si>
    <t>Thu May 02 12:28:40 +0000 2013</t>
  </si>
  <si>
    <t>Sat Aug 04 22:44:43 +0000 2012</t>
  </si>
  <si>
    <t>Wed Oct 30 16:46:09 +0000 2013</t>
  </si>
  <si>
    <t>Wed Apr 14 06:19:31 +0000 2010</t>
  </si>
  <si>
    <t>Mon May 11 08:53:52 +0000 2009</t>
  </si>
  <si>
    <t>Fri Jul 13 10:24:05 +0000 2012</t>
  </si>
  <si>
    <t>Wed Mar 04 18:13:16 +0000 2015</t>
  </si>
  <si>
    <t>Sun Sep 01 09:27:07 +0000 2013</t>
  </si>
  <si>
    <t>Mon Jun 06 09:53:45 +0000 2011</t>
  </si>
  <si>
    <t>Thu Mar 25 18:59:30 +0000 2010</t>
  </si>
  <si>
    <t>Updates, pictures and videos from Buckingham Palace about the work and activities of The Queen and members of The Royal Family.</t>
  </si>
  <si>
    <t>Tue Apr 28 11:31:02 +0000 2009</t>
  </si>
  <si>
    <t>Mon Jun 08 07:48:48 +0000 2009</t>
  </si>
  <si>
    <t>Sat Jan 26 04:35:10 +0000 2013</t>
  </si>
  <si>
    <t>Thu Apr 10 13:31:46 +0000 2014</t>
  </si>
  <si>
    <t>Tue Sep 16 14:07:54 +0000 2014</t>
  </si>
  <si>
    <t>Sat Aug 14 11:20:54 +0000 2010</t>
  </si>
  <si>
    <t>Official Twitter account of the Government of #Botswana</t>
  </si>
  <si>
    <t>Mon Jun 13 06:58:40 +0000 2011</t>
  </si>
  <si>
    <t>T.C. Başbakanlık Basın Yayın ve Enformasyon Genel Müdürlüğü’nün Resmi Twitter Hesabı - Follow us in English @ByegmENG;  in Russian @ByegmRU</t>
  </si>
  <si>
    <t>Sat Sep 25 00:32:04 +0000 2010</t>
  </si>
  <si>
    <t>Official Twitter page of the Republic of Turkey Office of the Prime Minister Directorate General of Press and Information. @Byegm (Turkish) @ByegmRU (Russian)</t>
  </si>
  <si>
    <t>Wed Dec 03 09:10:43 +0000 2014</t>
  </si>
  <si>
    <t>АПМ Турции ПрессИнфо</t>
  </si>
  <si>
    <t>Официальный twitter-аккаунт Главного управления прессы и информации при Аппарате премьер-министра Турецкой Республики.</t>
  </si>
  <si>
    <t>Wed Dec 24 14:50:18 +0000 2014</t>
  </si>
  <si>
    <t>Wed Sep 11 17:37:41 +0000 2013</t>
  </si>
  <si>
    <t>Thu May 13 15:37:40 +0000 2010</t>
  </si>
  <si>
    <t>Wed Jun 19 15:47:07 +0000 2013</t>
  </si>
  <si>
    <t>Foreign Policy CAN</t>
  </si>
  <si>
    <t>Canada’s Foreign Policy activities are led by Global Affairs Canada - Français : @CanadaPE - https://t.co/YcijzugMJP</t>
  </si>
  <si>
    <t>Tue Mar 09 18:54:09 +0000 2010</t>
  </si>
  <si>
    <t>Pol. étrangère CAN</t>
  </si>
  <si>
    <t>Les activités de la politique étrangère du Canada sont dirigées par Affaires mondiales Canada - English: @CanadaFP https://t.co/IrO9VOQVYE</t>
  </si>
  <si>
    <t>Tue Mar 09 18:59:09 +0000 2010</t>
  </si>
  <si>
    <t>Official Twitter account of Justin Trudeau, Prime Minister of Canada - Français : @PMcanadien</t>
  </si>
  <si>
    <t>Fri May 09 14:25:26 +0000 2008</t>
  </si>
  <si>
    <t>Ottawa, Ontario, Canada</t>
  </si>
  <si>
    <t>CancilleríaArgentina</t>
  </si>
  <si>
    <t>Tue Jul 27 21:11:43 +0000 2010</t>
  </si>
  <si>
    <t>Mon Mar 07 23:56:40 +0000 2011</t>
  </si>
  <si>
    <t>Fri Jun 25 17:49:39 +0000 2010</t>
  </si>
  <si>
    <t>Cuenta Oficial de Twitter del Ministerio de Relaciones Exteriores y Movilidad Humana/ MREMH. Síguenos también en nuestra cuenta en inglés @MFAEcuador</t>
  </si>
  <si>
    <t>Sat Oct 30 17:51:02 +0000 2010</t>
  </si>
  <si>
    <t>Wed Oct 17 14:56:49 +0000 2012</t>
  </si>
  <si>
    <t>Ministerio de Relaciones Exteriores. Formulamos, ejecutamos y evaluamos la política exterior del país. Facebook: https://t.co/kCwnskSK6V</t>
  </si>
  <si>
    <t>Thu Nov 05 23:00:25 +0000 2009</t>
  </si>
  <si>
    <t>Palacio de Torre Tagle, Lima</t>
  </si>
  <si>
    <t>Fri Feb 14 21:18:29 +0000 2014</t>
  </si>
  <si>
    <t>Cuenta oficial del Ministerio de Relaciones Exteriores de El Salvador. Titulares: #MinMartínez #ViceCCastaneda #ViceLMagarín #ViceJMiranda</t>
  </si>
  <si>
    <t>Wed Apr 28 19:38:18 +0000 2010</t>
  </si>
  <si>
    <t>Carlos A. do Rosário</t>
  </si>
  <si>
    <t>Primeiro-Ministro da República de Moçambique</t>
  </si>
  <si>
    <t>Mon Feb 09 10:22:28 +0000 2015</t>
  </si>
  <si>
    <t>Maputo - Moçambique</t>
  </si>
  <si>
    <t>Fri Jul 26 18:30:19 +0000 2013</t>
  </si>
  <si>
    <t>Wed Sep 14 10:54:52 +0000 2011</t>
  </si>
  <si>
    <t>Thu May 15 21:12:16 +0000 2014</t>
  </si>
  <si>
    <t>Thu Dec 17 15:30:42 +0000 2015</t>
  </si>
  <si>
    <t>Ciudad de Buenos Aires, Ar</t>
  </si>
  <si>
    <t>Fri Dec 06 09:31:44 +0000 2013</t>
  </si>
  <si>
    <t>Tue Dec 22 13:55:32 +0000 2009</t>
  </si>
  <si>
    <t>Minister for Foreign Affairs &amp; Trade. TD for Laois. Charlie.flanagan@oir.ie</t>
  </si>
  <si>
    <t>Wed Nov 04 16:09:52 +0000 2009</t>
  </si>
  <si>
    <t>Fri Aug 10 01:04:47 +0000 2012</t>
  </si>
  <si>
    <t>Chile MFA</t>
  </si>
  <si>
    <t>Ministry of Foreign Affairs of Chile. Spanish: @Minrel_Chile</t>
  </si>
  <si>
    <t>Wed Nov 11 15:25:38 +0000 2015</t>
  </si>
  <si>
    <t>Teatinos 180, Santiago, Chile</t>
  </si>
  <si>
    <t>Dacian Cioloş</t>
  </si>
  <si>
    <t>Thu Nov 12 14:36:36 +0000 2015</t>
  </si>
  <si>
    <t>Tue Aug 28 11:58:18 +0000 2012</t>
  </si>
  <si>
    <t>Prime Minister of St. Vincent and the Grenadines.</t>
  </si>
  <si>
    <t>Mon Sep 28 11:32:55 +0000 2015</t>
  </si>
  <si>
    <t>Mon Apr 04 15:21:33 +0000 2011</t>
  </si>
  <si>
    <t>Tue Jul 14 19:09:40 +0000 2015</t>
  </si>
  <si>
    <t>Mon Sep 13 14:12:37 +0000 2010</t>
  </si>
  <si>
    <t>Thu Oct 30 16:09:41 +0000 2014</t>
  </si>
  <si>
    <t>Ministerio de Relaciones Exteriores de la República de Cuba • Ministry of Foreign Affairs of the Republic of Cuba</t>
  </si>
  <si>
    <t>Sat May 08 06:53:18 +0000 2010</t>
  </si>
  <si>
    <t>Sun Feb 10 11:59:55 +0000 2013</t>
  </si>
  <si>
    <t>Tue May 21 15:28:14 +0000 2013</t>
  </si>
  <si>
    <t>Thu Aug 21 12:50:56 +0000 2014</t>
  </si>
  <si>
    <t>Sat Oct 01 06:27:24 +0000 2011</t>
  </si>
  <si>
    <t>Fri Nov 23 09:58:07 +0000 2012</t>
  </si>
  <si>
    <t>Fri Oct 07 09:52:54 +0000 2011</t>
  </si>
  <si>
    <t>Sun Apr 26 15:21:24 +0000 2009</t>
  </si>
  <si>
    <t>Fri Jan 08 19:23:35 +0000 2010</t>
  </si>
  <si>
    <t>Wed Jul 29 08:28:27 +0000 2009</t>
  </si>
  <si>
    <t>Tue Jun 04 21:34:47 +0000 2013</t>
  </si>
  <si>
    <t>Mon Jul 20 07:32:11 +0000 2009</t>
  </si>
  <si>
    <t>Wed Aug 08 01:33:48 +0000 2012</t>
  </si>
  <si>
    <t>Tue Mar 29 01:54:44 +0000 2011</t>
  </si>
  <si>
    <t>Mon Aug 29 11:13:46 +0000 2011</t>
  </si>
  <si>
    <t>Jean RAVELONARIVO</t>
  </si>
  <si>
    <t>PREMIER MINISTRE-CHEF DU GOUVERNEMENT-RÉPUBLIQUE DE MADAGASCAR</t>
  </si>
  <si>
    <t>Thu Jul 11 15:40:33 +0000 2013</t>
  </si>
  <si>
    <t>Antananarivo - Madagascar</t>
  </si>
  <si>
    <t>Tue Apr 10 16:32:58 +0000 2012</t>
  </si>
  <si>
    <t>Fri Oct 12 06:32:55 +0000 2012</t>
  </si>
  <si>
    <t>Thu May 02 07:35:40 +0000 2013</t>
  </si>
  <si>
    <t>DIRCO South Africa</t>
  </si>
  <si>
    <t>We are committed to promoting South Africa's national interests and values, the African Renaissance and the creation of a better world for all.</t>
  </si>
  <si>
    <t>Wed Jan 28 15:14:12 +0000 2015</t>
  </si>
  <si>
    <t>Mon Feb 18 16:10:32 +0000 2013</t>
  </si>
  <si>
    <t>Fri May 30 18:58:27 +0000 2014</t>
  </si>
  <si>
    <t>Sun Feb 09 08:52:52 +0000 2014</t>
  </si>
  <si>
    <t>Mon Mar 14 10:34:24 +0000 2011</t>
  </si>
  <si>
    <t>Sat Sep 17 15:51:48 +0000 2011</t>
  </si>
  <si>
    <t>Thu Feb 10 03:18:42 +0000 2011</t>
  </si>
  <si>
    <t>Sat May 02 20:57:59 +0000 2009</t>
  </si>
  <si>
    <t>Sun Aug 04 03:04:17 +0000 2013</t>
  </si>
  <si>
    <t>Sun Sep 12 13:09:27 +0000 2010</t>
  </si>
  <si>
    <t>Chairman of the Council of Ministers of Bosnia and Herzegovina</t>
  </si>
  <si>
    <t>Sun May 31 09:32:19 +0000 2015</t>
  </si>
  <si>
    <t>Mon Apr 15 16:39:54 +0000 2013</t>
  </si>
  <si>
    <t>MFA The Netherlands</t>
  </si>
  <si>
    <t>Tweets from the Dutch Ministry of Foreign Affairs | Voor tweets in het Nederlands volg @MinBZ</t>
  </si>
  <si>
    <t>Wed Dec 23 10:56:44 +0000 2009</t>
  </si>
  <si>
    <t>Tue Jan 08 04:34:19 +0000 2013</t>
  </si>
  <si>
    <t>Thu Nov 04 18:59:44 +0000 2010</t>
  </si>
  <si>
    <t>Thu Jul 30 10:38:33 +0000 2009</t>
  </si>
  <si>
    <t>Mon Mar 28 12:53:15 +0000 2011</t>
  </si>
  <si>
    <t>Mon Aug 08 10:41:01 +0000 2011</t>
  </si>
  <si>
    <t>Wed Jan 02 15:31:49 +0000 2013</t>
  </si>
  <si>
    <t>Mon Sep 07 21:03:36 +0000 2009</t>
  </si>
  <si>
    <t>Sat Jan 15 07:59:26 +0000 2011</t>
  </si>
  <si>
    <t>Bienvenue sur le compte officiel de la Présidence de la République française et du Palais de l'Élysée. Interactions sur @Elysee_Com #DirectPR</t>
  </si>
  <si>
    <t>Mon Oct 13 06:23:33 +0000 2008</t>
  </si>
  <si>
    <t>Communication Élysée</t>
  </si>
  <si>
    <t>Le compte officiel du service communication de la Présidence de la République @elysee</t>
  </si>
  <si>
    <t>Tue May 28 09:12:35 +0000 2013</t>
  </si>
  <si>
    <t>Sat Jun 09 08:09:19 +0000 2012</t>
  </si>
  <si>
    <t>Sun Apr 03 07:14:32 +0000 2011</t>
  </si>
  <si>
    <t>Wed Apr 21 14:25:46 +0000 2010</t>
  </si>
  <si>
    <t>Enex Jean-Charles</t>
  </si>
  <si>
    <t>Compte officiel du premier Ministre de la Republique d'Haiti.</t>
  </si>
  <si>
    <t>Mon Dec 19 17:34:37 +0000 2011</t>
  </si>
  <si>
    <t>Port-au-prince</t>
  </si>
  <si>
    <t>Wed Oct 12 04:10:35 +0000 2011</t>
  </si>
  <si>
    <t>Presidente de los Estados Unidos Mexicanos. https://t.co/zYLzwNVTrO https://t.co/XDTZKyXRvR</t>
  </si>
  <si>
    <t>Thu Mar 29 21:37:03 +0000 2007</t>
  </si>
  <si>
    <t>Sat Sep 21 21:55:40 +0000 2013</t>
  </si>
  <si>
    <t>Wed Sep 24 08:16:45 +0000 2008</t>
  </si>
  <si>
    <t>Official Twitter account of the Estonian Government. For tweets in Estonian, visit @StenbockiMaja</t>
  </si>
  <si>
    <t>Mon May 18 13:02:02 +0000 2009</t>
  </si>
  <si>
    <t>Mon Jun 21 12:28:34 +0000 2010</t>
  </si>
  <si>
    <t>The European External Action Service (EEAS), the EU's Foreign &amp; Security Policy Service led by @FedericaMog RTs/follows ≠ endorsements</t>
  </si>
  <si>
    <t>Thu Oct 08 08:53:18 +0000 2009</t>
  </si>
  <si>
    <t>Thu Sep 30 12:07:59 +0000 2010</t>
  </si>
  <si>
    <t>Sat Oct 23 15:22:50 +0000 2010</t>
  </si>
  <si>
    <t>Latest news from the European Council &amp; the Council of the EU: 28 EU governments working together. Audiovisual materials: @EUCouncilTVNews. #EUCO</t>
  </si>
  <si>
    <t>Mon Oct 04 20:10:08 +0000 2010</t>
  </si>
  <si>
    <t>Fri Jun 26 09:45:58 +0000 2009</t>
  </si>
  <si>
    <t>الخارجية البريطانية</t>
  </si>
  <si>
    <t>الحساب الرسمي لوزارة الخارجية البريطانية باللغة العربية</t>
  </si>
  <si>
    <t>Thu Jul 01 17:54:36 +0000 2010</t>
  </si>
  <si>
    <t>لندن</t>
  </si>
  <si>
    <t>Tue Jan 10 13:14:28 +0000 2012</t>
  </si>
  <si>
    <t>Faure E. Gnassingbe</t>
  </si>
  <si>
    <t>Président de la République Togolaise.</t>
  </si>
  <si>
    <t>Thu Oct 02 07:57:05 +0000 2014</t>
  </si>
  <si>
    <t>Fri Jan 09 20:54:07 +0000 2009</t>
  </si>
  <si>
    <t>Sun May 10 13:31:12 +0000 2009</t>
  </si>
  <si>
    <t>Thu Aug 15 21:45:21 +0000 2013</t>
  </si>
  <si>
    <t>Fri Feb 18 08:02:22 +0000 2011</t>
  </si>
  <si>
    <t>Fri Oct 21 16:54:58 +0000 2011</t>
  </si>
  <si>
    <t>The Official Twitter Account for the Fijian Government</t>
  </si>
  <si>
    <t>Tue Oct 18 00:40:03 +0000 2011</t>
  </si>
  <si>
    <t>Pavel Filip</t>
  </si>
  <si>
    <t>Sun Apr 01 18:56:14 +0000 2012</t>
  </si>
  <si>
    <t>Chisinau</t>
  </si>
  <si>
    <t>Wed Jul 16 13:10:16 +0000 2014</t>
  </si>
  <si>
    <t>Tue May 03 12:22:30 +0000 2011</t>
  </si>
  <si>
    <t>FNyusi</t>
  </si>
  <si>
    <t>Wed Sep 03 09:30:20 +0000 2014</t>
  </si>
  <si>
    <t>Mon Aug 26 16:40:47 +0000 2013</t>
  </si>
  <si>
    <t>The Foreign Ministry of the Hashemite Kingdom of Jordan Tel:5735160-5735150</t>
  </si>
  <si>
    <t>Wed Feb 17 19:39:00 +0000 2010</t>
  </si>
  <si>
    <t>Sat Aug 25 05:00:30 +0000 2012</t>
  </si>
  <si>
    <t>Thu Apr 10 17:21:52 +0000 2008</t>
  </si>
  <si>
    <t>Tue May 21 21:39:47 +0000 2013</t>
  </si>
  <si>
    <t>Fri Jun 10 09:59:59 +0000 2011</t>
  </si>
  <si>
    <t>NL Foreign Strategy</t>
  </si>
  <si>
    <t>Tue Aug 06 12:57:10 +0000 2013</t>
  </si>
  <si>
    <t>Thu Feb 13 09:21:45 +0000 2014</t>
  </si>
  <si>
    <t>Icelandic Prime Minister's Office</t>
  </si>
  <si>
    <t>Fri Dec 11 16:13:27 +0000 2009</t>
  </si>
  <si>
    <t>Wed Sep 30 14:50:59 +0000 2009</t>
  </si>
  <si>
    <t>Ministère des Affaires étrangères et du Développement international - Quai d'Orsay. Aussi sur @francediplo_EN @francediplo_AR @francediplo_ES @ConseilsVoyages</t>
  </si>
  <si>
    <t>Wed Apr 08 12:19:31 +0000 2009</t>
  </si>
  <si>
    <t>Mon Feb 27 11:00:02 +0000 2012</t>
  </si>
  <si>
    <t>Fri Dec 16 13:56:21 +0000 2011</t>
  </si>
  <si>
    <t>Thu Dec 13 14:23:04 +0000 2012</t>
  </si>
  <si>
    <t>Frank Bainimarama</t>
  </si>
  <si>
    <t>Mon Jun 02 16:32:19 +0000 2014</t>
  </si>
  <si>
    <t>Tue Dec 02 13:53:20 +0000 2014</t>
  </si>
  <si>
    <t>Thu Apr 01 05:24:11 +0000 2010</t>
  </si>
  <si>
    <t>Minister of Foreign Affairs of Lebanon. Head of the Free Patriotic Movement.</t>
  </si>
  <si>
    <t>Wed Jul 14 10:01:42 +0000 2010</t>
  </si>
  <si>
    <t>Geoffrey Onyeama</t>
  </si>
  <si>
    <t>Sat Mar 12 20:51:27 +0000 2016</t>
  </si>
  <si>
    <t>Wed Jul 11 13:37:22 +0000 2012</t>
  </si>
  <si>
    <t>Mon Jan 02 14:13:02 +0000 2012</t>
  </si>
  <si>
    <t>Mon Apr 19 08:33:09 +0000 2010</t>
  </si>
  <si>
    <t>The BGIS is the information and engagement hub for the Government of Barbados.  Why not join the conversation.</t>
  </si>
  <si>
    <t>Wed May 14 19:41:07 +0000 2014</t>
  </si>
  <si>
    <t>The Government Information Service, GIS, is the Public Relations and Information Arm of the Government.</t>
  </si>
  <si>
    <t>Thu Nov 27 14:37:25 +0000 2014</t>
  </si>
  <si>
    <t>Bath Estate, Dominica</t>
  </si>
  <si>
    <t>Thu Jan 29 03:14:51 +0000 2009</t>
  </si>
  <si>
    <t>Sat Oct 02 06:15:53 +0000 2010</t>
  </si>
  <si>
    <t>Mon Dec 22 21:29:31 +0000 2014</t>
  </si>
  <si>
    <t>Cuenta Oficial del Gobierno de Chile. Escríbenos en https://t.co/vQvGdXIAz7 #TodosxChile</t>
  </si>
  <si>
    <t>Sat May 23 21:40:06 +0000 2009</t>
  </si>
  <si>
    <t>gob.mx</t>
  </si>
  <si>
    <t>Tu gobierno en un sólo punto</t>
  </si>
  <si>
    <t>Tue May 12 23:42:22 +0000 2009</t>
  </si>
  <si>
    <t>Wed Jul 02 14:28:36 +0000 2014</t>
  </si>
  <si>
    <t>Gouvernement Bénin</t>
  </si>
  <si>
    <t>Compte officiel du Gouvernement du Bénin // Government of Benin official account</t>
  </si>
  <si>
    <t>Mon Aug 24 10:36:46 +0000 2015</t>
  </si>
  <si>
    <t>République du Bénin</t>
  </si>
  <si>
    <t>Gouvernement de Côte d'Ivoire</t>
  </si>
  <si>
    <t>Mon Jun 13 16:44:46 +0000 2011</t>
  </si>
  <si>
    <t>Twitter officiel du Gouvernement français. #TousUnisContrelaHaine</t>
  </si>
  <si>
    <t>Fri Nov 16 11:22:22 +0000 2012</t>
  </si>
  <si>
    <t>Mon Aug 04 11:59:50 +0000 2014</t>
  </si>
  <si>
    <t>Wed Dec 03 18:19:00 +0000 2014</t>
  </si>
  <si>
    <t>Wed Nov 20 16:22:45 +0000 2013</t>
  </si>
  <si>
    <t>Sun Nov 18 23:54:54 +0000 2012</t>
  </si>
  <si>
    <t>Thu Aug 28 07:06:41 +0000 2014</t>
  </si>
  <si>
    <t>Thu Dec 18 13:59:41 +0000 2014</t>
  </si>
  <si>
    <t>Official Twitter account for informing citizens on Cyprus Government services. Inappropriate comments will be blocked.</t>
  </si>
  <si>
    <t>Wed Oct 17 14:24:19 +0000 2012</t>
  </si>
  <si>
    <t>Mon Feb 20 11:29:47 +0000 2012</t>
  </si>
  <si>
    <t>Fri Mar 12 19:23:40 +0000 2010</t>
  </si>
  <si>
    <t>Tue Dec 03 12:06:55 +0000 2013</t>
  </si>
  <si>
    <t>الحكومة الليبية</t>
  </si>
  <si>
    <t>Libyan Government الحكومة الليبية</t>
  </si>
  <si>
    <t>Mon Apr 01 07:12:42 +0000 2013</t>
  </si>
  <si>
    <t>Tue Apr 12 03:33:49 +0000 2011</t>
  </si>
  <si>
    <t>Follow news on the work of the Prime Minister and the Russian Government in English. Аккаунт на русском языке - @Pravitelstvo_RF</t>
  </si>
  <si>
    <t>Thu Jul 12 14:55:41 +0000 2012</t>
  </si>
  <si>
    <t>The official South African Government account, offering easy access to public information and services. Tweets by individuals marked with ^ Tel: 0860 428 392</t>
  </si>
  <si>
    <t>Fri Jun 21 10:25:42 +0000 2013</t>
  </si>
  <si>
    <t>Tue Jun 23 16:57:07 +0000 2009</t>
  </si>
  <si>
    <t>Wed Apr 30 09:02:19 +0000 2014</t>
  </si>
  <si>
    <t>Mon Oct 25 12:19:40 +0000 2010</t>
  </si>
  <si>
    <t>Thu Oct 14 08:28:02 +0000 2010</t>
  </si>
  <si>
    <t>Follow us to find out about the latest official government news and information. Follow us on www.facebook.com/gvtmonaco</t>
  </si>
  <si>
    <t>Tue Feb 11 10:10:04 +0000 2014</t>
  </si>
  <si>
    <t>Mon Nov 22 21:05:52 +0000 2010</t>
  </si>
  <si>
    <t>Fri Jul 30 15:26:13 +0000 2010</t>
  </si>
  <si>
    <t>Conta Oficial do XXI Governo Constitucional</t>
  </si>
  <si>
    <t>Tue Apr 14 21:49:01 +0000 2009</t>
  </si>
  <si>
    <t>Wed Jul 15 01:30:23 +0000 2009</t>
  </si>
  <si>
    <t>Thu Nov 14 08:04:22 +0000 2013</t>
  </si>
  <si>
    <t>Gov Sr</t>
  </si>
  <si>
    <t>Thu May 21 17:01:16 +0000 2015</t>
  </si>
  <si>
    <t>Mon Apr 06 17:06:44 +0000 2009</t>
  </si>
  <si>
    <t>Fri Sep 18 22:23:07 +0000 2009</t>
  </si>
  <si>
    <t>Mon Apr 19 14:26:46 +0000 2010</t>
  </si>
  <si>
    <t>Wed Nov 21 07:59:56 +0000 2012</t>
  </si>
  <si>
    <t>Noticias e información del Gobierno de Guatemala</t>
  </si>
  <si>
    <t>Fri Feb 17 16:08:31 +0000 2012</t>
  </si>
  <si>
    <t>Guillaume Long</t>
  </si>
  <si>
    <t>Historiador con doctorado en Relaciones Internacionales. Militante de la Revolución Ciudadana. Hoy Ministro de Relaciones Exteriores @CancilleriaEc del Ecuador</t>
  </si>
  <si>
    <t>Mon Sep 19 13:15:20 +0000 2011</t>
  </si>
  <si>
    <t>Ecuatoriano</t>
  </si>
  <si>
    <t>Pagina oficială de Twitter a Guvernului României</t>
  </si>
  <si>
    <t>Tue Mar 31 13:04:39 +0000 2009</t>
  </si>
  <si>
    <t>Fri Apr 08 10:00:57 +0000 2011</t>
  </si>
  <si>
    <t>Guvernul R. Moldova</t>
  </si>
  <si>
    <t>Fri Aug 15 14:35:02 +0000 2014</t>
  </si>
  <si>
    <t>Bienvenue sur le compte officiel du Gouvernement de la Principauté de Monaco. Suivez nous aussi sur https://t.co/3bczAUZuyj</t>
  </si>
  <si>
    <t>Mon Jan 23 17:33:46 +0000 2012</t>
  </si>
  <si>
    <t>تغريدات رئيس الحكومة تنتهي ب #HE Tweets from H.Essid are signed</t>
  </si>
  <si>
    <t>Mon Jan 05 15:27:12 +0000 2015</t>
  </si>
  <si>
    <t>الصفحة الرسمية للرئيس عـبـدربـه مـنصـور هــادي / Official Page for President Abdrabuh Mansour Hadi</t>
  </si>
  <si>
    <t>Thu May 03 19:24:04 +0000 2012</t>
  </si>
  <si>
    <t>Thu May 22 17:17:17 +0000 2014</t>
  </si>
  <si>
    <t>Thu Oct 08 10:28:56 +0000 2009</t>
  </si>
  <si>
    <t>Mon May 30 12:02:13 +0000 2011</t>
  </si>
  <si>
    <t>Minister of Foreign Affairs &amp; Regional Integration - Ghana. MP - Awutu Senya West. (Opinions are my own &amp; retweets are not endorsements)</t>
  </si>
  <si>
    <t>Sat May 02 16:29:03 +0000 2009</t>
  </si>
  <si>
    <t>Wed Nov 02 11:16:59 +0000 2011</t>
  </si>
  <si>
    <t>Sat Feb 01 12:10:52 +0000 2014</t>
  </si>
  <si>
    <t>Sun May 05 09:26:33 +0000 2013</t>
  </si>
  <si>
    <t>Thu Feb 03 20:52:16 +0000 2011</t>
  </si>
  <si>
    <t>Wed Jun 03 10:48:46 +0000 2009</t>
  </si>
  <si>
    <t>Mon Dec 28 17:50:58 +0000 2009</t>
  </si>
  <si>
    <t>Hilda Heine</t>
  </si>
  <si>
    <t>President of the Marshall Islands</t>
  </si>
  <si>
    <t>Sun Jan 31 14:39:45 +0000 2016</t>
  </si>
  <si>
    <t>Majuro</t>
  </si>
  <si>
    <t>Wed Jan 07 10:36:29 +0000 2015</t>
  </si>
  <si>
    <t>Thu Oct 24 13:49:37 +0000 2013</t>
  </si>
  <si>
    <t>Saint-Laurent</t>
  </si>
  <si>
    <t>Wed Aug 24 20:04:17 +0000 2011</t>
  </si>
  <si>
    <t>حكومي - قطر</t>
  </si>
  <si>
    <t>Wed Mar 16 11:51:34 +0000 2011</t>
  </si>
  <si>
    <t>Qatar - قطر</t>
  </si>
  <si>
    <t>Igor Luksic</t>
  </si>
  <si>
    <t>Fri Apr 08 13:20:08 +0000 2016</t>
  </si>
  <si>
    <t>Sun Dec 21 21:15:42 +0000 2014</t>
  </si>
  <si>
    <t>Sat Oct 15 23:46:34 +0000 2011</t>
  </si>
  <si>
    <t>Thu Feb 27 18:36:17 +0000 2014</t>
  </si>
  <si>
    <t>IEmbassy</t>
  </si>
  <si>
    <t>Tue Oct 09 07:08:19 +0000 2012</t>
  </si>
  <si>
    <t>iGA Bahrain</t>
  </si>
  <si>
    <t>Fri Oct 16 03:31:29 +0000 2009</t>
  </si>
  <si>
    <t>Ignacio Ybáñez Rubio</t>
  </si>
  <si>
    <t>Secretario de Estado de Asuntos Exteriores. España.</t>
  </si>
  <si>
    <t>Thu Apr 09 09:34:46 +0000 2015</t>
  </si>
  <si>
    <t>Tue Oct 13 10:09:45 +0000 2009</t>
  </si>
  <si>
    <t>Mon May 14 08:03:59 +0000 2012</t>
  </si>
  <si>
    <t>Fri Apr 23 21:49:40 +0000 2010</t>
  </si>
  <si>
    <t>Official Account of #India's Public Diplomacy, Ministry of External Affairs @MEAIndia. Engagement through #digitaldiplomacy.</t>
  </si>
  <si>
    <t>Thu Jul 08 09:23:06 +0000 2010</t>
  </si>
  <si>
    <t>Colombia en paz, con equidad y educada - Cuenta oficial de la Presidencia de la República de Colombia - Secretaría de Prensa. https://t.co/63UpTe6SEa</t>
  </si>
  <si>
    <t>Tue Jun 07 20:34:49 +0000 2011</t>
  </si>
  <si>
    <t>Fri Nov 15 22:05:43 +0000 2013</t>
  </si>
  <si>
    <t>Tue Sep 02 06:04:48 +0000 2014</t>
  </si>
  <si>
    <t>PM Media Office</t>
  </si>
  <si>
    <t>The Media Office of Iraqi Prime Minister Dr. Haider Al-Abadi.</t>
  </si>
  <si>
    <t>Mon Jan 12 16:48:51 +0000 2015</t>
  </si>
  <si>
    <t>Mon Mar 25 12:21:49 +0000 2013</t>
  </si>
  <si>
    <t>Sat Nov 01 19:24:48 +0000 2014</t>
  </si>
  <si>
    <t>Fri Jun 17 20:03:38 +0000 2011</t>
  </si>
  <si>
    <t>Compte officiel d'Ismail Omar Guelleh, Président de la République de #Djibouti.</t>
  </si>
  <si>
    <t>Sun May 24 20:44:23 +0000 2015</t>
  </si>
  <si>
    <t>Wed Jul 01 07:15:30 +0000 2009</t>
  </si>
  <si>
    <t>إسرائيل بالعربية</t>
  </si>
  <si>
    <t>Thu Jan 13 12:19:04 +0000 2011</t>
  </si>
  <si>
    <t>القدس</t>
  </si>
  <si>
    <t>משרד החוץ</t>
  </si>
  <si>
    <t>Thu Aug 18 11:42:00 +0000 2011</t>
  </si>
  <si>
    <t>ירושלים, ישראל</t>
  </si>
  <si>
    <t>Fri May 07 04:27:13 +0000 2010</t>
  </si>
  <si>
    <t>الحساب الرسمي لرئيس الوزراء الاسرائيلي بنيامين نتنياهو باللغة العربية</t>
  </si>
  <si>
    <t>Thu Dec 13 18:26:51 +0000 2012</t>
  </si>
  <si>
    <t>Sun Dec 16 13:02:52 +0000 2012</t>
  </si>
  <si>
    <t>Wed Oct 28 11:30:50 +0000 2009</t>
  </si>
  <si>
    <t>Израиль по-русски</t>
  </si>
  <si>
    <t>добро пожаловать на официальную страницу Государства Израиль в Twitter!</t>
  </si>
  <si>
    <t>Tue Apr 26 11:26:44 +0000 2011</t>
  </si>
  <si>
    <t>Compte officiel d'Issoufou Mahamadou, Président de la République du Niger.</t>
  </si>
  <si>
    <t>Sun Jan 17 16:40:36 +0000 2016</t>
  </si>
  <si>
    <t>Sat Mar 30 08:04:22 +0000 2013</t>
  </si>
  <si>
    <t>Mon Jun 04 10:06:52 +0000 2012</t>
  </si>
  <si>
    <t>Ministry of Foreign Affairs of Brazil — Itamaraty Palace — http://t.co/c3SNQODZsn. Português: @ItamaratyGovBr. Español: @Itamaraty_ES</t>
  </si>
  <si>
    <t>Thu Sep 25 22:32:49 +0000 2014</t>
  </si>
  <si>
    <t>Ministerio de Relaciones Exteriores de Brasil — Palacio Itamaraty — http://t.co/c3SNQODZsn. English: @Itamaraty_EN. Português: @ItamaratyGovBr</t>
  </si>
  <si>
    <t>Tue May 12 20:48:59 +0000 2015</t>
  </si>
  <si>
    <t>Brasília, Brasil</t>
  </si>
  <si>
    <t>Ministério das Relações Exteriores do Brasil — http://t.co/xnuBBOw3WI — http://t.co/cQbopbyCsM — English: @Itamaraty_EN. Español: @Itamaraty_ES</t>
  </si>
  <si>
    <t>Mon Jun 22 20:57:50 +0000 2009</t>
  </si>
  <si>
    <t>Tue Mar 13 17:45:37 +0000 2012</t>
  </si>
  <si>
    <t>Mikheil Janelidze</t>
  </si>
  <si>
    <t>Account run by the Minister of Foreign Affairs of Georgia and staff</t>
  </si>
  <si>
    <t>Wed Jan 13 14:27:18 +0000 2016</t>
  </si>
  <si>
    <t>Sat Mar 10 13:28:19 +0000 2007</t>
  </si>
  <si>
    <t>Sat Apr 05 12:07:19 +0000 2014</t>
  </si>
  <si>
    <t>Tue Nov 16 19:47:55 +0000 2010</t>
  </si>
  <si>
    <t>Mon Jul 30 20:02:44 +0000 2012</t>
  </si>
  <si>
    <t>Ministre des Affaires étrangères et du Développement international</t>
  </si>
  <si>
    <t>Thu Apr 02 12:57:37 +0000 2009</t>
  </si>
  <si>
    <t>Presidente Constitucional de la República de Guatemala 2016-2020 Guatemala es responsabilidad de todos, trabajemos unidos.</t>
  </si>
  <si>
    <t>Thu Aug 22 16:09:23 +0000 2013</t>
  </si>
  <si>
    <t>Compte officiel du Premier Ministre de la République d'Haiti.</t>
  </si>
  <si>
    <t>Thu Mar 24 17:23:43 +0000 2016</t>
  </si>
  <si>
    <t>Jocelerme Privert</t>
  </si>
  <si>
    <t>Compte twitter officiel du 57ème Président de la République d'Haïti, son Excellence Jocelerme Privert, élu Président provisoire.</t>
  </si>
  <si>
    <t>Sun Feb 14 05:31:11 +0000 2016</t>
  </si>
  <si>
    <t>L'Ex Sénateur de la République Haïti. Président provisoire de la République. instagram #JocelermePrivert</t>
  </si>
  <si>
    <t>Sat Dec 17 12:05:37 +0000 2011</t>
  </si>
  <si>
    <t>Wed Jun 04 16:51:10 +0000 2008</t>
  </si>
  <si>
    <t>This a/c administered by Office of the Leader of the National Party. Authorised by J Key, Parliament, Wellington. For OIA requests visit https://t.co/7f1lNflltY</t>
  </si>
  <si>
    <t>Fri Nov 14 04:01:58 +0000 2008</t>
  </si>
  <si>
    <t>Akun resmi Joko Widodo, Presiden Republik Indonesia</t>
  </si>
  <si>
    <t>Sat Sep 03 05:21:21 +0000 2011</t>
  </si>
  <si>
    <t>Sat Jul 30 16:42:13 +0000 2011</t>
  </si>
  <si>
    <t>Tue Apr 07 15:07:23 +0000 2009</t>
  </si>
  <si>
    <t>Wed Mar 16 04:27:34 +0000 2011</t>
  </si>
  <si>
    <t>Tue Aug 11 22:07:56 +0000 2009</t>
  </si>
  <si>
    <t>Cuenta oficial del Presidente de la República de Honduras. 2014 - 2018 https://t.co/i4GIUwwHuD</t>
  </si>
  <si>
    <t>Sun Jul 19 17:27:15 +0000 2009</t>
  </si>
  <si>
    <t>Olen pääministeri ja keskustan puheenjohtaja. | Prime Minister of Finland and Leader of the Centre Party.</t>
  </si>
  <si>
    <t>Sat Nov 06 14:20:41 +0000 2010</t>
  </si>
  <si>
    <t>Kempele</t>
  </si>
  <si>
    <t>Australian Minister for Foreign Affairs Canberra</t>
  </si>
  <si>
    <t>Sat Nov 14 03:02:20 +0000 2009</t>
  </si>
  <si>
    <t>Perth Western Australia</t>
  </si>
  <si>
    <t>Thu Jul 22 09:12:28 +0000 2010</t>
  </si>
  <si>
    <t>Account run by the 23rd Prime Minister of Canada and staff… Compte géré par le 23e premier ministre du Canada et personnel.</t>
  </si>
  <si>
    <t>Sun Mar 30 21:04:14 +0000 2008</t>
  </si>
  <si>
    <t>Papineau</t>
  </si>
  <si>
    <t>Wed Jun 17 01:54:58 +0000 2009</t>
  </si>
  <si>
    <t>Офіційне Twitter-представництво Кабінету Міністрів України.</t>
  </si>
  <si>
    <t>Fri Jul 08 07:53:27 +0000 2011</t>
  </si>
  <si>
    <t>Fri Jul 08 08:42:53 +0000 2011</t>
  </si>
  <si>
    <t>Fri Jul 08 08:29:11 +0000 2011</t>
  </si>
  <si>
    <t>Sat Mar 27 15:08:09 +0000 2010</t>
  </si>
  <si>
    <t>Tue Nov 15 09:24:43 +0000 2011</t>
  </si>
  <si>
    <t>Sun Mar 13 05:22:07 +0000 2011</t>
  </si>
  <si>
    <t>Wed Feb 16 09:40:08 +0000 2011</t>
  </si>
  <si>
    <t>Wed Mar 23 10:34:03 +0000 2011</t>
  </si>
  <si>
    <t>Wed Oct 12 03:51:39 +0000 2011</t>
  </si>
  <si>
    <t>Sun Jun 17 20:45:43 +0000 2012</t>
  </si>
  <si>
    <t>Dr. Keith Rowley</t>
  </si>
  <si>
    <t>Political Leader of the People's National Movement &amp; Leader of the Opposition in the Government of Trinidad and Tobago. Facebook:</t>
  </si>
  <si>
    <t>Tue May 03 07:46:34 +0000 2011</t>
  </si>
  <si>
    <t>Trinidad &amp; Tobago</t>
  </si>
  <si>
    <t>Tue Apr 13 07:34:04 +0000 2010</t>
  </si>
  <si>
    <t>Fri Sep 28 14:46:25 +0000 2012</t>
  </si>
  <si>
    <t>Fri Oct 23 15:43:23 +0000 2009</t>
  </si>
  <si>
    <t>Sun Dec 15 11:04:45 +0000 2013</t>
  </si>
  <si>
    <t>Wed Oct 22 11:34:09 +0000 2014</t>
  </si>
  <si>
    <t>Suivez les mises à jour régulières et les nouvelles concernant l'ayatollah Seyed Ali Khamenei, le Guide Suprême de l'Iran</t>
  </si>
  <si>
    <t>Fri Jul 24 19:40:37 +0000 2015</t>
  </si>
  <si>
    <t>Islamic Republic of Iran</t>
  </si>
  <si>
    <t>Follow for regular updates and news about Ayatollah Seyed Ali Khamenei, Iran's Supreme Leader --- French  Account: @Khamenei_Fra</t>
  </si>
  <si>
    <t>Tue Mar 31 21:25:18 +0000 2009</t>
  </si>
  <si>
    <t>Wed Jan 09 05:41:34 +0000 2013</t>
  </si>
  <si>
    <t>Mon Aug 25 09:00:22 +0000 2014</t>
  </si>
  <si>
    <t>Bucureşti, România</t>
  </si>
  <si>
    <t>KolindaGK</t>
  </si>
  <si>
    <t>Official Twitter account of the President of the Republic of Croatia</t>
  </si>
  <si>
    <t>Mon Oct 06 09:30:46 +0000 2014</t>
  </si>
  <si>
    <t>Fri Jun 18 09:35:48 +0000 2010</t>
  </si>
  <si>
    <t>Wed Jan 12 14:27:46 +0000 2011</t>
  </si>
  <si>
    <t>K.P. Sharma Oli</t>
  </si>
  <si>
    <t>Tue Sep 30 07:31:59 +0000 2014</t>
  </si>
  <si>
    <t>Wed Jun 23 07:02:23 +0000 2010</t>
  </si>
  <si>
    <t>Thu Oct 21 08:06:17 +0000 2010</t>
  </si>
  <si>
    <t>Minister for Foreign Affairs of Denmark. Liberal, husband, father and loves football. Tweets in both danish and English. Tweets are personal, not official.</t>
  </si>
  <si>
    <t>Thu Jun 26 13:27:15 +0000 2008</t>
  </si>
  <si>
    <t>Herning, Denmark</t>
  </si>
  <si>
    <t>Wed Apr 01 13:04:51 +0000 2009</t>
  </si>
  <si>
    <t>Sat Dec 18 07:57:43 +0000 2010</t>
  </si>
  <si>
    <t>Chairman, RPPN, Deputy Prime Minister and Foreign Minister, Government of Nepal</t>
  </si>
  <si>
    <t>Wed Feb 20 10:35:48 +0000 2013</t>
  </si>
  <si>
    <t>Kathmandu, Nepal</t>
  </si>
  <si>
    <t>Fri Mar 27 13:09:36 +0000 2009</t>
  </si>
  <si>
    <t>Giorgi Kvirikashvili</t>
  </si>
  <si>
    <t>Prime Minister of Georgia</t>
  </si>
  <si>
    <t>Mon Jan 04 13:33:49 +0000 2016</t>
  </si>
  <si>
    <t>Thu Dec 06 11:22:59 +0000 2012</t>
  </si>
  <si>
    <t>Mon Sep 28 22:16:35 +0000 2009</t>
  </si>
  <si>
    <t>Thu Jan 29 04:06:24 +0000 2015</t>
  </si>
  <si>
    <t>Statsminister og formand for Venstre. Profilen føres ikke som minister. Henvendelser til mig som statsminister rettes til Statsministeriet på stm@stm.dk.</t>
  </si>
  <si>
    <t>Tue Mar 24 08:39:12 +0000 2009</t>
  </si>
  <si>
    <t>The MFA develops and carries out Latvia’s foreign policy, to strengthen international security and domestic political stability. Latviešu valodā seko @arlietas</t>
  </si>
  <si>
    <t>Wed Aug 17 10:40:51 +0000 2011</t>
  </si>
  <si>
    <t>Prime Minister of Singapore, and leader of @PAPSingapore. This account is maintained by the Prime Minister’s Office. Tweets by Mr Lee are signed LHL.</t>
  </si>
  <si>
    <t>Thu Apr 23 08:39:15 +0000 2009</t>
  </si>
  <si>
    <t>Fri Dec 28 14:18:07 +0000 2012</t>
  </si>
  <si>
    <t>Tue Feb 24 11:31:39 +0000 2015</t>
  </si>
  <si>
    <t>Tue Dec 14 12:35:51 +0000 2010</t>
  </si>
  <si>
    <t>Wed Feb 16 19:55:04 +0000 2011</t>
  </si>
  <si>
    <t>Thu Dec 04 08:56:06 +0000 2014</t>
  </si>
  <si>
    <t>Wed Mar 14 17:48:03 +0000 2012</t>
  </si>
  <si>
    <t>Président de la République du Sénégal, Président en exercice de la CEDEAO.</t>
  </si>
  <si>
    <t>Fri Oct 01 17:05:26 +0000 2010</t>
  </si>
  <si>
    <t>Sat Aug 10 18:56:35 +0000 2013</t>
  </si>
  <si>
    <t>Fri Aug 16 03:07:02 +0000 2013</t>
  </si>
  <si>
    <t>Tue Sep 03 13:02:01 +0000 2013</t>
  </si>
  <si>
    <t>Sat Aug 10 17:07:13 +0000 2013</t>
  </si>
  <si>
    <t>Sat Aug 10 19:02:45 +0000 2013</t>
  </si>
  <si>
    <t>Sat Aug 10 16:16:58 +0000 2013</t>
  </si>
  <si>
    <t>Président de la République Bolivarienne du Venezuela. Fils de Chavez. Nous construisons la patrie avec une efficacité révolutionnaire.Traduit de @NicolasMaduro</t>
  </si>
  <si>
    <t>Sat Aug 10 18:18:54 +0000 2013</t>
  </si>
  <si>
    <t>Sat Aug 17 16:24:01 +0000 2013</t>
  </si>
  <si>
    <t>Sat Aug 10 18:50:41 +0000 2013</t>
  </si>
  <si>
    <t>Sat Aug 17 16:34:38 +0000 2013</t>
  </si>
  <si>
    <t>Sat Aug 17 20:21:48 +0000 2013</t>
  </si>
  <si>
    <t>Sat Aug 10 17:53:41 +0000 2013</t>
  </si>
  <si>
    <t>Николас Мадуро</t>
  </si>
  <si>
    <t>Президент Боливарианской Республики Венесуэла. Сын Чавеса. Создавая родину по революционным принципам.</t>
  </si>
  <si>
    <t>Sat Aug 10 17:38:45 +0000 2013</t>
  </si>
  <si>
    <t>Венесуэла</t>
  </si>
  <si>
    <t>Sat Aug 17 15:27:00 +0000 2013</t>
  </si>
  <si>
    <t>Fri Feb 14 20:58:15 +0000 2014</t>
  </si>
  <si>
    <t>Mon Mar 12 10:11:01 +0000 2012</t>
  </si>
  <si>
    <t>Affaires Etrangères</t>
  </si>
  <si>
    <t>Compte Twitter Officiel de la Chancellerie d'Haiti | Paj Ofisyèl Minis Afè Etranjè | Ministry of Foreign Affairs Official Page.</t>
  </si>
  <si>
    <t>Fri Sep 04 13:39:07 +0000 2015</t>
  </si>
  <si>
    <t>Official account of the Romanian Ministry of Foreign Affairs. Tweeting the latest news about Romanian diplomacy.</t>
  </si>
  <si>
    <t>Thu Oct 15 13:04:03 +0000 2009</t>
  </si>
  <si>
    <t>Dr John Magufuli</t>
  </si>
  <si>
    <t>The Fifth President of The United Republic of Tanzania.</t>
  </si>
  <si>
    <t>Thu Jul 16 04:46:06 +0000 2015</t>
  </si>
  <si>
    <t>Official Twitter account of Maithripala Sirisena, the President of Sri Lanka. Tweets from President Maithripala are marked-Maithri.</t>
  </si>
  <si>
    <t>Fri Jan 30 03:31:10 +0000 2015</t>
  </si>
  <si>
    <t>Majaliwa Kassim</t>
  </si>
  <si>
    <t>10th Prime Minister of The United Republic of Tanzania</t>
  </si>
  <si>
    <t>Wed Dec 23 20:39:43 +0000 2015</t>
  </si>
  <si>
    <t>Fri Jun 07 23:50:39 +0000 2013</t>
  </si>
  <si>
    <t>Wed May 30 20:26:20 +0000 2012</t>
  </si>
  <si>
    <t>Government of Malta</t>
  </si>
  <si>
    <t>Twitter profile of the Government of Malta</t>
  </si>
  <si>
    <t>Sat Oct 10 16:02:01 +0000 2015</t>
  </si>
  <si>
    <t>Foreign Minister, Sri Lanka | Personal tweets signed MS</t>
  </si>
  <si>
    <t>Fri Feb 20 06:32:16 +0000 2015</t>
  </si>
  <si>
    <t>Tue Nov 12 09:49:26 +0000 2013</t>
  </si>
  <si>
    <t>Mon Aug 31 12:54:25 +0000 2009</t>
  </si>
  <si>
    <t>Tue Feb 18 10:59:52 +0000 2014</t>
  </si>
  <si>
    <t>Tue Sep 21 00:44:12 +0000 2010</t>
  </si>
  <si>
    <t>Fri Dec 13 06:47:46 +0000 2013</t>
  </si>
  <si>
    <t>Wed Jul 27 15:59:22 +0000 2011</t>
  </si>
  <si>
    <t>Minister of Foreign Affairs</t>
  </si>
  <si>
    <t>Thu Jun 07 03:25:43 +0000 2012</t>
  </si>
  <si>
    <t>Maris Kucinskis</t>
  </si>
  <si>
    <t>Mon Oct 29 16:17:12 +0000 2012</t>
  </si>
  <si>
    <t>Mon Apr 11 20:39:05 +0000 2011</t>
  </si>
  <si>
    <t>Thu May 08 18:25:22 +0000 2014</t>
  </si>
  <si>
    <t>Fri Oct 29 22:35:33 +0000 2010</t>
  </si>
  <si>
    <t>Bienvenue sur le compte officiel du Premier ministre français, chef du gouvernement. Compte géré par le cabinet. Suivez aussi @manuelvalls et @gouvernementFR</t>
  </si>
  <si>
    <t>Fri Jun 29 10:50:08 +0000 2012</t>
  </si>
  <si>
    <t>Thu Jan 08 13:15:21 +0000 2009</t>
  </si>
  <si>
    <t>Tue Mar 17 15:42:21 +0000 2009</t>
  </si>
  <si>
    <t>Buenos Aires, Argentina</t>
  </si>
  <si>
    <t>Mon Dec 22 08:56:35 +0000 2014</t>
  </si>
  <si>
    <t>Sun Jan 22 11:52:21 +0000 2012</t>
  </si>
  <si>
    <t>Tue Jan 12 15:38:49 +0000 2010</t>
  </si>
  <si>
    <t>Fri Dec 05 06:21:38 +0000 2014</t>
  </si>
  <si>
    <t>Vikas Swarup</t>
  </si>
  <si>
    <t>Official Spokesperson, Ministry of External Affairs, India. #Alert : #Passport issues may kindly be addressed to → @CPVIndia @passportsevamea</t>
  </si>
  <si>
    <t>Tue Dec 20 08:31:03 +0000 2011</t>
  </si>
  <si>
    <t>Wed Jun 09 14:56:12 +0000 2010</t>
  </si>
  <si>
    <t>Wed Jun 09 14:36:47 +0000 2010</t>
  </si>
  <si>
    <t>Official English language Twitter account of the Government of #Montenegro. Follow our Montenegrin account: @VladaCG</t>
  </si>
  <si>
    <t>Wed Jun 01 12:24:12 +0000 2011</t>
  </si>
  <si>
    <t>MerrionStreet.ie - Irish Government News Service is a service provided from Government Buildings in Dublin. RT's not an endorsement. Snapchat: Merrionstreet</t>
  </si>
  <si>
    <t>Tue May 25 15:43:04 +0000 2010</t>
  </si>
  <si>
    <t>Thu Jan 28 10:50:37 +0000 2010</t>
  </si>
  <si>
    <t>Wed Jan 04 06:02:00 +0000 2012</t>
  </si>
  <si>
    <t>MFA Sweden SA</t>
  </si>
  <si>
    <t>Office of Strategic Analysis at the Ministry for Foreign Affairs in Sweden. Tweets and retweets reflect food for thought - not the official position of Sweden.</t>
  </si>
  <si>
    <t>Mon Jul 01 12:44:12 +0000 2013</t>
  </si>
  <si>
    <t>Mon Jan 03 17:50:51 +0000 2011</t>
  </si>
  <si>
    <t>Sat Dec 03 04:49:46 +0000 2011</t>
  </si>
  <si>
    <t>Tue Feb 25 15:22:42 +0000 2014</t>
  </si>
  <si>
    <t>Welcome to the official twitter of the Ministry of Foreign Affairs of Mongolia</t>
  </si>
  <si>
    <t>Tue Oct 15 08:30:40 +0000 2013</t>
  </si>
  <si>
    <t>Mon Feb 21 12:45:22 +0000 2011</t>
  </si>
  <si>
    <t>Wed May 08 04:37:44 +0000 2013</t>
  </si>
  <si>
    <t>MFA of Tajikistan</t>
  </si>
  <si>
    <t>Official twitter-account of the Ministry of Foreign Affairs of the Republic of Tajikistan (Twitter-аккаунт МИД Таджикистана на русском языке @MID_Tajikistan)</t>
  </si>
  <si>
    <t>Thu Jul 23 08:40:46 +0000 2015</t>
  </si>
  <si>
    <t>Thu May 13 12:47:30 +0000 2010</t>
  </si>
  <si>
    <t>Thu Apr 15 12:50:21 +0000 2010</t>
  </si>
  <si>
    <t>Foreign Affairs Ec</t>
  </si>
  <si>
    <t>Welcome to the official Twitter account in English of the Ministry of Foreign Affairs and Human Mobility of #Ecuador</t>
  </si>
  <si>
    <t>Tue Apr 28 17:23:21 +0000 2015</t>
  </si>
  <si>
    <t>Egypt MFA Spokesman</t>
  </si>
  <si>
    <t>The Official Twitter Account of Ahmed Abu Zeid Spokesperson of the Ministry of Foreign Affairs of Egypt</t>
  </si>
  <si>
    <t>Tue Jan 06 09:17:14 +0000 2015</t>
  </si>
  <si>
    <t>Tue Feb 26 12:37:09 +0000 2013</t>
  </si>
  <si>
    <t>Thu Jan 29 21:07:43 +0000 2015</t>
  </si>
  <si>
    <t>The Official Twitter Account of the Ministry of Foreign Affairs of Georgia</t>
  </si>
  <si>
    <t>Sat May 28 19:45:06 +0000 2011</t>
  </si>
  <si>
    <t>Fri Jun 18 19:30:40 +0000 2010</t>
  </si>
  <si>
    <t>Ministry for Foreign Affairs of Iceland. Tweeting for the Ministry: @thurybjork &amp; @urdurg</t>
  </si>
  <si>
    <t>Mon Jul 09 15:35:05 +0000 2012</t>
  </si>
  <si>
    <t>Mon Mar 25 12:09:43 +0000 2013</t>
  </si>
  <si>
    <t>The latest diplomatic &amp; political news from the official &amp; other sources from the Republic of #Kosova / #Kosovo and the #Balkans. RTs not endorsment.</t>
  </si>
  <si>
    <t>Mon May 09 12:18:51 +0000 2011</t>
  </si>
  <si>
    <t>George W. Vella</t>
  </si>
  <si>
    <t>Foreign Minister of Malta. Graduated in medicine in 1964. Started parliamentary career within the Labour Party in 1978. Elected MP 81, 92, 96, 98, 03, 08 &amp; 13.</t>
  </si>
  <si>
    <t>Mon Nov 02 17:31:48 +0000 2015</t>
  </si>
  <si>
    <t>Official twitter account of the Ministry of Foreign Affairs of the Republic of Armenia</t>
  </si>
  <si>
    <t>Wed Mar 21 10:45:52 +0000 2012</t>
  </si>
  <si>
    <t>Mon Oct 31 08:20:15 +0000 2011</t>
  </si>
  <si>
    <t>Mfari Ghana</t>
  </si>
  <si>
    <t>Ministry of Foreign Affairs and Regional Integration</t>
  </si>
  <si>
    <t>Tue Jul 22 07:44:37 +0000 2014</t>
  </si>
  <si>
    <t>Welcome to the official Twitter account of the Ministry of Foreign Affairs (MFA), Singapore. Follow us to keep in touch with Singapore and the work of the MFA.</t>
  </si>
  <si>
    <t>Fri Sep 25 08:11:44 +0000 2009</t>
  </si>
  <si>
    <t>Mahishini Colonne</t>
  </si>
  <si>
    <t>Thu May 28 18:34:29 +0000 2015</t>
  </si>
  <si>
    <t>Thu Apr 22 08:31:10 +0000 2010</t>
  </si>
  <si>
    <t>Tue Apr 27 07:36:27 +0000 2010</t>
  </si>
  <si>
    <t>Thu Apr 22 08:26:28 +0000 2010</t>
  </si>
  <si>
    <t>Wed Oct 12 14:01:56 +0000 2011</t>
  </si>
  <si>
    <t>Wed Apr 04 07:50:48 +0000 2012</t>
  </si>
  <si>
    <t>Wed Apr 04 08:08:40 +0000 2012</t>
  </si>
  <si>
    <t>MFA Thailand official twitter account for news update in English</t>
  </si>
  <si>
    <t>Tue Jan 28 07:43:05 +0000 2014</t>
  </si>
  <si>
    <t>Fri Apr 25 05:43:02 +0000 2014</t>
  </si>
  <si>
    <t>Wed Jan 18 10:23:00 +0000 2012</t>
  </si>
  <si>
    <t>Mon Feb 21 13:46:34 +0000 2011</t>
  </si>
  <si>
    <t>МИД Таджикистана</t>
  </si>
  <si>
    <t>Официальный twitter-аккаунт Министерства иностранных дел Республики Таджикистан (twitter-account of the MFA of Tajikistan in English @MFA_Tajikistan)</t>
  </si>
  <si>
    <t>Mon Jan 27 06:02:38 +0000 2014</t>
  </si>
  <si>
    <t>Ministerie van BZ</t>
  </si>
  <si>
    <t>Tweets van het ministerie van Buitenlandse Zaken | volg ook @247BZ | Tweets in English: follow @DutchMFA</t>
  </si>
  <si>
    <t>Wed Sep 23 09:46:21 +0000 2009</t>
  </si>
  <si>
    <t>L'honorable ministre canadien des Affaires étrangères | English: @MinCanadaFA</t>
  </si>
  <si>
    <t>Tue Dec 01 16:40:19 +0000 2015</t>
  </si>
  <si>
    <t>Canada's Minister of Foreign Affairs | Français : @MinCanadaAE</t>
  </si>
  <si>
    <t>Tue Dec 01 16:29:03 +0000 2015</t>
  </si>
  <si>
    <t>Fri Nov 18 21:17:33 +0000 2011</t>
  </si>
  <si>
    <t>Fri Apr 04 21:14:56 +0000 2014</t>
  </si>
  <si>
    <t>Cuenta Oficial del Ministerio de Relaciones Exteriores de la República de Guatemala</t>
  </si>
  <si>
    <t>Mon Jul 05 21:32:09 +0000 2010</t>
  </si>
  <si>
    <t>Ministerio de Relaciones Exteriores - República Oriental del Uruguay</t>
  </si>
  <si>
    <t>Tue Jul 14 02:04:31 +0000 2015</t>
  </si>
  <si>
    <t>Mon Feb 09 13:28:18 +0000 2015</t>
  </si>
  <si>
    <t>Mon Jun 14 09:40:54 +0000 2010</t>
  </si>
  <si>
    <t>Ministerio de Relaciones Exteriores de Chile (English: @ChileMFA)</t>
  </si>
  <si>
    <t>Mon Apr 21 15:11:15 +0000 2014</t>
  </si>
  <si>
    <t>Cuenta oficial del Ministerio de Relaciones Exteriores de la República Dominicana. 809.987.7001</t>
  </si>
  <si>
    <t>Sun Feb 27 02:06:12 +0000 2011</t>
  </si>
  <si>
    <t>Thu Aug 08 17:22:51 +0000 2013</t>
  </si>
  <si>
    <t>Minister of Foreign &amp; European Affairs of Slovakia (@SlovakiaMFA)</t>
  </si>
  <si>
    <t>Tue Apr 16 15:17:17 +0000 2013</t>
  </si>
  <si>
    <t>Fri Nov 21 15:45:15 +0000 2014</t>
  </si>
  <si>
    <t>Wed Nov 27 11:25:49 +0000 2013</t>
  </si>
  <si>
    <t>Mon Jul 12 04:29:15 +0000 2010</t>
  </si>
  <si>
    <t>Fri Jun 18 23:15:15 +0000 2010</t>
  </si>
  <si>
    <t>Mon Jul 12 05:03:07 +0000 2010</t>
  </si>
  <si>
    <t>Tue Mar 01 13:22:41 +0000 2011</t>
  </si>
  <si>
    <t>Tue Jul 03 08:57:54 +0000 2012</t>
  </si>
  <si>
    <t>Mon May 23 10:32:05 +0000 2011</t>
  </si>
  <si>
    <t>外務省やわらかツイート(MOFA PR)</t>
  </si>
  <si>
    <t>外務省IT広報室です。10代、20代の皆さんに向けてやわらかく親しみやすい情報を発信しています。運用方針は以下ＵＲＬからご覧いただけます。https://t.co/jUI7C2A7Uk</t>
  </si>
  <si>
    <t>Tue May 01 07:03:42 +0000 2012</t>
  </si>
  <si>
    <t>Mon May 23 10:17:04 +0000 2011</t>
  </si>
  <si>
    <t>Mon Oct 18 07:42:56 +0000 2010</t>
  </si>
  <si>
    <t>الحساب الرسمي لوزارة الخارجية - دولة الكويت.</t>
  </si>
  <si>
    <t>Fri Jul 10 15:21:01 +0000 2009</t>
  </si>
  <si>
    <t>مدينة الكويت، شارع الخليج</t>
  </si>
  <si>
    <t>The Official Account of Ministry of Foreign Affairs - State of Kuwait.</t>
  </si>
  <si>
    <t>Tue Jun 16 16:19:52 +0000 2015</t>
  </si>
  <si>
    <t>MOFA of Nepal</t>
  </si>
  <si>
    <t>The Official Twitter account of the Ministry of Foreign Affairs, Government of Nepal.</t>
  </si>
  <si>
    <t>Mon Feb 23 05:15:03 +0000 2015</t>
  </si>
  <si>
    <t>Singha Durbar, Kathmandu</t>
  </si>
  <si>
    <t>Sun Nov 17 08:43:53 +0000 2013</t>
  </si>
  <si>
    <t>Tue Jun 28 01:01:35 +0000 2011</t>
  </si>
  <si>
    <t>Tue Jun 28 01:09:08 +0000 2011</t>
  </si>
  <si>
    <t>Fri Mar 08 23:38:44 +0000 2013</t>
  </si>
  <si>
    <t>Sat Mar 29 12:04:10 +0000 2014</t>
  </si>
  <si>
    <t>Wed Mar 14 09:41:03 +0000 2012</t>
  </si>
  <si>
    <t>Mofa Viet Nam</t>
  </si>
  <si>
    <t>Vietnamese Diplomacy in actions (retweets&amp;likes does not mean endorsement)</t>
  </si>
  <si>
    <t>Mon Nov 02 08:46:32 +0000 2015</t>
  </si>
  <si>
    <t>Hanoi, Viet Nam</t>
  </si>
  <si>
    <t>Sat Jul 27 20:15:04 +0000 2013</t>
  </si>
  <si>
    <t>ГАДААД ХЭРГИЙН ЯАМ</t>
  </si>
  <si>
    <t>For tweets in English please follow @MFA_Mongolia</t>
  </si>
  <si>
    <t>Tue May 18 10:22:21 +0000 2010</t>
  </si>
  <si>
    <t>MOTP Guyana</t>
  </si>
  <si>
    <t>Fri Jun 12 15:49:08 +0000 2015</t>
  </si>
  <si>
    <t>Mon Mar 18 20:55:37 +0000 2013</t>
  </si>
  <si>
    <t>Mon Jul 25 16:21:18 +0000 2011</t>
  </si>
  <si>
    <t>Mon Aug 08 08:45:19 +0000 2011</t>
  </si>
  <si>
    <t>Thu Apr 30 08:51:30 +0000 2009</t>
  </si>
  <si>
    <t>Thu Aug 30 13:31:45 +0000 2012</t>
  </si>
  <si>
    <t>Sun Mar 28 09:36:48 +0000 2010</t>
  </si>
  <si>
    <t>Wed Jul 24 20:11:04 +0000 2013</t>
  </si>
  <si>
    <t>Thu Aug 21 11:59:39 +0000 2014</t>
  </si>
  <si>
    <t>Mon Sep 20 17:15:25 +0000 2010</t>
  </si>
  <si>
    <t>Sun Sep 21 09:43:59 +0000 2008</t>
  </si>
  <si>
    <t>Twitter account for the Namibian Ministry of Foreign Affairs</t>
  </si>
  <si>
    <t>Sat May 23 00:20:52 +0000 2015</t>
  </si>
  <si>
    <t>Windhoek</t>
  </si>
  <si>
    <t>Sat Jan 10 17:18:56 +0000 2009</t>
  </si>
  <si>
    <t>Proud to serve my beloved Jordan. Instagram : nasserjudeh</t>
  </si>
  <si>
    <t>Fri Jun 12 12:12:08 +0000 2009</t>
  </si>
  <si>
    <t>Amman, Hashemite Kingdom of Jordan</t>
  </si>
  <si>
    <t>ראש ממשלת ישראל ויו''ר הליכוד. נשוי לשרה ואב לשלושה • Prime Minister of Israel, Chairman of the Likud Party, husband of Sara, father of three.</t>
  </si>
  <si>
    <t>Thu Oct 30 06:40:51 +0000 2008</t>
  </si>
  <si>
    <t>Follow for the latest information from the Office of the President, Muhammadu Buhari (PMB)</t>
  </si>
  <si>
    <t>Tue Jan 06 21:25:28 +0000 2015</t>
  </si>
  <si>
    <t>Federal Capital Territory, Nigeria</t>
  </si>
  <si>
    <t>Mon Mar 19 01:22:01 +0000 2012</t>
  </si>
  <si>
    <t>Fri Mar 08 21:19:10 +0000 2013</t>
  </si>
  <si>
    <t>Tasavallan presidentti. Republikens president. President of the Republic of Finland | Viestit tasavallan presidentin omia. Presidentin kanslia: @TPKanslia</t>
  </si>
  <si>
    <t>Mon May 04 14:00:11 +0000 2009</t>
  </si>
  <si>
    <t>Fri Aug 26 08:10:37 +0000 2011</t>
  </si>
  <si>
    <t>Καθηγητής Πολιτικών Θεωριών στο ΠΑΠΕΙ/ΔΕΣ, Διευθυντής μονάδος μελετών των κρατών BRICS, Συγγραφέας, Μέλος της Κίνησης Ιδεών &amp; Δράσης: Πράττω, ΥΠΕΞ.</t>
  </si>
  <si>
    <t>Tue Nov 01 19:23:45 +0000 2011</t>
  </si>
  <si>
    <t>Fri Nov 23 13:28:09 +0000 2012</t>
  </si>
  <si>
    <t>Wed Jan 07 04:33:31 +0000 2009</t>
  </si>
  <si>
    <t>Thu Aug 27 05:20:08 +0000 2009</t>
  </si>
  <si>
    <t>Wed Mar 26 11:16:02 +0000 2008</t>
  </si>
  <si>
    <t>Mon Sep 24 03:55:55 +0000 2012</t>
  </si>
  <si>
    <t>التغريدات الرسمية من مكتب وزير الخارجية والتعاون الدولي، الإمارات العربية المتحدة Official tweets from OFMAIC</t>
  </si>
  <si>
    <t>Thu Mar 14 11:28:19 +0000 2013</t>
  </si>
  <si>
    <t>Fri Feb 28 08:09:40 +0000 2014</t>
  </si>
  <si>
    <t>Wed Jun 02 20:51:10 +0000 2010</t>
  </si>
  <si>
    <t>OPM Trinidad&amp;Tobago</t>
  </si>
  <si>
    <t>The Office of the Prime Minister provides professional and other support to the Prime Minister and the Cabinet of Trinidad and Tobago.</t>
  </si>
  <si>
    <t>Fri Oct 23 17:27:13 +0000 2015</t>
  </si>
  <si>
    <t>Office of The Honourable Moses V. Nagamootoo, Prime Minister of The Cooperative Republic of Guyana.</t>
  </si>
  <si>
    <t>Fri May 22 09:07:30 +0000 2015</t>
  </si>
  <si>
    <t>Ask OPM</t>
  </si>
  <si>
    <t>Official Twitter account of the Office of the Prime Minister in Jamaica. Email: AskOPM@OPM.Gov.JM</t>
  </si>
  <si>
    <t>Fri Jun 19 02:05:31 +0000 2009</t>
  </si>
  <si>
    <t>Office of The Prime Minister of Uganda</t>
  </si>
  <si>
    <t>Wed Sep 18 13:52:40 +0000 2013</t>
  </si>
  <si>
    <t>Kampala - Uganda</t>
  </si>
  <si>
    <t>Mon Nov 05 04:58:03 +0000 2012</t>
  </si>
  <si>
    <t>Mon Nov 05 10:03:03 +0000 2012</t>
  </si>
  <si>
    <t>Mon Jun 15 19:51:52 +0000 2009</t>
  </si>
  <si>
    <t>OTP</t>
  </si>
  <si>
    <t>Tue Apr 29 19:24:01 +0000 2014</t>
  </si>
  <si>
    <t>Fri Aug 03 11:21:58 +0000 2012</t>
  </si>
  <si>
    <t>Wed Jun 01 09:48:20 +0000 2011</t>
  </si>
  <si>
    <t>Wed Mar 07 21:14:28 +0000 2012</t>
  </si>
  <si>
    <t>Wed Sep 21 13:59:50 +0000 2011</t>
  </si>
  <si>
    <t>Wed May 04 13:35:31 +0000 2011</t>
  </si>
  <si>
    <t>Thu Nov 22 09:33:42 +0000 2012</t>
  </si>
  <si>
    <t>Tue Oct 27 07:31:41 +0000 2009</t>
  </si>
  <si>
    <t>Mon Nov 07 09:36:34 +0000 2011</t>
  </si>
  <si>
    <t>Patrice Talon</t>
  </si>
  <si>
    <t>Thu Dec 17 12:47:12 +0000 2015</t>
  </si>
  <si>
    <t>Wed Feb 27 14:32:18 +0000 2013</t>
  </si>
  <si>
    <t>Mon May 04 05:16:24 +0000 2009</t>
  </si>
  <si>
    <t>Sun Oct 02 12:17:58 +0000 2011</t>
  </si>
  <si>
    <t>Sat Jul 31 05:50:39 +0000 2010</t>
  </si>
  <si>
    <t>Fri Mar 08 11:05:11 +0000 2013</t>
  </si>
  <si>
    <t>الموقع الرسمي على التويتر لتنسيقية الدبلوماسية العامة التابعة لرئاسة الوزراء التركية، أنقرة. Tr:@BasbakanlikKDK  Eng:@TROfficeofPD Fr:@DiploPubliqueTR</t>
  </si>
  <si>
    <t>Wed Jul 18 11:50:04 +0000 2012</t>
  </si>
  <si>
    <t>Petrit Selimi</t>
  </si>
  <si>
    <t>Wed Apr 11 17:13:48 +0000 2007</t>
  </si>
  <si>
    <t>Thu Dec 02 02:40:43 +0000 2010</t>
  </si>
  <si>
    <t>Secretary of State for Foreign &amp; Commonwealth Affairs, Member of Parliament for Runnymede &amp; Weybridge</t>
  </si>
  <si>
    <t>Thu Jul 17 12:26:23 +0000 2014</t>
  </si>
  <si>
    <t>Wed Aug 10 07:58:39 +0000 2011</t>
  </si>
  <si>
    <t>Tue Aug 12 12:08:56 +0000 2014</t>
  </si>
  <si>
    <t>PM K.P. Sharma Oli</t>
  </si>
  <si>
    <t>This account is handled by media team supporting PM Oli. Tweets by PM are followed by signature - PM</t>
  </si>
  <si>
    <t>Wed Jun 10 14:43:04 +0000 2015</t>
  </si>
  <si>
    <t>Singhadurbar, Kathmandu Nepal</t>
  </si>
  <si>
    <t>PM Bhutan</t>
  </si>
  <si>
    <t>Mon Nov 17 07:27:34 +0000 2014</t>
  </si>
  <si>
    <t>PMcanadien</t>
  </si>
  <si>
    <t>Compte Twitter officiel de Justin Trudeau, premier ministre du Canada - English : @CanadianPM</t>
  </si>
  <si>
    <t>Fri May 09 14:30:00 +0000 2008</t>
  </si>
  <si>
    <t>PMD News</t>
  </si>
  <si>
    <t>Official News &amp; Updates from President's Media Division of Sri Lanka</t>
  </si>
  <si>
    <t>Fri Aug 07 10:18:59 +0000 2015</t>
  </si>
  <si>
    <t>PM Nawaz Sharif on Twitter.  Account run by fans</t>
  </si>
  <si>
    <t>Fri Nov 09 20:32:03 +0000 2012</t>
  </si>
  <si>
    <t>Mon Jul 29 04:32:58 +0000 2013</t>
  </si>
  <si>
    <t>Fri Jul 26 21:59:09 +0000 2013</t>
  </si>
  <si>
    <t>الخارجية الفلسطينية</t>
  </si>
  <si>
    <t>وزارة الخارجية الفلسطينية</t>
  </si>
  <si>
    <t>Wed Jul 11 06:31:07 +0000 2012</t>
  </si>
  <si>
    <t>Tue Jan 15 09:45:31 +0000 2013</t>
  </si>
  <si>
    <t>Dr. Rui M. de Araújo</t>
  </si>
  <si>
    <t>Fri Apr 03 02:48:53 +0000 2015</t>
  </si>
  <si>
    <t>Mon Jan 23 06:24:52 +0000 2012</t>
  </si>
  <si>
    <t>Wed Sep 29 06:17:37 +0000 2010</t>
  </si>
  <si>
    <t>Wed Mar 21 16:00:04 +0000 2012</t>
  </si>
  <si>
    <t>Tue Mar 22 15:00:26 +0000 2011</t>
  </si>
  <si>
    <t>Né à Ngozi en 1964. Président de la République du #Burundi. Béni d’être Burundais. Rends grâce au Seigneur. Mes tweets sont signés PN</t>
  </si>
  <si>
    <t>Sun Jan 29 20:55:14 +0000 2012</t>
  </si>
  <si>
    <t>Fri Oct 09 07:44:33 +0000 2009</t>
  </si>
  <si>
    <t>Thu Feb 23 11:38:07 +0000 2012</t>
  </si>
  <si>
    <t>Fri Nov 23 08:00:36 +0000 2012</t>
  </si>
  <si>
    <t>Tue Mar 13 11:27:44 +0000 2012</t>
  </si>
  <si>
    <t>Thu Mar 15 11:02:01 +0000 2012</t>
  </si>
  <si>
    <t>Thu Feb 23 11:50:17 +0000 2012</t>
  </si>
  <si>
    <t>Thu Feb 23 11:48:17 +0000 2012</t>
  </si>
  <si>
    <t>Fri Nov 23 08:13:46 +0000 2012</t>
  </si>
  <si>
    <t>Mon Mar 12 10:01:23 +0000 2012</t>
  </si>
  <si>
    <t>Fri Nov 23 08:32:02 +0000 2012</t>
  </si>
  <si>
    <t>Wed Apr 02 12:41:51 +0000 2014</t>
  </si>
  <si>
    <t>Tue Jun 29 09:04:08 +0000 2010</t>
  </si>
  <si>
    <t>Dad, husband, and 44th President of the United States. Tweets may be archived: http://t.co/eVVzoATsAR.</t>
  </si>
  <si>
    <t>Fri Jun 21 16:02:21 +0000 2013</t>
  </si>
  <si>
    <t>Tue Mar 09 21:49:25 +0000 2010</t>
  </si>
  <si>
    <t>Wed May 18 19:09:10 +0000 2011</t>
  </si>
  <si>
    <t>Fri Jul 13 15:18:28 +0000 2012</t>
  </si>
  <si>
    <t>Fri Jan 07 12:16:02 +0000 2011</t>
  </si>
  <si>
    <t>Thu May 24 09:35:37 +0000 2012</t>
  </si>
  <si>
    <t>Oficjalny profil Kancelarii Prezesa Rady Ministrów.</t>
  </si>
  <si>
    <t>Fri Jul 17 12:10:07 +0000 2009</t>
  </si>
  <si>
    <t>Prensa_Palacio</t>
  </si>
  <si>
    <t>Prensa Palacio</t>
  </si>
  <si>
    <t>Es componente virtual del sistema de servicios informativos 2.0 del Ministerio de la Presidencia del Gobierno del Estado Plurinacional de Bolivia.</t>
  </si>
  <si>
    <t>Thu Aug 06 13:01:33 +0000 2015</t>
  </si>
  <si>
    <t>Tue May 29 21:24:34 +0000 2012</t>
  </si>
  <si>
    <t>Prensa</t>
  </si>
  <si>
    <t>Tue Oct 20 17:18:11 +0000 2015</t>
  </si>
  <si>
    <t>Fri Mar 12 18:31:47 +0000 2010</t>
  </si>
  <si>
    <t>Tue Sep 25 07:25:56 +0000 2012</t>
  </si>
  <si>
    <t>Pr. Alpha CONDE</t>
  </si>
  <si>
    <t>Page officielle du Président de la République de Guinée</t>
  </si>
  <si>
    <t>Sat Jun 27 21:18:05 +0000 2015</t>
  </si>
  <si>
    <t>David Granger</t>
  </si>
  <si>
    <t>Fri May 15 02:49:04 +0000 2015</t>
  </si>
  <si>
    <t>Președintele Republicii Moldova / The #President of the Republic of #Moldova</t>
  </si>
  <si>
    <t>Fri May 31 13:37:15 +0000 2013</t>
  </si>
  <si>
    <t>Thu Aug 21 16:03:01 +0000 2014</t>
  </si>
  <si>
    <t>Fri Sep 09 17:27:57 +0000 2011</t>
  </si>
  <si>
    <t>Tue Feb 10 14:42:59 +0000 2015</t>
  </si>
  <si>
    <t>Présidence d’Haïti</t>
  </si>
  <si>
    <t>Compte officiel de la Présidence de la République d’Haïti.</t>
  </si>
  <si>
    <t>Sun Feb 14 15:31:59 +0000 2016</t>
  </si>
  <si>
    <t>Sun Mar 23 21:51:31 +0000 2014</t>
  </si>
  <si>
    <t>Wed Oct 12 14:14:49 +0000 2011</t>
  </si>
  <si>
    <t>PresidenceNiger</t>
  </si>
  <si>
    <t>Mon Oct 13 17:21:58 +0000 2014</t>
  </si>
  <si>
    <t>PrésidenceTG</t>
  </si>
  <si>
    <t>Fri Nov 21 11:55:57 +0000 2014</t>
  </si>
  <si>
    <t>Thu Jan 05 16:54:22 +0000 2012</t>
  </si>
  <si>
    <t>Prensa Presidencia</t>
  </si>
  <si>
    <t>Canal oficial de la Dirección de Prensa de la Presidencia de la República de Chile.</t>
  </si>
  <si>
    <t>Mon Mar 25 19:05:21 +0000 2013</t>
  </si>
  <si>
    <t>Mon Jan 04 23:44:40 +0000 2010</t>
  </si>
  <si>
    <t>Sun Feb 03 17:50:39 +0000 2013</t>
  </si>
  <si>
    <t>Mon Nov 09 17:44:59 +0000 2009</t>
  </si>
  <si>
    <t>Twitter Oficial de Casa Presidencial, Costa Rica. // Presidence of Costa Rica's Official Twitter Account.</t>
  </si>
  <si>
    <t>Mon May 17 14:50:36 +0000 2010</t>
  </si>
  <si>
    <t>San José, Costa Rica</t>
  </si>
  <si>
    <t>Thu Jul 22 17:24:41 +0000 2010</t>
  </si>
  <si>
    <t>Fri Apr 30 23:46:35 +0000 2010</t>
  </si>
  <si>
    <t>Thu Apr 23 17:06:49 +0000 2009</t>
  </si>
  <si>
    <t>Thu Sep 04 14:31:26 +0000 2014</t>
  </si>
  <si>
    <t>Fri Dec 25 14:31:54 +0000 2009</t>
  </si>
  <si>
    <t>Tue Apr 13 17:25:02 +0000 2010</t>
  </si>
  <si>
    <t>Mon Apr 15 08:21:01 +0000 2013</t>
  </si>
  <si>
    <t>Fri Dec 17 16:59:11 +0000 2010</t>
  </si>
  <si>
    <t>Sun Jan 09 04:57:02 +0000 2011</t>
  </si>
  <si>
    <t>Sat Apr 12 20:14:00 +0000 2014</t>
  </si>
  <si>
    <t>Mon May 18 08:38:44 +0000 2009</t>
  </si>
  <si>
    <t>Bidhya Devi Bhandari</t>
  </si>
  <si>
    <t>This account is handled by media team supporting President Bhandari. Tweets by President are followed by signature - President</t>
  </si>
  <si>
    <t>Sat Nov 14 04:05:02 +0000 2015</t>
  </si>
  <si>
    <t>Sun Feb 08 18:11:21 +0000 2015</t>
  </si>
  <si>
    <t>Thu Apr 05 08:28:37 +0000 2012</t>
  </si>
  <si>
    <t>Wed Nov 28 11:28:44 +0000 2012</t>
  </si>
  <si>
    <t>Wed Nov 28 11:38:26 +0000 2012</t>
  </si>
  <si>
    <t>Fri May 14 08:19:48 +0000 2010</t>
  </si>
  <si>
    <t>Bio: President of the Republic of Cape Verde. http://t.co/ZlSwHt8M89</t>
  </si>
  <si>
    <t>Mon May 14 16:46:51 +0000 2012</t>
  </si>
  <si>
    <t>Wed Jan 28 07:56:33 +0000 2015</t>
  </si>
  <si>
    <t>Twitter account for Áras an Uachtaráin, providing updates about the work of Uachtarán na hÉireann Michael D. Higgins. Policy: https://t.co/lMY8qHBQE9</t>
  </si>
  <si>
    <t>Thu May 03 11:17:47 +0000 2012</t>
  </si>
  <si>
    <t>President of Kenya</t>
  </si>
  <si>
    <t>The Official Institutional Page of the President of the Republic of Kenya</t>
  </si>
  <si>
    <t>Mon Jul 29 08:14:12 +0000 2013</t>
  </si>
  <si>
    <t>Mon Apr 28 10:52:15 +0000 2014</t>
  </si>
  <si>
    <t>Thu Aug 12 23:42:19 +0000 2010</t>
  </si>
  <si>
    <t>Tue Nov 04 09:22:14 +0000 2014</t>
  </si>
  <si>
    <t>Sun Feb 20 10:36:15 +0000 2011</t>
  </si>
  <si>
    <t>The official twitter profile of the President of the Republic of Maldives</t>
  </si>
  <si>
    <t>Sun Nov 17 16:03:29 +0000 2013</t>
  </si>
  <si>
    <t>Wed Nov 28 11:54:44 +0000 2012</t>
  </si>
  <si>
    <t>Fri Aug 03 08:44:38 +0000 2012</t>
  </si>
  <si>
    <t>Mon May 14 02:40:35 +0000 2012</t>
  </si>
  <si>
    <t>KancelariaPrezydenta</t>
  </si>
  <si>
    <t>Oficjalny profil Kancelarii Prezydenta Rzeczypospolitej Polskiej. The official twitter channel for the President of the Republic of Poland.</t>
  </si>
  <si>
    <t>Mon Jun 01 17:57:50 +0000 2009</t>
  </si>
  <si>
    <t>Thu Aug 08 23:03:11 +0000 2013</t>
  </si>
  <si>
    <t>Tue Jun 12 11:04:15 +0000 2012</t>
  </si>
  <si>
    <t>Thu Jun 10 09:03:36 +0000 2010</t>
  </si>
  <si>
    <t>Tue Jun 10 17:44:15 +0000 2014</t>
  </si>
  <si>
    <t>Tue Oct 14 19:34:18 +0000 2014</t>
  </si>
  <si>
    <t>Tue May 21 14:58:11 +0000 2013</t>
  </si>
  <si>
    <t>Mon Dec 19 07:38:28 +0000 2011</t>
  </si>
  <si>
    <t>Kigali-Rwanda</t>
  </si>
  <si>
    <t>PrimeMinisterGe</t>
  </si>
  <si>
    <t>PmOfGeorgia</t>
  </si>
  <si>
    <t>Wed Jan 20 10:35:09 +0000 2016</t>
  </si>
  <si>
    <t>Prime Minister GR</t>
  </si>
  <si>
    <t>Ο Πρωθυπουργός της Ελλάδας | The Prime Minister of the Hellenic Republic</t>
  </si>
  <si>
    <t>Tue Jan 12 22:54:34 +0000 2010</t>
  </si>
  <si>
    <t>Tue Mar 23 07:28:48 +0000 2010</t>
  </si>
  <si>
    <t>Tue Apr 26 13:49:03 +0000 2011</t>
  </si>
  <si>
    <t>Sun Sep 05 11:31:33 +0000 2010</t>
  </si>
  <si>
    <t>Mon Jul 15 07:02:24 +0000 2013</t>
  </si>
  <si>
    <t>Fri Jun 08 08:17:20 +0000 2012</t>
  </si>
  <si>
    <t>Fri Dec 16 06:45:22 +0000 2011</t>
  </si>
  <si>
    <t>Wed Nov 07 14:41:38 +0000 2012</t>
  </si>
  <si>
    <t>حساب لنشر القرارات والمراسيم الأميرية ومجلس الوزراء في #قطر. لا يتبع ولا يمثل الحساب أي جهة رسمية</t>
  </si>
  <si>
    <t>Tue Aug 25 08:26:49 +0000 2009</t>
  </si>
  <si>
    <t>Wed Apr 29 17:18:31 +0000 2009</t>
  </si>
  <si>
    <t>Account ufficiale dell'Ufficio Stampa della Presidenza della Repubblica.</t>
  </si>
  <si>
    <t>Thu Aug 02 13:19:56 +0000 2012</t>
  </si>
  <si>
    <t>Official Twitter account of the Prime Minister of Palestine, Dr. Rami Hamdallah. Tweets from Dr. Hamdallah signed ~RH</t>
  </si>
  <si>
    <t>Sun Jun 09 07:24:53 +0000 2013</t>
  </si>
  <si>
    <t>Tue Jul 01 04:35:40 +0000 2014</t>
  </si>
  <si>
    <t>Sun May 01 17:06:49 +0000 2011</t>
  </si>
  <si>
    <t>-Professeur Titulaire des Universites( philosophie Politique) -Ministre des Affaires Etrangeres, de la Cooperation et de l Integration Africaine du Togo</t>
  </si>
  <si>
    <t>Sat Feb 16 17:36:54 +0000 2013</t>
  </si>
  <si>
    <t>Fri Jul 25 06:39:50 +0000 2008</t>
  </si>
  <si>
    <t>Sun Feb 21 15:14:43 +0000 2010</t>
  </si>
  <si>
    <t>Wed Jan 05 12:33:25 +0000 2011</t>
  </si>
  <si>
    <t>Fri Aug 31 10:48:15 +0000 2012</t>
  </si>
  <si>
    <t>Fri Jul 08 21:26:28 +0000 2011</t>
  </si>
  <si>
    <t>Republic of Nauru</t>
  </si>
  <si>
    <t>The official account of the Government of the Republic of Nauru. Operated by Government Information Office.</t>
  </si>
  <si>
    <t>Mon Jul 27 06:19:25 +0000 2015</t>
  </si>
  <si>
    <t>Mon Apr 27 12:02:13 +0000 2009</t>
  </si>
  <si>
    <t>Thu Apr 18 15:15:27 +0000 2013</t>
  </si>
  <si>
    <t>Oficiālais Latvijas Valsts prezidenta Twitter konts / Official Twitter account of the President of Latvia</t>
  </si>
  <si>
    <t>Wed Jul 07 10:58:52 +0000 2010</t>
  </si>
  <si>
    <t>Wij beantwoorden hier graag je vragen over beleid, wet- en regelgeving van de Rijksoverheid | ma-vr 8.00-20.00 | Twitterbeleid op http://t.co/0y9eb47YRk</t>
  </si>
  <si>
    <t>Fri Jul 25 07:08:34 +0000 2008</t>
  </si>
  <si>
    <t>Sun Nov 08 14:17:29 +0000 2009</t>
  </si>
  <si>
    <t>Roch M. C. KABORE</t>
  </si>
  <si>
    <t>Compte twitter officiel du Président du FASO, ROCH MARC CHRISTIAN KABORE | presidence.bf</t>
  </si>
  <si>
    <t>Wed Jul 01 15:42:09 +0000 2015</t>
  </si>
  <si>
    <t>حسن روحانی</t>
  </si>
  <si>
    <t>رییس جمهوری اسلامی ایران    -                         English Account ‎@HassanRouhani</t>
  </si>
  <si>
    <t>Mon Apr 22 08:25:02 +0000 2013</t>
  </si>
  <si>
    <t>Thu Sep 22 11:24:01 +0000 2011</t>
  </si>
  <si>
    <t>Sun Aug 23 01:13:44 +0000 2009</t>
  </si>
  <si>
    <t>رجب طيب أردوغان</t>
  </si>
  <si>
    <t>رئيس الجمهورية التركية</t>
  </si>
  <si>
    <t>Fri Sep 23 11:17:31 +0000 2011</t>
  </si>
  <si>
    <t>Wed Oct 17 07:48:14 +0000 2012</t>
  </si>
  <si>
    <t>Prime Minister of the Republic of Uganda and Leader of Government Business in Parliament</t>
  </si>
  <si>
    <t>Fri Sep 19 19:37:08 +0000 2014</t>
  </si>
  <si>
    <t>Thu Apr 14 19:14:47 +0000 2011</t>
  </si>
  <si>
    <t>РоссиЯ</t>
  </si>
  <si>
    <t>The official Twitter feed for Russia. Powered by @MFA_Russia, inspired by Russian people. Russia is closer and warmer than it seems!</t>
  </si>
  <si>
    <t>Thu Nov 13 11:36:44 +0000 2014</t>
  </si>
  <si>
    <t>Chukotka - Kaliningrad</t>
  </si>
  <si>
    <t>Sat Nov 29 14:44:13 +0000 2014</t>
  </si>
  <si>
    <t>The Official Twitter Handle of the Government of Rwanda | Guverinoma y'u Rwanda. communications@gov.rw</t>
  </si>
  <si>
    <t>Mon Oct 26 15:56:45 +0000 2009</t>
  </si>
  <si>
    <t>Rwanda MoFA</t>
  </si>
  <si>
    <t>The Official Twitter handle of the Ministry of Foreign Affairs and Cooperation. Government of Rwanda.</t>
  </si>
  <si>
    <t>Fri Aug 19 09:27:44 +0000 2011</t>
  </si>
  <si>
    <t>Чимэдийн САЙХАНБИЛЭГ</t>
  </si>
  <si>
    <t>УИХ-ын гишүүн, Монгол Улсын Ерөнхий сайд, Member of Mongolian Parliament, Prime Minister of Mongolia</t>
  </si>
  <si>
    <t>Mon Apr 22 06:55:54 +0000 2013</t>
  </si>
  <si>
    <t>Sat Apr 07 04:21:39 +0000 2012</t>
  </si>
  <si>
    <t>Sat Jun 04 19:28:03 +0000 2011</t>
  </si>
  <si>
    <t>Tue Jun 05 09:56:52 +0000 2012</t>
  </si>
  <si>
    <t>Official Twitter account of the Government of Samoa | Tweets by the Press Secretary |</t>
  </si>
  <si>
    <t>Mon Dec 17 01:47:22 +0000 2012</t>
  </si>
  <si>
    <t>Salvador Sánchez</t>
  </si>
  <si>
    <t>#GobernandoConLaGente Presidente de la República de El Salvador 2014 - 2019.</t>
  </si>
  <si>
    <t>Thu May 27 15:39:02 +0000 2010</t>
  </si>
  <si>
    <t>Mon May 09 13:09:12 +0000 2011</t>
  </si>
  <si>
    <t>Compte Twitter Officiel du Président de la République du Congo</t>
  </si>
  <si>
    <t>Sun Jan 20 11:53:58 +0000 2013</t>
  </si>
  <si>
    <t>Mon Jan 03 11:48:19 +0000 2011</t>
  </si>
  <si>
    <t>Kingdom of Saudi Arabia</t>
  </si>
  <si>
    <t>Tue Sep 27 14:31:51 +0000 2011</t>
  </si>
  <si>
    <t>Fri Jun 12 10:14:53 +0000 2009</t>
  </si>
  <si>
    <t>Sat Jan 24 19:03:54 +0000 2015</t>
  </si>
  <si>
    <t>Tue Jun 05 20:57:50 +0000 2012</t>
  </si>
  <si>
    <t>Sat Jun 09 11:31:51 +0000 2012</t>
  </si>
  <si>
    <t>Sat Feb 14 11:45:25 +0000 2015</t>
  </si>
  <si>
    <t>Akun Twitter resmi milik Sekretariat Kabinet RI. Kontak:humaslem@setkab.go.id, Facebook:Setkab RI, Instagram:sekretariat.kabinet, Youtube:Sekretariat Kabinet RI</t>
  </si>
  <si>
    <t>Fri Mar 04 11:27:52 +0000 2011</t>
  </si>
  <si>
    <t>Wed Oct 16 05:54:50 +0000 2013</t>
  </si>
  <si>
    <t>Sigurdur Ingi J.</t>
  </si>
  <si>
    <t>Tue Apr 29 15:10:40 +0000 2014</t>
  </si>
  <si>
    <t>Fri Nov 01 19:00:11 +0000 2013</t>
  </si>
  <si>
    <t>Thu Mar 06 22:56:11 +0000 2014</t>
  </si>
  <si>
    <t>Mon Mar 23 16:05:46 +0000 2015</t>
  </si>
  <si>
    <t>Fri Jun 07 09:19:26 +0000 2013</t>
  </si>
  <si>
    <t>Thu Nov 15 21:13:01 +0000 2012</t>
  </si>
  <si>
    <t>Sun Feb 03 11:31:00 +0000 2013</t>
  </si>
  <si>
    <t>Fri Sep 19 07:52:37 +0000 2014</t>
  </si>
  <si>
    <t>Secretaría de Relaciones Exteriores | La política exterior de #MéxicoGlobal</t>
  </si>
  <si>
    <t>Fri Dec 11 15:15:54 +0000 2009</t>
  </si>
  <si>
    <t>SRECI-Honduras</t>
  </si>
  <si>
    <t>Este es el twitter oficial de la Secretaría de Relaciones Exteriores y Cooperación Internacional de Honduras</t>
  </si>
  <si>
    <t>Thu Dec 23 23:22:10 +0000 2010</t>
  </si>
  <si>
    <t>Tue Oct 23 15:02:45 +0000 2007</t>
  </si>
  <si>
    <t>Wed Mar 23 18:20:11 +0000 2011</t>
  </si>
  <si>
    <t>Tue Aug 30 12:22:23 +0000 2011</t>
  </si>
  <si>
    <t>Thu Mar 15 07:09:31 +0000 2012</t>
  </si>
  <si>
    <t>Thu Jan 03 10:34:26 +0000 2013</t>
  </si>
  <si>
    <t>Sun Aug 26 12:01:25 +0000 2012</t>
  </si>
  <si>
    <t>Fri May 27 11:28:06 +0000 2011</t>
  </si>
  <si>
    <t>Tue Apr 28 09:38:49 +0000 2009</t>
  </si>
  <si>
    <t>Tue May 03 10:36:29 +0000 2011</t>
  </si>
  <si>
    <t>Tue May 19 12:22:16 +0000 2009</t>
  </si>
  <si>
    <t>Thu Jul 08 14:55:31 +0000 2010</t>
  </si>
  <si>
    <t>Susana Malcorra</t>
  </si>
  <si>
    <t>Ministra de Relaciones Exteriores y Culto de la República Argentina - Foreign Affairs Minister of the Argentine Republic. @CancilleriaARG</t>
  </si>
  <si>
    <t>Tue Dec 22 19:28:02 +0000 2015</t>
  </si>
  <si>
    <t>Cdad Autónoma de Buenos Aires</t>
  </si>
  <si>
    <t>Minister of External affairs</t>
  </si>
  <si>
    <t>Thu Nov 25 11:10:09 +0000 2010</t>
  </si>
  <si>
    <t>New Delhi, India</t>
  </si>
  <si>
    <t>Mon May 24 09:47:54 +0000 2010</t>
  </si>
  <si>
    <t>Peaminister, liberaal, spordifänn / Prime Minister of Estonia</t>
  </si>
  <si>
    <t>Sat Nov 26 18:51:28 +0000 2011</t>
  </si>
  <si>
    <t>Fri Mar 20 15:10:31 +0000 2009</t>
  </si>
  <si>
    <t>تميم بن حمد آل ثاني</t>
  </si>
  <si>
    <t>أخبار سمو الأمير الشيخ تميم بن حمد آل ثاني أمير دولة قطر</t>
  </si>
  <si>
    <t>Sun Apr 29 08:54:04 +0000 2012</t>
  </si>
  <si>
    <t>Doha - Qatar</t>
  </si>
  <si>
    <t>Mon Sep 19 13:41:12 +0000 2011</t>
  </si>
  <si>
    <t>Mon Dec 07 18:01:38 +0000 2009</t>
  </si>
  <si>
    <t>Sat Mar 26 20:57:28 +0000 2011</t>
  </si>
  <si>
    <t>Thu Sep 29 09:57:38 +0000 2011</t>
  </si>
  <si>
    <t>Serge Telle</t>
  </si>
  <si>
    <t>Sat Mar 05 09:13:00 +0000 2016</t>
  </si>
  <si>
    <t>Thu Nov 29 12:18:37 +0000 2012</t>
  </si>
  <si>
    <t>Wed Sep 30 08:17:34 +0000 2009</t>
  </si>
  <si>
    <t>Thu Jun 24 10:21:58 +0000 2010</t>
  </si>
  <si>
    <t>Presidential Administration of Ukraine. Українською – @APUkraine</t>
  </si>
  <si>
    <t>Wed Jun 03 13:59:42 +0000 2015</t>
  </si>
  <si>
    <t>Wed Aug 24 09:45:37 +0000 2011</t>
  </si>
  <si>
    <t>Office of the President, The Federal Republic of Somalia</t>
  </si>
  <si>
    <t>Thu Nov 15 19:22:04 +0000 2012</t>
  </si>
  <si>
    <t>Sat Jul 26 13:26:41 +0000 2014</t>
  </si>
  <si>
    <t>primaturetg</t>
  </si>
  <si>
    <t>Wed Feb 24 09:02:53 +0000 2016</t>
  </si>
  <si>
    <t>Tue Feb 18 05:54:51 +0000 2014</t>
  </si>
  <si>
    <t>Tasavallan presidentin kanslia / Republikens presidents kansli / Office of the President of the Republic of Finland Sauli @niinisto</t>
  </si>
  <si>
    <t>Sun Nov 21 17:17:30 +0000 2010</t>
  </si>
  <si>
    <t>Mon Dec 27 15:02:02 +0000 2010</t>
  </si>
  <si>
    <t>Official Twitter Account of the Presidency of the Republic of Turkey</t>
  </si>
  <si>
    <t>Sat Mar 26 21:14:29 +0000 2011</t>
  </si>
  <si>
    <t>Ankara, Türkiye</t>
  </si>
  <si>
    <t>Thu Nov 22 01:23:24 +0000 2012</t>
  </si>
  <si>
    <t>Tue May 05 06:00:44 +0000 2009</t>
  </si>
  <si>
    <t>The twitter account of Alexis Tsipras, Vice President of @EuropeanLeft, and President of @syriza_gr</t>
  </si>
  <si>
    <t>Wed Jan 15 09:45:48 +0000 2014</t>
  </si>
  <si>
    <t>Fri Jan 06 11:13:47 +0000 2012</t>
  </si>
  <si>
    <t>Prime Minister of Australia and Federal Member for Wentworth. retweet is not an endorsement</t>
  </si>
  <si>
    <t>Tue Oct 14 07:18:41 +0000 2008</t>
  </si>
  <si>
    <t>Sydney, NSW, Australia</t>
  </si>
  <si>
    <t>Fri Oct 21 21:12:16 +0000 2011</t>
  </si>
  <si>
    <t>الحساب الرسمي لحكومة الامارات الذكية The Official UAE Mobile Government Account</t>
  </si>
  <si>
    <t>Mon Jan 31 06:34:59 +0000 2011</t>
  </si>
  <si>
    <t>Wed Oct 26 06:14:35 +0000 2011</t>
  </si>
  <si>
    <t>Official twitter account of the Ministry of Foreign Affairs of The Republic of Uganda.</t>
  </si>
  <si>
    <t>Wed Jul 24 13:44:36 +0000 2013</t>
  </si>
  <si>
    <t>Massimo Ugolini</t>
  </si>
  <si>
    <t>Thu Feb 19 12:44:23 +0000 2015</t>
  </si>
  <si>
    <t>Thu Aug 26 09:10:44 +0000 2010</t>
  </si>
  <si>
    <t>FCO Urdu</t>
  </si>
  <si>
    <t>Thu Aug 19 11:47:51 +0000 2010</t>
  </si>
  <si>
    <t>Wed Mar 30 08:41:40 +0000 2011</t>
  </si>
  <si>
    <t>Wed Apr 17 08:02:54 +0000 2013</t>
  </si>
  <si>
    <t>Mon Dec 31 08:22:51 +0000 2012</t>
  </si>
  <si>
    <t>Tue Jan 04 14:15:24 +0000 2011</t>
  </si>
  <si>
    <t>Wed Feb 23 06:12:11 +0000 2011</t>
  </si>
  <si>
    <t>Wed Feb 09 00:19:58 +0000 2011</t>
  </si>
  <si>
    <t>Sun Feb 13 14:59:24 +0000 2011</t>
  </si>
  <si>
    <t>Fri Mar 11 19:08:37 +0000 2011</t>
  </si>
  <si>
    <t>Mon Feb 14 17:08:23 +0000 2011</t>
  </si>
  <si>
    <t>Mon Feb 14 17:56:47 +0000 2011</t>
  </si>
  <si>
    <t>Wed Feb 16 20:22:03 +0000 2011</t>
  </si>
  <si>
    <t>США по-русски</t>
  </si>
  <si>
    <t>Официальный русскоязычный аккаунт Государственного Департамента США</t>
  </si>
  <si>
    <t>Fri Feb 18 16:58:13 +0000 2011</t>
  </si>
  <si>
    <t>حکومتِ امریکہ اور دنیا بھر میں اردو بولنے والوں کے درمیان مضبوط دوطرفہ رابطہ کے لئے یہ امریکی دفتر خارجہ کی ایک کاوش ہے</t>
  </si>
  <si>
    <t>Wed Mar 16 17:49:28 +0000 2011</t>
  </si>
  <si>
    <t>Mon Sep 14 17:58:48 +0000 2009</t>
  </si>
  <si>
    <t>Välkommen till UD på Twitter. Här twittrar UD:s presstjänst om allt som rör utrikesförvaltningens arbete, i Sverige och resten av världen. For English: @SweMFA</t>
  </si>
  <si>
    <t>Fri May 21 22:51:16 +0000 2010</t>
  </si>
  <si>
    <t>Mon Mar 16 14:27:13 +0000 2009</t>
  </si>
  <si>
    <t>Mon Apr 18 11:40:30 +0000 2011</t>
  </si>
  <si>
    <t>Valsts prezidents, vienkārši cilvēks</t>
  </si>
  <si>
    <t>Fri Feb 12 17:59:00 +0000 2010</t>
  </si>
  <si>
    <t>LATVIA</t>
  </si>
  <si>
    <t>Sun Aug 08 15:53:57 +0000 2010</t>
  </si>
  <si>
    <t>Sat Jan 30 00:42:32 +0000 2010</t>
  </si>
  <si>
    <t>Minister for Foreign Affairs, Singapore Vivian.Balakrishnan@mfa.gov.sg</t>
  </si>
  <si>
    <t>Fri Jun 12 03:31:55 +0000 2009</t>
  </si>
  <si>
    <t>Zvanični nalog Vlade Crne Gore. Pratite naš nalog na engleskom: @MeGovernment</t>
  </si>
  <si>
    <t>Fri Dec 30 12:48:59 +0000 2011</t>
  </si>
  <si>
    <t>Fri Sep 30 13:54:54 +0000 2011</t>
  </si>
  <si>
    <t>Tue Oct 02 11:11:14 +0000 2012</t>
  </si>
  <si>
    <t>Vlada RH - službeni Twitter račun. Government of the Republic of Croatia - official Twitter account. Pravila korištenja: http://t.co/rrMynEbfo5</t>
  </si>
  <si>
    <t>Thu Dec 22 22:01:32 +0000 2011</t>
  </si>
  <si>
    <t>Fri Jun 12 08:33:30 +0000 2009</t>
  </si>
  <si>
    <t>Alpha Condé</t>
  </si>
  <si>
    <t>Compte Officiel du candidat du RPG Arc-en-Ciel : Alpha Condé</t>
  </si>
  <si>
    <t>Thu Sep 10 20:35:07 +0000 2015</t>
  </si>
  <si>
    <t>Dr. Keith Mitchell</t>
  </si>
  <si>
    <t>The longest serving Political Leader Grenada has ever had, presently the leader of the New National Party (NNP)</t>
  </si>
  <si>
    <t>Tue Nov 27 13:18:44 +0000 2012</t>
  </si>
  <si>
    <t>#Grenada #VoteKeith2013</t>
  </si>
  <si>
    <t>Wed May 20 12:33:41 +0000 2009</t>
  </si>
  <si>
    <t>Follow for the latest from President Obama and his Administration. For tweets from the President, follow @POTUS. Tweets may be archived: https://t.co/eVVzoBb3Zr</t>
  </si>
  <si>
    <t>Fri Apr 10 21:10:30 +0000 2009</t>
  </si>
  <si>
    <t>Official account of Xavier Bettel, Prime Minister of Luxembourg. Personal tweets by the Prime Minister are signed « XB ».</t>
  </si>
  <si>
    <t>Mon Aug 02 18:18:31 +0000 2010</t>
  </si>
  <si>
    <t>Mon Sep 23 11:09:03 +0000 2013</t>
  </si>
  <si>
    <t>Thu Aug 28 09:58:43 +0000 2014</t>
  </si>
  <si>
    <t>Thu Sep 06 05:36:39 +0000 2012</t>
  </si>
  <si>
    <t>Lionel Zinsou</t>
  </si>
  <si>
    <t>Sun Jun 21 09:30:14 +0000 2015</t>
  </si>
  <si>
    <t>Dormant since 14.08.2015</t>
  </si>
  <si>
    <t>Dormant since 20.02.2015</t>
  </si>
  <si>
    <t>Dormant since 13.06.2014</t>
  </si>
  <si>
    <t>Dormant since 06.03.2015</t>
  </si>
  <si>
    <t>Dormant since 30.05.2014</t>
  </si>
  <si>
    <t>Dormant since 16.10.2015</t>
  </si>
  <si>
    <t>Dormant since 20.10.2014</t>
  </si>
  <si>
    <t>https://twitter.com/EndaKennyTD/status/523911565666701313</t>
  </si>
  <si>
    <t>https://twitter.com/EndaKennyTD/statuses/646681056062652416</t>
  </si>
  <si>
    <t>Dormant since 14.02.2015</t>
  </si>
  <si>
    <t>Dormant since 07.06.2015</t>
  </si>
  <si>
    <t>Dormant since 21.06.2015</t>
  </si>
  <si>
    <t>Dormant since 28.08.2014</t>
  </si>
  <si>
    <t>Dormant since 12.02.2015</t>
  </si>
  <si>
    <t>Dormant since 26.02.2015</t>
  </si>
  <si>
    <t>Dormant since 03.07.2014</t>
  </si>
  <si>
    <t>Dormant since 09.07.2015</t>
  </si>
  <si>
    <t>Dormant since 16.07.2015</t>
  </si>
  <si>
    <t>https://twitter.com/niinisto/status/673421540235550721</t>
  </si>
  <si>
    <t>https://twitter.com/al_jaffaary/status/129135662120181760</t>
  </si>
  <si>
    <t>Dormant since 22.04.2014</t>
  </si>
  <si>
    <t>Dormant since 03.02.2015</t>
  </si>
  <si>
    <t>https://twitter.com/NaglerUNDP/status/625439479046778880</t>
  </si>
  <si>
    <t>Dormant since 28.07.2015</t>
  </si>
  <si>
    <t>Dormant since 09.09.2014</t>
  </si>
  <si>
    <t>https://twitter.com/maduro_ru/status/716988999559200769</t>
  </si>
  <si>
    <t>https://twitter.com/maduro_ru/statuses/716988999559200769</t>
  </si>
  <si>
    <t>https://twitter.com/HannaTetteh/status/1679520733</t>
  </si>
  <si>
    <t>Dormant since 30.04.2014</t>
  </si>
  <si>
    <t>Dormant since 05.03.2014</t>
  </si>
  <si>
    <t>Dormant since 25.03.2015</t>
  </si>
  <si>
    <t>https://twitter.com/PrimeMinisterGE/statuses/261471268145070080</t>
  </si>
  <si>
    <t>HannaTetteh, HashimThaciRKS, ItamaratyGovBr, Kristian_Jensen, LithuaniaMFA, MVEP_hr, MevlutCavusoglu, PresidenceMali, UM_dk, borgebrende, manuelvalls</t>
  </si>
  <si>
    <t>BelarusMFA, Grybauskaite_LT, JanelidzeMkh, LinkeviciusL, Lithuania, LithuaniaMFA, MFA_Ukraine, MFAgovge, MargvelashviliG, TaaviRoivas, Vyriausybe</t>
  </si>
  <si>
    <t>Presidenceci, adosolutions</t>
  </si>
  <si>
    <t>DeptEstadoPR, PresidenciaRD, fortalezapr</t>
  </si>
  <si>
    <t>A_Davutoglu_ar, BasbakanlikKDK, MevlutCavusoglu, MiroslavLajcak, TC_Disisleri, TROfficeofPD, ditmirbushati, poroshenko</t>
  </si>
  <si>
    <t>DrTedros, ForeignOfficeKE, IsraelMFA, LMushikiwabo, MFAIceland, PSCU_Digital, PresidentKE, RwandaMFA, SomaliPM, StateHouseKenya, foreignoffice, mfaethiopia</t>
  </si>
  <si>
    <t>PrimatureRwanda, RwandaGov, RwandaMFA</t>
  </si>
  <si>
    <t>BelarusMID, BoykoBorissov, EUCouncilTVNews, Kabmin_UA, Latvian_MFA, LinkeviciusL, LithuaniaMFA, MFAIceland, MFAKOSOVO, MFA_Ukraine, MFAgovge, MID_RF, NorwayMFA, PHammondMP, TheBankova, VladaRH, mfa_russia, poroshenko</t>
  </si>
  <si>
    <t>AuswaertigesAmt, Brivibas36, EUCouncilTVNews, EU_Commission, GermanyDiplo, LithuaniaMFA, MFAKOSOVO, MarisKucinskis, NorwayMFA, Vejonis, edgarsrinkevics, eu_eeas, mfa_russia, valismin</t>
  </si>
  <si>
    <t>ARG_AFG, narendramodi</t>
  </si>
  <si>
    <t>PrimeministerGR, tsipras_eu</t>
  </si>
  <si>
    <t>AlbanianMFA, BelarusMFA, BgPresidency, BoykoBorissov, DrZvizdic, DutchMFA, FedericaMog, LithuaniaMFA, MFAIceland, MFA_Austria, MFAofArmenia, MID_RF, MeGovernment, MedvedevRussiaE, MiroCerar, MiroslavLajcak, NikolaPoposki, NorwayMFA, SerbianGov, VladaCG, VladaRH, borgebrende, ediramaal, eu_eeas, manuelvalls, marianorajoy, mfa_russia, predsednikrs, sebastiankurz, vladaOCDrs</t>
  </si>
  <si>
    <t>BelarusMFA, BelarusMID, CanadaFP, CancilleriaEc, CancilleriaPeru, CubaMINREX, CzechMFA, Diplomacy_RM, DutchMFA, GermanyDiplo, GreeceMFA, IndianDiplomacy, Israel, IsraelMFA, Latvian_MFA, LithuaniaMFA, MFATurkey, MFA_Austria, MFA_KZ, MFA_LI, MFA_Mongolia, MFA_Ukraine, MFAgovge, MZZRS, NorwayMFA, PolandMFA, RwandaMFA, SlovakiaMFA, francediplo, francediplo_EN, mfa_russia, pressslujba</t>
  </si>
  <si>
    <t>azpresident, presidentaz</t>
  </si>
  <si>
    <t>AzerbaijanPA, presidentaz</t>
  </si>
  <si>
    <t>MedvedevRussia, MedvedevRussiaE, TurnbullMalcolm, erna_solberg, lacasablanca</t>
  </si>
  <si>
    <t>Ahmet_Davutoglu, Byegm, ByegmENG, ByegmRU, DiploPubliqueTR, EU_Commission, MevlutCavusoglu, PDTurkeyArabic, TC_Disisleri, TROfficeofPD</t>
  </si>
  <si>
    <t>BurundiGov, pnkurunziza</t>
  </si>
  <si>
    <t>AndrzejDuda, MSZ_RP, PremierRP, prezydentpl</t>
  </si>
  <si>
    <t>AButkevicius, AlbanianMFA, AzerbaijanMFA, CanadaFP, CancilleriaEc, CancilleriaPeru, CubaMINREX, CyprusMFA, CzechMFA, DutchMFA, GermanyDiplo, GreeceMFA, HannaTetteh, IKasoulides, IgnacioYbanez, IndianDiplomacy, Israel, IsraelMFA, ItalyMFA, ItamaratyGovBr, Itamaraty_EN, JohnKerry, Latvian_MFA, LinkeviciusL, LithuaniaMFA, MAECgob, MAERomania, MEAIndia, MFABulgaria, MFAEcuador, MFAIceland, MFATurkey, MFA_Austria, MFA_KZ, MFA_Mongolia, MFA_Tajikistan, MFA_Ukraine, MFAgovge, MFAofArmenia, MID_RF, MOFAVietNam, MVEP_hr, MZZRS, MeGovernment, MfaEgypt, MinCanadaFA, MinexGt, Minrel_Chile, MiroslavLajcak, NorwayMFA, PHammondMP, PolandMFA, SlovakiaMFA, SpainMFA, StateDept, SweMFA, TheBankova, UgandaMFA, avucic, cancilleriasv, edgarsrinkevics, eu_eeas, foreignoffice, francediplo, francediplo_EN, marianorajoy, mfa_russia, pressslujba, valismin</t>
  </si>
  <si>
    <t>AuswaertigesAmt, CharlesMichel, CyprusMFA, DutchMFA, EUCouncilPress, EUCouncilTVNews, EU_Commission, GermanyDiplo, GreeceMFA, IsraelMFA, JohnKerry, Latvian_MFA, MAECgob, MFATurkey, MFA_Austria, MZZRS, MinBZ, NorwayMFA, PHammondMP, PolandMFA, RwandaMFA, SlovakiaMFA, StateDept, SweMFA, dreynders, eu_eeas, francediplo, francediplo_EN, mfa_russia, sebastiankurz, valismin</t>
  </si>
  <si>
    <t>PMOBhutan, tsheringtobgay</t>
  </si>
  <si>
    <t>CancilleriaPeru, Elysee, Israel, IsraelMFA, ItamaratyGovBr, JuanManSantos, MOFAkr_eng, NajibRazak, Number10gov, PHammondMP, PMOIndia, PMOMalaysia, Palazzo_Chigi, PrimeMinisterKR, SweMFA, VladaRH, eu_eeas, eucopresident, foreignoffice, govkorea, johnkeypm, mofa_kr, narendramodi</t>
  </si>
  <si>
    <t>APUkraine, BgPresidency, DutchMFA, EU_Commission, Israel, MFABulgaria, MiroCerar, SerbianPM, VladaCG, avucic, eu_eeas, eucopresident, foreignoffice, marianorajoy</t>
  </si>
  <si>
    <t>MFA_LI, PrimeministerGR, _BR_JSA, marianorajoy</t>
  </si>
  <si>
    <t>ItamaratyGovBr, Itamaraty_EN, casacivilbr, imprensaPR</t>
  </si>
  <si>
    <t>Arlietas, EUCouncil, EUCouncilPress, EUCouncilTVNews, EU_Commission, Latvian_MFA, MarisKucinskis, Palazzo_Chigi, Rigas_pils, StenbockiMaja, Vejonis, edgarsrinkevics, eucopresident, foreignoffice</t>
  </si>
  <si>
    <t>BdiPresidence, RwandaGov, pnkurunziza</t>
  </si>
  <si>
    <t>BasbakanlikKDK, ByegmENG, ByegmRU, DiploPubliqueTR, PDTurkeyArabic, TC_Disisleri, TROfficeofPD</t>
  </si>
  <si>
    <t>BasbakanlikKDK, Byegm, ByegmRU, DiploPubliqueTR, MFATurkey, PDTurkeyArabic, PresidenceMali, TROfficeofPD</t>
  </si>
  <si>
    <t>BasbakanlikKDK, Byegm, ByegmENG, DiploPubliqueTR, PDTurkeyArabic, TROfficeofPD</t>
  </si>
  <si>
    <t>JohnKerry, StateDept, WhiteHouse, lacasablanca</t>
  </si>
  <si>
    <t>Number10gov, foreignoffice</t>
  </si>
  <si>
    <t>AlbanianMFA, AuswaertigesAmt, AzerbaijanMFA, BelarusMFA, CanadaPE, CanadianPM, CancilleriaPeru, CyprusMFA, Diplomacy_RM, DutchMFA, EUCouncilTVNews, GermanyDiplo, GreeceMFA, HannaTetteh, IndianDiplomacy, Israel, IsraelMFA, ItalyMFA, ItamaratyGovBr, JohnKerry, Latvian_MFA, LithuaniaMFA, MAECgob, MAERomania, MEAIndia, MFAIceland, MFAKOSOVO, MFA_KZ, MFA_LI, MFA_Mongolia, MFA_Ukraine, MID_RF, MOFAUAE, MZZRS, MeGovernment, MinCanadaFA, MiroslavLajcak, NikolaPoposki, NorwayMFA, OFMUAE, PHammondMP, PakDiplomacy, PavloKlimkin, PolandMFA, SeychellesMFA, StateDept, StateHouseSey, SweMFA, Ulkoministerio, VladaRH, dfat, edgarsrinkevics, eu_eeas, foreignoffice, francediplo, francediplo_EN, marianorajoy, mfa_russia, mfaethiopia, mfagovtt, valismin</t>
  </si>
  <si>
    <t>CanadaFP, CanadianPM, GreeceMFA, HannaTetteh, IsraelMFA, ItalyMFA, MinCanadaAE, PMcanadien, SweMFA, eu_eeas, francediplo, mfa_russia</t>
  </si>
  <si>
    <t>CanadaFP, CanadaPE, MinCanadaAE, MinCanadaFA, PMcanadien</t>
  </si>
  <si>
    <t>CancilleriaARG, CancilleriaEc, CancilleriaPeru, ItamaratyGovBr, JuanManSantos, MinexGt, Minrel_Chile, SRECIHonduras, SRE_mx, StateDept, cancilleriasv, infopresidencia, mreparaguay, vencancilleria</t>
  </si>
  <si>
    <t>CancilleriaEc, Israel, IsraelMFA, MFABulgaria, NoticiaCR, PresidenciaRD, francediplo, presidenciacr</t>
  </si>
  <si>
    <t>CancilleriaARG, CancilleriaEc, CancilleriaPeru, cancilleriasv</t>
  </si>
  <si>
    <t>CancilleriaARG, SusanaMalcorra, mauriciomacri</t>
  </si>
  <si>
    <t>MinCanadaFA, PHammondMP, dfatirl, eu_eeas, merrionstreet</t>
  </si>
  <si>
    <t>CancilleriaPeru, HeraldoMunoz, Itamaraty_EN, MFAEcuador, MFA_LI, MZZRS, Minrel_Chile, presidencia_cl</t>
  </si>
  <si>
    <t>MAERomania, eucopresident, guv_ro</t>
  </si>
  <si>
    <t>PresidenceMali, StateHouseSL, ebkoroma</t>
  </si>
  <si>
    <t>CasaReal, gouv_lu</t>
  </si>
  <si>
    <t>CancilleriaPma, Gobierno_CR, ItamaratyGovBr, Itamaraty_EN, MIREXRD, MinexGt, cancilleriasv, luisguillermosr, marianorajoy, mgonzalezsanz, presidenciacr</t>
  </si>
  <si>
    <t>AnastasiadesCY, CyprusMFA, EUCouncilTVNews, EU_Commission, GovCyprus, Palazzo_Chigi, PrimeministerGR, eu_eeas, marianorajoy</t>
  </si>
  <si>
    <t>AlbanianMFA, AzerbaijanMFA, BelarusMFA, CyprusMFA, DutchMFA, GermanyDiplo, GreeceMFA, IndianDiplomacy, IsraelMFA, ItalyMFA, Itamaraty_EN, Latvian_MFA, LithuaniaMFA, MAERomania, MFABulgaria, MFAIceland, MFAKOSOVO, MFATurkey, MFA_Austria, MFA_LI, MFA_Ukraine, MFAgovge, MVEP_hr, MZZRS, MiroslavLajcak, NikolaPoposki, NorwayMFA, PolandMFA, SlovakiaMFA, SpainMFA, SweMFA, ZaoralekL, edgarsrinkevics, eu_eeas, foreignoffice, francediplo_EN, mfa_russia, valismin</t>
  </si>
  <si>
    <t>JC_Varela, PresidenciaRD</t>
  </si>
  <si>
    <t>JohnKerry, Number10gov, fhollande, foreignoffice, marianorajoy</t>
  </si>
  <si>
    <t>agarciapadilla, fortalezapr</t>
  </si>
  <si>
    <t>CasaReal, MAECgob, marianorajoy</t>
  </si>
  <si>
    <t>AlbanianMFA, CanadaFP, GermanyDiplo, GreeceMFA, IndianDiplomacy, IsraelMFA, JulieBishopMP, MFA_Mongolia, MOFAkr_eng, MVEP_hr, MZZRS, NorwayMFA, StateDept, SweMFA, dfatirl, eu_eeas, foreignoffice, francediplo_EN, mfa_russia</t>
  </si>
  <si>
    <t>CharlieFlanagan, DutchMFA, EUCouncilPress, EUCouncilTVNews, EndaKennyTD, GermanyDiplo, Latvian_MFA, LithuaniaMFA, MFAIceland, MFA_Austria, MZZRS, Minrel_Chile, NorwayMFA, PHammondMP, PolandMFA, StateDept, SweMFA, dfat, eu_eeas, foreignoffice, francediplo_EN, govdotie, merrionstreet, mfa_russia, valismin</t>
  </si>
  <si>
    <t>AlbanianMFA, AuswaertigesAmt, AzerbaijanMFA, CanadaFP, CyprusMFA, EU_Commission, GermanyDiplo, IlvesToomas, IndianDiplomacy, IraqMFA, Israel, IsraelMFA, ItamaratyGovBr, JohnKerry, Latvian_MFA, LithuaniaMFA, MAECgob, MAERomania, MEAIndia, MFABulgaria, MFAIceland, MFATurkey, MFA_Austria, MFA_KZ, MFA_LI, MFA_Ukraine, MFAgovge, MID_RF, MVEP_hr, MZZRS, MiroslavLajcak, NorwayMFA, PolandMFA, SlovakiaMFA, SweMFA, Ulkoministerio, edgarsrinkevics, eu_eeas, foreignoffice, francediplo, govSlovenia, mfa_russia, valismin</t>
  </si>
  <si>
    <t>GovernmentZA, MIREXRD, PresidencyZA, SpainMFA, Utenriksdept, mfa_russia</t>
  </si>
  <si>
    <t>Ahmet_Davutoglu, AlbanianMFA, DanielMitov, FedericaMog, GermanyDiplo, HashimThaciRKS, IsraelMFA, JohnKerry, Kristian_Jensen, LinkeviciusL, MFAKOSOVO, MiroslavLajcak, NikolaPoposki, PaoloGentiloni, Petrit, borgebrende, edgarsrinkevics, ediramaal, eu_eeas, foreignoffice, francediplo, margotwallstrom, sebastiankurz</t>
  </si>
  <si>
    <t>manuelvalls, mfaethiopia</t>
  </si>
  <si>
    <t>EUCouncil, eucopresident</t>
  </si>
  <si>
    <t>PremierRP, eucopresident</t>
  </si>
  <si>
    <t>BelgiumMFA, CharlesMichel, EUCouncilPress, FedericaMog, GermanyDiplo, IsabelStMalo, JohnKerry, PavloKlimkin, TaaviRoivas, eu_eeas</t>
  </si>
  <si>
    <t>CancilleriaEc, CubaMINREX, GuillaumeLong, ItamaratyGovBr, NicolasMaduro, PresidencialVen, maduro_ar, maduro_en, maduro_fr, maduro_pt, vencancilleria</t>
  </si>
  <si>
    <t>BorutPahor, avucic</t>
  </si>
  <si>
    <t>CommsUnitSL, StateHouseSL</t>
  </si>
  <si>
    <t>JohnKerry, StateDept, StateDeptLive, USAenEspanol</t>
  </si>
  <si>
    <t>FedericaMog, HashimThaciRKS, avucic, ditmirbushati</t>
  </si>
  <si>
    <t>PurevsurenL, narendramodi, ts_elbegdorj</t>
  </si>
  <si>
    <t>EUCouncilTVNews, Elysee, francediplo, gouvernementFR, manuelvalls</t>
  </si>
  <si>
    <t>EUCouncil, EUCouncilPress, EU_Commission, MeGovernment, MiroCerar, PMOIndia, Palazzo_Chigi, PrimeministerGR, dfatirl, eucopresident, manuelvalls, marianorajoy, narendramodi</t>
  </si>
  <si>
    <t>BarackObama, Kronprinsparet, Statsmin_kontor, Utenriksdept, borgebrende</t>
  </si>
  <si>
    <t>EUCouncilPress, EUCouncilTVNews, IlvesToomas, MarinaKaljurand, TaaviRoivas, valismin</t>
  </si>
  <si>
    <t>Arlietas, AuswaertigesAmt, BasbakanlikKDK, BelgiumMFA, BgPresidency, BorutPahor, BoykoBorissov, Brivibas36, CYpresidency, CasaReal, CharlesMichel, CyprusMFA, Diplomacy_RM, EUCouncil, EUCouncilPress, EUCouncilTVNews, Elysee, EndaKennyTD, FedericaMog, GermanyDiplo, GovCyprus, GovernAndorra, Grybauskaite_LT, IKasoulides, ItalyMFA, JapanGov, JosephMuscat_JM, JunckerEU, KlausIohannis, KvirikashviliGi, Latvian_MFA, LinkeviciusL, LithuaniaMFA, MFABulgaria, MFAIceland, MFAKOSOVO, MFA_Austria, MVEP_hr, MZZRS, MeGovernment, MevlutCavusoglu, MiroCerar, MiroslavLajcak, NikolaPoposki, NorwayMFA, Palazzo_Chigi, PolandMFA, PrimeministerGR, RegSprecher, SerbianGov, SlovakiaMFA, SweMFA, TROfficeofPD, TaaviRoivas, Ulkoministerio, Utrikesdep, Vejonis, VladaRH, Vyriausybe, edgarsrinkevics, eu_eeas, eucopresident, foreignoffice, francediplo, francediplo_EN, francediplo_ES, gouvernementFR, govSlovenia, govpt, larsloekke, manuelvalls, margotwallstrom, merrionstreet, poroshenko, predsednikrs, tsipras_eu, valismin, valtioneuvosto, vladaRS</t>
  </si>
  <si>
    <t>AlbanianMFA, AnastasiadesCY, Arlietas, AuswaertigesAmt, BelarusMFA, BelarusMID, BelgiumMFA, BoykoBorissov, CYpresidency, CanadaFP, CanadaPE, CancilleriaARG, CancilleriaEc, CancilleriaPeru, CancilleriaPma, CharlieFlanagan, CubaMINREX, CyprusMFA, CzechMFA, DanielMitov, DiploPubliqueTR, Diplomacy_RM, DutchMFA, EUCouncil, EUCouncilPress, EUCouncilTVNews, EU_Commission, FedericaMog, ForeignMinistry, Gebran_Bassil, GeoffreyOnyeama, GermanyDiplo, GreeceMFA, Grybauskaite_LT, HannaTetteh, HashimThaciRKS, IKasoulides, IgnacioYbanez, IndianDiplomacy, IraqMFA, Israel, IsraelMFA, ItalyMFA, ItamaratyGovBr, Itamaraty_EN, Itamaraty_ES, JohnKerry, JunckerEU, Kristian_Jensen, LT_MFA_Stratcom, Latvian_MFA, LithuaniaMFA, MAECgob, MAERomania, MFABulgaria, MFAIceland, MFAKOSOVO, MFASriLanka, MFA_Austria, MFA_KZ, MFA_LI, MFA_Mongolia, MFA_Tajikistan, MFA_Ukraine, MFAgovge, MFAofArmenia, MID_Tajikistan, MNEGOVPT, MSZ_RP, MVEP_hr, MZZRS, MangalaLK, MarinaKaljurand, MeGovernment, MinisterMOFA, MiroCerar, MiroslavLajcak, NasserJudeh, NikolaPoposki, NorwayMFA, PHammondMP, PakDiplomacy, PavloKlimkin, Petrit, PolandMFA, PresidenceMali, PrimeministerGR, RamiHamdalla, SalamTammam, SlovakiaMFA, SpainMFA, StateDept, SweMFA, TROfficeofPD, TheVillaSomalia, UM_dk, Ulkoministerio, Utrikesdep, VladaRH, ZaoralekL, avucic, bluehousekorea, borgebrende, dfat, dfatirl, ditmirbushati, dreynders, edgarsrinkevics, eucopresident, foreignoffice, francediplo, francediplo_AR, francediplo_EN, francediplo_ES, govSlovenia, margotwallstrom, marianorajoy, mfa_russia, mfaethiopia, predsednikrs, sebastiankurz, valismin</t>
  </si>
  <si>
    <t>AlbanianMFA, BorutPahor, Brivibas36, CharlesMichel, DOImalta, EUCouncilPress, EUCouncilTVNews, EU_Commission, EndaKennyTD, GermanyDiplo, GovCyprus, Grybauskaite_LT, Latvian_MFA, LinkeviciusL, LithuaniaMFA, MFABulgaria, MFAKOSOVO, MZZRS, MiroCerar, NorwayMFA, PolandMFA, PrimeministerGR, SweMFA, VladaRH, Yatsenyuk_AP, eu_eeas, eucopresident, foreignoffice, francediplo, francediplo_EN, govSlovenia, govpt, marianorajoy, mfa_russia, vladaRS</t>
  </si>
  <si>
    <t>AnastasiadesCY, AuswaertigesAmt, BelgiumMFA, Brivibas36, CharlesMichel, DutchMFA, EUCouncil, EUCouncilTVNews, EU_Commission, EndaKennyTD, EstonianGovt, FedericaMog, GermanyDiplo, GovCyprus, GreeceMFA, Grybauskaite_LT, ItalyMFA, JosephMuscat_JM, KremlinRussia_E, Latvian_MFA, LinkeviciusL, LithuaniaMFA, MAECgob, MAERomania, MFABulgaria, MFA_Austria, MFA_Mongolia, MOFAkr_eng, MVEP_hr, MZZRS, MiroCerar, MiroslavLajcak, NorwayMFA, Palazzo_Chigi, PolandMFA, PremierRP, PrimeministerGR, SpainMFA, SweMFA, TaaviRoivas, Utrikesdep, VladaRH, Vyriausybe, Xavier_Bettel, dfatirl, dreynders, edgarsrinkevics, eu_eeas, eucopresident, foreignoffice, francediplo, francediplo_EN, govpt, marianorajoy, merrionstreet, sebastiankurz, strakovka, valismin, vladaRS</t>
  </si>
  <si>
    <t>APUkraine, AnastasiadesCY, Arlietas, BelgiumMFA, BgPresidency, BorutPahor, Brivibas36, CYpresidency, CanadaFP, CharlesMichel, CyprusMFA, DutchMFA, EUCouncil, EUCouncilPress, EU_Commission, Elysee_Com, EstonianGovt, FedericaMog, FinGovernment, GermanyDiplo, GovCyprus, Grybauskaite_LT, JunckerEU, Latvian_MFA, LinkeviciusL, LithuaniaMFA, MAECgob, MFABulgaria, MFAIceland, MFA_Austria, MFA_Ukraine, MZZRS, MiroCerar, NorwayMFA, Palazzo_Chigi, PrimeministerGR, SweMFA, TaaviRoivas, UM_dk, Utrikesdep, VladaRH, dfatirl, eu_eeas, eucopresident, foreignoffice, francediplo, francediplo_EN, govSlovenia, marianorajoy, merrionstreet, sebastiankurz, valtioneuvosto, vladaRS</t>
  </si>
  <si>
    <t>ABZayed, IsraelArabic, PHammondMP, UKUrdu, USAbilAraby, foreignoffice, francediplo_AR</t>
  </si>
  <si>
    <t>PresidenceTg, republicoftogo</t>
  </si>
  <si>
    <t>InokeRatu, MEAIndia</t>
  </si>
  <si>
    <t>EUCouncilTVNews, Ulkoministerio, statsradet, valtioneuvosto</t>
  </si>
  <si>
    <t>AMB_A_Mohammed, IndianDiplomacy, PSCU_Digital, PresidentKE, foreignoffice</t>
  </si>
  <si>
    <t>MEAIndia, mfa_russia, pid_gov</t>
  </si>
  <si>
    <t>DutchMFA, GermanyDiplo, MinBZ</t>
  </si>
  <si>
    <t>Itamaraty_EN, RwandaMFA, UgandaMFA, mfa_russia, mfaethiopia</t>
  </si>
  <si>
    <t>DeptEstadoPR, PresidenciaRD, agarciapadilla</t>
  </si>
  <si>
    <t>Elysee, FCOArabic, ForeignMinistry, JunckerEU, LithuaniaMFA, USAbilAraby, eu_eeas, francediplo, francediplo_EN, francediplo_ES, gouvernementFR, jeanmarcayrault, manuelvalls</t>
  </si>
  <si>
    <t>AlbanianMFA, AuswaertigesAmt, AzerbaijanMFA, BelarusMFA, BelgiumMFA, CanadaFP, CancilleriaEc, CancilleriaPeru, CyprusMFA, CzechMFA, DutchMFA, EUCouncil, EUCouncilPress, EUCouncilTVNews, EU_Commission, Elysee, FedericaMog, French_Gov, Gebran_Bassil, GermanyDiplo, IndianDiplomacy, Israel, IsraelMFA, ItamaratyGovBr, JohnKerry, Latvian_MFA, LinkeviciusL, LithuaniaMFA, MAECgob, MAERomania, MEAIndia, MFABulgaria, MFAIceland, MFAKOSOVO, MFATurkey, MFA_Austria, MFA_KZ, MFA_LI, MFA_Ukraine, MFAgovge, MFAofArmenia, MNEGOVPT, MSZ_RP, MVEP_hr, MZZRS, MeGovernment, Minrel_Chile, NorwayMFA, OFMUAE, PMOIndia, PakDiplomacy, PolandMFA, PresidenceMali, RwandaMFA, SeychellesMFA, SlovakiaMFA, StateDept, SweMFA, UM_dk, dfat, dfatirl, eu_eeas, foreignoffice, francediplo, francediplo_AR, francediplo_ES, gouvernementFR, govSlovenia, jeanmarcayrault, manuelvalls, mfa_russia, mfaethiopia, sebastiankurz, valismin</t>
  </si>
  <si>
    <t>CancilleriaARG, CancilleriaEc, CancilleriaPeru, EU_Commission, Elysee, MAECgob, MIREXRD, Minrel_Chile, eu_eeas, francediplo, francediplo_AR, francediplo_EN, jeanmarcayrault, marianorajoy</t>
  </si>
  <si>
    <t>francediplo, francediplo_EN, gouvernementFR, manuelvalls</t>
  </si>
  <si>
    <t>DutchMFA, IKasoulides, ItamaratyGovBr, JulieBishopMP, MiroslavLajcak, SalamTammam, eu_eeas, foreignoffice, francediplo_EN, mfa_russia</t>
  </si>
  <si>
    <t>CRcancilleria, luisguillermosr, mgonzalezsanz, presidenciacr</t>
  </si>
  <si>
    <t>Minrel_Chile, presidencia_cl</t>
  </si>
  <si>
    <t>EPN, PresidenciaMX, SRE_mx, ruizmassieu</t>
  </si>
  <si>
    <t>CharlesMichel, CourGrandDucale, Number10gov, Xavier_Bettel</t>
  </si>
  <si>
    <t>Presidenceci, macky_sall</t>
  </si>
  <si>
    <t>AuswaertigesAmt, EU_Commission, Elysee, Elysee_Com, French_Gov, Matignon, Palazzo_Chigi, francediplo, francediplo_AR, francediplo_EN, jeanmarcayrault, manuelvalls</t>
  </si>
  <si>
    <t>DutchMFA, PresAlphaConde, PresidenceMali</t>
  </si>
  <si>
    <t>AnastasiadesCY, CYpresidency, CyprusMFA, EUCouncil, EUCouncilPress, EUCouncilTVNews, EU_Commission, IKasoulides, VladaRH</t>
  </si>
  <si>
    <t>dfatirl, merrionstreet</t>
  </si>
  <si>
    <t>EU_Commission, VladaRH, govSlovenia, marianorajoy</t>
  </si>
  <si>
    <t>KvirikashviliGi, MFAgovge, govgeoabkhaz</t>
  </si>
  <si>
    <t>KremlinRussia_E, MedvedevRussiaE, Pravitelstvo_RF, Russia, mfa_russia</t>
  </si>
  <si>
    <t>DIRCO_ZA, PresidencyZA</t>
  </si>
  <si>
    <t>GovernmentGeo, MFAgovge</t>
  </si>
  <si>
    <t>PrimeMinisterKR, bluehousekorea, mofa_kr</t>
  </si>
  <si>
    <t>AlbanianMFA, BorutPahor, Diplomacy_RM, EUCouncil, EUCouncilTVNews, EU_Commission, GovernAndorra, LithuaniaMFA, MFAIceland, MFAKOSOVO, MVEP_hr, MZZRS, MeGovernment, MiroCerar, NorwayMFA, PrimeministerGR, VladaRH, eu_eeas, francediplo, francediplo_EN, vladaRS</t>
  </si>
  <si>
    <t>MID_RF, mfa_russia</t>
  </si>
  <si>
    <t>AlbanianMFA, AnastasiadesCY, AuswaertigesAmt, AzerbaijanMFA, BelarusMFA, BelgiumMFA, CanadaFP, CanadaPE, CancilleriaARG, CancilleriaPeru, CubaMINREX, CyprusMFA, CzechMFA, DutchMFA, EUCouncilPress, GermanyDiplo, IKasoulides, IndianDiplomacy, Israel, IsraelMFA, ItalyMFA, ItamaratyGovBr, JohnKerry, LithuaniaMFA, MAECgob, MEAIndia, MFABulgaria, MFAIceland, MFAKOSOVO, MFATurkey, MFA_Austria, MFA_KZ, MFA_LI, MFA_Ukraine, MFAofArmenia, MVEP_hr, MZZRS, MeGovernment, MinBZ, MinexGt, NikosKotzias, NorwayMFA, PolandMFA, PrimeministerGR, SerbianGov, SpainMFA, StateDept, SweMFA, dfat, eu_eeas, foreignoffice, francediplo, manuelvalls, mfa_russia, valismin, vencancilleria</t>
  </si>
  <si>
    <t>AButkevicius, BorutPahor, EUCouncil, EUCouncilPress, EUCouncilTVNews, EU_Commission, GermanyDiplo, LinkeviciusL, LithuaniaMFA, PolandMFA, PrimeministerGR, Rigas_pils, Vyriausybe, eu_eeas, eucopresident, fhollande, poroshenko</t>
  </si>
  <si>
    <t>MinexGt, cancilleriasv, infopresidencia, jimmymoralesgt, luisguillermosr, presidencia_sv, presidenciacr, sanchezceren</t>
  </si>
  <si>
    <t>CiolosDacian, MAERomania</t>
  </si>
  <si>
    <t>GovMonaco, PresidenceMali, francediplo, manuelvalls, palaismonaco, telle_serge</t>
  </si>
  <si>
    <t>AbdoulayeDiop8, BelarusMFA, CanadaFP, CanadaPE, DrTedros, DutchMFA, GeoffreyOnyeama, IsraelMFA, ItalyMFA, JDMahama, LithuaniaMFA, MFAIceland, MVEP_hr, MinCanadaAE, MinCanadaFA, RepSouthSudan, RwandaMFA, SeychellesMFA, SpainMFA, VladaRH, eu_eeas, mfa_russia, rdussey</t>
  </si>
  <si>
    <t>JZarif, Rouhani_ir</t>
  </si>
  <si>
    <t>ChileMFA, ItamaratyGovBr, Minrel_Chile</t>
  </si>
  <si>
    <t>ABZayed, UAEmGov</t>
  </si>
  <si>
    <t>JustinTrudeau, ruizmassieu</t>
  </si>
  <si>
    <t>UAEmGov, iGABahrain</t>
  </si>
  <si>
    <t>PresidenceMali, macky_sall</t>
  </si>
  <si>
    <t>HukoomiQatar, Saudiegov, UAEmGov</t>
  </si>
  <si>
    <t>BelarusMFA, CancilleriaPeru, DutchMFA, LithuaniaMFA, MAECgob, MFAIceland, MFAgovge, Minrel_Chile, SpainMFA, eu_eeas, marianorajoy</t>
  </si>
  <si>
    <t>AlbanianMFA, AnastasiadesCY, BelarusMFA, CyprusMFA, DutchMFA, EU_Commission, Gebran_Bassil, GovCyprus, GreeceMFA, IsraelMFA, JohnKerry, Latvian_MFA, LinkeviciusL, LithuaniaMFA, MAERomania, MFABulgaria, MFAIceland, MFA_Ukraine, MFAgovge, MFAofArmenia, MZZRS, MiroslavLajcak, NikosKotzias, PHammondMP, edgarsrinkevics, eu_eeas, foreignoffice, mfa_russia, sebastiankurz</t>
  </si>
  <si>
    <t>Diplomacy_RM, EstonianGovt, LinkeviciusL, LithuaniaMFA, StenbockiMaja, TaaviRoivas, mfa_russia, valismin</t>
  </si>
  <si>
    <t>CancilleriaCol, GuatemalaGob, JuanManSantos, MinexGt, Presidencia_Ec, Presidencia_HN, SRECIHonduras, cancilleriasv</t>
  </si>
  <si>
    <t>FijiMFA, JulieBishopMP, MFAFiji, frankjosh156</t>
  </si>
  <si>
    <t>Diplomacy_RM, MFAIceland, MID_RF, MZZRS, PolandMFA, SweMFA, eu_eeas, francediplo</t>
  </si>
  <si>
    <t>FCOArabic, Israel, IsraelMFA, IsraeliPM</t>
  </si>
  <si>
    <t>Israel, IsraelMFA, IsraelRussian, IsraeliPM, IsraeliPM_heb, PresidentRuvi</t>
  </si>
  <si>
    <t>Elysee, Israel, IsraelArabic, IsraelHebrew, IsraelMFA, IsraeliPM_heb, Israelipm_ar, PMOIndia, PresidentRuvi, PrimeministerGR, narendramodi</t>
  </si>
  <si>
    <t>IsraeliPM, IsraeliPM_heb</t>
  </si>
  <si>
    <t>Israel, IsraelHebrew, IsraelMFA, IsraeliPM, Israelipm_ar, PresidentRuvi</t>
  </si>
  <si>
    <t>Israel, IsraelHebrew, IsraelMFA, PresidentRuvi</t>
  </si>
  <si>
    <t>AlbanianMFA, AuswaertigesAmt, BelarusMFA, CanadaFP, CanadaPE, CancilleriaARG, CancilleriaEc, CancilleriaPeru, CyprusMFA, CzechMFA, DutchMFA, EUCouncilPress, EU_Commission, FedericaMog, GermanyDiplo, GreeceMFA, HannaTetteh, IsraelMFA, ItamaratyGovBr, JohnKerry, LithuaniaMFA, MAECgob, MAERomania, MFAIceland, MFAKOSOVO, MFATurkey, MFA_Austria, MFA_KZ, MFA_LI, MFA_Mongolia, MFA_Ukraine, MFAgovge, MFAofArmenia, MZZRS, MinexGt, MiroslavLajcak, NorwayMFA, OFMUAE, PHammondMP, Palazzo_Chigi, PaoloGentiloni, PolandMFA, StateDept, eu_eeas, foreignoffice, francediplo, mfa_russia, sebastiankurz</t>
  </si>
  <si>
    <t>AButkevicius, KvirikashviliGi, Latvian_MFA, LinkeviciusL, LithuaniaMFA, MFAgovge</t>
  </si>
  <si>
    <t>AlbanianMFA, CancilleriaPeru, EU_Commission, JPN_PMO, MofaJapan_ITPR, MofaJapan_en, PMOIndia, PolandMFA, PresidenceMali, VladaRH, samoagovt</t>
  </si>
  <si>
    <t>CancilleriaPma, DaniloMedina, IsabelStMalo, JuanOrlandoH, PresidenciaPma, PresidenciaRD, Presidencia_Ec, luisguillermosr, marianorajoy, prensapalacio, sanchezceren</t>
  </si>
  <si>
    <t>AuswaertigesAmt, Elysee, FedericaMog, GermanyDiplo, Matignon, MinCanadaFA, fhollande, foreignoffice, francediplo, francediplo_AR, francediplo_EN, francediplo_ES, gouvernementFR, manuelvalls</t>
  </si>
  <si>
    <t>GuatemalaGob, luisguillermosr, sanchezceren</t>
  </si>
  <si>
    <t>EnexJeanCharles, PresidenceHT, PrimatureHT</t>
  </si>
  <si>
    <t>EPN, JuanManSantos, JulieBishopMP, NajibRazak, Number10gov, bluehousekorea, fhollande</t>
  </si>
  <si>
    <t>Portal_Kemlu_RI, setkabgoid</t>
  </si>
  <si>
    <t>EUCouncilPress, EU_Commission, MaltaGov, TaaviRoivas, fhollande, manuelvalls, presidentMT</t>
  </si>
  <si>
    <t>JapanGov, Kantei_Saigai, MofaJapan_ITPR, MofaJapan_en, MofaJapan_jp, kantei</t>
  </si>
  <si>
    <t>JC_Varela, PresidenciaRD, Presidencia_HN, luisguillermosr, marianorajoy, presidencia_sv, sanchezceren</t>
  </si>
  <si>
    <t>Gebran_Bassil, InokeRatu, JohnKerry, MevlutCavusoglu, MiroslavLajcak, PHammondMP, TurnbullMalcolm, borgebrende, dfat, edgarsrinkevics, foreignoffice, johnkeypm, margotwallstrom, narendramodi</t>
  </si>
  <si>
    <t>AnastasiadesCY, AuswaertigesAmt, EUCouncilTVNews, EU_Commission, FedericaMog, PrimeministerGR, edgarsrinkevics, eu_eeas, eucopresident, fhollande, francediplo_AR, govpt, marianorajoy, poroshenko, tsipras_eu</t>
  </si>
  <si>
    <t>APUkraine, Kabmin_UA_e, Kabmin_UA_r, MFA_Ukraine, Yatsenyuk_AP</t>
  </si>
  <si>
    <t>Kabmin_UA, Kabmin_UA_r</t>
  </si>
  <si>
    <t>Kabmin_UA, Kabmin_UA_e</t>
  </si>
  <si>
    <t>PMOIndia, PaulKagame, StateHouseUg, UKenyatta, UrugwiroVillage</t>
  </si>
  <si>
    <t>JPN_PMO, Kantei_Saigai, MofaJapan_ITPR</t>
  </si>
  <si>
    <t>JPN_PMO, kantei</t>
  </si>
  <si>
    <t>MedvedevRussia, foreignoffice, primeministerkz</t>
  </si>
  <si>
    <t>NajibRazak, foreignoffice</t>
  </si>
  <si>
    <t>Khamenei_Fra, Khamenei_es, khamenei_ir</t>
  </si>
  <si>
    <t>Khamenei_Fra, Khamenei_ar, khamenei_ir</t>
  </si>
  <si>
    <t>Khamenei_ar, Khamenei_es, khamenei_ir</t>
  </si>
  <si>
    <t>Khamenei_Fra, Khamenei_ar, Khamenei_es</t>
  </si>
  <si>
    <t>BgPresidency, BorutPahor, MVEP_hr, MargvelashviliG, MeGovernment, MiroCerar, MiroslavLajcak, VladaCG, VladaRH, prezydentpl, sebastiankurz</t>
  </si>
  <si>
    <t>KremlinRussia_E, MID_RF, MedvedevRussia, MedvedevRussiaE, Pravitelstvo_RF</t>
  </si>
  <si>
    <t>EUCouncilPress, GovernmentRF, KremlinRussia, MedvedevRussia, MedvedevRussiaE, mfa_russia</t>
  </si>
  <si>
    <t>EU_Commission, GovernmentGeo, JanelidzeMkh, MargvelashviliG, eucopresident</t>
  </si>
  <si>
    <t>BarackObama, Cabinet, POTUS, USAenEspanol, WhiteHouse</t>
  </si>
  <si>
    <t>EU_Commission, Kristian_Jensen, eucopresident</t>
  </si>
  <si>
    <t>APUkraine, AlbanianMFA, AuswaertigesAmt, AzerbaijanMFA, BelarusMFA, BelarusMID, BelgiumMFA, Brivibas36, CanadaFP, CyprusMFA, CzechMFA, Diplomacy_RM, DutchMFA, EUCouncil, EUCouncilPress, EUCouncilTVNews, EU_Commission, GermanyDiplo, HashimThaciRKS, IKasoulides, IndianDiplomacy, Israel, IsraelMFA, JanelidzeMkh, JohnKerry, LinkeviciusL, LithuaniaMFA, MAECgob, MAERomania, MFABulgaria, MFAIceland, MFAKOSOVO, MFATurkey, MFA_Austria, MFA_KZ, MFA_LI, MFA_Mongolia, MFA_Ukraine, MFAgovge, MFAofArmenia, MID_RF, MVEP_hr, MZZRS, MeGovernment, MiroslavLajcak, NikolaPoposki, NorwayMFA, PaoloGentiloni, PolandMFA, Rigas_pils, SlovakiaMFA, SpainMFA, StateDept, SweMFA, UM_dk, Ulkoministerio, Utenriksdept, Utrikesdep, Vejonis, dfatirl, edgarsrinkevics, eu_eeas, foreignoffice, francediplo, francediplo_EN, mfa_russia, pressslujba, sebastiankurz, valismin</t>
  </si>
  <si>
    <t>NajibRazak, PMOIndia, VivianBala, narendramodi</t>
  </si>
  <si>
    <t>AButkevicius, APUkraine, AbdoulayeDiop8, AlbanianMFA, Arlietas, AuswaertigesAmt, AzerbaijanMFA, BelarusMFA, BelarusMID, CanadaFP, CancilleriaPeru, CancilleriaPma, CyprusMFA, CzechMFA, Diplomacy_RM, DutchMFA, EUCouncil, EUCouncilPress, EUCouncilTVNews, EU_Commission, FedericaMog, GermanyDiplo, GreeceMFA, Grybauskaite_LT, HannaTetteh, HashimThaciRKS, IKasoulides, IgnacioYbanez, IlvesToomas, IndianDiplomacy, Israel, IsraelMFA, ItalyMFA, ItamaratyGovBr, Itamaraty_EN, Itamaraty_ES, JanelidzeMkh, JohnKerry, LT_MFA_Stratcom, Latvian_MFA, LinkeviciusL, Lithuania, MAECgob, MAERomania, MEAIndia, MFABulgaria, MFAEcuador, MFAFiji, MFAIceland, MFAKOSOVO, MFATurkey, MFA_Austria, MFA_KZ, MFA_LI, MFA_Mongolia, MFA_Tajikistan, MFA_Ukraine, MFAgovge, MFAofArmenia, MID_RF, MOFAUAE, MVEP_hr, MZZRS, MeGovernment, MinexGt, Minrel_Chile, MiroslavLajcak, NikolaPoposki, NorwayMFA, OFMUAE, PHammondMP, PavloKlimkin, PolandMFA, RwandaMFA, SeychellesMFA, SlovakiaMFA, SpainMFA, StateDept, SusanaMalcorra, SweMFA, Utrikesdep, VladaRH, Vyriausybe, avucic, cancilleriasv, dfatirl, edgarsrinkevics, eu_eeas, eucopresident, foreignoffice, francediplo, francediplo_AR, francediplo_EN, govSlovenia, mfa_russia, pressslujba, valismin</t>
  </si>
  <si>
    <t>AMB_A_Mohammed, DrTedros, RwandaGov, RwandaMFA, UrugwiroVillage</t>
  </si>
  <si>
    <t>DutchMFA, ItamaratyGovBr, Itamaraty_EN, Kristian_Jensen, LinkeviciusL, LithuaniaMFA, MFAIceland, MFA_Ukraine, MZZRS, eu_eeas, valismin</t>
  </si>
  <si>
    <t>Gouvci, IBK_2013, PaulKagame, PresidenceMali, Sekhoutoureya, francediplo</t>
  </si>
  <si>
    <t>DrodriguezVen, maduro_en, maduro_fr, maduro_pt</t>
  </si>
  <si>
    <t>maduro_cmn, maduro_cn, maduro_de, maduro_hi, maduro_it, maduro_ja, maduro_pl, maduro_ru</t>
  </si>
  <si>
    <t>maduro_be, maduro_de, maduro_hi</t>
  </si>
  <si>
    <t>maduro_be, maduro_de, maduro_hi, maduro_ja, maduro_pl, maduro_ru, maduro_zh</t>
  </si>
  <si>
    <t>maduro_be, maduro_cmn, maduro_cn, maduro_hi, maduro_ja, maduro_pl, maduro_ru, maduro_zh</t>
  </si>
  <si>
    <t>DrodriguezVen, maduro_ar, maduro_pt</t>
  </si>
  <si>
    <t>maduro_be, maduro_cmn, maduro_cn, maduro_de, maduro_it, maduro_ja, maduro_pl</t>
  </si>
  <si>
    <t>maduro_be, maduro_hi, maduro_ja, maduro_pl, maduro_ru, maduro_zh</t>
  </si>
  <si>
    <t>maduro_be, maduro_cn, maduro_de, maduro_hi, maduro_it, maduro_pl, maduro_ru, maduro_zh</t>
  </si>
  <si>
    <t>maduro_be, maduro_cn, maduro_de, maduro_hi, maduro_it, maduro_ja</t>
  </si>
  <si>
    <t>DrodriguezVen, maduro_ar, maduro_en, maduro_fr</t>
  </si>
  <si>
    <t>maduro_be, maduro_cn, maduro_de, maduro_it, maduro_ja, maduro_zh</t>
  </si>
  <si>
    <t>maduro_cn, maduro_de, maduro_it, maduro_ja, maduro_ru</t>
  </si>
  <si>
    <t>PMOIndia, RW_UNP, narendramodi, tsheringtobgay</t>
  </si>
  <si>
    <t>GermanyDiplo, JohnKerry, LankaMFA, MDVForeign, MFASriLanka, MFA_SriLanka, RW_UNP, eu_eeas</t>
  </si>
  <si>
    <t>AButkevicius, AuswaertigesAmt, BgPresidency, KolindaGK, KvirikashviliGi, LinkeviciusL, MFAgovge, NorwayMFA, VladaRH, valismin</t>
  </si>
  <si>
    <t>EstonianGovt, FedericaMog, Kristian_Jensen, LinkeviciusL, StenbockiMaja, TaaviRoivas, edgarsrinkevics, eu_eeas, margotwallstrom, sebastiankurz, valismin</t>
  </si>
  <si>
    <t>Arlietas, Brivibas36, Vejonis, edgarsrinkevics</t>
  </si>
  <si>
    <t>JuanManSantos, NicolasMaduro</t>
  </si>
  <si>
    <t>Elysee, Palazzo_Chigi, francediplo, gouvernementFR, jeanmarcayrault, manuelvalls</t>
  </si>
  <si>
    <t>Palazzo_Chigi, PaoloGentiloni</t>
  </si>
  <si>
    <t>CasaRosada, EPN, SusanaMalcorra, manuelvalls, marianorajoy, narendramodi, presidencia_cl</t>
  </si>
  <si>
    <t>NGRPresident, PaulKagame</t>
  </si>
  <si>
    <t>MEAIndia, MFASriLanka, MangalaLK, dunyamaumoon, foreignoffice, presidencymv</t>
  </si>
  <si>
    <t>AuswaertigesAmt, BelarusMFA, CanadaFP, CancilleriaARG, CancilleriaPeru, Diplomacy_RM, FijiMFA, ForeignOfficePk, GermanyDiplo, GreeceMFA, IndianDiplomacy, Israel, IsraelMFA, ItamaratyGovBr, Itamaraty_ES, LithuaniaMFA, MAECgob, MDVForeign, MFABulgaria, MFAIceland, MFASriLanka, MFA_KZ, MID_RF, MinCanadaFA, PMOIndia, PakDiplomacy, PolandMFA, RwandaMFA, borgebrende, cancilleriasv, foreignoffice, francediplo_EN, mfa_russia, narendramodi, sebastiankurz, tsheringtobgay</t>
  </si>
  <si>
    <t>BarackObama, KarimMassimov, KremlinRussia, KremlinRussia_E, MedvedevRussiaE, Pravitelstvo_RF</t>
  </si>
  <si>
    <t>BarackObama, GovernmentRF, JuanManSantos, KremlinRussia, KremlinRussia_E, MedvedevRussia, MiroCerar, Number10gov, WhiteHouse, avucic, eucopresident, narendramodi, predsednikrs</t>
  </si>
  <si>
    <t>CharlieFlanagan, EUCouncilPress, EUCouncilTVNews, EU_Commission, Number10gov, PHammondMP, PresidencySrb, PresidentIRL, dfatirl, eucopresident, govdotie, manuelvalls</t>
  </si>
  <si>
    <t>AbdoulayeDiop8, Ahmet_Davutoglu, BasbakanlikKDK, EU_Commission, JohnKerry, JulieBishopMP, LinkeviciusL, MinCanadaFA, PHammondMP, PaoloGentiloni, TC_Disisleri, TROfficeofPD</t>
  </si>
  <si>
    <t>AlbanianMFA, AuswaertigesAmt, AzerbaijanMFA, BelarusMFA, BelgiumMFA, CyprusMFA, CzechMFA, DiploPubliqueTR, Diplomacy_RM, DutchMFA, EUCouncilPress, EUCouncilTVNews, EU_Commission, GermanyDiplo, GreeceMFA, HashimThaciRKS, IndianDiplomacy, IsraelMFA, ItalyMFA, ItamaratyGovBr, JohnKerry, Latvian_MFA, LithuaniaMFA, MAECgob, MAERomania, MFABulgaria, MFAIceland, MFAKOSOVO, MFA_KZ, MFA_LI, MFA_Mongolia, MFA_Ukraine, MFAgovge, MFAofArmenia, MVEP_hr, MZZRS, MeGovernment, MiroslavLajcak, NikolaPoposki, NorwayMFA, PHammondMP, PolandMFA, RwandaMFA, SeychellesMFA, SlovakiaMFA, SpainMFA, StateDept, SweMFA, Ulkoministerio, avucic, dfatirl, edgarsrinkevics, eu_eeas, foreignoffice, francediplo, francediplo_EN, marianorajoy, mfa_russia, sebastiankurz, valismin</t>
  </si>
  <si>
    <t>AlbanianMFA, AuswaertigesAmt, AzerbaijanMFA, BR_Sprecher, CanadaFP, CancilleriaPeru, CancilleriaPma, ChileMFA, CyprusMFA, CzechMFA, Diplomacy_RM, DutchMFA, GreeceMFA, IsraelMFA, ItalyMFA, Latvian_MFA, LithuaniaMFA, MAECgob, MFABulgaria, MFAEcuador, MFAIceland, MFAKOSOVO, MFATurkey, MFA_Austria, MFA_KZ, MFA_Mongolia, MFA_Ukraine, MFAgovge, MVEP_hr, MZZRS, MeGovernment, MinexGt, NorwayMFA, PolandMFA, RwandaMFA, SlovakiaMFA, SpainMFA, SweMFA, UgandaMFA, adrian_hasler, eu_eeas, foreignoffice, francediplo, francediplo_EN, mfa_russia, mfaethiopia, sebastiankurz, valismin</t>
  </si>
  <si>
    <t>BelarusMFA, LithuaniaMFA, MID_RF, MID_Tajikistan, eu_eeas, mfa_russia</t>
  </si>
  <si>
    <t>AButkevicius, APUkraine, AlbanianMFA, AuswaertigesAmt, AzerbaijanMFA, BelarusMFA, BelarusMID, CanadaFP, CancilleriaARG, CancilleriaPeru, CyprusMFA, CzechMFA, DanielMitov, Diplomacy_RM, DutchMFA, EUCouncilTVNews, GermanyDiplo, GreeceMFA, IKasoulides, IndianDiplomacy, Israel, IsraelMFA, ItalyMFA, ItamaratyGovBr, JohnKerry, Kabmin_UA, LT_MFA_Stratcom, Latvian_MFA, LinkeviciusL, LithuaniaMFA, MAECgob, MAERomania, MFABulgaria, MFAIceland, MFA_Austria, MFA_KZ, MFA_LI, MFA_Mongolia, MFAgovge, MFAofArmenia, MID_RF, MIREXRD, MVEP_hr, MZZRS, MeGovernment, MinCanadaFA, MiroslavLajcak, NorwayMFA, PHammondMP, PavloKlimkin, PolandMFA, RwandaMFA, SlovakiaMFA, SpainMFA, StateDept, SweMFA, TheBankova, Ulkoministerio, edgarsrinkevics, eu_eeas, francediplo, francediplo_EN, mfa_russia, mfaethiopia, poroshenko, pressslujba, sebastiankurz, valismin</t>
  </si>
  <si>
    <t>AlbanianMFA, BelarusMFA, MFAIceland, MZZRS, NorwayMFA, RwandaMFA, SpainMFA, mfa_russia, mfaethiopia</t>
  </si>
  <si>
    <t>AButkevicius, APUkraine, AlbanianMFA, AuswaertigesAmt, AzerbaijanMFA, BelarusMFA, BgPresidency, CyprusMFA, CzechMFA, Diplomacy_RM, DutchMFA, GermanyDiplo, GovernmentGeo, IKasoulides, IgnacioYbanez, IndianDiplomacy, IsraelMFA, ItalyMFA, Itamaraty_EN, JanelidzeMkh, JohnKerry, Latvian_MFA, LinkeviciusL, LithuaniaMFA, MAECgob, MAERomania, MFABulgaria, MFAIceland, MFAKOSOVO, MFATurkey, MFA_Austria, MFA_KZ, MFA_LI, MFA_Mongolia, MFA_Ukraine, MFAofArmenia, MVEP_hr, MZZRS, MargvelashviliG, MinCanadaFA, MiroslavLajcak, NorwayMFA, PolandMFA, RwandaMFA, SeychellesMFA, SlovakiaMFA, SpainMFA, SweMFA, Utenriksdept, VladaRH, edgarsrinkevics, eu_eeas, foreignoffice, francediplo, francediplo_EN, govgeoabkhaz, marianorajoy, sebastiankurz, valismin</t>
  </si>
  <si>
    <t>CanadaFP, IndianDiplomacy, IsraelMFA</t>
  </si>
  <si>
    <t>MFABulgaria, MFAIceland, MFA_KZ, NorwayMFA</t>
  </si>
  <si>
    <t>APUkraine, AlbanianMFA, Arlietas, AuswaertigesAmt, CanadaFP, CancilleriaPeru, CzechMFA, DutchMFA, EUCouncil, EU_Commission, GermanyDiplo, GreeceMFA, HashimThaciRKS, IndianDiplomacy, Israel, IsraelMFA, ItalyMFA, Latvian_MFA, LinkeviciusL, LithuaniaMFA, MFABulgaria, MFAIceland, MFATurkey, MFA_Austria, MFA_KZ, MFA_LI, MFAgovge, MVEP_hr, MZZRS, MankeurNdiaye, MeGovernment, MinCanadaAE, MinCanadaFA, MiroslavLajcak, NorwayMFA, Petrit, PolandMFA, SweMFA, TheBankova, Ulkoministerio, Utenriksdept, VladaRH, ditmirbushati, edgarsrinkevics, eu_eeas, foreignoffice, francediplo, francediplo_EN, govSlovenia, mfa_russia, sebastiankurz, valismin</t>
  </si>
  <si>
    <t>MDVForeign, MEAIndia, MFA_SriLanka, MangalaLK, eu_eeas</t>
  </si>
  <si>
    <t>CancilleriaPeru, MFAThai_PR_EN, MFAupdate, ThaiKhuFah</t>
  </si>
  <si>
    <t>MFAThai, MFAupdate</t>
  </si>
  <si>
    <t>A_Davutoglu_eng, AzerbaijanMFA, BelarusMFA, BelgiumMFA, ByegmENG, CzechMFA, Diplomacy_RM, GreeceMFA, ItalyMFA, Latvian_MFA, LithuaniaMFA, MAECgob, MFABulgaria, MFAIceland, MFAKOSOVO, MFATurkeyArabic, MFATurkeyFrench, MFA_KZ, MFA_LI, MFA_Mongolia, MFAgovge, MVEP_hr, MZZRS, NorwayMFA, OFMUAE, PolandMFA, RwandaMFA, SeychellesMFA, SlovakiaMFA, SpainMFA, SweMFA, TC_Disisleri, TROfficeofPD, foreignoffice, francediplo_EN, mfa_russia, mfaethiopia</t>
  </si>
  <si>
    <t>MFATurkey, MFATurkeyFrench, PDTurkeyArabic, TC_Disisleri</t>
  </si>
  <si>
    <t>DiploPubliqueTR, MFATurkey, MFATurkeyArabic, TC_Disisleri</t>
  </si>
  <si>
    <t>DutchMFA, MFAThai, MFAThai_PR_EN, MFA_Mongolia, foreignoffice</t>
  </si>
  <si>
    <t>BelarusMID, MFA_Tajikistan, MID_RF, eu_eeas, mfa_russia</t>
  </si>
  <si>
    <t>BelgiumMFA, CharlesMichel, DutchMFA, ForeignStrategy, GreeceMFA, PHammondMP, foreignoffice</t>
  </si>
  <si>
    <t>CancilleriaEc, CubaMINREX, Prensa_Palacio, PresidenciaPy, luisguillermosr, prensapalacio</t>
  </si>
  <si>
    <t>CancilleriaARG, SCpresidenciauy, SusanaMalcorra, cancilleriasv</t>
  </si>
  <si>
    <t>AlbanianMFA, BelarusMFA, CancilleriaARG, CancilleriaCol, CancilleriaEc, CancilleriaPeru, CancilleriaPma, ChileMFA, CubaMINREX, DutchMFA, GermanyDiplo, GobiernodeChile, HeraldoMunoz, IgnacioYbanez, ItamaratyGovBr, Itamaraty_EN, Itamaraty_ES, LithuaniaMFA, MAECgob, MFAIceland, MIREXRD, MZZRS, MinCanadaAE, NorwayMFA, PresidenciaPy, SRECIHonduras, SRE_mx, StateDept, USAenEspanol, cancilleriasv, dfatirl, foreignoffice, francediplo, francediplo_EN, francediplo_ES, mfa_russia, mreparaguay, presidencia_cl</t>
  </si>
  <si>
    <t>BorutPahor, BoykoBorissov, CharlesMichel, EUCouncil, EUCouncilPress, EUCouncilTVNews, EU_Commission, EndaKennyTD, Israel, KolindaGK, MZZRS, MeGovernment, MedvedevRussiaE, PrimeministerGR, SerbianGov, SerbianPM, TaaviRoivas, VladaRH, avucic, eu_eeas, eucopresident, foreignoffice, govSlovenia, marianorajoy, presidentMT, prezydentpl, vladaRS</t>
  </si>
  <si>
    <t>MFA_KZ, eu_eeas, francediplo_EN, govpt</t>
  </si>
  <si>
    <t>CancilleriaPeru, Israel, IsraelMFA, MFAIceland, MOFAkr_eng, PrimeMinisterKR, bluehousekorea, govkorea</t>
  </si>
  <si>
    <t>JPN_PMO, JapanGov, MofaJapan_ITPR, MofaJapan_jp, japan</t>
  </si>
  <si>
    <t>JPN_PMO, JapanGov, MofaJapan_en, MofaJapan_jp, kantei</t>
  </si>
  <si>
    <t>JPN_PMO, MofaJapan_ITPR, MofaJapan_en</t>
  </si>
  <si>
    <t>EUCouncilPress, GH_PARK, JohnKerry, PrimeMinisterKR, StateDept, bluehousekorea, dfat, foreignoffice, mofa_kr</t>
  </si>
  <si>
    <t>DutchMFA, NorwayMFA, mfa_russia</t>
  </si>
  <si>
    <t>MinisterMOFA, SomaliPM</t>
  </si>
  <si>
    <t>ABZayed, CanadaFP, IndianDiplomacy, LithuaniaMFA, MFA_Mongolia, OFMUAE, SeychellesMFA, StateDept, UAEmGov, USAbilAraby, mfa_russia</t>
  </si>
  <si>
    <t>BelarusMFA, CancilleriaPeru, MFAIceland, SpainMFA</t>
  </si>
  <si>
    <t>AuswaertigesAmt, MFA_Mongolia, PurevsurenL, SpainMFA</t>
  </si>
  <si>
    <t>CancilleriaARG, CancilleriaCol, CancilleriaEc, CancilleriaPeru, CancilleriaPma, ItamaratyGovBr, Itamaraty_EN, Itamaraty_ES, MIREXRD, MinexGt, Minrel_Chile, PresidenciaPy, SRECIHonduras, SRE_mx, cancilleriasv</t>
  </si>
  <si>
    <t>BeataSzydlo, PHammondMP, PolandMFA, PremierRP, eu_eeas, foreignoffice, francediplo_EN, mfa_russia, prezydentpl</t>
  </si>
  <si>
    <t>AbdoulayeDiop8, AlbanianMFA, AuswaertigesAmt, BelarusMFA, BgPresidency, BorutPahor, CancilleriaEc, CancilleriaPeru, CyprusMFA, CzechMFA, Diplomacy_RM, DutchMFA, EUCouncilPress, EU_Commission, GermanyDiplo, GreeceMFA, HannaTetteh, HashimThaciRKS, IndianDiplomacy, Israel, IsraelMFA, ItamaratyGovBr, KolindaGK, Latvian_MFA, LinkeviciusL, LithuaniaMFA, MAECgob, MAERomania, MFABulgaria, MFAIceland, MFAKOSOVO, MFATurkey, MFA_Austria, MFA_KZ, MFA_LI, MFA_Mongolia, MFA_Ukraine, MFAgovge, MFAofArmenia, MID_RF, MZZRS, MeGovernment, MiroslavLajcak, NorwayMFA, SlovakiaMFA, SpainMFA, SweMFA, Ulkoministerio, VladaCG, VladaRH, dfat, edgarsrinkevics, eu_eeas, francediplo, francediplo_EN, govSlovenia, mfa_russia, pressslujba, sebastiankurz, vladaOCDrs, vladaRS</t>
  </si>
  <si>
    <t>ZaoralekL, strakovka</t>
  </si>
  <si>
    <t>AlbanianMFA, AuswaertigesAmt, AzerbaijanMFA, BelarusMFA, BelgiumMFA, BorutPahor, CanadaFP, CancilleriaPeru, CancilleriaPma, ChileMFA, CyprusMFA, CzechMFA, Diplomacy_RM, DutchMFA, EUCouncil, EUCouncilPress, EUCouncilTVNews, EU_Commission, GermanyDiplo, GreeceMFA, HashimThaciRKS, IKasoulides, IndianDiplomacy, IraqMFA, IsraelMFA, ItalyMFA, ItamaratyGovBr, Itamaraty_EN, JohnKerry, LT_MFA_Stratcom, Latvian_MFA, LinkeviciusL, LithuaniaMFA, MAECgob, MAERomania, MFABulgaria, MFAEcuador, MFAIceland, MFAKOSOVO, MFATurkey, MFA_Austria, MFA_KZ, MFA_LI, MFA_Mongolia, MFA_Ukraine, MFAgovge, MFAofArmenia, MVEP_hr, MeGovernment, MfaEgypt, MinCanadaFA, Minrel_Chile, MiroCerar, MiroslavLajcak, NorwayMFA, PHammondMP, PolandMFA, RwandaMFA, SerbianGov, SlovakiaMFA, SpainMFA, StateDept, SweMFA, Ulkoministerio, VladaCG, VladaRH, dfat, dfatirl, edgarsrinkevics, eu_eeas, foreignoffice, francediplo, francediplo_EN, govSlovenia, mfa_russia, sebastiankurz, valismin, vladaRS</t>
  </si>
  <si>
    <t>KarimMassimov_E, Number10gov, PMOMalaysia, bluehousekorea, johnkeypm, leehsienloong, noynoyaquino</t>
  </si>
  <si>
    <t>Israel, IsraelMFA</t>
  </si>
  <si>
    <t>AsoRock, MBuhari</t>
  </si>
  <si>
    <t>TPKanslia, Ulkoministerio</t>
  </si>
  <si>
    <t>cancilleriacrc, luisguillermosr, presidenciacr</t>
  </si>
  <si>
    <t>NajibRazak, PresidentNoy, dfaspokesperson, prensapalacio</t>
  </si>
  <si>
    <t>ABZayed, CanadaFP, CyprusMFA, IndianDiplomacy, ItalyMFA, LithuaniaMFA, MFATurkey, MFA_Mongolia, MOFAUAE, SeychellesMFA, SweMFA, foreignoffice, francediplo_EN, mfa_russia, valismin</t>
  </si>
  <si>
    <t>MFA_KZ, ortcomkzE, primeministerkz</t>
  </si>
  <si>
    <t>CanadaFP, DutchMFA, IndianDiplomacy, MEAIndia, TROfficeofPD, eu_eeas, francediplo_EN, mfa_russia</t>
  </si>
  <si>
    <t>DrTedros, FedericaMog, ItalyMFA, JohnKerry, Latvian_MFA, MevlutCavusoglu, PHammondMP, Palazzo_Chigi, borgebrende, ditmirbushati, edgarsrinkevics, matteorenzi, sebastiankurz</t>
  </si>
  <si>
    <t>SkerritR, skngov</t>
  </si>
  <si>
    <t>BasbakanlikKDK, Byegm, ByegmENG, ByegmRU, DiploPubliqueTR, MFATurkeyArabic, TROfficeofPD</t>
  </si>
  <si>
    <t>AlbanianMFA, CancilleriaPeru, DutchMFA, HashimThaciRKS, IsraelMFA, MFAKOSOVO, MeGovernment, MinCanadaAE, MinCanadaFA, MiroslavLajcak, NorwayMFA, SweMFA, VladaRH, borgebrende, ditmirbushati, edgarsrinkevics, eu_eeas</t>
  </si>
  <si>
    <t>KTnepal, kpsharmaoli</t>
  </si>
  <si>
    <t>CanadaPE, CanadianPM, MinCanadaAE</t>
  </si>
  <si>
    <t>NajibRazak, bluehousekorea</t>
  </si>
  <si>
    <t>BdiPresidence, BurundiGov</t>
  </si>
  <si>
    <t>AlbanianMFA, AuswaertigesAmt, AzerbaijanMFA, BelarusMFA, BelgiumMFA, CanadaFP, CancilleriaPeru, CyprusMFA, CzechMFA, Diplomacy_RM, DutchMFA, EUCouncil, EUCouncilPress, EU_Commission, GermanyDiplo, GreeceMFA, Grybauskaite_LT, IraqMFA, Israel, IsraelMFA, ItalyMFA, ItamaratyGovBr, JapanGov, JohnKerry, Latvian_MFA, LinkeviciusL, LithuaniaMFA, MAERomania, MEAIndia, MFABulgaria, MFAIceland, MFAKOSOVO, MFATurkey, MFA_Austria, MFA_KZ, MFA_LI, MFA_Mongolia, MFA_Ukraine, MFAgovge, MSZ_RP, MZZRS, MeGovernment, MiroslavLajcak, NikolaPoposki, NorwayMFA, PHammondMP, Palazzo_Chigi, PremierRP, SlovakiaMFA, StateDept, SweMFA, Ulkoministerio, VladaRH, dfatirl, eu_eeas, foreignoffice, francediplo, francediplo_EN, govpt, mfa_russia, mfaethiopia, prezydentpl, valismin</t>
  </si>
  <si>
    <t>Pontifex_ar, Pontifex_de, Pontifex_es, Pontifex_fr, Pontifex_it, Pontifex_ln, Pontifex_pl, Pontifex_pt</t>
  </si>
  <si>
    <t>Pontifex, Pontifex_de, Pontifex_es, Pontifex_fr, Pontifex_it, Pontifex_ln, Pontifex_pl, Pontifex_pt</t>
  </si>
  <si>
    <t>Pontifex, Pontifex_ar, Pontifex_es, Pontifex_fr, Pontifex_it, Pontifex_ln, Pontifex_pl, Pontifex_pt</t>
  </si>
  <si>
    <t>Pontifex, Pontifex_ar, Pontifex_de, Pontifex_fr, Pontifex_it, Pontifex_ln, Pontifex_pl, Pontifex_pt</t>
  </si>
  <si>
    <t>Pontifex, Pontifex_ar, Pontifex_de, Pontifex_es, Pontifex_it, Pontifex_ln, Pontifex_pl, Pontifex_pt</t>
  </si>
  <si>
    <t>Pontifex, Pontifex_ar, Pontifex_de, Pontifex_es, Pontifex_fr, Pontifex_ln, Pontifex_pl, Pontifex_pt</t>
  </si>
  <si>
    <t>Pontifex, Pontifex_ar, Pontifex_de, Pontifex_es, Pontifex_fr, Pontifex_it, Pontifex_pl, Pontifex_pt</t>
  </si>
  <si>
    <t>Pontifex, Pontifex_ar, Pontifex_de, Pontifex_es, Pontifex_fr, Pontifex_it, Pontifex_ln, Pontifex_pt</t>
  </si>
  <si>
    <t>Pontifex, Pontifex_ar, Pontifex_de, Pontifex_es, Pontifex_fr, Pontifex_it, Pontifex_ln, Pontifex_pl</t>
  </si>
  <si>
    <t>APUkraine, Ahmet_Davutoglu, BgPresidency, EU_Commission, GermanyDiplo, Grybauskaite_LT, JunckerEU, MFA_Ukraine, PavloKlimkin, Yatsenyuk_AP</t>
  </si>
  <si>
    <t>GovernmentRF, KremlinRussia, MID_RF, MedvedevRussia</t>
  </si>
  <si>
    <t>BgPresidency, EU_Commission, MID_RF, MedvedevRussiaE, PresidencySrb, avucic, eu_eeas, vladaOCDrs</t>
  </si>
  <si>
    <t>BeataSzydlo, EUCouncilPress, MSZ_RP, PolandMFA, donaldtusk, eucopresident, prezydentpl</t>
  </si>
  <si>
    <t>MindeGobierno, mincombolivia</t>
  </si>
  <si>
    <t>ADO__Solutions, Gouvci, PresidenceMali</t>
  </si>
  <si>
    <t>FEGnassingbe, PresidenceMali</t>
  </si>
  <si>
    <t>JuanOrlandoH, PresidenciaRD, SRECIHonduras, infopresidencia, luisguillermosr, marianorajoy, sanchezceren</t>
  </si>
  <si>
    <t>CRcancilleria, Elysee, Gobierno_CR, GuatemalaGob, JuanManSantos, MeGovernment, NoticiaCR, PresidenciaRD, SCpresidenciauy, cancilleriacrc, luisguillermosr, marianorajoy, mgonzalezsanz, presidencia_sv, sanchezceren</t>
  </si>
  <si>
    <t>CancilleriaEc, DrodriguezVen, NicolasMaduro, vencancilleria</t>
  </si>
  <si>
    <t>EPN, SRE_mx, gobmx, ruizmassieu</t>
  </si>
  <si>
    <t>CancilleriaPma, IsabelStMalo, JC_Varela, PresidenciaRD, SRE_mx, cancilleriasv, luisguillermosr, marianorajoy</t>
  </si>
  <si>
    <t>CancilleriaEc, CancilleriaPeru, Horacio_Cartes, Itamaraty_ES, Minrel_Chile, SCpresidenciauy, marianorajoy, mincombolivia, mreparaguay</t>
  </si>
  <si>
    <t>BgPresidency, CancilleriaPeru, MeGovernment, VladaRH, merrionstreet, predsednikrs, vladaRS</t>
  </si>
  <si>
    <t>DIRCO_ZA, GovernmentZA, SAPresident</t>
  </si>
  <si>
    <t>MFAofArmenia, PresidentAM_eng, PresidentAM_rus</t>
  </si>
  <si>
    <t>PresidentAM_arm, PresidentAM_rus</t>
  </si>
  <si>
    <t>PresidentAM_arm, PresidentAM_eng</t>
  </si>
  <si>
    <t>AzerbaijanPA, azpresident</t>
  </si>
  <si>
    <t>PresidenceMali, SeychellesMFA, StateHouseSey</t>
  </si>
  <si>
    <t>AMB_A_Mohammed, ForeignOfficeKE, IsraelMFA, PMOIndia, PSCU_Digital, StateHouseKenya</t>
  </si>
  <si>
    <t>Israel, IsraelHebrew, IsraelMFA, IsraelRussian, IsraeliPM, IsraeliPM_heb</t>
  </si>
  <si>
    <t>JocelermeP, JocelermePriver, MAEHaiti, MAE_Haiti, PresidenceHT, francediplo</t>
  </si>
  <si>
    <t>Mapon_Matata, PresidenceMali</t>
  </si>
  <si>
    <t>RwandaGov, RwandaMFA, UrugwiroVillage, amurekezi, manuelvalls</t>
  </si>
  <si>
    <t>AnastasiadesCY, BR_Sprecher, CYpresidency, CharlesMichel, EUCouncil, EUCouncilPress, EUCouncilTVNews, EU_Commission, EndaKennyTD, GreeceMFA, Grybauskaite_LT, IsraeliPM, JunckerEU, MeGovernment, MiroCerar, Palazzo_Chigi, RamiHamdalla, SerbianGov, VladaRH, atsipras, eu_eeas, eucopresident, govSlovenia, govgr, govpt, manuelvalls, marianorajoy, presidencia_cl, tsipras_eu</t>
  </si>
  <si>
    <t>CancilleriaPeru, HashimThaciRKS, MOFAkr_eng, PHammondMP, SweMFA, VladaRH, bluehousekorea, govkorea, mofa_kr</t>
  </si>
  <si>
    <t>KarimMassimov, MFA_KZ, ortcomkz</t>
  </si>
  <si>
    <t>AMB_A_Mohammed, ForeignOfficeKE, PHammondMP, PresidentKE, StateHouseKenya</t>
  </si>
  <si>
    <t>CancilleriaPeru, MFAIceland, NorwayMFA, PrimeministerGR, SweMFA, VladaRH, eu_eeas</t>
  </si>
  <si>
    <t>HannaTetteh, Itamaraty_EN, MFAIceland</t>
  </si>
  <si>
    <t>AuswaertigesAmt, EU_Commission, Elysee, GermanyDiplo, marianorajoy</t>
  </si>
  <si>
    <t>DrTedros, HannaTetteh, MeGovernment, PresidenceMali, UgandaMediaCent, francediplo, mfa_russia, mfaethiopia</t>
  </si>
  <si>
    <t>FEGnassingbe, togodiplomatie</t>
  </si>
  <si>
    <t>Brivibas36, Grybauskaite_LT, Latvian_MFA</t>
  </si>
  <si>
    <t>tcbestepe, trpresidency</t>
  </si>
  <si>
    <t>OPMUganda, StateHouseUg, UgandaMediaCent</t>
  </si>
  <si>
    <t>EPN, HonStephaneDion, PresidenciaMX, SRE_mx, gobmx</t>
  </si>
  <si>
    <t>MFA_SriLanka, MaithripalaS, MangalaLK, PMOIndia, narendramodi</t>
  </si>
  <si>
    <t>BurundiGov, IsraelMFA, LMushikiwabo, PaulKagame, PresidenceMali, PrimatureRwanda, RwandaMFA, UrugwiroVillage, amurekezi</t>
  </si>
  <si>
    <t>AMB_A_Mohammed, AlbanianMFA, AzerbaijanMFA, BelgiumMFA, CyprusMFA, DutchMFA, HannaTetteh, IndianDiplomacy, IsraelMFA, LMushikiwabo, LithuaniaMFA, MEAIndia, MFAIceland, MFATurkey, MFA_Austria, MFA_LI, MFA_Mongolia, MFA_Ukraine, MFAgovge, MZZRS, MeGovernment, MfaEgypt, NorwayMFA, PrimatureRwanda, RwandaGov, SweMFA, UgandaMFA, UrugwiroVillage, amurekezi, foreignoffice, foreigntanzania, francediplo, francediplo_EN, mfa_russia, mfaethiopia</t>
  </si>
  <si>
    <t>Gebran_Bassil, TaaviRoivas, eu_eeas, manuelvalls</t>
  </si>
  <si>
    <t>FijiGovernment, JapanGov, PM_GOV_PG, mfa_russia</t>
  </si>
  <si>
    <t>CancilleriaEc, CubaMINREX, GuatemalaGob, JC_Varela, JuanOrlandoH, PresidenciaRD, Presidencia_HN, SCpresidenciauy, cancilleriasv, jimmymoralesgt, luisguillermosr, presidencia_sv, presidenciacr, vencancilleria</t>
  </si>
  <si>
    <t>CancilleriaARG, ItamaratyGovBr, MinExterioresUY, PresidenciaPy, presidenciacr, sanchezceren</t>
  </si>
  <si>
    <t>BoykoBorissov, MiroCerar, SerbianGov, sebastiankurz</t>
  </si>
  <si>
    <t>Portal_Kemlu_RI, jokowi</t>
  </si>
  <si>
    <t>AlbanianMFA, CanadaFP, HannaTetteh, IsraelMFA, LithuaniaMFA, MFAIceland, MFATurkey, MFA_Austria, MFA_Mongolia, MFAgovge, MID_RF, MOFAUAE, NorwayMFA, OFMUAE, PresidenteCV, StateHouseSey, SweMFA, UgandaMFA, VladaRH, francediplo, francediplo_EN, mfa_russia, mfaethiopia, narendramodi</t>
  </si>
  <si>
    <t>CancilleriaPeru, GISDominica, luisguillermosr, pdhnisbett, skngov</t>
  </si>
  <si>
    <t>SkerritR, pdhnisbett</t>
  </si>
  <si>
    <t>AlbanianMFA, AzerbaijanMFA, BelarusMFA, BelgiumMFA, CancilleriaPma, CyprusMFA, CzechMFA, Diplomacy_RM, DutchMFA, EU_Commission, GermanyDiplo, HashimThaciRKS, Latvian_MFA, LithuaniaMFA, MAECgob, MAERomania, MFABulgaria, MFAIceland, MFATurkey, MFA_Austria, MFA_KZ, MFA_LI, MFA_Mongolia, MFA_Ukraine, MFAgovge, MFAofArmenia, MVEP_hr, MZZRS, MiroslavLajcak, NorwayMFA, PolandMFA, SpainMFA, SweMFA, VladaRH, edgarsrinkevics, eu_eeas, foreignoffice, francediplo_EN, sebastiankurz, valismin</t>
  </si>
  <si>
    <t>CancilleriaARG, CancilleriaCol, CancilleriaEc, CancilleriaPeru, CancilleriaPma, DutchMFA, IsraelMFA, MAECgob, MIREXRD, MinexGt, Minrel_Chile, Presidencia_HN, cancilleriasv, francediplo, infopresidencia, marianorajoy, mreparaguay</t>
  </si>
  <si>
    <t>BelarusMFA, BelgiumMFA, Cabinet, CanadaFP, CancilleriaCol, CubaMINREX, EconEngage, ForeignMinistry, GermanyDiplo, GreeceMFA, IndianDiplomacy, IsraelMFA, ItalyMFA, ItamaratyGovBr, JohnKerry, Latvian_MFA, LithuaniaMFA, MFABulgaria, MFAIceland, MFA_Austria, MFA_Ukraine, MOFAUAE, MOFAkr_eng, MZZRS, Minrel_Chile, NorwayMFA, Number10gov, PHammondMP, POTUS, PolandMFA, SRE_mx, SpainMFA, StateDeptLive, SweMFA, USAHindiMein, USAUrdu, USA_Zhongwen, USAbilAraby, USAdarFarsi, USAemPortugues, USAenEspanol, USAenFrancais, Ulkoministerio, WhiteHouse, dfat, dfatirl, eu_eeas, foreignoffice, francediplo, francediplo_EN, mfaethiopia, valismin</t>
  </si>
  <si>
    <t>EconEngage, JohnKerry, StateDept, USAUrdu, USA_Zhongwen, USAbilAraby, USAdarFarsi, USAemPortugues, USAenEspanol, USAenFrancais, USApoRusski</t>
  </si>
  <si>
    <t>AMB_A_Mohammed, PSCU_Digital, PresidenceMali, PresidentKE</t>
  </si>
  <si>
    <t>CanadaFP, PresidenteCV, SeychellesMFA, SweMFA, francediplo, mfa_russia, mfaethiopia</t>
  </si>
  <si>
    <t>CommsUnitSL, PresidenceMali, ebkoroma</t>
  </si>
  <si>
    <t>KagutaMuseveni, RuhakanaR, UgandaMediaCent</t>
  </si>
  <si>
    <t>Kronprinsparet, Utenriksdept, borgebrende, erna_solberg</t>
  </si>
  <si>
    <t>FinGovernment, Ulkoministerio, valtioneuvosto</t>
  </si>
  <si>
    <t>Brivibas36, IlvesToomas, MarinaKaljurand, TaaviRoivas, valismin</t>
  </si>
  <si>
    <t>Ahmet_Davutoglu, BasbakanlikKDK, Byegm, MFATurkey, MFATurkeyArabic, MFATurkeyFrench, MevlutCavusoglu</t>
  </si>
  <si>
    <t>RT_Erdogan, trpresidency</t>
  </si>
  <si>
    <t>APUkraine, BelarusMFA, MFAIceland, MFAKOSOVO, MFA_Ukraine, NorwayMFA, SweMFA</t>
  </si>
  <si>
    <t>MinisterMOFA, SomaliPM, SweMFA, eu_eeas</t>
  </si>
  <si>
    <t>SweMFA, Ulkoministerio, Utrikesdep, foreignoffice, niinisto, valtioneuvosto</t>
  </si>
  <si>
    <t>Ahmet_Davutoglu, BasbakanlikKDK, Byegm, ByegmENG, ByegmRU, DiploPubliqueTR, EU_Commission, MFATurkey, MevlutCavusoglu, PDTurkeyArabic, PakDiplomacy, PresidenceMali, eu_eeas</t>
  </si>
  <si>
    <t>RT_Erdogan, tcbestepe</t>
  </si>
  <si>
    <t>BhutanGov, MEAIndia, MaithripalaS, PMBhutan, PMOIndia, narendramodi</t>
  </si>
  <si>
    <t>EU_Commission, JunckerEU, PrimeministerGR, atsipras, govpt</t>
  </si>
  <si>
    <t>BarackObama, JulieBishopMP, Number10gov, narendramodi</t>
  </si>
  <si>
    <t>ABZayed, HHShkMohd, HukoomiQatar, MOFAUAE, iGABahrain</t>
  </si>
  <si>
    <t>RepSouthSudan, RuhakanaR, StateHouseUg, UgandaMFA</t>
  </si>
  <si>
    <t>BelarusMFA, CyprusMFA, IsraelMFA, MFAIceland, MFA_LI, MFA_Mongolia, NorwayMFA, RwandaMFA, SeychellesMFA, SweMFA, UgandaMediaCent, foreigntanzania, mfa_russia, mfaethiopia</t>
  </si>
  <si>
    <t>FCOArabic, PHammondMP, USAUrdu, foreignoffice</t>
  </si>
  <si>
    <t>AlbanianMFA, CanadaFP, CyprusMFA, Diplomacy_RM, DutchMFA, EU_Commission, FinGovernment, GermanyDiplo, Israel, Latvian_MFA, MFABulgaria, MFAIceland, MFAKOSOVO, MFA_Austria, MFA_Ukraine, MVEP_hr, MZZRS, NorwayMFA, PolandMFA, StateDept, SweMFA, TPKanslia, Utenriksdept, Utrikesdep, eu_eeas, foreignoffice, francediplo, mfa_russia, niinisto, statsradet, valismin, valtioneuvosto</t>
  </si>
  <si>
    <t>AbdoulayeDiop8, DutchMFA, EUCouncilTVNews, GermanyDiplo, IndianDiplomacy, IsraelMFA, Kristian_Jensen, Latvian_MFA, MAERomania, MFAIceland, NorwayMFA, SweMFA, Utenriksdept, Utrikesdep, eu_eeas, francediplo_EN, valismin</t>
  </si>
  <si>
    <t>JohnKerry, StateDept, StateDeptLive</t>
  </si>
  <si>
    <t>ABZayed, FCOArabic, JohnKerry, MFAIceland, MOFAUAE, PHammondMP, StateDept, StateDeptLive, USAUrdu, USApoRusski, francediplo_AR</t>
  </si>
  <si>
    <t>ItamaratyGovBr, Itamaraty_EN, JohnKerry, StateDept, StateDeptLive, USAenEspanol</t>
  </si>
  <si>
    <t>IndianDiplomacy, StateDept, USAUrdu</t>
  </si>
  <si>
    <t>PHammondMP, StateDeptLive, USAUrdu, USAbilAraby, USAenFrancais</t>
  </si>
  <si>
    <t>CubaMINREX, DIRCO_ZA, DutchMFA, IsraelMFA, Kronprinsparet, Latvian_MFA, MAERomania, MFAIceland, MFAKOSOVO, MFAgovge, MiroslavLajcak, NorwayMFA, Statsmin_kontor, SweMFA, UM_dk, Ulkoministerio, Utrikesdep, VladaRH, borgebrende, erna_solberg, francediplo, mfa_russia</t>
  </si>
  <si>
    <t>AlbanianMFA, Arlietas, BelarusMFA, BelgiumMFA, CanadaFP, CyprusMFA, CzechMFA, Diplomacy_RM, DutchMFA, EUCouncilPress, EU_Commission, EstonianGovt, GermanyDiplo, GreeceMFA, IlvesToomas, IsraelMFA, JohnKerry, Kristian_Jensen, LT_MFA_Stratcom, Latvian_MFA, LinkeviciusL, LithuaniaMFA, MAECgob, MAERomania, MFABulgaria, MFAIceland, MFAKOSOVO, MFA_Austria, MFA_LI, MFA_Ukraine, MFAgovge, MFAofArmenia, MZZRS, MargvelashviliG, MarinaKaljurand, MeGovernment, MiroslavLajcak, NorwayMFA, OFMUAE, PHammondMP, PolandMFA, SlovakiaMFA, StateDept, StenbockiMaja, SweMFA, TaaviRoivas, UM_dk, Ulkoministerio, dfatirl, edgarsrinkevics, eu_eeas, foreignoffice, francediplo, francediplo_EN, mfa_russia, sebastiankurz</t>
  </si>
  <si>
    <t>EUCouncilTVNews, EU_Commission, FinGovernment, TPKanslia, Ulkoministerio, statsradet</t>
  </si>
  <si>
    <t>Arlietas, Brivibas36, EU_Commission, Latvian_MFA, MarisKucinskis, TaaviRoivas, edgarsrinkevics</t>
  </si>
  <si>
    <t>MVEP_hr, MeGovernment, VladaRH, avucic, predsednikrs</t>
  </si>
  <si>
    <t>BorutPahor, EUCouncil, EUCouncilPress, EUCouncilTVNews, EU_Commission, Elysee, MVEP_hr, MZZRS, MeGovernment, MiroCerar, Palazzo_Chigi, PresidencySrb, SerbianGov, SweMFA, VladaCG, VladaRH, eucopresident, francediplo, govSlovenia</t>
  </si>
  <si>
    <t>AButkevicius, EUCouncilPress, EU_Commission, Grybauskaite_LT, LinkeviciusL, LithuaniaMFA</t>
  </si>
  <si>
    <t>Cabinet, MedvedevRussiaE, Number10gov, POTUS, StateDept, lacasablanca</t>
  </si>
  <si>
    <t>CharlesMichel, EUCouncilPress, TaaviRoivas, eucopresident, gouv_lu</t>
  </si>
  <si>
    <t>EUCouncil, Kabmin_UA, PavloKlimkin, eucopresident, poroshenko</t>
  </si>
  <si>
    <t>CzechMFA, LinkeviciusL, MiroslavLajcak, SlavekSobotka, edgarsrinkevics, eu_eeas, margotwallstrom, mfa_russia, mzvcr, sebastiankurz, strakovka</t>
  </si>
  <si>
    <t>Elysee, JanelidzeMkh, KvirikashviliGi, manuelvalls</t>
  </si>
  <si>
    <t>ByegmENG, MFAIceland, MFAKOSOVO, MFATurkeyArabic, PDTurkeyArabic, PHammondMP, TC_Disisleri, TROfficeofPD, VladaRH</t>
  </si>
  <si>
    <t>BarackObama, David_Cameron, POTUS, WhiteHouse</t>
  </si>
  <si>
    <t>FedericaMog, GermanyDiplo, JohnKerry, JulieBishopMP, KSAMOFA, KingSalman, MBZNews, MOFAKuwait, MofaOman, MofaQatar_EN, PaoloGentiloni, margotwallstrom, narendramodi</t>
  </si>
  <si>
    <t>KingSalman, khalidalkhalifa</t>
  </si>
  <si>
    <t>BarackObama, Elysee, WhiteHouse, francediplo</t>
  </si>
  <si>
    <t>AbdoulayeDiop8, CancilleriaPeru, GouvGabon, PresAlphaConde, PresidenciaRD, SweMFA, VladaRH, macky_sall</t>
  </si>
  <si>
    <t>Xavier_Bettel, regierung_fl, sebastiankurz</t>
  </si>
  <si>
    <t>CancilleriaPeru, VladaRH</t>
  </si>
  <si>
    <t>CancilleriaPeru, FedericaMog, prezydentpl</t>
  </si>
  <si>
    <t>BarackObama, DaniloMedina, POTUS, WhiteHouse, lacasablanca</t>
  </si>
  <si>
    <t>BarackObama, CanadaFP, EUCouncilPress, EU_Commission, Elysee, PaulKagame, Pontifex, PresidencyZA, StateDept, WhiteHouse, eucopresident</t>
  </si>
  <si>
    <t>A_Davutoglu_eng, JZarif, MFATurkey, RT_Erdogan, azpresident, borgebrende</t>
  </si>
  <si>
    <t>CancilleriaPeru, IsraelMFA, KarimMassimov, KarimMassimov_E, MFA_KZ, MID_RF, SweMFA, VladaRH, ortcomkz, ortcomkzE, primeministerkz</t>
  </si>
  <si>
    <t>CancilleriaPeru, FCOArabic, GouvGabon, IsraelArabic, MID_RF, MfaEgypt, VladaRH, manuelvalls</t>
  </si>
  <si>
    <t>AbdoulayeDiop8, AuswaertigesAmt, CanadaFP, CanadaPE, CancilleriaPeru, DutchMFA, GeoffreyOnyeama, ItamaratyGovBr, Itamaraty_EN, Itamaraty_ES, MFABulgaria, MFA_Austria, MID_RF, MinisterMOFA, Minrel_Chile, MiroslavLajcak, RepSouthSudan, RwandaGov, SeychellesMFA, SlovakiaMFA, SpainMFA, StateHouseSey, Utrikesdep, VladaRH, borgebrende, margotwallstrom, mfa_russia, pressslujba, somaligov_</t>
  </si>
  <si>
    <t>AbdoulayeDiop8, CancilleriaPeru, manuelvalls</t>
  </si>
  <si>
    <t>BarackObama, KagutaMuseveni, LMushikiwabo, PaulKagame, UKenyatta, UrugwiroVillage</t>
  </si>
  <si>
    <t>CanadaFP, CancilleriaPeru, VladaRH</t>
  </si>
  <si>
    <t>BoykoBorissov, David_Cameron, EUCouncil, FedericaMog, Gebran_Bassil, KremlinRussia_E, Number10gov, PutinRF_Eng, WhiteHouse, desdelamoncloa, fhollande, poroshenko, tsipras_eu</t>
  </si>
  <si>
    <t>AndrzejDuda, EUCouncil, EU_Commission, IlvesToomas, JunckerEU, KlausIohannis, donaldtusk, eucopresident</t>
  </si>
  <si>
    <t>AMB_A_Mohammed, HashimThaciRKS, MFAIceland, VladaRH</t>
  </si>
  <si>
    <t>HashimThaciRKS, MFAIceland, MID_RF, Malaysia_Gov, PakDiplomacy, SpainMFA, VladaRH, mfa_russia</t>
  </si>
  <si>
    <t>AndrzejDuda, BarackObama, BelarusMFA, David_Cameron, Diplomacy_RM, EUCouncil, EUCouncilPress, FedericaMog, GermanyDiplo, GovernmentGeo, GovernmentRF, Grybauskaite_LT, IlvesToomas, IsraelMFA, IsraeliPM, JPN_PMO, JapanGov, JohnKerry, JulieBishopMP, JunckerEU, MFABulgaria, MFATurkey, MFA_Austria, MFA_LI, MSZ_RP, MZZRS, Number10gov, POTUS, PavloKlimkin, PolandMFA, Pontifex, PrimeministerGR, RHCJO, RT_Erdogan, SlovakiaMFA, StateDept, SweMFA, WhiteHouse, dfatirl, donaldtusk, fhollande, foreignoffice, francediplo_EN, leehsienloong, margotwallstrom, noynoyaquino, valismin, vladaRS</t>
  </si>
  <si>
    <t>Arlietas, CancilleriaPeru, EU_Commission, LT_MFA_Stratcom, MargvelashviliG, MeGovernment, eu_eeas</t>
  </si>
  <si>
    <t>CancilleriaPeru, GMICafghanistan, IgnacioYbanez, ItamaratyGovBr, MID_RF, MaithripalaS, OAAInformation, Palazzo_Chigi, PresidenciaRD, SusanaMalcorra, SweMFA, Utrikesdep, VladaRH, mfa_russia</t>
  </si>
  <si>
    <t>CancilleriaPeru, EUCouncilPress, MAERomania, MEAIndia, MFAIceland, MFAgovge, MID_RF, MinexGt, PHammondMP, Petrit, VladaRH, francediplo, francediplo_EN</t>
  </si>
  <si>
    <t>CancilleriaPeru, DutchMFA, GMICafghanistan, ItamaratyGovBr, KolindaGK, MEAIndia, MFA_Austria, MFA_Tajikistan, MID_RF, MID_Tajikistan, MeGovernment, OAAInformation, PMOIndia, PresidentKE, SusanaMalcorra, SweMFA, VladaRH, borgebrende, eu_eeas, foreignoffice, mfa_russia, prezydentpl</t>
  </si>
  <si>
    <t>AuswaertigesAmt, CancilleriaPeru, CharlesMichel, CyprusMFA, DrodriguezVen, GreeceMFA, GuillaumeLong, HildaHeine, IKasoulides, MeGovernment, Palazzo_Chigi, TROfficeofPD, VladaRH, avucic, edgarsrinkevics, eucopresident, fhollande, foreignoffice, manuelvalls</t>
  </si>
  <si>
    <t>AMB_A_Mohammed, AlbanianMFA, AuswaertigesAmt, CancilleriaARG, ChileMFA, CyprusMFA, IgnacioYbanez, ItalyMFA, ItamaratyGovBr, Itamaraty_EN, Itamaraty_ES, JanelidzeMkh, MAECgob, MEAIndia, MFAEcuador, MFAIceland, MFAIraq, MFAKOSOVO, MID_RF, MOFAUAE, MOFAVietNam, MVEP_hr, MeGovernment, MinexGt, MiroslavLajcak, MofaNepal, OFMUAE, SpainMFA, SweMFA, Utenriksdept, Utrikesdep, VladaRH, edgarsrinkevics, eu_eeas, marianorajoy</t>
  </si>
  <si>
    <t>AzerbaijanMFA, CancilleriaPeru, DutchMFA, ItamaratyGovBr, Itamaraty_EN, Itamaraty_ES, MID_RF, MeGovernment, SweMFA, VladaRH</t>
  </si>
  <si>
    <t>Ahmet_Davutoglu, AzerbaijanMFA, CancilleriaPeru, DutchMFA, IsraelMFA, JanelidzeMkh, MFA_Mongolia, MFAgovge, MeGovernment, PHammondMP, SusanaMalcorra, SweMFA, VladaRH, edgarsrinkevics</t>
  </si>
  <si>
    <t>AlbanianMFA, BelarusMFA, CanadaFP, CanadaPE, CancilleriaPeru, ChileMFA, CyprusMFA, DutchMFA, FCOArabic, ForeignMinistry, GermanyDiplo, GreeceMFA, IndianDiplomacy, Israel, IsraelMFA, ItalyMFA, ItamaratyGovBr, Itamaraty_EN, Itamaraty_ES, LithuaniaMFA, MAECgob, MEAIndia, MFABulgaria, MFAIceland, MFAKOSOVO, MFA_Austria, MFA_KZ, MFA_Mongolia, MFA_Ukraine, MID_RF, MOFAUAE, MfaEgypt, MinCanadaAE, MinCanadaFA, NorwayMFA, OFMUAE, PHammondMP, PakDiplomacy, Petrit, PolandMFA, RwandaMFA, SpainMFA, StateDept, SweMFA, USAbilAraby, VladaRH, dfat, eu_eeas, foreignoffice, francediplo, francediplo_AR, francediplo_EN, iGABahrain, mfa_russia, mfaethiopia, mfagovtt, pressslujba</t>
  </si>
  <si>
    <t>CancilleriaPeru, FCOArabic, iGABahrain, khalidalkhalifa</t>
  </si>
  <si>
    <t>JohnKerry, StateDept, WhiteHouse</t>
  </si>
  <si>
    <t>CancilleriaPeru, SkerritR, SweMFA, VladaRH</t>
  </si>
  <si>
    <t>MFATurkey, MFATurkeyArabic, MFATurkeyFrench, RT_Erdogan, tcbestepe</t>
  </si>
  <si>
    <t>Elysee, ForeignOfficeKE, GovernmentZA, PresidencyZA, SAPresident, emansionliberia, gouvernementFR</t>
  </si>
  <si>
    <t>AMB_A_Mohammed, BelgiumMFA, BurundiForeign, CancilleriaPeru, GouvGabon, PresidenceMali, PrimatureRwanda, RwandaGov, SweMFA, VladaRH, eu_eeas, francediplo, macky_sall</t>
  </si>
  <si>
    <t>BarackObama, JohnKerry, Pontifex_pl, donaldtusk</t>
  </si>
  <si>
    <t>CanadaFP, CancilleriaPeru, FCOArabic, MiroslavLajcak</t>
  </si>
  <si>
    <t>APUkraine, ChileMFA, Itamaraty_ES, MFAKOSOVO, MinCanadaAE, RwandaMFA, Utrikesdep, VladaRH, cancilleriacrc</t>
  </si>
  <si>
    <t>BdiPresidence, FedericaMog, ForeignStrategy, GovCyprus, GovernmentRF, JunckerEU, KremlinRussia_E, MofaJapan_en, MonarchieBe, eucopresident</t>
  </si>
  <si>
    <t>AMB_A_Mohammed, AlbanianMFA, Arlietas, AzerbaijanMFA, BelarusMFA, BgPresidency, CanadaFP, CancilleriaARG, CancilleriaEc, CancilleriaPeru, CancilleriaPma, ChileMFA, CzechMFA, DiploPubliqueTR, Diplomacy_RM, HashimThaciRKS, IKasoulides, IgnacioYbanez, IndianDiplomacy, Israel, ItalyMFA, ItamaratyGovBr, Itamaraty_EN, Itamaraty_ES, JanelidzeMkh, Kristian_Jensen, LT_MFA_Stratcom, LithuaniaMFA, MAERomania, MEAIndia, MFABulgaria, MFAEcuador, MFAFiji, MFAIceland, MFAKOSOVO, MFA_KZ, MFA_LI, MFA_Mongolia, MFA_Ukraine, MFAgovge, MFAofArmenia, MID_RF, MOFAUAE, MOFAVietNam, MVEP_hr, MeGovernment, MfaEgypt, MinCanadaAE, MinCanadaFA, MinexGt, Minrel_Chile, MiroslavLajcak, PresidenceMali, SpainMFA, TROfficeofPD, UM_dk, UgandaMFA, Ulkoministerio, Utenriksdept, Utrikesdep, VladaRH, avucic, dfatirl, edgarsrinkevics, foreignoffice, govSlovenia, govpt, manuelvalls, marianorajoy, mfaethiopia, pcmperu, pressslujba</t>
  </si>
  <si>
    <t>CancilleriaPeru, CiolosDacian, MFA_Ukraine, francediplo</t>
  </si>
  <si>
    <t>BarackObama, Number10gov, PMOIndia, narendramodi</t>
  </si>
  <si>
    <t>BarackObama, David_Cameron, EUCouncil, EUCouncilPress, EUCouncilTVNews, FedericaMog, JunckerEU, jeanmarcayrault, rplevneliev</t>
  </si>
  <si>
    <t>POTUS, Palazzo_Chigi, RegSprecher</t>
  </si>
  <si>
    <t>CancilleriaPeru, PHammondMP, SweMFA, VladaRH</t>
  </si>
  <si>
    <t>CancilleriaPeru, DrTedros, Itamaraty_ES, JocelermeP, PHammondMP, SweMFA, USAemPortugues, VladaRH, govpt</t>
  </si>
  <si>
    <t>CancilleriaPeru, SweMFA, VladaRH</t>
  </si>
  <si>
    <t>BdiPresidence, GovernmentRF, KagutaMuseveni, KremlinRussia_E, PaulKagame, PresidenceMali, Presidenceci, RwandaGov, UrugwiroVillage</t>
  </si>
  <si>
    <t>CancilleriaPeru, GouvGabon, ItamaratyGovBr, MFA_KZ, PresidenceMali, RepSouthSudan, SweMFA, VladaRH</t>
  </si>
  <si>
    <t>Ahmet_Davutoglu, MevlutCavusoglu, RT_Erdogan, tcbestepe, trpresidency</t>
  </si>
  <si>
    <t>A_Davutoglu_ar, A_Davutoglu_eng, Ahmet_Davutoglu, EUCouncil, EU_Commission, FedericaMog, JunckerEU, KingSalman, MevlutCavusoglu, RT_Erdogan, eucopresident, tcbestepe, trpresidency</t>
  </si>
  <si>
    <t>AlbanianMFA, Israel, IsraelMFA, Latvian_MFA, MeGovernment</t>
  </si>
  <si>
    <t>Ahmet_Davutoglu, EU_Commission, MFATurkey, MevlutCavusoglu, RT_Erdogan, TC_Disisleri, tcbestepe, trpresidency</t>
  </si>
  <si>
    <t>CancilleriaPeru, DutchMFA, EconEngage, POTUS, SkerritR, VladaRH, foreignoffice</t>
  </si>
  <si>
    <t>SweMFA, VladaRH</t>
  </si>
  <si>
    <t>AzerbaijanMFA, CancilleriaARG, DiploPubliqueTR, DutchMFA, HonStephaneDion, IgnacioYbanez, ItamaratyGovBr, Itamaraty_EN, Itamaraty_ES, Latvian_MFA, LithuaniaMFA, MAECgob, MEAIndia, MFAIceland, MFA_Austria, MFA_KZ, MID_RF, NorwayMFA, PHammondMP, RwandaMFA, SpainMFA, UM_dk, VladaRH, francediplo_EN, pressslujba</t>
  </si>
  <si>
    <t>CancilleriaPeru, ComradeRalph, Diplomacy_RM, HonStephaneDion, IsraelMFA, IsraeliPM, JustinTrudeau, Palazzo_Chigi, PrimeministerGR, USAenFrancais, dfat, foreignoffice, mauriciomacri</t>
  </si>
  <si>
    <t>AlbanianMFA, BelarusMFA, Itamaraty_EN, LithuaniaMFA, MFAIceland, MFAgovge, MID_RF, MOFAVietNam, MeGovernment, MinCanadaAE, MinCanadaFA, PHammondMP, PresidenciaPy, SpainMFA, VladaRH, francediplo_EN, mauriciomacri, pressslujba</t>
  </si>
  <si>
    <t>CancilleriaPA, CancilleriaPeru, CancilleriaPma, ChileMFA, DutchMFA, Gobierno_CR, IndianDiplomacy, ItalyMFA, LithuaniaMFA, MAECgob, MEAIndia, MFAIceland, MFA_KZ, MID_RF, MIREXRD, MinexGt, NorwayMFA, PolandMFA, SpainMFA, VladaRH, mfa_russia</t>
  </si>
  <si>
    <t>CancilleriaCol, ItamaratyGovBr, SRE_mx, cancilleriacrc</t>
  </si>
  <si>
    <t>CanadaFP, CanadaPE, DutchMFA, IsraelMFA, LithuaniaMFA, MEAIndia, MFAIceland, MFA_Austria, MFA_KZ, MFA_Ukraine, MID_RF, MIREXRD, MinexGt, Minrel_Chile, NorwayMFA, SpainMFA, VladaRH, francediplo, francediplo_ES, mfa_russia, mreparaguay, pressslujba</t>
  </si>
  <si>
    <t>CancilleriaPeru, Itamaraty_EN, Itamaraty_ES, VladaRH</t>
  </si>
  <si>
    <t>CancilleriaPeru, GouvGabon, SweMFA, VladaRH</t>
  </si>
  <si>
    <t>EUCouncil, Kronprinsparet, MonarchieBe, koninklijkhuis</t>
  </si>
  <si>
    <t>CancilleriaEc, CancilleriaPeru, ItamaratyGovBr, Itamaraty_EN, Itamaraty_ES, Minrel_Chile, Palazzo_Chigi, PresidenciaPy, SpainMFA, foreignoffice, marianorajoy, presidencia_cl</t>
  </si>
  <si>
    <t>Elysee, gouvernementFR</t>
  </si>
  <si>
    <t>DanielMitov, EUCouncil, FedericaMog, Number10gov, eucopresident, narendramodi</t>
  </si>
  <si>
    <t>CancilleriaPeru, Maroc_eGov, SweMFA, VladaRH, manuelvalls</t>
  </si>
  <si>
    <t>MinCanadaAE, MinCanadaFA</t>
  </si>
  <si>
    <t>ABZayed, BarackObama, EUCouncilPress, EU_Commission, HHShkMohd, MOFAUAE, Number10gov, OFMUAE, PHammondMP, PaulKagame, PresidencyGhana, PresidencyZA, SAPresident, StateDept, StateHouseKenya, UKenyatta, WhiteHouse, cabinetofficeuk, eucopresident, foreignoffice</t>
  </si>
  <si>
    <t>CancilleriaPeru, GouvGabon, StateHouseSey, SweMFA, VladaRH</t>
  </si>
  <si>
    <t>BarackObama, POTUS, Pontifex, Pontifex_it, PresidenteCV, fhollande, manuelvalls, matteorenzi</t>
  </si>
  <si>
    <t>BarackObama, EUCouncil, EUCouncilPress, Elysee, FedericaMog, GovernmentRF, JunckerEU, KremlinRussia_E, Number10gov, WhiteHouse, desdelamoncloa, eucopresident</t>
  </si>
  <si>
    <t>BelgiumMFA, CanadaFP, CharlieFlanagan, Diplomacy_RM, EU_Commission, FedericaMog, JohnKerry, JunckerEU, KremlinRussia_E, LinkeviciusL, MNEGOVPT, MOFAkr_eng, MofaJapan_en, PHammondMP, StateDept, WhiteHouse, dfat, dfatirl, eucopresident, sebastiankurz</t>
  </si>
  <si>
    <t>Arlietas, AuswaertigesAmt, BelarusMID, BgPresidency, CancilleriaARG, CancilleriaPeru, CancilleriaPma, ChileMFA, EUCouncilPress, HashimThaciRKS, IKasoulides, Israel, ItamaratyGovBr, Itamaraty_ES, Kristian_Jensen, LT_MFA_Stratcom, MAECgob, MEAIndia, MFAEcuador, MFASriLanka, MFA_KZ, MFA_Mongolia, MFAofArmenia, MID_RF, MOFAVietNam, MeGovernment, MfaEgypt, MinCanadaAE, MinCanadaFA, MinexGt, MiroCerar, MofaNepal, MongolDiplomacy, RwandaMFA, SeychellesMFA, Utrikesdep, VladaRH, cancilleriasv, francediplo, pressslujba, strakovka</t>
  </si>
  <si>
    <t>MFAIceland, MFA_Ukraine, Utrikesdep, VladaRH, eu_eeas, predsednikrs</t>
  </si>
  <si>
    <t>CancilleriaPeru, Presidenceci, SweMFA, VladaRH</t>
  </si>
  <si>
    <t>BoykoBorissov, DutchMFA, EU_Commission, FedericaMog, HashimThaciRKS, JunckerEU, LinkeviciusL, PHammondMP, PavloKlimkin, StateDept, WhiteHouse, donaldtusk, eucopresident, poroshenko</t>
  </si>
  <si>
    <t>DutchMFA, HashimThaciRKS, IndianDiplomacy, LithuaniaMFA, MAECgob, MEAIndia, MFAIceland, MFAKOSOVO, MFA_KZ, MFA_Ukraine, MID_RF, NorwayMFA, SpainMFA, SweMFA, VladaRH, mfa_russia, pressslujba</t>
  </si>
  <si>
    <t>BarackObama, CasaReal, PresidenciaRD, WhiteHouse</t>
  </si>
  <si>
    <t>AMB_A_Mohammed, AuswaertigesAmt, AzerbaijanMFA, BelarusMFA, CRcancilleria, CanadaPE, CancilleriaARG, CancilleriaEc, CancilleriaPeru, ChileMFA, CyprusMFA, CzechMFA, DutchMFA, HannaTetteh, HildaHeine, IgnacioYbanez, InokeRatu, Israel, ItalyMFA, ItamaratyGovBr, Itamaraty_EN, Itamaraty_ES, Latvian_MFA, LithuaniaMFA, MAECgob, MAERomania, MEAIndia, MFABulgaria, MFAFiji, MFAIceland, MFAKOSOVO, MFA_Austria, MFA_KZ, MFA_Ukraine, MID_RF, MeGovernment, MinCanadaAE, MinCanadaFA, MinexGt, Minrel_Chile, MiroslavLajcak, MofaNepal, NikolaPoposki, PHammondMP, PakDiplomacy, Palazzo_Chigi, RwandaMFA, SpainMFA, Utenriksdept, VladaRH, cancilleriasv, francediplo, govSlovenia, mfaethiopia, pressslujba, samoagovt</t>
  </si>
  <si>
    <t>APUkraine, AlbanianMFA, AuswaertigesAmt, BelarusMFA, CancilleriaARG, CancilleriaEc, CancilleriaPeru, CancilleriaPma, ChileMFA, CyprusMFA, CzechMFA, GreeceMFA, IKasoulides, IndianDiplomacy, Israel, IsraelMFA, ItalyMFA, ItamaratyGovBr, Itamaraty_EN, Itamaraty_ES, Kristian_Jensen, LT_MFA_Stratcom, MAECgob, MAERomania, MEAIndia, MFABulgaria, MFAKOSOVO, MFA_KZ, MFA_Mongolia, MFA_Ukraine, MFAgovge, MFAofArmenia, MID_RF, MOFAUAE, MOFAVietNam, MVEP_hr, MeGovernment, MinCanadaAE, MinCanadaFA, MinexGt, MiroslavLajcak, MofaNepal, OFMUAE, PakDiplomacy, Petrit, RwandaMFA, SlovakiaMFA, SpainMFA, TheBankova, UM_dk, Ulkoministerio, Utenriksdept, Utrikesdep, VladaRH, edgarsrinkevics, francediplo, govSlovenia, govpt, marianorajoy, pressslujba, sebastiankurz</t>
  </si>
  <si>
    <t>Ahmet_Davutoglu, BelgiumMFA, CanadaPE, EU_Commission, Elysee, GermanyDiplo, MFATurkey, MarocDiplomatie, MevlutCavusoglu, PR_Paul_Biya, PakDiplomacy, PresidenceMada, Presidenceci, PresidentABO, RT_Erdogan, Sekhoutoureya, TC_Disisleri, TunisieDiplo, USAenFrancais, macky_sall, tcbestepe, trpresidency</t>
  </si>
  <si>
    <t>ItamaratyGovBr, Itamaraty_EN, Itamaraty_ES, MinCanadaAE, MinCanadaFA, VladaRH</t>
  </si>
  <si>
    <t>EU_Commission, JosephMuscat_JM, JunckerEU, JustinTrudeau, MevlutCavusoglu, NasserJudeh, Number10gov, PHammondMP, POTUS, Pontifex_it, RHCJO, StateDept, WhiteHouse, dreynders, eucopresident, matteorenzi</t>
  </si>
  <si>
    <t>ABZayed, Ahmet_Davutoglu, BarackObama, David_Cameron, DjibPrimature, Elysee, HHShkMohd, JohnKerry, KBZayed, MBZNews, MarocDiplomatie, Number10gov, PaulKagame, RT_Erdogan, SomaliPM, StateDept, TheVillaSomalia, TunisieDiplo, UKenyatta, WhiteHouse, fhollande, francediplo, gouvernementFR, jeanmarcayrault</t>
  </si>
  <si>
    <t>CancilleriaPeru, ItamaratyGovBr, Itamaraty_EN, Itamaraty_ES, LithuaniaMFA, MFAIceland, MinCanadaAE, MinCanadaFA</t>
  </si>
  <si>
    <t>EUCouncilPress, EU_Commission, MaltaGov, foreignoffice</t>
  </si>
  <si>
    <t>AuswaertigesAmt, BelarusMFA, JosephMuscat_JM, VladaRH, presidentMT</t>
  </si>
  <si>
    <t>CancilleriaPeru, ForeignMinistry, ItamaratyGovBr, NasserJudeh, VladaRH</t>
  </si>
  <si>
    <t>BarackObama, GvtMonaco, LMushikiwabo, MonarchieBe, Number10gov, QueenRania, WhiteHouse, eucopresident</t>
  </si>
  <si>
    <t>BelarusMFA, BelarusMID, CanadaFP, CancilleriaPeru, IsabelStMalo, Itamaraty_EN, Itamaraty_ES, LithuaniaMFA, MAECgob, MFAIceland, MID_RF, SpainMFA, SusanaMalcorra, Utrikesdep, mfa_russia</t>
  </si>
  <si>
    <t>BarackObama, Cabinet, POTUS, RT_Erdogan, WhiteHouse</t>
  </si>
  <si>
    <t>CancilleriaPma, HannaTetteh, ItamaratyGovBr, Itamaraty_EN, Itamaraty_ES, LithuaniaMFA, MFAIceland, USAemPortugues, USAenFrancais</t>
  </si>
  <si>
    <t>BarackObama, JPN_PMO, JohnKerry, Number10gov, PMOIndia, Pontifex, Pontifex_fr, QueenRania, StateDept, WhiteHouse, fhollande, matteorenzi</t>
  </si>
  <si>
    <t>AlbanianMFA, CanadaFP, CancilleriaPeru, ForeignMinistry, MFAKOSOVO, MFAgovge, MVEP_hr, MeGovernment, NasserJudeh, Petrit, PrimeministerGR, SweMFA, VladaCG, VladaRH, eu_eeas, eucopresident, manuelvalls, prezydentpl, sebastiankurz</t>
  </si>
  <si>
    <t>EU_Commission, StateDept, UAEmGov, WhiteHouse, iGABahrain</t>
  </si>
  <si>
    <t>Palazzo_Chigi, SweMFA</t>
  </si>
  <si>
    <t>RwandaGov, WhiteHouse</t>
  </si>
  <si>
    <t>GouvGabon, Maroc_eGov, SweMFA, VladaRH</t>
  </si>
  <si>
    <t>AbeShinzo, BarackObama, David_Cameron, JohnKerry, JunckerEU, KremlinRussia_E, MedvedevRussia, eu_eeas</t>
  </si>
  <si>
    <t>EPN, GobiernodeChile, JPN_PMO, JustinTrudeau, KingSalman, KremlinRussia_E, Pontifex, Pontifex_fr, PremierRP, PresidenciaMX, PresidencyZA, Quirinale, RashtrapatiBhvn, UrugwiroVillage, WhiteHouse, _BR_JSA, donaldtusk, gobmx, imprensaPR, matteorenzi, tcbestepe, trpresidency</t>
  </si>
  <si>
    <t>fhollande, jeanmarcayrault</t>
  </si>
  <si>
    <t>BarackObama, Kabmin_UA_r, PutinRF, PutinRF_Eng, RT_Erdogan, kyrgyzpresident, narendramodi</t>
  </si>
  <si>
    <t>AButkevicius, AnastasiadesCY, BarackObama, CharlieFlanagan, David_Cameron, Elysee, JosephMuscat_JM, JunckerEU, JustinTrudeau, MinPres, Number10gov, POTUS, PresidentIRL, Xavier_Bettel, donaldtusk, erna_solberg, eu_eeas, fhollande, govdotie, johnkeypm, matteorenzi, merrionstreet</t>
  </si>
  <si>
    <t>BarackObama, David_Cameron, JustinTrudeau, MashiRafael, Number10gov, POTUS, Pontifex, Presidencia_Ec, RT_Erdogan, noynoyaquino</t>
  </si>
  <si>
    <t>Number10gov, POTUS, eucopresident, narendramodi</t>
  </si>
  <si>
    <t>FinGovernment, eu_eeas</t>
  </si>
  <si>
    <t>BarackObama, David_Cameron, Elysee, EstonianGovt, GH_PARK, GovernmentRF, KremlinRussia_E, MedvedevRussiaE, MinPres, Number10gov, PremierRP, PutinRF_Eng, RegSprecher, StateDept, StenbockiMaja, WhiteHouse, desdelamoncloa, donaldtusk, fhollande, govgr, jeanmarcayrault, matteorenzi</t>
  </si>
  <si>
    <t>AbeShinzo, Andrej_Kiska, Arlietas, BarackObama, CharlieFlanagan, CzechMFA, DanielMitov, David_Cameron, Elysee, FinGovernment, IlvesToomas, IndianDiplomacy, JPN_PMO, MFAThai_PR_EN, MinBZ, MinPres, MoFA_Indonesia, MofaJapan_en, NajibRazak, Number10gov, PHammondMP, PutinRF_Eng, RashtrapatiBhvn, RegSprecher, SlovakiaMFA, StateDept, StenbockiMaja, UM_dk, USAbilAraby, USAdarFarsi, Ulkoministerio, WhiteHouse, desdelamoncloa, donaldtusk, elbegdorj, erna_solberg, fhollande, jeanmarcayrault, johnkeypm, kormany_hu, manuelvalls, matteorenzi, noynoyaquino, prezydentpl</t>
  </si>
  <si>
    <t>AButkevicius, AuswaertigesAmt, BarackObama, David_Cameron, Elysee, GreeceMFA, ItalyMFA, JPN_PMO, JosephMuscat_JM, MinPres, MiroslavLajcak, Number10gov, PaoloGentiloni, PremierRP, Quirinale, RegSprecher, SlovakiaMFA, StateDept, Ulkoministerio, Vyriausybe, WhiteHouse, Xavier_Bettel, Yatsenyuk_AP, desdelamoncloa, donaldtusk, dreynders, gouv_lu, gouvernementFR, jeanmarcayrault, kormany_hu, manuelvalls, matteorenzi, rplevneliev, strakovka</t>
  </si>
  <si>
    <t>MOFAUAE, SpainMFA</t>
  </si>
  <si>
    <t>BarackObama, DaniloMedina, EPN, HaiderAlAbadi, JC_Varela, JDMahama, KingSalman, MashiRafael, NajibRazak, NicolasMaduro, RT_Erdogan, SAPresident, atsipras, erna_solberg, matteorenzi, netanyahu, noynoyaquino, poroshenko</t>
  </si>
  <si>
    <t>FijiMFA, FijiPM, FijiRepublic, JulieBishopMP</t>
  </si>
  <si>
    <t>VladaRH, frankjosh156</t>
  </si>
  <si>
    <t>AlbanianMFA, CancilleriaPeru, ChileMFA, DutchMFA, FijiGovernment, IakobaItaleli, IndianDiplomacy, IsraelMFA, ItalyMFA, ItamaratyGovBr, Itamaraty_EN, JulieBishopMP, LithuaniaMFA, MAECgob, MFAEcuador, MFAIceland, MFA_Austria, MFA_KZ, MFA_Mongolia, MID_RF, MOFAUAE, MVEP_hr, NorwayMFA, OFMUAE, SpainMFA, SweMFA, Utenriksdept, VladaRH, dfat, francediplo, francediplo_EN, mfa_russia, pressslujba</t>
  </si>
  <si>
    <t>FNyusi, Number10gov, foreignoffice</t>
  </si>
  <si>
    <t>eucopresident, juhasipila</t>
  </si>
  <si>
    <t>CancilleriaPeru, FilipeNyusi</t>
  </si>
  <si>
    <t>BarackObama, David_Cameron, EUCouncil, EU_Commission, MBuhari, NGRPresident, Number10gov, PaulKagame, cabinetofficeuk, foreignoffice</t>
  </si>
  <si>
    <t>CancilleriaPeru, DutchMFA, IndianDiplomacy, ItamaratyGovBr, LithuaniaMFA, MEAIndia, MFAIceland, MFA_Austria, MFA_KZ, MID_RF, NorwayMFA, VladaRH, francediplo, mfa_russia, pressslujba</t>
  </si>
  <si>
    <t>SalahRabbani, StateDept, SushmaSwaraj</t>
  </si>
  <si>
    <t>AlbanianMFA, BelarusMFA, CanadaFP, CancilleriaARG, CancilleriaPeru, DutchMFA, GermanyDiplo, GreeceMFA, IndianDiplomacy, ItamaratyGovBr, Itamaraty_EN, Itamaraty_ES, LithuaniaMFA, MFAIceland, MFASriLanka, MFA_KZ, MFAgovge, MID_RF, NorwayMFA, OAAInformation, OFMUAE, PakDiplomacy, PolandMFA, SpainMFA, SweMFA, USAUrdu, Utrikesdep, cancilleriasv, eu_eeas, foreignoffice, pressslujba</t>
  </si>
  <si>
    <t>BarackObama, EUCouncil, EUCouncilPress, EU_Commission, FedericaMog, JohnKerry, JunckerEU, MinPres, PHammondMP, POTUS, StateDept, WhiteHouse, eu_eeas, eucopresident, foreignoffice</t>
  </si>
  <si>
    <t>AlbanianMFA, AuswaertigesAmt, AzerbaijanMFA, BelgiumMFA, CanadaFP, ChileMFA, CyprusMFA, HannaTetteh, IndianDiplomacy, IsraelMFA, ItamaratyGovBr, Itamaraty_EN, Itamaraty_ES, LT_MFA_Stratcom, LithuaniaMFA, MAECgob, MEAIndia, MFAEcuador, MFAIceland, MFAKOSOVO, MFA_KZ, MFA_Mongolia, MFA_Ukraine, MID_RF, MVEP_hr, MZZRS, NorwayMFA, SpainMFA, SweMFA, UM_dk, francediplo, mfa_russia, pressslujba, valismin</t>
  </si>
  <si>
    <t>CancilleriaPeru, DutchMFA, IsraelMFA, ItamaratyGovBr, Itamaraty_ES, LithuaniaMFA, MEAIndia, MFAIceland, MFAKOSOVO, MFA_Austria, MFA_KZ, MID_RF, MinCanadaAE, MinCanadaFA, NorwayMFA, SpainMFA, VladaRH, eu_eeas</t>
  </si>
  <si>
    <t>BarackObama, JohnKerry, WhiteHouse, lacasablanca</t>
  </si>
  <si>
    <t>ABZayed, BarackObama, David_Cameron, GermanyDiplo, HHShkMohd, Israel, IsraelArabic, IsraelMFA, JohnKerry, KSAMOFA, KingSalman, MBZNews, MFATurkey, MFATurkeyArabic, MOFAEGYPT, MOFAKuwait, MOFAUAE, MofaQatar_AR, NasserJudeh, Pontifex_ar, QueenRania, StateDept, WhiteHouse, bahdiplomatic, fhollande, foreignoffice, khalidalkhalifa, netanyahu</t>
  </si>
  <si>
    <t>APUkraine, BelarusMID, BgPresidency, CancilleriaPma, ChileMFA, GovMonaco, GreeceMFA, GvtMonaco, HannaTetteh, IKasoulides, Itamaraty_EN, Itamaraty_ES, JocelermeP, Kristian_Jensen, LT_MFA_Stratcom, MFAFiji, MFA_Mongolia, MID_RF, MOFAUAE, MOFAVietNam, MargvelashviliG, MfaEgypt, MinCanadaAE, MinCanadaFA, MinisterMOFA, MiroslavLajcak, MofaNepal, PHammondMP, Palazzo_Chigi, Petrit, SpainMFA, StateHouseSey, TheBankova, UKUrdu, Ulkoministerio, Utenriksdept, Utrikesdep, VladaCG, VladaRH, avucic, cancilleriasv, edgarsrinkevics, govpt, presidentMT, pressslujba, prezydentpl</t>
  </si>
  <si>
    <t>CancilleriaCol, CancilleriaPA, CasaReal, EPN, EUCouncilPress, Elysee_Com, GobiernodeChile, JohnKerry, JuanManSantos, JuanOrlandoH, MashiRafael, Matignon, PresidenciaMX, SRE_mx, StateDept, USAenEspanol, desdelamoncloa, gouvernementFR, lacasablanca, mauriciomacri, mfa_russia, mreparaguay, presidenciacr, vencancilleria</t>
  </si>
  <si>
    <t>BarackObama, EUCouncil, EUCouncilPress, EU_Commission, Elysee, POTUS, fhollande, jeanmarcayrault</t>
  </si>
  <si>
    <t>BarackObama, antiguagov</t>
  </si>
  <si>
    <t>Elysee, FedericaMog, GermanyDiplo, ItalyMFA, JohnKerry, Number10gov, Pontifex, Pontifex_ar</t>
  </si>
  <si>
    <t>BarackObama, David_Cameron, Elysee, ForeignOfficePk, French_Gov, HonStephaneDion, IsraeliPM, JulieBishopMP, JunckerEU, KremlinRussia_E, MFASriLanka, MFATurkey, MOFAkr_eng, MaithripalaS, MofaQatar_EN, MonarchieBe, NasserJudeh, POTUS, PaoloGentiloni, PavloKlimkin, WhiteHouse, Yatsenyuk_AP, bahdiplomatic, eucopresident, fhollande, gouvernementFR, margotwallstrom, mzvcr, narendramodi, netanyahu, trpresidency, valtioneuvosto</t>
  </si>
  <si>
    <t>CanadaFP, FedericaMog, JunckerEU, SaintLuciaGov, eu_eeas, eucopresident, mfagovtt</t>
  </si>
  <si>
    <t>ARG_AFG, Number10gov, ashrafghani</t>
  </si>
  <si>
    <t>CancilleriaPeru, OAAInformation, SweMFA, VladaRH</t>
  </si>
  <si>
    <t>NoticiaCR, cancilleriacrc</t>
  </si>
  <si>
    <t>AuswaertigesAmt, David_Cameron, EUCouncil, EUCouncilPress, EU_Commission, Elysee, Elysee_Com, FedericaMog, JosephMuscat_JM, JunckerEU, MinPres, RegSprecher, eucopresident, fhollande, gouvernementFR</t>
  </si>
  <si>
    <t>JDMahama, KagutaMuseveni, Mapon_Matata, PR_Paul_Biya, PaulKagame, PresAlphaConde, PresidencyZA, PresidentABO, SAPresident, SassouCG, UKenyatta, adosolutions, hagegeingob, macky_sall, pnkurunziza</t>
  </si>
  <si>
    <t>BarackObama, adosolutions, francediplo, primatureci</t>
  </si>
  <si>
    <t>CancilleriaPeru, GouvGabon, PresidenceMali, RepSouthSudan, SweMFA, USAenFrancais, VladaRH</t>
  </si>
  <si>
    <t>EUCouncilPress, JunckerEU, POTUS, RegSprecher, eu_eeas, fhollande</t>
  </si>
  <si>
    <t>ADO__Solutions, AlsisiOfficial, BWGovernment, BarackObama, BdiPresidence, BurundiGov, CasaCivilPRA, CommsUnitSL, Gouvci, GovernmentZA, HailemariamD, IBK_2013, JDMahama, JohnKerry, Jorgecfonseca, KagutaMuseveni, KenyaGov, Mapon_Matata, MarocDiplomatie, Maroc_eGov, PMOComms, PMTCHAD, PR_Paul_Biya, PSCU_Digital, PaulKagame, Pr_Alpha_Conde, PresidenceMada, PresidenceMali, Presidenceci, PresidencyGhana, PresidencyZA, PresidentABO, PresidenteCV, PrimatureRDC, PrimatureRwanda, RwandaGov, SAPresident, SassouCG, SomaliPM, StateDept, StateHouseKenya, StateHousePress, StateHouseSL, StateHouseSey, StateHouseUg, TheVillaSomalia, UKenyatta, UgandaMediaCent, UrugwiroVillage, WhiteHouse, adosolutions, ebkoroma, egyptgovportal, emansionliberia, francediplo, hagegeingob, macky_sall, osucastle, presidenceTN</t>
  </si>
  <si>
    <t>CancilleriaPeru, votealpha2015</t>
  </si>
  <si>
    <t>BarackObama, WhiteHouse, fhollande</t>
  </si>
  <si>
    <t>BelgiumMFA, CancilleriaPeru, MeGovernment, PresidencySrb, SweMFA, govSlovenia</t>
  </si>
  <si>
    <t>EU_Commission, PresidentIRL</t>
  </si>
  <si>
    <t>EndaKennyTD, Palazzo_Chigi</t>
  </si>
  <si>
    <t>BarackObama, Elysee, WhiteHouse, desdelamoncloa</t>
  </si>
  <si>
    <t>BarackObama, EU_Commission, GermanyDiplo</t>
  </si>
  <si>
    <t>GovernmentRF, KagutaMuseveni, PaulKagame, PresidentKE, PutinRF_Eng, RwandaGov, SAPresident</t>
  </si>
  <si>
    <t>BWGovernment, BdiPresidence, CancilleriaPeru, GouvGabon, HannaTetteh, IndianDiplomacy, Itamaraty_EN, Itamaraty_ES, Malaysia_Gov, NorwayMFA, VladaRH, foreignoffice, skngov</t>
  </si>
  <si>
    <t>CancilleriaPeru, SkerritR, SweMFA, VladaRH, VoteKeith2013, cancilleriasv</t>
  </si>
  <si>
    <t>EUCouncil, SweMFA, VladaRH, eucopresident</t>
  </si>
  <si>
    <t>BarackObama, GH_PARK</t>
  </si>
  <si>
    <t>CancilleriaPeru, PresidenceMali, PresidenciaRD, StateHouseSey, SweMFA, VladaRH, johnkeypm</t>
  </si>
  <si>
    <t>PresidentNoy, noynoyaquino</t>
  </si>
  <si>
    <t>CancilleriaPeru, ItamaratyGovBr, StateHouseSey, SweMFA, VladaRH, dfaspokesperson</t>
  </si>
  <si>
    <t>VivianBala, leehsienloong</t>
  </si>
  <si>
    <t>AlbanianMFA, CanadaFP, CancilleriaPeru, IndianDiplomacy, IsraelMFA, ItamaratyGovBr, MFAIceland, Malaysia_Gov, Maroc_eGov, MofaNepal, PrimeministerGR, SweMFA, VladaRH, foreigntanzania, marianorajoy, samoagovt</t>
  </si>
  <si>
    <t>PresidencySrb, VladaCG, avucic</t>
  </si>
  <si>
    <t>PresidenceMali, PresidenciaRD, SweMFA, VladaRH, govSlovenia</t>
  </si>
  <si>
    <t>CancilleriaPma, ChileMFA, EUCouncilTVNews, Itamaraty_EN, Itamaraty_ES, MAERomania, MFAEcuador, MFAIraq, MID_RF, PHammondMP, PakDiplomacy, Petrit, TROfficeofPD, VladaRH, avucic, edgarsrinkevics, govgr, pressslujba</t>
  </si>
  <si>
    <t>CasaReal, JC_Varela, JuanManSantos, MashiRafael, Minrel_Chile, Presidencia_Ec, presidencia_cl</t>
  </si>
  <si>
    <t>EUCouncil, EU_Commission, FedericaMog, Kabmin_UA_e, eu_eeas</t>
  </si>
  <si>
    <t>Diplomacy_RM, SweMFA, VladaRH</t>
  </si>
  <si>
    <t>BarackObama, David_Cameron, IsraeliPM, Number10gov, WhiteHouse, guv_ro, netanyahu</t>
  </si>
  <si>
    <t>BarackObama, EUCouncilPress, JustinTrudeau, KingSalman, Number10gov, RHCJO, Xavier_Bettel, eucopresident, fhollande, jeanmarcayrault, narendramodi</t>
  </si>
  <si>
    <t>CanadaFP, CancilleriaPeru, GouvGabon, Kristian_Jensen, PresidentKE, VladaRH, gouvbenin, mfa_russia, namibia_mfa</t>
  </si>
  <si>
    <t>CancilleriaPeru, FCOArabic, HildaHeine, IraqiPMO, JulieBishopMP, MeGovernment, Minrel_Chile, NorwayMFA, USAbilAraby, borgebrende, fhollande, foreignoffice, francediplo, francediplo_EN</t>
  </si>
  <si>
    <t>KagutaMuseveni, PaulKagame</t>
  </si>
  <si>
    <t>A_Davutoglu_eng, Anifah_myg, BarackObama, BelgiumMFA, BoykoBorissov, CharlieFlanagan, CyprusMFA, CzechMFA, David_Cameron, EU_Commission, FedericaMog, GermanyDiplo, IKasoulides, IlvesToomas, ItalyMFA, JPN_PMO, JohnKerry, JunckerEU, KolindaGK, Kristian_Jensen, MDVForeign, MFAMalta, MFA_LI, MFA_Ukraine, MarinaKaljurand, MinBZ, MiroslavLajcak, NikosKotzias, Number10gov, PaoloGentiloni, PolandMFA, Pontifex, Portal_Kemlu_RI, PrimeministerGR, RT_Erdogan, RwandaMFA, StateDept, Xavier_Bettel, ZaoralekL, andresnavarrog, anifah_aman, deplu, donaldtusk, eucopresident, fhollande, johnkeypm, leehsienloong, mofa_uae, netanyahu, poroshenko, tsipras_eu</t>
  </si>
  <si>
    <t>BgPresidency, CancilleriaPeru, DanielMitov</t>
  </si>
  <si>
    <t>BarackObama, IstanaRakyat, presidentaz, trpresidency</t>
  </si>
  <si>
    <t>AuswaertigesAmt, BelarusMFA, BgPresidency, CancilleriaPeru, DutchMFA, FCOArabic, GuillaumeLong, HannaTetteh, IranMFA, ItamaratyGovBr, Itamaraty_EN, Itamaraty_ES, JuanManSantos, KvirikashviliGi, MFASriLanka, MFA_Austria, MFA_KZ, MFAofArmenia, MID_RF, MeGovernment, MiroCerar, MiroslavLajcak, NorwayMFA, Palazzo_Chigi, PaoloGentiloni, Petrit, PresidenceMali, PrimeministerGR, SpainMFA, StateDept, SweMFA, USAdarFarsi, VladaRH, dfatirl, edgarsrinkevics, eu_eeas, eucopresident, foreignoffice, francediplo, francediplo_EN, manuelvalls, mauriciomacri, mfa_russia, sebastiankurz</t>
  </si>
  <si>
    <t>JZarif, prensapalacio</t>
  </si>
  <si>
    <t>AMB_A_Mohammed, CanadaFP, CancilleriaPeru, CommsUnitSL, EU_Commission, FCOArabic, Hilaaleege, IakobaItaleli, Israel, IsraelMFA, ItamaratyGovBr, Itamaraty_EN, Itamaraty_ES, JuanManSantos, KBZayed, KeithRowleyPNM, KhaledBahah, KvirikashviliGi, MFAKOSOVO, MOFAUAE, MVEP_hr, MZZRS, MeGovernment, MinisterMOFA, OFMUAE, PHammondMP, PMOIndia, PMOMalaysia, Palazzo_Chigi, PatriceTrovoada, Petrit, PresidenceMali, PresidenteCV, PrimeMinistry, RepSouthSudan, SRE_mx, SeychellesMFA, StateHouseSey, SweMFA, UAEGover, UKUrdu, USAbilAraby, Utrikesdep, VladaRH, avucic, djiboutidiplo, eucopresident, foreignoffice, francediplo_AR, iGABahrain, khalidalkhalifa, mfa_russia, narendramodi, somaligov_</t>
  </si>
  <si>
    <t>BarackObama, HHShkMohd</t>
  </si>
  <si>
    <t>VladaRH, foreignMV</t>
  </si>
  <si>
    <t>CanadaFP, CanadaPE, CanadianPM, JohnKerry, MinCanadaAE, MinCanadaFA, PMcanadien</t>
  </si>
  <si>
    <t>AuswaertigesAmt, CancilleriaPeru, ChileMFA, GeoffreyOnyeama, GermanyDiplo, IgnacioYbanez, Israel, IsraelMFA, JulieBishopMP, MFA_Ukraine, MID_RF, Minrel_Chile, SRE_mx, borgebrende, eu_eeas, foreignoffice</t>
  </si>
  <si>
    <t>BarackObama, CasaReal, EPN, Pontifex_es, PresidenciaMX, WhiteHouse</t>
  </si>
  <si>
    <t>MofaQatar_AR, MofaQatar_EN, Saudiegov</t>
  </si>
  <si>
    <t>CancilleriaPeru, PresidenceMali</t>
  </si>
  <si>
    <t>AbdoulayeDiop8, CancilleriaPeru, GouvGabon, ItamaratyGovBr, PresAlphaConde, SweMFA, VladaRH</t>
  </si>
  <si>
    <t>CancilleriaPeru, macky_sall</t>
  </si>
  <si>
    <t>BahrainCPnews, HHShkMohd, bahdiplomatic, khalidalkhalifa</t>
  </si>
  <si>
    <t>MeGovernment, eGovMalta</t>
  </si>
  <si>
    <t>BelarusMID, GeoffreyOnyeama, MFA_Ukraine</t>
  </si>
  <si>
    <t>BarackObama, BelgiumMFA, CYpresidency, CanadaFP, CzechMFA, David_Cameron, Diplomacy_RM, EUCouncil, EUCouncilPress, Elysee, FedericaMog, GermanyDiplo, Grybauskaite_LT, IndianDiplomacy, IsraeliPM, JunckerEU, MAECgob, MFA_Austria, MFA_LI, MFAsg, MOFAkr_eng, MedvedevRussiaE, MofaQatar_EN, NorwayMFA, Number10gov, PolandMFA, PrimeministerGR, SlovakiaMFA, StateDept, SweMFA, UgandaMFA, atsipras, dfatirl, donaldtusk, eucopresident, fhollande, francediplo, francediplo_EN, netanyahu, valismin</t>
  </si>
  <si>
    <t>GermanyDiplo, PolandMFA, eu_eeas</t>
  </si>
  <si>
    <t>APUkraine, Andrej_Kiska, Arlietas, AuswaertigesAmt, BgPresidency, BorutPahor, Brivibas36, CanadaFP, CancilleriaPeru, EUCouncilPress, Grybauskaite_LT, HashimThaciRKS, ItamaratyGovBr, KolindaGK, Kristian_Jensen, KvirikashviliGi, LT_MFA_Stratcom, Latvian_MFA, MFAIceland, MFAKOSOVO, MFA_Ukraine, MFAgovge, MargvelashviliG, MarinaKaljurand, MeGovernment, MiroCerar, MiroslavLajcak, PHammondMP, PavloKlimkin, Petrit, Rigas_pils, SweMFA, TPKanslia, TheBankova, Utrikesdep, Vejonis, VladaRH, edgarsrinkevics, eucopresident, foreignoffice, marianorajoy, niinisto, prezydentpl, sebastiankurz</t>
  </si>
  <si>
    <t>CancilleriaEc, CancilleriaPeru, CasaCivilPRA, Elysee, Itamaraty_EN, Itamaraty_ES, Palazzo_Chigi, PresidenciaPy, PresidenteCV, SweMFA, VladaRH</t>
  </si>
  <si>
    <t>AuswaertigesAmt, CancilleriaARG, CancilleriaPeru, ChileMFA, DIRCO_ZA, EUCouncilPress, GeoffreyOnyeama, HannaTetteh, IKasoulides, ItamaratyGovBr, KeithRowleyPNM, MFAFiji, MFASriLanka, MID_RF, MiroslavLajcak, MofaNepal, PMOBhutan, Petrit, SpainMFA, Utenriksdept, VladaRH, cancilleriasv, govSlovenia, marianorajoy, pressslujba, sebastiankurz</t>
  </si>
  <si>
    <t>AbeShinzo, BarackObama, Number10gov, PMOIndia, SushmaSwaraj, TurnbullMalcolm, dfat, johnkeypm, narendramodi, netanyahu</t>
  </si>
  <si>
    <t>CancilleriaPeru, FijiPM, ItamaratyGovBr, Itamaraty_EN, Itamaraty_ES, MFAIceland, MID_RF, SpainMFA, Utrikesdep, VladaRH, edgarsrinkevics, mfa_russia</t>
  </si>
  <si>
    <t>HassanRouhani, JZarif, Khamenei_es, Rouhani_ir, khamenei_ir</t>
  </si>
  <si>
    <t>BelarusMFA, BelarusMID, CancilleriaARG, CancilleriaPeru, DutchMFA, ItalyMFA, ItamaratyGovBr, Itamaraty_EN, Itamaraty_ES, Kristian_Jensen, LithuaniaMFA, MAECgob, MFAEcuador, MID_RF, MinCanadaAE, MinCanadaFA, SpainMFA, eu_eeas, foreignoffice, mfa_russia, namibia_mfa</t>
  </si>
  <si>
    <t>AlbanianMFA, CanadaFP, CancilleriaPeru, CyprusMFA, DutchMFA, IEmbassy, IndianDiplomacy, IsraelMFA, ItalyMFA, ItamaratyGovBr, Itamaraty_EN, Itamaraty_ES, Kristian_Jensen, LithuaniaMFA, MAECgob, MEAIndia, MFAIraq, MFAKOSOVO, MFA_Austria, MFA_KZ, MFA_Mongolia, MinCanadaAE, NorwayMFA, SpainMFA, VladaRH, govSlovenia, pressslujba</t>
  </si>
  <si>
    <t>PaulKagame, UKenyatta</t>
  </si>
  <si>
    <t>CancilleriaPeru, MinisterMOFA</t>
  </si>
  <si>
    <t>AlsisiOfficial, IsraelRussian, Israelipm_ar, JZarif, KingSalman, NasserJudeh, StateDept, USAbilAraby, WhiteHouse, rterdogan_ar</t>
  </si>
  <si>
    <t>IsraelArabic, StateDept</t>
  </si>
  <si>
    <t>JPN_PMO, WhiteHouse</t>
  </si>
  <si>
    <t>CanadaFP, PHammondMP, SweMFA, VladaRH, netanyahu</t>
  </si>
  <si>
    <t>IsraeliPM, JohnKerry, KremlinRussia, MID_RF, MedvedevRussia, MedvedevRussiaE, Pravitelstvo_RF, PutinRF, StateDept, WhiteHouse, netanyahu, rubirivlin</t>
  </si>
  <si>
    <t>JDMahama, MBuhari, PresAlphaConde, adosolutions, fhollande, macky_sall, rochkaborepf</t>
  </si>
  <si>
    <t>CancilleriaPeru, HassanalBolkia2, ItamaratyGovBr, MoFA_Indonesia, PHammondMP, SweMFA, VladaRH</t>
  </si>
  <si>
    <t>CharlesMichel, JocelermeP, MOFAVietNam, MinCanadaAE, MinCanadaFA, presidencia_cl</t>
  </si>
  <si>
    <t>CharlesMichel, JocelermeP, MinCanadaAE</t>
  </si>
  <si>
    <t>CancilleriaPA, CasaCivilPRA, JocelermeP, MFAKOSOVO</t>
  </si>
  <si>
    <t>CancilleriaPeru, VladaRH, somaligov_</t>
  </si>
  <si>
    <t>JPN_PMO, JapanGov, Kantei_Saigai</t>
  </si>
  <si>
    <t>MiroCerar, MofaJapan_ITPR, avucic, foreignoffice</t>
  </si>
  <si>
    <t>JohnKerry, JustinTrudeau, PHammondMP, PMcanadien, PaoloGentiloni, StateDept, matteorenzi</t>
  </si>
  <si>
    <t>JuanManSantos, JuanOrlandoH</t>
  </si>
  <si>
    <t>CancilleriaPeru, DrodriguezVen, MAEHaiti, MinexGt, PresidenciaPma, Presidencia_HN, infopresidencia, presidenciacr, vencancilleria</t>
  </si>
  <si>
    <t>CancilleriaPeru, NorwayMFA, PHammondMP, VladaRH, ZaoralekL, eu_eeas, leehsienloong</t>
  </si>
  <si>
    <t>BarackObama, DOImalta, David_Cameron, Elysee, POTUS, Xavier_Bettel, matteorenzi</t>
  </si>
  <si>
    <t>BarackObama, EU_Commission, WhiteHouse</t>
  </si>
  <si>
    <t>David_Cameron, EUCouncil, EUCouncilPress, JosephMuscat_JM, Number10gov, Pontifex_it, RegSprecher, WhiteHouse, donaldtusk, kormany_hu, matteorenzi, prezydentpl</t>
  </si>
  <si>
    <t>BarackObama, CanadianPM, JohnKerry</t>
  </si>
  <si>
    <t>A_Davutoglu_eng, khamenei_ir</t>
  </si>
  <si>
    <t>BarackObama, JunckerEU, JustinTrudeau, PavloKlimkin</t>
  </si>
  <si>
    <t>CancilleriaPeru, Latvian_MFA, MiroslavLajcak, PHammondMP, SweMFA, VladaRH</t>
  </si>
  <si>
    <t>EmomaliRahmon, MFA_Ukraine, PHammondMP, SweMFA, VladaRH</t>
  </si>
  <si>
    <t>MagufuliJP, Pontifex</t>
  </si>
  <si>
    <t>CancilleriaPeru, EU_Commission, JuanManSantos, PHammondMP, SweMFA, VladaRH, eu_eeas</t>
  </si>
  <si>
    <t>CanadaFP, CancilleriaPeru, MofaJapan_ITPR, MofaJapan_jp, PHammondMP, SweMFA, VladaRH, japan</t>
  </si>
  <si>
    <t>AkordaPress, BarackObama, Elysee, NajibRazak, Number10gov, PrimeministerGR, WhiteHouse, eucopresident</t>
  </si>
  <si>
    <t>CancilleriaPeru, MFA_KZ, MID_RF, PHammondMP, VladaRH, ortcomkz</t>
  </si>
  <si>
    <t>AkordaPress, BarackObama, Elysee, Number10gov, PrimeministerGR, WhiteHouse, eucopresident</t>
  </si>
  <si>
    <t>ABZayed, HHShkMohd, MBZNews</t>
  </si>
  <si>
    <t>USAbilAraby, VladaRH, djiboutidiplo</t>
  </si>
  <si>
    <t>GouvGabon, SweMFA, VladaRH</t>
  </si>
  <si>
    <t>CancilleriaPeru, DutchMFA, VladaRH</t>
  </si>
  <si>
    <t>AdelAljubeir, CanadaFP, CanadaPE, CancilleriaPeru, FCOArabic, IsraelMFA, ItamaratyGovBr, Itamaraty_EN, Itamaraty_ES, LithuaniaMFA, MFAIceland, MFAKOSOVO, MFA_Mongolia, MID_RF, MZZRS, MinCanadaAE, NorwayMFA, OFMUAE, PakDiplomacy, Petrit, PresidenceMali, PrimeMinistry, SpainMFA, SweMFA, UKUrdu, USAbilAraby, Utrikesdep, VladaRH, eu_eeas, francediplo_AR, iGABahrain, mfa_russia, pressslujba</t>
  </si>
  <si>
    <t>ABZayed, AdelAljubeir, AuswaertigesAmt, ByegmENG, CanadaFP, CancilleriaPeru, Elysee, FCOArabic, Habib_essid, HildaHeine, IsraelArabic, ItamaratyGovBr, JocelermeP, KSAMOFA, LithuaniaMFA, PDTurkeyArabic, PHammondMP, Saudiegov, SusanaMalcorra, SweMFA, VladaRH, fhollande, francediplo_AR, khalidalkhalifa, manuelvalls</t>
  </si>
  <si>
    <t>Andrej_Kiska, AndrzejDuda, BarackObama, EU_Commission, GermanyDiplo, Grybauskaite_LT, IlvesToomas, JunckerEU, MZZRS, POTUS, Pontifex, UKenyatta, WhiteHouse, ashrafghani, eucopresident</t>
  </si>
  <si>
    <t>CancilleriaPeru, EUCouncilPress, EUCouncilTVNews, JunckerEU, LithuaniaMFA, MFA_KZ, MID_RF, MZZRS, PresidenciaRD, SweMFA, VladaRH, eu_eeas</t>
  </si>
  <si>
    <t>MofaNepal, president_nepal</t>
  </si>
  <si>
    <t>BarackObama, WhiteHouse</t>
  </si>
  <si>
    <t>Arlietas, AzerbaijanMFA, BelarusMID, CancilleriaPeru, IsraelRussian, Latvian_MFA, MeGovernment, PHammondMP, PolandMFA, PresidencySrb, PresidenteCV, SweMFA, VladaCG, VladaRH, avucic, edgarsrinkevics, mfa_russia, ortcomkz, pressslujba</t>
  </si>
  <si>
    <t>BarackObama, Number10gov, WhiteHouse</t>
  </si>
  <si>
    <t>BarackObama, NajibRazak, NasserJudeh, POTUS, Pontifex, QueenRania, TPKanslia, WhiteHouse</t>
  </si>
  <si>
    <t>LithuaniaMFA, MID_RF, MinCanadaAE, MofaNepal</t>
  </si>
  <si>
    <t>CancilleriaPeru, EmomaliRahmon, MFA_Ukraine, MID_RF, MID_Tajikistan, OkmotKG, SweMFA, VladaRH, mfa_russia</t>
  </si>
  <si>
    <t>EPN, JohnKerry, Pontifex, PresidenciaMX, StateDept, StateDeptLive</t>
  </si>
  <si>
    <t>CharlesMichel, David_Cameron, EUCouncil, EUCouncilPress, donaldtusk, erna_solberg</t>
  </si>
  <si>
    <t>Arlietas, BgPresidency, CancilleriaPeru, CancilleriaPma, ChileMFA, GreeceMFA, IgnacioYbanez, ItalyMFA, ItamaratyGovBr, Itamaraty_EN, Itamaraty_ES, Kristian_Jensen, LT_MFA_Stratcom, MEAIndia, MFAEcuador, MOFAVietNam, MargvelashviliG, MinCanadaAE, MinCanadaFA, MinexGt, Minrel_Chile, PHammondMP, RwandaMFA, SeychellesMFA, TheBankova, VladaRH, avucic, govSlovenia</t>
  </si>
  <si>
    <t>Grybauskaite_LT, LinkeviciusL, Vyriausybe</t>
  </si>
  <si>
    <t>Israel, IsraelMFA, VladaRH</t>
  </si>
  <si>
    <t>BgPresidency, ChileMFA, MOFAVietNam, MargvelashviliG, MinCanadaAE, MinCanadaFA, Palazzo_Chigi, TheBankova, marianorajoy</t>
  </si>
  <si>
    <t>PaulKagame, StateDept, StateHouseKenya, UKenyatta, UgandaMediaCent, johnkeypm</t>
  </si>
  <si>
    <t>AbdoulayeDiop8, AuswaertigesAmt, CanadaFP, CancilleriaPeru, DutchMFA, IndianDiplomacy, ItamaratyGovBr, Itamaraty_EN, Itamaraty_ES, LithuaniaMFA, MEAIndia, MFABulgaria, MFAIceland, MFA_Austria, MinCanadaAE, NorwayMFA, PSCU_Digital, PakDiplomacy, PresidentKE, PrimatureRwanda, RepSouthSudan, SpainMFA, SweMFA, TheVillaSomalia, Utrikesdep, VladaRH, amurekezi, dreynders, edgarsrinkevics, eu_eeas, foreignoffice, francediplo, mfa_russia, pressslujba, somaligov_</t>
  </si>
  <si>
    <t>NicolasMaduro, VladaRH, maduro_cmn, vencancilleria</t>
  </si>
  <si>
    <t>DrodriguezVen, NicolasMaduro, VladaRH, vencancilleria</t>
  </si>
  <si>
    <t>VladaRH, maduro_it</t>
  </si>
  <si>
    <t>NicolasMaduro, VladaRH, vencancilleria</t>
  </si>
  <si>
    <t>NicolasMaduro, VladaRH, maduro_en, vencancilleria</t>
  </si>
  <si>
    <t>VladaRH, maduro_ru, maduro_zh</t>
  </si>
  <si>
    <t>maduro_cn, maduro_de</t>
  </si>
  <si>
    <t>maduro_hi, maduro_pl</t>
  </si>
  <si>
    <t>VladaRH, vencancilleria</t>
  </si>
  <si>
    <t>VladaRH, maduro_be</t>
  </si>
  <si>
    <t>CancilleriaEc, CancilleriaPeru, DutchMFA, IsraelMFA, LithuaniaMFA, MEAIndia, MFAIceland, MFA_Austria, MFA_KZ, MID_RF, NorwayMFA, VladaRH, mfa_russia, mreparaguay</t>
  </si>
  <si>
    <t>EU_Commission, JustinTrudeau, gouvernementFR, jimmymoralesgt</t>
  </si>
  <si>
    <t>CancilleriaPeru, JocelermeP, LithuaniaMFA, MAECgob, MinCanadaAE, MinCanadaFA, PresidenceHT, eu_eeas</t>
  </si>
  <si>
    <t>AlbanianMFA, AzerbaijanMFA, BelarusMID, CancilleriaARG, CancilleriaPeru, ChileMFA, IndianDiplomacy, ItamaratyGovBr, Itamaraty_ES, LT_MFA_Stratcom, MEAIndia, MFAKOSOVO, MFA_KZ, MFA_Mongolia, MID_RF, MOFAVietNam, MSZ_RP, MinCanadaAE, MinCanadaFA, NikolaPoposki, Petrit, Utrikesdep, VladaCG, VladaRH, avucic, cancilleriasv, marianorajoy, pressslujba</t>
  </si>
  <si>
    <t>ARG_AFG, BarackObama, David_Cameron, JosephMuscat_JM, JustinTrudeau, Number10gov, PMNawazSharif, POTUS, RashtrapatiBhvn, StateDept, johnkeypm, presidencymv</t>
  </si>
  <si>
    <t>NorwayMFA, PresidenceMali, SweMFA, VladaRH</t>
  </si>
  <si>
    <t>MaithripalaS, MedvedevRussiaE, MofaJapan_en, MofaQatar_EN, OFMUAE, PHammondMP, PMDNewsGov, SushmaSwaraj, margotwallstrom</t>
  </si>
  <si>
    <t>BarackObama, GermanyDiplo, JohnKerry, MBuhari, MinPres, Number10gov, Presidenceci, WhiteHouse, adosolutions, eucopresident, fhollande, francediplo, macky_sall, manuelvalls</t>
  </si>
  <si>
    <t>CancilleriaPeru, GouvGabon, VladaRH, gouvbenin, rochkaborepf</t>
  </si>
  <si>
    <t>AMB_A_Mohammed, BarackObama, David_Cameron, DrTedros, EUCouncilPress, EUCouncilTVNews, FedericaMog, Gebran_Bassil, HeraldoMunoz, JZarif, JunckerEU, JustinTrudeau, MiroslavLajcak, PHammondMP, PavloKlimkin, Pontifex, SushmaSwaraj, WhiteHouse, fhollande, sebastiankurz</t>
  </si>
  <si>
    <t>ABZayed, APUkraine, AbdoulayeDiop8, AlbanianMFA, AuswaertigesAmt, BelarusMFA, CancilleriaPeru, CyprusMFA, Diplomacy_RM, DrZvizdic, DutchMFA, GermanyDiplo, ItamaratyGovBr, Itamaraty_EN, Itamaraty_ES, JanelidzeMkh, KvirikashviliGi, LithuaniaMFA, MAERomania, MFAIceland, MFA_Mongolia, MFA_Ukraine, MFA_analysis, MFAgovge, MID_RF, MVEP_hr, MangalaLK, MeGovernment, MinCanadaAE, MinCanadaFA, MinisterMOFA, NasserJudeh, NikolaPoposki, NorwayMFA, Petrit, RwandaMFA, SpainMFA, SusanaMalcorra, UM_dk, Ulkoministerio, VladaRH, francediplo, francediplo_EN, marianorajoy, mfa_russia, mfaethiopia, valismin</t>
  </si>
  <si>
    <t>APUkraine, BarackObama, David_Cameron, EU_Commission, Elysee, GermanyDiplo, GovernmentGeo, Grybauskaite_LT, IlvesToomas, JohnKerry, JunckerEU, Latvian_MFA, LithuaniaMFA, MFA_Ukraine, MiroslavLajcak, Number10gov, POTUS, PavloKlimkin, PolandMFA, Pontifex, PremierRP, PresidentRuvi, RT_Erdogan, Rigas_pils, StateDept, TaaviRoivas, Ulkoministerio, WhiteHouse, Yatsenyuk_AP, donaldtusk, edgarsrinkevics, eucopresident, fhollande, francediplo_EN, netanyahu, poroshenko, presidentaz, prezydentpl, trpresidency</t>
  </si>
  <si>
    <t>AbdoulayeDiop8, CasaCivilPRA, HildaHeine, Israel, Itamaraty_ES, cancilleriacrc, presidencia_cl</t>
  </si>
  <si>
    <t>BarackObama, EUCouncil, EU_Commission, Grybauskaite_LT, IlvesToomas, JohnKerry, KvirikashviliGi, StateDept, Vejonis, WhiteHouse, eucopresident</t>
  </si>
  <si>
    <t>ChefGov_ma, EU_Commission, Elysee, FinGovernment, GovernmentRF, MarocDiplomatie, RwandaGov, Saudiegov, UAEmGov, egyptgovportal, foreignoffice, govsingapore</t>
  </si>
  <si>
    <t>GouvGabon, StateHouseSey, SweMFA, VladaRH</t>
  </si>
  <si>
    <t>AlbanianMFA, Arlietas, AuswaertigesAmt, AzerbaijanMFA, BelarusMFA, BelarusMID, CanadaFP, CancilleriaARG, CancilleriaPeru, ChileMFA, CyprusMFA, DiploPubliqueTR, DutchMFA, GouvGabon, IgnacioYbanez, IndianDiplomacy, IsraelMFA, ItalyMFA, ItamaratyGovBr, Itamaraty_EN, Itamaraty_ES, LithuaniaMFA, MAECgob, MFAIceland, MFAKOSOVO, MFA_Austria, MFA_KZ, MFA_Mongolia, MFA_Ukraine, MID_RF, MIREXRD, MZZRS, Maroc_eGov, MeGovernment, MinCanadaAE, MinCanadaFA, Minrel_Chile, NorwayMFA, PresidenceMali, RwandaMFA, SeychellesMFA, SpainMFA, SweMFA, UgandaMFA, Utenriksdept, VladaRH, cancilleriasv, djiboutidiplo, eu_eeas, francediplo, mfa_russia, mfaethiopia, pressslujba</t>
  </si>
  <si>
    <t>AbdoulayeDiop8, CancilleriaPeru, GvtMonaco, MFAgovge, MID_RF, MeGovernment, PHammondMP, PresidenceMali, PresidencySrb, PrimatureRDC, PrimeministerGR, SalamTammam, SeychellesMFA, StateHouseSey, SweMFA, TPKanslia, USAenFrancais, VladaRH, francediplo_EN, francediplo_ES, mfa_russia</t>
  </si>
  <si>
    <t>BarackObama, Pontifex_it</t>
  </si>
  <si>
    <t>BarackObama, JohnKerry, SAPresident</t>
  </si>
  <si>
    <t>BarackObama, EndaKennyTD, Number10gov, WhiteHouse, merrionstreet</t>
  </si>
  <si>
    <t>WhiteHouse, eucopresident</t>
  </si>
  <si>
    <t>CancilleriaPeru, DutchMFA, EndaKennyTD, Palazzo_Chigi, SweMFA, VladaRH, govSlovenia, marianorajoy, md_higgins</t>
  </si>
  <si>
    <t>CancilleriaPeru, ChileMFA, DutchMFA, IndianDiplomacy, ItalyMFA, ItamaratyGovBr, Itamaraty_EN, Itamaraty_ES, Kristian_Jensen, LinkeviciusL, LithuaniaMFA, MEAIndia, MFAIceland, MFA_Austria, MFA_KZ, MFA_Mongolia, MID_RF, MVEP_hr, MZZRS, MinCanadaAE, MinCanadaFA, NorwayMFA, SpainMFA, SweMFA, Utenriksdept, VladaRH, eu_eeas, foreignoffice, francediplo, mfa_russia, pressslujba</t>
  </si>
  <si>
    <t>BarackObama, JPN_PMO, JZarif, JohnKerry, PutinRF_Eng, StateDept, SweMFA, WhiteHouse, eu_eeas, foreignoffice, margotwallstrom, mfa_russia</t>
  </si>
  <si>
    <t>APUkraine, BelarusMID, CanadaFP, CancilleriaARG, CancilleriaPeru, CancilleriaPma, ChileMFA, IKasoulides, Israel, Itamaraty_EN, Itamaraty_ES, Kristian_Jensen, LT_MFA_Stratcom, MEAIndia, MFAEcuador, MFASriLanka, MID_RF, MNEGOVPT, MfaEgypt, MinCanadaAE, MinCanadaFA, Minrel_Chile, MofaNepal, Petrit, SRE_mx, TheBankova, Utenriksdept, Utrikesdep, VladaRH, pressslujba</t>
  </si>
  <si>
    <t>ChileMFA, IgnacioYbanez, Itamaraty_EN, Itamaraty_ES, MFAEcuador, MFA_Tajikistan, MID_Tajikistan, MOFAVietNam, MinCanadaAE, MinCanadaFA, MiroslavLajcak, MofaNepal, Palazzo_Chigi, SpainMFA, VladaRH, ortcomkzE</t>
  </si>
  <si>
    <t>CancilleriaEc, CancilleriaPeru, ChileMFA, ItamaratyGovBr, Itamaraty_EN, Itamaraty_ES, MAECgob, MEAIndia, MFAEcuador, MFAKOSOVO, MinCanadaAE, MinCanadaFA, MofaNepal, VladaRH, cancilleriasv, foreigntanzania</t>
  </si>
  <si>
    <t>ChileMFA, FCOArabic, GeoffreyOnyeama, IgnacioYbanez, Itamaraty_ES, MFAFiji, MFA_analysis, MOFAVietNam, MinCanadaAE, MinCanadaFA, PHammondMP, Palazzo_Chigi, Petrit, PresidenceMali, PresidenteCV, SerbianGov, TPKanslia, TheBankova, Vyriausybe, francediplo_ES, govSlovenia</t>
  </si>
  <si>
    <t>AMB_A_Mohammed, AuswaertigesAmt, BelarusMFA, CancilleriaPeru, DutchMFA, IndianDiplomacy, IsraelMFA, ItalyMFA, ItamaratyGovBr, Itamaraty_EN, Itamaraty_ES, LithuaniaMFA, MAECgob, MDVForeign, MEAIndia, MFAEcuador, MFAIceland, MFA_Austria, MFA_KZ, MFA_Mongolia, MFA_Ukraine, MID_RF, MZZRS, MinCanadaAE, MinCanadaFA, NorwayMFA, SpainMFA, StateDept, UgandaMFA, VladaRH, cancilleriasv, foreigntanzania, francediplo, francediplo_EN, mfa_russia, pdhnisbett, pressslujba</t>
  </si>
  <si>
    <t>MFA_KZ, StateDept, ashrafghani, presstj, valismin</t>
  </si>
  <si>
    <t>CancilleriaPeru, MAECgob, MinCanadaAE, MinCanadaFA, SpainMFA</t>
  </si>
  <si>
    <t>APUkraine, CanadaFP, CancilleriaARG, CancilleriaPeru, ChileMFA, ItalyMFA, Itamaraty_EN, Itamaraty_ES, LT_MFA_Stratcom, MFAEcuador, MeGovernment, MfaEgypt, MinCanadaAE, MinCanadaFA, Minrel_Chile, NikolaPoposki, PakDiplomacy, Petrit, TheBankova, Utenriksdept, Utrikesdep, VladaRH, avucic, cancilleriasv, edgarsrinkevics, govSlovenia, mfagovtt, pressslujba</t>
  </si>
  <si>
    <t>CancilleriaPeru, ItamaratyGovBr, Itamaraty_EN, Itamaraty_ES, MFAIceland, MID_RF, MinCanadaAE, MinCanadaFA, SpainMFA</t>
  </si>
  <si>
    <t>AlbanianMFA, MFABulgaria, MFA_Ukraine, Number10gov, PolandMFA, StateDept, WhiteHouse, bahdiplomatic, foreignoffice, francediplo</t>
  </si>
  <si>
    <t>CancilleriaARG, CancilleriaEc, CancilleriaPeru, ChileMFA, ItamaratyGovBr, Itamaraty_EN, Itamaraty_ES, LithuaniaMFA, MAECgob, MEAIndia, MFAIceland, MFAKOSOVO, MFA_Austria, MFA_KZ, MFA_Mongolia, MID_RF, MinCanadaFA, NorwayMFA, SpainMFA, SweMFA, VladaRH, gisbarbados, mfa_russia, mreparaguay, pdhnisbett, pressslujba</t>
  </si>
  <si>
    <t>ChileMFA, MinCanadaAE, MinCanadaFA, MofaNepal, Petrit</t>
  </si>
  <si>
    <t>AlbanianMFA, AzerbaijanMFA, GreeceMFA, IraqMFA, MFATurkeyArabic, MFA_Ukraine, MFAgovge, MFAofArmenia, PolandMFA</t>
  </si>
  <si>
    <t>DutchMFA, LithuaniaMFA, MAECgob, MEAIndia, MFA_Austria, MFA_Mongolia, SpainMFA, VladaRH, pressslujba</t>
  </si>
  <si>
    <t>AbdoulayeDiop8, BgPresidency, ChileMFA, MEAIndia, MinexGt, MofaNepal, SpainMFA, pressslujba</t>
  </si>
  <si>
    <t>AlbanianMFA, BelarusMFA, BelarusMID, GeoffreyOnyeama, GreeceMFA, HashimThaciRKS, LithuaniaMFA, MAECgob, MFAKOSOVO, MFA_Ukraine, MID_RF, MinCanadaFA, Petrit, SpainMFA, eu_eeas, mfa_russia</t>
  </si>
  <si>
    <t>BelgiumMFA, CancilleriaCol, CubaMINREX, CzechMFA, DanielMitov, EUCouncilPress, EU_Commission, Elysee, FedericaMog, ForeignMinistry, HassanRouhani, JZarif, JohnKerry, JustinTrudeau, MFA_LI, MFAsg, MOFAkr_eng, MofaJapan_en, MofaQatar_EN, OFMUAE, POTUS, PolandMFA, Pontifex, SerbianPM, StateDept, SushmaSwaraj, VladaCG, WhiteHouse, dfatirl, eucopresident, fhollande, jeanmarcayrault, narendramodi, predsednikrs, sebastiankurz</t>
  </si>
  <si>
    <t>BarackObama, HannaTetteh, JDMahama</t>
  </si>
  <si>
    <t>BelarusMFA, LithuaniaMFA, MAECgob, MID_RF, MinCanadaAE, MinCanadaFA, SpainMFA, mfa_russia</t>
  </si>
  <si>
    <t>GermanyDiplo, LithuaniaMFA, MinCanadaAE, MinCanadaFA, SpainMFA, foreigntanzania, mfa_russia</t>
  </si>
  <si>
    <t>EU_Commission, NajibRazak, leehsienloong, prdthailand, presidencia_cl</t>
  </si>
  <si>
    <t>IsraelMFA, MEAIndia, MFABulgaria, MFAIceland, MFAThai_Pol, MID_RF, MVEP_hr, NorwayMFA, SpainMFA, francediplo, mfa_russia</t>
  </si>
  <si>
    <t>MFAThai, MFAThai_PR_EN</t>
  </si>
  <si>
    <t>IndianDiplomacy, IsraelMFA, MEAIndia, MFAIceland, MID_RF, MZZRS, NorwayMFA, VladaRH, mfa_russia</t>
  </si>
  <si>
    <t>AlbanianMFA, AzerbaijanMFA, CancilleriaEc, CancilleriaPeru, CyprusMFA, DutchMFA, EUCouncilPress, IndianDiplomacy, Israel, IsraelMFA, ItalyMFA, ItamaratyGovBr, Itamaraty_EN, Itamaraty_ES, LithuaniaMFA, MAECgob, MEAIndia, MFABulgaria, MFAIceland, MFAKOSOVO, MFAThai_Pol, MFA_KZ, MFA_Mongolia, MFA_Ukraine, MID_RF, MOFAVietNam, MZZRS, MeGovernment, MinCanadaFA, NorwayMFA, Petrit, PolandMFA, SpainMFA, SweMFA, ThaiKhuFah, VladaRH, edgarsrinkevics, francediplo, francediplo_EN, mfa_russia, mfaethiopia, pressslujba</t>
  </si>
  <si>
    <t>EUCouncil, trpresidency</t>
  </si>
  <si>
    <t>AMB_A_Mohammed, APUkraine, Ahmet_Davutoglu, AlbanianMFA, AuswaertigesAmt, BasbakanlikKDK, BgPresidency, ByegmRU, CanadaFP, CanadaPE, CancilleriaARG, CancilleriaEc, CancilleriaPeru, CancilleriaPma, ChileMFA, DiploPubliqueTR, DutchMFA, GeoffreyOnyeama, GermanyDiplo, IndianDiplomacy, Israel, IsraelMFA, ItamaratyGovBr, Itamaraty_EN, Itamaraty_ES, JohnKerry, Kristian_Jensen, MAERomania, MEAIndia, MFAEcuador, MFA_Austria, MFA_Ukraine, MID_RF, MID_Tajikistan, MOFAUAE, MeGovernment, MevlutCavusoglu, MinCanadaFA, MinexGt, Minrel_Chile, MiroslavLajcak, MofaNepal, PDTurkeyArabic, PHammondMP, PakDiplomacy, Palazzo_Chigi, Petrit, PresidenceMali, TheBankova, Ulkoministerio, Utrikesdep, VladaRH, avucic, dfat, dfatirl, edgarsrinkevics, eu_eeas, francediplo, francediplo_AR, govSlovenia, pressslujba, sebastiankurz, valismin</t>
  </si>
  <si>
    <t>BarackObama, MofaJapan_en, Number10gov, StateDept, WhiteHouse</t>
  </si>
  <si>
    <t>AzerbaijanMFA, BelarusMFA, CanadaFP, CancilleriaARG, CancilleriaPeru, CancilleriaPma, ChileMFA, CyprusMFA, IsraelMFA, ItamaratyGovBr, Itamaraty_EN, Itamaraty_ES, JohnKerry, LithuaniaMFA, MAECgob, MFAEcuador, MFAIceland, MFA_Austria, MFA_KZ, MFA_Ukraine, MID_RF, MZZRS, MinCanadaAE, MinCanadaFA, NorwayMFA, RwandaMFA, SweMFA, VladaRH, cancilleriasv, eu_eeas, mfa_russia</t>
  </si>
  <si>
    <t>BgPresidency, IsraelRussian, Itamaraty_ES, VladaRH</t>
  </si>
  <si>
    <t>GOVuz, MFATurkey, MFA_KZ, ashrafghani, kyrgyzpresident, presstj</t>
  </si>
  <si>
    <t>BelarusMFA, CancilleriaPeru, LithuaniaMFA</t>
  </si>
  <si>
    <t>MinPres, PMOIndia, POTUS, Rijksoverheid, ditmirbushati, fhollande, koninklijkhuis, narendramodi</t>
  </si>
  <si>
    <t>AlbanianMFA, BelarusMFA, CancilleriaPeru, EUCouncilPress, HashimThaciRKS, ItamaratyGovBr, Itamaraty_EN, Itamaraty_ES, LithuaniaMFA, MAERomania, MEAIndia, MFAEcuador, MFAIceland, MFAgovge, MID_RF, PolandMFA, SpainMFA, SweMFA, Utrikesdep, VladaRH, eu_eeas, francediplo, francediplo_EN, mfa_russia</t>
  </si>
  <si>
    <t>CancilleriaPeru, ChileMFA, SweMFA, VladaRH, eucopresident</t>
  </si>
  <si>
    <t>CancilleriaPeru, Itamaraty_ES, mincombolivia</t>
  </si>
  <si>
    <t>BelarusMFA, CancilleriaEc, CancilleriaPeru, CancilleriaPma, ChileMFA, LithuaniaMFA, MAECgob, MID_RF, MinCanadaFA, MinexGt, Minrel_Chile, SpainMFA, eu_eeas, mfa_russia, vencancilleria</t>
  </si>
  <si>
    <t>CancilleriaPeru, CharlesMichel, DutchMFA, EUCouncil, EUCouncilPress, EUCouncilTVNews, EU_Commission, EndaKennyTD, ForeignStrategy, Grybauskaite_LT, JC_Varela, JanelidzeMkh, JocelermeP, JuanManSantos, KvirikashviliGi, MEAIndia, MFAKOSOVO, MIREXRD, Mapon_Matata, MeGovernment, MinBZ, Minrel_Chile, MiroCerar, NajibRazak, PHammondMP, PMOIndia, PresidenciaRD, PresidenteCV, PrimeministerGR, SweMFA, TaaviRoivas, VladaRH, Xavier_Bettel, eucopresident, gouv_lu, govSlovenia, johnkeypm, manuelvalls, marianorajoy, mauriciomacri, merrionstreet, narendramodi</t>
  </si>
  <si>
    <t>BelarusMFA, DutchMFA, Itamaraty_EN, Itamaraty_ES, LithuaniaMFA, MEAIndia, MFAIceland, MFAKOSOVO, MFA_Austria, MFA_KZ, MID_RF, NorwayMFA, SpainMFA, VladaRH, francediplo_EN, mfa_russia, pressslujba</t>
  </si>
  <si>
    <t>BarackObama, CathySambaPanza, CharlesMichel, EU_Commission, Elysee, adosolutions, dreynders, fhollande, francediplo, jeanmarcayrault</t>
  </si>
  <si>
    <t>David_Cameron, EUCouncil, EU_Commission, JohnKerry, MFA_Austria, Number10gov, PHammondMP, Pontifex_pt, StateDept, WhiteHouse, eucopresident, foreignoffice, francediplo</t>
  </si>
  <si>
    <t>AlbanianMFA, CancilleriaPeru, CancilleriaPma, CzechMFA, DutchMFA, ItamaratyGovBr, Itamaraty_EN, Itamaraty_ES, LithuaniaMFA, MFAEcuador, MFAIceland, MFA_Ukraine, MFAgovge, MID_RF, MeGovernment, MinCanadaFA, NorwayMFA, VladaRH</t>
  </si>
  <si>
    <t>AlbanianMFA, BelarusMFA, CancilleriaARG, CancilleriaEc, CancilleriaPeru, CyprusMFA, DutchMFA, EUCouncilPress, GreeceMFA, HannaTetteh, IndianDiplomacy, ItalyMFA, ItamaratyGovBr, Itamaraty_EN, Itamaraty_ES, Latvian_MFA, LithuaniaMFA, MAECgob, MAERomania, MEAIndia, MFABulgaria, MFAIceland, MFAKOSOVO, MFA_Austria, MFA_KZ, MFA_Mongolia, MFA_Ukraine, MID_RF, MVEP_hr, MeGovernment, MinCanadaAE, MinCanadaFA, NorwayMFA, PolandMFA, PresidenceMali, RwandaMFA, SpainMFA, SweMFA, UM_dk, VladaRH, cancilleriasv, dfat, edgarsrinkevics, eu_eeas, foreignoffice, francediplo, francediplo_EN, mfa_russia, pressslujba</t>
  </si>
  <si>
    <t>ItamaratyGovBr, LithuaniaMFA, MEAIndia, MFA_Mongolia, MinCanadaFA, PHammondMP, eu_eeas, francediplo, francediplo_EN</t>
  </si>
  <si>
    <t>BelarusMFA, HashimThaciRKS, IndianDiplomacy, LithuaniaMFA, MEAIndia, MFA_KZ, MID_RF, VladaRH, pressslujba</t>
  </si>
  <si>
    <t>AzerbaijanMFA, BelarusMFA, CancilleriaPeru, CancilleriaPma, ChileMFA, CyprusMFA, DutchMFA, GreeceMFA, IndianDiplomacy, Israel, IsraelMFA, ItalyMFA, ItamaratyGovBr, Itamaraty_EN, Itamaraty_ES, LithuaniaMFA, MAECgob, MEAIndia, MFAIceland, MFAKOSOVO, MFA_Austria, MFA_KZ, MFA_Mongolia, MFA_Ukraine, MID_RF, MinCanadaAE, MinCanadaFA, NorwayMFA, PakDiplomacy, Petrit, RepSouthSudan, SpainMFA, SweMFA, Utenriksdept, VladaRH, eu_eeas, francediplo, francediplo_AR, francediplo_EN, pressslujba</t>
  </si>
  <si>
    <t>CancilleriaPeru, ChileMFA, CyprusMFA, DutchMFA, IndianDiplomacy, IsraelMFA, ItamaratyGovBr, Itamaraty_EN, Itamaraty_ES, LithuaniaMFA, MEAIndia, MFAIceland, MFAKOSOVO, MFA_Austria, MFA_KZ, MFA_Mongolia, MID_RF, NorwayMFA, SpainMFA, StateDept, UgandaMFA, VladaRH, eu_eeas, foreigntanzania, francediplo, francediplo_EN, mfa_russia, mfaethiopia, pressslujba</t>
  </si>
  <si>
    <t>AbeShinzo, Kantei_Saigai, japan</t>
  </si>
  <si>
    <t>CancilleriaPeru, ItamaratyGovBr, LithuaniaMFA, MEAIndia, MFAIceland, PHammondMP, SpainMFA, eu_eeas, francediplo, kantei, mfa_russia</t>
  </si>
  <si>
    <t>BarackObama, EU_Commission, JPN_PMO, MedvedevRussiaE, WhiteHouse</t>
  </si>
  <si>
    <t>AlbanianMFA, AuswaertigesAmt, BelarusMFA, CancilleriaARG, CancilleriaEc, CancilleriaPeru, CancilleriaPma, ChileMFA, CyprusMFA, CzechMFA, DutchMFA, GermanyDiplo, GreeceMFA, HannaTetteh, IKasoulides, IgnacioYbanez, IndianDiplomacy, Israel, IsraelMFA, ItalyMFA, ItamaratyGovBr, Itamaraty_EN, Itamaraty_ES, Latvian_MFA, LithuaniaMFA, MAECgob, MEAIndia, MFABulgaria, MFAIceland, MFAKOSOVO, MFA_Austria, MFA_KZ, MFA_Mongolia, MFA_Ukraine, MFAofArmenia, MID_RF, MOFAUAE, MOFAVietNam, MZZRS, MeGovernment, MinCanadaAE, MinCanadaFA, MiroslavLajcak, MofaNepal, NorwayMFA, OFMUAE, PHammondMP, PMOMalaysia, PakDiplomacy, PolandMFA, RwandaMFA, SlovakiaMFA, SpainMFA, SweMFA, Utenriksdept, VladaRH, cancilleriasv, eu_eeas, francediplo, francediplo_EN, mfa_russia, mfaethiopia, pressslujba</t>
  </si>
  <si>
    <t>AuswaertigesAmt, BelarusMFA, CancilleriaPeru, LithuaniaMFA, MID_RF, MinCanadaAE, MinCanadaFA, SpainMFA, cancilleriasv, eu_eeas, mfa_russia</t>
  </si>
  <si>
    <t>BelarusMFA, CancilleriaPeru, LithuaniaMFA, MID_RF, MinCanadaAE, SpainMFA, eu_eeas</t>
  </si>
  <si>
    <t>BelarusMFA, CancilleriaPeru, ItamaratyGovBr, LithuaniaMFA, MID_RF, namibia_mfa</t>
  </si>
  <si>
    <t>AzerbaijanMFA, BelgiumMFA, CyprusMFA, FCOArabic, FijiMFA, GermanyDiplo, HHShkMohd, MBZNews, MFATurkey, MOFAkr_eng, MofaJapan_en, PolandMFA, RHCJO, SweMFA, bahdiplomatic, dfatirl, foreignoffice, francediplo_EN, valismin</t>
  </si>
  <si>
    <t>AzerbaijanMFA, BelgiumMFA, CanadaFP, CancilleriaARG, CancilleriaCol, CancilleriaEc, CzechMFA, DutchMFA, EU_Commission, GermanyDiplo, IsraelMFA, ItalyMFA, Itamaraty_EN, JulieBishopMP, JunckerEU, KremlinRussia_E, Latvian_MFA, LithuaniaMFA, MAERomania, MEAIndia, MFAThai_PR_EN, MFA_KZ, MFA_Ukraine, MFAsg, MOFAkr_eng, Minrel_Chile, MofaJapan_en, MofaQatar_EN, NajibRazak, NorwayMFA, Ollanta_HumalaT, PHammondMP, POTUS, Portal_Kemlu_RI, SlovakiaMFA, StateDept, SweMFA, TurnbullMalcolm, Ulkoministerio, dfatirl, eu_eeas, eucopresident, fhollande, foreignoffice, francediplo_EN, johnkeypm, mfa_russia, narendramodi, presidencia_cl, valismin</t>
  </si>
  <si>
    <t>CzechMFA, elbegdorj</t>
  </si>
  <si>
    <t>CancilleriaPeru, IsraelMFA, Latvian_MFA, LithuaniaMFA, MFAIceland, MFA_KZ, MID_RF, eu_eeas, francediplo, mfa_russia</t>
  </si>
  <si>
    <t>POTUS, StateDept, opmguyana</t>
  </si>
  <si>
    <t>BarackObama, StateDept</t>
  </si>
  <si>
    <t>SweMFA, VladaRH, samoagovt</t>
  </si>
  <si>
    <t>AButkevicius, AndrzejDuda, FedericaMog, GermanyDiplo, MAERomania, Pontifex_pl, donaldtusk</t>
  </si>
  <si>
    <t>Utrikesdep, VladaRH</t>
  </si>
  <si>
    <t>CancilleriaPeru, LinkeviciusL, MFAgovge, MZZRS, PresidencySrb, SweMFA, VladaRH, ZaoralekL, prezydentpl, strakovka</t>
  </si>
  <si>
    <t>APUkraine, Arlietas, BgPresidency, IgnacioYbanez, Israel, Itamaraty_ES, KolindaGK, MEAIndia, MID_RF, MinCanadaAE, MinexGt, Palazzo_Chigi, Petrit, TheBankova, Utenriksdept, Utrikesdep, avucic, cancilleriasv, marianorajoy, pressslujba</t>
  </si>
  <si>
    <t>Ahmet_Davutoglu, BarackObama, David_Cameron, MinPres, POTUS</t>
  </si>
  <si>
    <t>AlbanianMFA, Anifah_myg, BelarusMFA, CanadaFP, CancilleriaPeru, DutchMFA, EUCouncilPress, HildaHeine, Israel, IsraelMFA, ItamaratyGovBr, Itamaraty_EN, Itamaraty_ES, JuanManSantos, JulieBishopMP, KarimMassimov, Kristian_Jensen, Kronprinsparet, MEAIndia, MFAThai, MFA_KZ, MOFAVietNam, Malaysia_Gov, MeGovernment, MiroCerar, PHammondMP, PMOIndia, PakDiplomacy, Palazzo_Chigi, PatriceTrovoada, PresidentYameen, PresidenteCV, SweMFA, VladaRH, eucopresident, fhollande, foreignoffice, marianorajoy, myGovPortal</t>
  </si>
  <si>
    <t>BarackObama, DrTedros, IranMFA, JDMahama, JunckerEU, MBuhari, MFA_Ukraine, MfaEgypt, POTUS, PR_Paul_Biya, PresidenceMali, PresidenceNiger, PresidencyZA, SAPresident, UKenyatta, hagegeingob, macky_sall, mofasudan</t>
  </si>
  <si>
    <t>CancilleriaPeru, LithuaniaMFA, MinCanadaAE, MinCanadaFA, eu_eeas</t>
  </si>
  <si>
    <t>AbeShinzo, AdelAljubeir, CharlieFlanagan, David_Cameron, DrEnsour, Gebran_Bassil, IKasoulides, NikosKotzias, PaoloGentiloni, QueenRania, RHCJO, SusanaMalcorra, dreynders, ediramaal, jeanmarcayrault, margotwallstrom, matteorenzi</t>
  </si>
  <si>
    <t>CancilleriaPeru, PresidencySrb, SweMFA, VladaRH, filip_pavel</t>
  </si>
  <si>
    <t>EPN, FedericaMog, IlvesToomas, JunckerEU, KremlinRussia_E, Number10gov, POTUS, WhiteHouse, eucopresident, juhasipila</t>
  </si>
  <si>
    <t>Ahmet_Davutoglu, BarackObama, EUCouncil, EUCouncilPress, EUCouncilTVNews, FedericaMog, IsraelMFA, IsraeliPM, JohnKerry, JunckerEU, LinkeviciusL, MAERomania, MFABulgaria, MevlutCavusoglu, MofaJapan_en, Number10gov, PHammondMP, POTUS, Pontifex, Pontifex_es, StateDept, WhiteHouse, dfat, donaldtusk, dreynders, eucopresident, fhollande, foreignoffice, francediplo, margotwallstrom</t>
  </si>
  <si>
    <t>IsraeliPM, JZarif, LinkeviciusL</t>
  </si>
  <si>
    <t>CancilleriaPeru, Gobierno_CR, PresidenciaRD, SweMFA, VladaRH</t>
  </si>
  <si>
    <t>AbeShinzo, BarackObama, Pontifex, TurnbullMalcolm</t>
  </si>
  <si>
    <t>OPMJamaica, PresidenciaMX, PresidencyZA, RT_Erdogan, Xavier_Bettel, larsloekke</t>
  </si>
  <si>
    <t>ARG_AFG, BarackObama, ForeignOfficePk, GMICafghanistan, Number10gov, PMOIndia, StateDept, WhiteHouse, ashrafghani, khamenei_ir</t>
  </si>
  <si>
    <t>AzerbaijanMFA, FijiMFA, ForeignMinistry, ForeignOfficePk, GermanyDiplo, HHShkMohd, JohnKerry, MBZNews, MOFAkr_eng, MofaJapan_en, Number10gov, PolandMFA, StateDept, bahdiplomatic, dfatirl, khalidalkhalifa</t>
  </si>
  <si>
    <t>POTUS, WhiteHouse</t>
  </si>
  <si>
    <t>CancilleriaPeru, Number10gov, SkerritR, SweMFA, VladaRH, cancilleriasv, mfa_russia, skngov</t>
  </si>
  <si>
    <t>BarackObama, KagutaMuseveni, PaulKagame, RwandaGov, StateHouseKenya, StateHouseUg, UKenyatta, UgandaMediaCent, UrugwiroVillage, WhiteHouse</t>
  </si>
  <si>
    <t>AkordaPress, KarimMassimov, KremlinRussia, MedvedevRussia, Pontifex, Pravitelstvo_RF, PutinRF</t>
  </si>
  <si>
    <t>BelarusMID, SweMFA, VladaRH</t>
  </si>
  <si>
    <t>AkordaPress, MFA_KZ, WhiteHouse</t>
  </si>
  <si>
    <t>SweMFA, VladaRH, primeministerkz</t>
  </si>
  <si>
    <t>A_Davutoglu_eng, AlbanianMFA, Anifah_myg, ForeignMinistry, ForeignOfficePk, GreeceMFA, HailemariamD, JohnKerry, LMushikiwabo, MFABulgaria, MFATurkey, MOFAEGYPT, MOFAkr_eng, MofaJapan_en, NajibRazak, NasserJudeh, Number10gov, PMOIndia, PaulKagame, PolandMFA, StateDept, SweMFA, TC_Disisleri, Ulkoministerio, bahdiplomatic, dfat, dfatirl, dreynders, foreignoffice, khalidalkhalifa, pid_gov</t>
  </si>
  <si>
    <t>BelarusMFA, CancilleriaPeru, DiploPubliqueTR, ItalyMFA, ItamaratyGovBr, Itamaraty_EN, Itamaraty_ES, LithuaniaMFA, MAECgob, MFAIceland, MFAKOSOVO, MFA_Austria, MFA_KZ, MFA_Mongolia, MID_RF, MinCanadaAE, MinCanadaFA, NorwayMFA, SpainMFA, UM_dk, VladaRH, francediplo, pressslujba</t>
  </si>
  <si>
    <t>AlbanianMFA, BR_Sprecher, CancilleriaPeru, MFAgovge, MeGovernment, PHammondMP, PresidencySrb, SpainMFA, SusanaMalcorra, SweMFA, govSlovenia</t>
  </si>
  <si>
    <t>CancilleriaPeru, IsraeliPM, ItamaratyGovBr, NorwayMFA, PresidenciaRD, RamiHamdalla, SweMFA, VladaRH</t>
  </si>
  <si>
    <t>BarackObama, CharlieFlanagan, HassanRouhani, Number10gov, POTUS, Quirinale, fhollande, khamenei_ir</t>
  </si>
  <si>
    <t>BarackObama, HHShkMohd, NajibRazak, PaulKagame, StateDept</t>
  </si>
  <si>
    <t>CanadaFP, SweMFA, VladaRH</t>
  </si>
  <si>
    <t>BarackObama, MFA_SriLanka, SaintLuciaGov, mfagovtt</t>
  </si>
  <si>
    <t>CancilleriaPeru, ItamaratyGovBr, MFAIceland, VladaRH</t>
  </si>
  <si>
    <t>EU_Commission, ItamaratyGovBr, MFAIceland, PHammondMP, VladaRH</t>
  </si>
  <si>
    <t>ABZayed, A_Davutoglu_eng, Arlietas, AuswaertigesAmt, BarackObama, DanielMitov, David_Cameron, EUCouncilPress, EU_Commission, FedericaMog, ForeignMinistry, GermanyDiplo, GovernmentRF, GreeceMFA, HHShkMohd, HassanRouhani, IlvesToomas, IndianDiplomacy, Israel, IsraeliPM, ItalyMFA, JulieBishopMP, JunckerEU, JustinTrudeau, KlausIohannis, KolindaGK, KremlinRussia_E, Kristian_Jensen, MAERomania, MBZNews, MFABulgaria, MFAIceland, MFAMalta, MFAThai_PR_EN, MFATurkey, MFA_Austria, MFA_Ukraine, MFAsg, MOFAEGYPT, MOFAUAE, MZZRS, MevlutCavusoglu, MofaJapan_en, NasserJudeh, NikosKotzias, Number10gov, OFMUAE, PHammondMP, POTUS, PaulKagame, PolandMFA, Pontifex, PresidencyGhana, PrimeministerGR, RT_Erdogan, SlovakiaMFA, StateDept, Ulkoministerio, Utenriksdept, Utrikesdep, WhiteHouse, ZaoralekL, bahdiplomatic, dfatirl, ediramaal, eucopresident, foreignoffice, francediplo_EN, jeanmarcayrault, khalidalkhalifa, margotwallstrom, mfa_russia, netanyahu, sebastiankurz, valismin</t>
  </si>
  <si>
    <t>AbeShinzo, JulieBishopMP, eucopresident</t>
  </si>
  <si>
    <t>BarackObama, PMOIndia</t>
  </si>
  <si>
    <t>BarackObama, BhutanGov, narendramodi</t>
  </si>
  <si>
    <t>CanadaFP, MinCanadaFA</t>
  </si>
  <si>
    <t>CancilleriaPeru, HonStephaneDion, USAenFrancais, jeanmarcayrault</t>
  </si>
  <si>
    <t>BarackObama, JohnKerry, PMOIndia, POTUS, USAUrdu, narendramodi</t>
  </si>
  <si>
    <t>CancilleriaPeru, ItamaratyGovBr, MaithripalaS, SweMFA, VladaRH, pid_gov</t>
  </si>
  <si>
    <t>CancilleriaPeru, GouvGabon, VladaRH</t>
  </si>
  <si>
    <t>LithuaniaMFA, Palazzo_Chigi</t>
  </si>
  <si>
    <t>David_Cameron, Number10gov, elbegdorj</t>
  </si>
  <si>
    <t>AbeShinzo, David_Cameron, HHShkMohd, JPN_PMO, JohnKerry, JustinTrudeau, KremlinRussia_E, MBZNews, MBuhari, MedvedevRussiaE, MinPres, MofaJapan_en, NajibRazak, Number10gov, PresidencyZA, RashtrapatiBhvn, SAPresident, SushmaSwaraj, TurnbullMalcolm, UKenyatta, WhiteHouse, ashrafghani, elbegdorj, fhollande</t>
  </si>
  <si>
    <t>BarackObama, HHShkMohd, JuanManSantos, MFAsg, MOFAkr_eng, MedvedevRussiaE, Number10gov, Pontifex, Presidencia_Ec, QueenRania, RT_Erdogan, StateDept, WhiteHouse, leehsienloong, presidenciacr</t>
  </si>
  <si>
    <t>CancilleriaPeru, Malaysia_Gov, PresidenteCV, StateHouseSey, SweMFA, VladaRH</t>
  </si>
  <si>
    <t>APUkraine, Arlietas, BgPresidency, CancilleriaARG, CancilleriaEc, CancilleriaPma, ChileMFA, CiolosDacian, HashimThaciRKS, IKasoulides, IlvesToomas, IndianDiplomacy, Itamaraty_EN, Itamaraty_ES, JC_Varela, LT_MFA_Stratcom, MAECgob, MFAEcuador, MFAIraq, MFAofArmenia, MID_RF, MOFAUAE, MVEP_hr, MargvelashviliG, MfaEgypt, MinCanadaAE, MinCanadaFA, MinexGt, Minrel_Chile, OFMUAE, PakDiplomacy, Petrit, RwandaMFA, SRE_mx, SeychellesMFA, SpainMFA, TPKanslia, TheBankova, UM_dk, Utenriksdept, Utrikesdep, avucic, borgebrende, cancilleriasv, dfat, edgarsrinkevics, govSlovenia, mfagovtt, pressslujba, sebastiankurz</t>
  </si>
  <si>
    <t>MFA_Austria, PHammondMP, SweMFA, TerzaLoggia, VladaRH, sebastiankurz</t>
  </si>
  <si>
    <t>BeataSzydlo, MSZ_RP, PHammondMP, SweMFA, TerzaLoggia, VladaRH, prezydentpl</t>
  </si>
  <si>
    <t>BarackObama, David_Cameron, JohnKerry, POTUS, RT_Erdogan, StateDept, WhiteHouse, eucopresident</t>
  </si>
  <si>
    <t>JZarif, JustinTrudeau, Number10gov, POTUS, StateDept</t>
  </si>
  <si>
    <t>BarackObama, Elysee, SAPresident</t>
  </si>
  <si>
    <t>CancilleriaPeru, DiploPubliqueTR, GouvGabon, PresAlphaConde, PresidenceMali, PresidenciaRD, PrimatureRDC, PrimatureRwanda, SweMFA, UrugwiroVillage, VladaRH, gouvbenin, hagegeingob, macky_sall, namibia_mfa, somaligov_</t>
  </si>
  <si>
    <t>MedvedevRussiaE, Russia</t>
  </si>
  <si>
    <t>BelarusMID, BgPresidency, Brivibas36, CancilleriaPeru, IsraelRussian, Latvian_MFA, PHammondMP, PresidencySrb, SweMFA, VladaRH, mfa_russia, ortcomkz, pressslujba</t>
  </si>
  <si>
    <t>CancilleriaPeru, ItamaratyGovBr, MFAThai, VladaRH</t>
  </si>
  <si>
    <t>BarackObama, DacicIvica, EgyPresidency, GovernmentRF, KremlinRussia_E, NicolasMaduro, PutinRF, PutinRF_Eng, SerbianGov, TPKanslia, fhollande, presidenceTN</t>
  </si>
  <si>
    <t>AndrzejDuda, BarackObama, David_Cameron, JunckerEU, SlavekSobotka, StateDept, WhiteHouse, strakovka</t>
  </si>
  <si>
    <t>AuswaertigesAmt, Brivibas36, CancilleriaPeru, EUCouncil, EUCouncilTVNews, EU_Commission, Elysee, MargvelashviliG, MiroCerar, PHammondMP, Palazzo_Chigi, SweMFA, VladaRH, eu_eeas, govSlovenia, manuelvalls, marianorajoy</t>
  </si>
  <si>
    <t>CancilleriaPeru, PMofTimorLeste, PresidenceMali, SweMFA, VladaRH</t>
  </si>
  <si>
    <t>ADO__Solutions, IBK_2013, POTUS, PR_Paul_Biya, SassouCG, adosolutions, fhollande, macky_sall, manuelvalls</t>
  </si>
  <si>
    <t>Issoufoumhm, PresidenceMali, gouvbenin, rochkaborepf, votealpha2015</t>
  </si>
  <si>
    <t>BarackObama, JohnKerry, POTUS, WhiteHouse</t>
  </si>
  <si>
    <t>EU_Commission, JunckerEU</t>
  </si>
  <si>
    <t>CancilleriaPeru, PresidencySrb, VladaRH</t>
  </si>
  <si>
    <t>CancilleriaPeru, GouvGN, votealpha2015</t>
  </si>
  <si>
    <t>CancilleriaPeru, Israel, IsraelMFA, PresidenceMali, rochkaborepf</t>
  </si>
  <si>
    <t>EUCouncilTVNews, Elysee, PMOIndia, PresidencyZA, StateDept, francediplo</t>
  </si>
  <si>
    <t>Elysee, PresidenceMali, fhollande, gouvernementFR, manuelvalls</t>
  </si>
  <si>
    <t>CancilleriaPeru, namibia_mfa</t>
  </si>
  <si>
    <t>CancilleriaPeru, FCOArabic, GouvGabon, PHammondMP, PresidencySrb, SweMFA, VladaRH, predsednikrs</t>
  </si>
  <si>
    <t>CancilleriaPeru, MIREXRD, PresidenciaRD, SweMFA, VladaRH, cancilleriacrc</t>
  </si>
  <si>
    <t>CanadaFP, CancilleriaPeru, ItamaratyGovBr, Prensa_Palacio, SkerritR, SweMFA, VladaRH, presidenciacr, sanchezceren</t>
  </si>
  <si>
    <t>CRcancilleria, CanadaFP, CancilleriaEc, CancilleriaPeru, CasaCivilPRA, Elysee, GeoffreyOnyeama, Horacio_Cartes, Israel, IsraelMFA, Itamaraty_EN, Itamaraty_ES, JC_Varela, JocelermeP, JuanManSantos, JuanOrlandoH, KeithRowleyPNM, MID_RF, MIREXRD, MeGovernment, MinexGt, Minrel_Chile, Number10gov, PHammondMP, Palazzo_Chigi, PresidenciaPma, PresidenciaPy, PresidenciaRD, Presidencia_HN, PrimeministerGR, RepSouthSudan, SRECIHonduras, SweMFA, TPKanslia, VladaRH, cancilleriacrc, cancilleriasv, eucopresident, foreignoffice, francediplo, francediplo_ES, lacasablanca, marianorajoy, pcmperu, prensapalacio, presidenciacr, sanchezceren</t>
  </si>
  <si>
    <t>CancilleriaEc, CancilleriaPeru, ChileMFA, IsraelMFA, ItamaratyGovBr, Itamaraty_EN, Itamaraty_ES, MIREXRD, SRECIHonduras</t>
  </si>
  <si>
    <t>CancilleriaPeru, FCOArabic, SweMFA, VladaRH</t>
  </si>
  <si>
    <t>BarackObama, Number10gov, WhiteHouse, adosolutions</t>
  </si>
  <si>
    <t>AMB_A_Mohammed, CancilleriaPeru, CommsUnitSL, GouvGabon, HannaTetteh, IsraeliPM, ItamaratyGovBr, Petrit, PresidenceMali, PresidenciaRD, RepSouthSudan, StateHouseSey, SweMFA, UrugwiroVillage, VladaRH, cancilleriacrc</t>
  </si>
  <si>
    <t>AMB_A_Mohammed, AlbanianMFA, BdiPresidence, CancilleriaPeru, CasaCivilPRA, CommsUnitSL, Elysee, GeoffreyOnyeama, GouvGabon, HannaTetteh, IndianDiplomacy, Israel, IsraelMFA, ItamaratyGovBr, JocelermeP, KeithRowleyPNM, MEAIndia, MFAKOSOVO, Number10gov, PHammondMP, PMOIndia, Palazzo_Chigi, PresidenceMada, PresidenceMali, PresidencySrb, PresidenteCV, PrimatureRDC, PrimeministerGR, RepSouthSudan, SRE_mx, SeychellesMFA, SpainMFA, SweMFA, UrugwiroVillage, VladaRH, aguribfakim, foreignoffice, francediplo, gouvbenin, namibia_mfa</t>
  </si>
  <si>
    <t>PM_Nepal, kpsharmaoli</t>
  </si>
  <si>
    <t>CancilleriaPeru, SweMFA, VladaRH, press_president</t>
  </si>
  <si>
    <t>SweMFA, VladaRH, press_president</t>
  </si>
  <si>
    <t>AzerbaijanMFA, BelarusMID, BgPresidency, BorutPahor, DutchMFA, HassanalBolkia2, ItamaratyGovBr, Itamaraty_EN, Itamaraty_ES, MFA_Austria, MFA_Mongolia, MFA_Ukraine, MID_RF, MargvelashviliG, MeGovernment, MevlutCavusoglu, MiroCerar, PHammondMP, PresidenceMali, SweMFA, VladaRH, edgarsrinkevics, foreignoffice, mfa_russia</t>
  </si>
  <si>
    <t>CancilleriaPeru, CostaPS2015, GouvGabon, SweMFA, VladaRH</t>
  </si>
  <si>
    <t>CancilleriaPeru, DrTedros, GovernmentZA, Israel, JocelermeP, RwandaMFA, foreigntanzania, mfaethiopia</t>
  </si>
  <si>
    <t>CancilleriaPeru, Israel, JocelermeP, MFAKOSOVO, MiroslavLajcak, RwandaMFA, VladaRH</t>
  </si>
  <si>
    <t>GovPH_PCOO, PresidenteCV, SweMFA, VladaRH</t>
  </si>
  <si>
    <t>AuswaertigesAmt, CancilleriaPeru, DutchMFA, GreeceMFA, Grybauskaite_LT, JocelermeP, MFA_Austria, MargvelashviliG, MiroCerar, VladaRH</t>
  </si>
  <si>
    <t>PresidentAM_arm, PresidentAM_eng, PresidentAM_rus</t>
  </si>
  <si>
    <t>DutchMFA, MEAIndia</t>
  </si>
  <si>
    <t>CancilleriaPeru, MFA_Tajikistan, MID_RF, MID_Tajikistan, SweMFA, VladaRH, mfa_russia</t>
  </si>
  <si>
    <t>Gouvci, Presidenceci, SweMFA, VladaRH</t>
  </si>
  <si>
    <t>PresidenceMali, SweMFA, VladaRH</t>
  </si>
  <si>
    <t>BarackObama, CharlesMichel, David_Cameron, JDMahama, Matignon, PR_Paul_Biya, Presidenceci, PresidencyZA, SAPresident, SassouCG, Sekhoutoureya, UKenyatta, adosolutions, dreynders, fhollande, francediplo, gouvernementFR, macky_sall, manuelvalls</t>
  </si>
  <si>
    <t>CancilleriaPeru, GouvGabon, PrimatureRwanda, VladaRH</t>
  </si>
  <si>
    <t>APUkraine, AlbanianMFA, AuswaertigesAmt, BgPresidency, CancilleriaPeru, CyprusMFA, GovCyprus, GuillaumeLong, HashimThaciRKS, IKasoulides, Israel, IsraelMFA, KarimMassimov, KarimMassimov_E, MFA_Austria, MinexGt, PHammondMP, Petrit, PresidenciaRD, SusanaMalcorra, SweMFA, TheBankova, avucic, cancilleriacrc, foreignoffice, francediplo, presidenciacr, vencancilleria</t>
  </si>
  <si>
    <t>AkordaPress, MedvedevRussia, ortcomkzE</t>
  </si>
  <si>
    <t>CanadaFP, CancilleriaPeru, SweMFA, VladaRH, pressslujba</t>
  </si>
  <si>
    <t>BarackObama, HHShkMohd, NasserJudeh, Number10gov, QueenRania, RHCJO, khalidalkhalifa</t>
  </si>
  <si>
    <t>CancilleriaPeru, FCOArabic, IsraelMFA, ItamaratyGovBr, Itamaraty_EN, Itamaraty_ES, JuanManSantos, MFA_Austria, MeGovernment, PHammondMP, Palazzo_Chigi, PresidenceMali, PresidenciaRD, SRE_mx, SpainMFA, SusanaMalcorra, SweMFA, VladaRH, eucopresident, foreignoffice, presidenciacr</t>
  </si>
  <si>
    <t>BarackObama, David_Cameron, JDMahama, JPN_PMO, JohnKerry, KagutaMuseveni, LMushikiwabo, MBuhari, Number10gov, PMOIndia, PaulKagame, Pontifex, RwandaGov, UKenyatta, UrugwiroVillage, WhiteHouse, foreignoffice, mfaethiopia, narendramodi</t>
  </si>
  <si>
    <t>AbdoulayeDiop8, GouvGabon, VladaRH</t>
  </si>
  <si>
    <t>JohnKerry, MiroslavLajcak, PHammondMP</t>
  </si>
  <si>
    <t>Russia, SAPresident, narendramodi</t>
  </si>
  <si>
    <t>MashiRafael, NicolasMaduro</t>
  </si>
  <si>
    <t>CancilleriaPeru, ItamaratyGovBr, Itamaraty_ES, MinCanadaFA</t>
  </si>
  <si>
    <t>CancilleriaPeru, MFAgovge, SweMFA, VladaRH, adrian_hasler</t>
  </si>
  <si>
    <t>David_Cameron, FedericaMog, IsraeliPM, KremlinRussia_E, Number10gov, POTUS, Pontifex</t>
  </si>
  <si>
    <t>AMB_A_Mohammed, BWGovernment, EUCouncilPress, Elysee, EstonianGovt, FinGovernment, GobiernodeChile, Gouvci, GovernmentRF, HHShkMohd, HailemariamD, Israel, JDMahama, JohnKerry, KagutaMuseveni, KremlinRussia_E, LMushikiwabo, MOFAEGYPT, Number10gov, PMOIndia, PaulKagame, Presidenceci, PresidenciaMX, PresidencyGhana, PresidencyZA, QueenRania, RwandaGov, SomaliPM, StateDept, StateHouseKenya, StateHouseUg, UKenyatta, WhiteHouse, adosolutions, emansionliberia, eucopresident, foreignoffice, infopresidencia, macky_sall</t>
  </si>
  <si>
    <t>CancilleriaEc, CancilleriaPeru, ChileMFA, DutchMFA, IndianDiplomacy, IsraelMFA, ItamaratyGovBr, MEAIndia, MFAIceland, MFA_Mongolia, MFA_Ukraine, MID_RF, NorwayMFA, SpainMFA, SweMFA, Utenriksdept, VladaRH, presidenciacr, pressslujba</t>
  </si>
  <si>
    <t>FijiRepublic, foreignoffice</t>
  </si>
  <si>
    <t>CancilleriaPeru, rdussey</t>
  </si>
  <si>
    <t>BarackObama, EUCouncil, EU_Commission, FedericaMog, IlvesToomas, POTUS</t>
  </si>
  <si>
    <t>Arlietas, CancilleriaPeru, MargvelashviliG, MarisKucinskis, SweMFA, TPKanslia, Vejonis, VladaRH, edgarsrinkevics</t>
  </si>
  <si>
    <t>CanadaFP, CancilleriaPeru, MID_RF, MinBZ, PHammondMP, SweMFA, VladaRH, mfa_russia</t>
  </si>
  <si>
    <t>BarackObama, Elysee, JustinTrudeau, Mapon_Matata, PresAlphaConde, PresidenceGA, PresidentABO, adosolutions, fhollande, macky_sall, manuelvalls</t>
  </si>
  <si>
    <t>JZarif, khamenei_ir</t>
  </si>
  <si>
    <t>IranMFA, SweMFA, USAdarFarsi, VladaRH, foreignoffice</t>
  </si>
  <si>
    <t>BoykoBorissov, CancilleriaPeru, EUCouncilTVNews, SweMFA, VladaRH</t>
  </si>
  <si>
    <t>IsraelRussian, PresidentRuvi</t>
  </si>
  <si>
    <t>BarackObama, DrTedros, KagutaMuseveni</t>
  </si>
  <si>
    <t>UgandaMFA, borgebrende</t>
  </si>
  <si>
    <t>BarackObama, David_Cameron, JohnKerry, POTUS, StateDept, SushmaSwaraj, WhiteHouse</t>
  </si>
  <si>
    <t>AMB_A_Mohammed, BdiPresidence, EU_Commission, KagutaMuseveni, StateHouseKenya, WhiteHouse</t>
  </si>
  <si>
    <t>AbdoulayeDiop8, BurundiForeign, CancilleriaPeru, GouvGabon, GovernmentZA, ItamaratyGovBr, MFAKOSOVO, Maroc_eGov, OPMUganda, PHammondMP, PSCU_Digital, PresidentKE, RepSouthSudan, SpainMFA, StateHouseUg, SweMFA, VladaRH, egyptgovportal, foreignoffice, foreigntanzania, samoagovt</t>
  </si>
  <si>
    <t>AuswaertigesAmt, CancilleriaEc, CancilleriaPeru, ChileMFA, GreeceMFA, HashimThaciRKS, IgnacioYbanez, ItamaratyGovBr, Itamaraty_EN, Itamaraty_ES, MAECgob, MFABulgaria, MFAEcuador, MFAKOSOVO, MFA_KZ, MID_RF, MVEP_hr, MinCanadaAE, MinCanadaFA, SpainMFA, Utenriksdept, VladaRH, edgarsrinkevics, eu_eeas, pressslujba</t>
  </si>
  <si>
    <t>BarackObama, David_Cameron, JohnKerry, RT_Erdogan, foreignoffice</t>
  </si>
  <si>
    <t>CancilleriaPeru, ForeignOfficePk, ItamaratyGovBr, Itamaraty_EN, Itamaraty_ES, MFAIceland, MFAgovge, Utrikesdep</t>
  </si>
  <si>
    <t>BarackObama, CharlesMichel, David_Cameron, EU_Commission, Elysee, EndaKennyTD, FedericaMog, GermanyDiplo, JohnKerry, JunckerEU, JustinTrudeau, KremlinRussia_E, Matignon, Number10gov, POTUS, PaoloGentiloni, Pontifex, StateDept, WhiteHouse, erna_solberg, eucopresident, fhollande, foreignoffice, gouvernementFR, juhasipila, matteorenzi, md_higgins</t>
  </si>
  <si>
    <t>CancilleriaPeru, FCOArabic, ItamaratyGovBr, MiroCerar, SusanaMalcorra, SweMFA, VladaRH, prezydentpl</t>
  </si>
  <si>
    <t>AdelAljubeir, KSAMOFA, KingSalman</t>
  </si>
  <si>
    <t>CancilleriaPeru, HukoomiQatar, Maroc_eGov, MeGovernment, SweMFA, UAEmGov, VladaRH, foreignoffice</t>
  </si>
  <si>
    <t>A_Davutoglu_eng, BarackObama, BorutPahor, David_Cameron, EUCouncil, EU_Commission, Gebran_Bassil, HassanRouhani, IlvesToomas, IndianDiplomacy, JZarif, JunckerEU, JustinTrudeau, MAECgob, MBuhari, MFATurkey, MevlutCavusoglu, MofaJapan_en, PavloKlimkin, PolandMFA, Pontifex_de, RegSprecher, StateDept, SushmaSwaraj, SweMFA, Ulkoministerio, WhiteHouse, dfatirl, donaldtusk, dreynders, ediramaal, eucopresident, narendramodi, poroshenko</t>
  </si>
  <si>
    <t>BarackObama, Elysee, PaulKagame, WhiteHouse, adosolutions, fhollande, foreignoffice, francediplo</t>
  </si>
  <si>
    <t>BelarusMID, BorutPahor, EUCouncilPress, GermanyDiplo, GovernmentRF, KremlinRussia_E, MedvedevRussiaE, VladaMK, WhiteHouse, eucopresident, mfa_russia</t>
  </si>
  <si>
    <t>AlbanianMFA, DrZvizdic, Israel, IsraelMFA, MFA_Austria, MFAofArmenia, MVEP_hr, MeGovernment, VladaCG, foreignoffice, marianorajoy, vladaOCDrs, vladaRS</t>
  </si>
  <si>
    <t>CancilleriaPeru, IstanaRakyat, SweMFA, VladaRH</t>
  </si>
  <si>
    <t>BarackObama, David_Cameron, JunckerEU, Number10gov, fhollande, forsaetisradun</t>
  </si>
  <si>
    <t>AbeShinzo, BarackObama, BarrowDean, Cabinet, JohnKerry, MashiRafael, NicolasMaduro, Number10gov, OPMJamaica, POTUS, PresidencialVen, RaulCastroR, SaintLuciaGov, StateDept, WhiteHouse, antiguagov, cabinetofficeuk, foreignoffice, gisbarbados, govgd, palaisnational, pgchristie, vencancilleria</t>
  </si>
  <si>
    <t>BarackObama, EU_Commission, GermanyDiplo, GovernmentZA, OPMJamaica, SaintLuciaGov, StateDept, WhiteHouse, antiguagov, foreignoffice</t>
  </si>
  <si>
    <t>AMB_A_Mohammed, HHShkMohd, LMushikiwabo, PR_Paul_Biya, PaulKagame, SomaliPM, StateHouseKenya, TROfficeofPD, TheVillaSomalia, UAEmGov, UKenyatta, eu_eeas, foreignoffice, jammehofficial</t>
  </si>
  <si>
    <t>BarackObama, StateDept, WhiteHouse</t>
  </si>
  <si>
    <t>CancilleriaPeru, GouvGabon, ItamaratyGovBr, MinisterMOFA, PHammondMP, PMOComms, PrimatureRwanda, RepSouthSudan, RwandaMFA, StateHouseSey, SusanaMalcorra, SweMFA, TROfficeofPD, VladaRH, djiboutidiplo, eu_eeas, foreignoffice, francediplo, marianorajoy, somaligov_</t>
  </si>
  <si>
    <t>BelarusMFA, BelarusMID, ChileMFA, ItamaratyGovBr, Itamaraty_EN, Itamaraty_ES, LithuaniaMFA, MEAIndia, MFAIceland, MFA_KZ, MFA_Ukraine, MID_RF, NorwayMFA, SpainMFA, Utenriksdept, VladaRH, mfa_russia, pressslujba</t>
  </si>
  <si>
    <t>ForeignOfficeKE, HassanRouhani, JZarif, KSAMOFA, MFA_SriLanka, MOFAIC, MofaJapan_en, bahdiplomatic</t>
  </si>
  <si>
    <t>Number10gov, USAHindiMein, WhiteHouse</t>
  </si>
  <si>
    <t>CanadaFP, CancilleriaPeru, DutchMFA, ForeignMinistry, IndianDiplomacy, IsraelMFA, ItamaratyGovBr, Itamaraty_EN, Itamaraty_ES, Kristian_Jensen, LithuaniaMFA, MAERomania, MEAIndia, MFAIceland, MFAKOSOVO, MFA_Austria, MFA_KZ, MFA_Ukraine, MID_RF, MeGovernment, MinCanadaAE, MinCanadaFA, NorwayMFA, PHammondMP, SpainMFA, UM_dk, Utenriksdept, VladaRH, eu_eeas, foreignoffice, francediplo_EN, lacasablanca, mfa_russia, pressslujba</t>
  </si>
  <si>
    <t>ForeignOfficeKE, KagutaMuseveni, MBuhari, PHammondMP, POTUS, PaulKagame, Pontifex, SAPresident, UKenyatta, narendramodi</t>
  </si>
  <si>
    <t>PaulKagame, Pontifex, RwandaGov, UKenyatta, UrugwiroVillage</t>
  </si>
  <si>
    <t>Number10gov, WhiteHouse</t>
  </si>
  <si>
    <t>CancilleriaPeru, NorwayMFA, PHammondMP, SweMFA, VladaRH, eucopresident</t>
  </si>
  <si>
    <t>EUCouncilTVNews, Xavier_Bettel, eucopresident</t>
  </si>
  <si>
    <t>CancilleriaPeru, EUCouncil, EUCouncilPress, MFAgovge, SweMFA, VladaRH</t>
  </si>
  <si>
    <t>A_Davutoglu_ar, RT_Erdogan, tcbestepe</t>
  </si>
  <si>
    <t>ByegmRU, CanadaFP, CancilleriaPeru, CancilleriaPma, DiploPubliqueTR, DutchMFA, ItamaratyGovBr, Itamaraty_EN, Itamaraty_ES, MEAIndia, MFAIceland, MFAKOSOVO, MFA_KZ, MFAgovge, MID_RF, NorwayMFA, PDTurkeyArabic, PHammondMP, PakDiplomacy, TROfficeofPD, VladaRH, eu_eeas, foreignoffice, francediplo, pressslujba</t>
  </si>
  <si>
    <t>BasbakanlikKDK, Byegm, ByegmENG, ByegmRU, CanadaFP, CancilleriaPeru, DiploPubliqueTR, Elysee, Israel, IsraelMFA, JocelermeP, JuanManSantos, MFAgovge, MevlutCavusoglu, PDTurkeyArabic, PHammondMP, SweMFA, TC_Disisleri, TROfficeofPD, VladaRH</t>
  </si>
  <si>
    <t>CancilleriaPeru, SweMFA, VladaRH, vladaRS</t>
  </si>
  <si>
    <t>Elysee, manuelvalls</t>
  </si>
  <si>
    <t>Pontifex, Pontifex_ar, Pontifex_de, Pontifex_es, Pontifex_fr, Pontifex_it, Pontifex_ln, Pontifex_pl, Pontifex_pt</t>
  </si>
  <si>
    <t>CancilleriaEc, CancilleriaPeru, DutchMFA, ItalyMFA, ItamaratyGovBr, Itamaraty_EN, Itamaraty_ES, LithuaniaMFA, MEAIndia, MFAIceland, MFA_Austria, MFA_KZ, NorwayMFA, PHammondMP, Palazzo_Chigi, SpainMFA, VladaRH, eu_eeas, foreignoffice, francediplo, francediplo_EN, mfa_russia, pressslujba</t>
  </si>
  <si>
    <t>Andrej_Kiska, AndrzejDuda, BarackObama, BelarusMID, BoykoBorissov, David_Cameron, Diplomacy_RM, EUCouncil, EUCouncilPress, EU_Commission, FedericaMog, GermanyDiplo, Grybauskaite_LT, IlvesToomas, IsraelMFA, IsraeliPM, JPN_PMO, JapanGov, JohnKerry, JulieBishopMP, JunckerEU, Latvian_MFA, LinkeviciusL, LithuaniaMFA, MFABulgaria, MFATurkey, MFA_Austria, MFA_LI, MFAgovge, MSZ_RP, MZZRS, Number10gov, PHammondMP, POTUS, PavloKlimkin, PolandMFA, Pontifex, PrimeministerGR, SlovakiaMFA, StateDept, VladaRH, WhiteHouse, dfatirl, donaldtusk, eucopresident, foreignoffice, francediplo_EN, leehsienloong, mfa_russia, netanyahu, noynoyaquino, poroshenko, valismin</t>
  </si>
  <si>
    <t>KagutaMuseveni, LMushikiwabo, MagufuliJP, Number10gov, POTUS, UKenyatta, UrugwiroVillage, WhiteHouse, foreignoffice</t>
  </si>
  <si>
    <t>IsraelMFA, IsraeliPM</t>
  </si>
  <si>
    <t>FEGnassingbe, PresidenceTg</t>
  </si>
  <si>
    <t>CancilleriaPeru, IakobaItaleli, Minrel_Chile, VladaRH</t>
  </si>
  <si>
    <t>A_Davutoglu_ar, A_Davutoglu_eng, BelgiumMFA, EUCouncil, GermanyDiplo, GreeceMFA, JDMahama, MFATurkeyFrench, PaoloGentiloni, Presidenceci, RT_Erdogan, SomaliPM, TC_Disisleri, TheVillaSomalia, atsipras, prensapalacio, tcbestepe, trpresidency</t>
  </si>
  <si>
    <t>AlbanianMFA, Arlietas, DutchMFA, ItamaratyGovBr, Itamaraty_EN, Itamaraty_ES, LT_MFA_Stratcom, Latvian_MFA, LithuaniaMFA, MAECgob, MAERomania, MFAIceland, MFAKOSOVO, MFA_KZ, MFA_Mongolia, MZZRS, MeGovernment, MinCanadaAE, MinCanadaFA, MiroslavLajcak, MofaNepal, NorwayMFA, PHammondMP, Palazzo_Chigi, SusanaMalcorra, SweMFA, Utrikesdep, VladaRH, francediplo, govSlovenia, mfa_russia, pressslujba, somaligov_</t>
  </si>
  <si>
    <t>BarackObama, KremlinRussia_E, MedvedevRussia, Number10gov, eucopresident</t>
  </si>
  <si>
    <t>CancilleriaPeru, ItamaratyGovBr, MFA_Mongolia, PHammondMP, SweMFA, VladaRH</t>
  </si>
  <si>
    <t>POTUS, SushmaSwaraj, Xavier_Bettel, leehsienloong</t>
  </si>
  <si>
    <t>AlbanianMFA, CanadaFP, CancilleriaPeru, MFASriLanka, PMOBhutan, SweMFA, VladaRH</t>
  </si>
  <si>
    <t>EU_Commission, GermanyDiplo</t>
  </si>
  <si>
    <t>David_Cameron, KremlinRussia_E, MedvedevRussiaE, Pontifex, WhiteHouse</t>
  </si>
  <si>
    <t>CancilleriaPeru, HildaHeine, InokeRatu, MEAIndia, MFAKOSOVO, MOFAVietNam, PMOIndia, SpainMFA, dfat, edgarsrinkevics, johnkeypm, manuelvalls, marianorajoy, noynoyaquino</t>
  </si>
  <si>
    <t>ABZayed, HHShkMohd</t>
  </si>
  <si>
    <t>AMB_A_Mohammed, SweMFA, VladaRH</t>
  </si>
  <si>
    <t>MBZNews, Saudiegov</t>
  </si>
  <si>
    <t>KagutaMuseveni, PaulKagame, UKenyatta, WhiteHouse</t>
  </si>
  <si>
    <t>CanadaFP, CancilleriaPeru, GouvGabon, LMushikiwabo, OPMUganda, VladaRH, mfaethiopia</t>
  </si>
  <si>
    <t>BarackObama, Pontifex_it, matteorenzi</t>
  </si>
  <si>
    <t>MFAIceland, MinCanadaAE</t>
  </si>
  <si>
    <t>BarackObama, BelgiumMFA, MFATurkey, Number10gov, SlovakiaMFA, WhiteHouse, cabinetofficeuk, dfatirl, eucopresident, francediplo_EN, juhasipila, margotwallstrom</t>
  </si>
  <si>
    <t>AuswaertigesAmt, BelarusMFA, CancilleriaARG, CancilleriaEc, CancilleriaPeru, ChileMFA, EUCouncilPress, EUCouncilTVNews, GreeceMFA, IndianDiplomacy, IsraelMFA, ItamaratyGovBr, Itamaraty_EN, Kristian_Jensen, LithuaniaMFA, MAECgob, MAERomania, MEAIndia, MFA_KZ, MFAgovge, MID_RF, MOFAVietNam, MargvelashviliG, MeGovernment, MinCanadaAE, MinCanadaFA, Minrel_Chile, PHammondMP, PakDiplomacy, Palazzo_Chigi, Petrit, SpainMFA, VladaRH, avucic, cancilleriasv, govSlovenia, mfaethiopia, pressslujba, sebastiankurz</t>
  </si>
  <si>
    <t>BelgiumMFA, CanadaFP, CanadaPE, David_Cameron, FedericaMog, ForeignStrategy, JohnKerry, MoFA_Indonesia, Number10gov, POTUS, PakDiplomacy, PolandMFA, StateDept, StateDeptLive, dfatirl, foreignoffice, larsloekke, margotwallstrom</t>
  </si>
  <si>
    <t>Arlietas, AuswaertigesAmt, BelarusMID, CancilleriaARG, CancilleriaPeru, CancilleriaPma, Diplomacy_RM, EUCouncilPress, GreeceMFA, ItamaratyGovBr, Itamaraty_EN, Itamaraty_ES, LT_MFA_Stratcom, LithuaniaMFA, MEAIndia, MFA_Austria, MFA_KZ, MFA_Ukraine, MID_RF, MVEP_hr, MeGovernment, MinCanadaAE, MinCanadaFA, SlovakiaMFA, SpainMFA, VladaRH, mfa_russia</t>
  </si>
  <si>
    <t>ItamaratyGovBr, PHammondMP, USAUrdu</t>
  </si>
  <si>
    <t>BarackObama, EU_Commission, HHShkMohd, HaiderAlAbadi, KBZayed, MBZNews, MFATurkeyArabic, MFA_Ukraine, MofaQatar_AR, NasserJudeh, POTUS, QueenRania, USAHindiMein, WhiteHouse, bahdiplomatic, khalidalkhalifa</t>
  </si>
  <si>
    <t>EUCouncilPress, ForeignMinistry, Israel, IsraelArabic, USAdarFarsi, USAenFrancais</t>
  </si>
  <si>
    <t>BarackObama, David_Cameron, HassanRouhani, JZarif, POTUS, Rouhani_ir, USAHindiMein, USAbilAraby, WhiteHouse, foreignoffice, khamenei_ir</t>
  </si>
  <si>
    <t>EUCouncilPress, PHammondMP, USAUrdu, USApoRusski</t>
  </si>
  <si>
    <t>DiploPubliqueTR, DutchMFA, ItamaratyGovBr, Itamaraty_EN, Itamaraty_ES, Minrel_Chile, PHammondMP, USAUrdu</t>
  </si>
  <si>
    <t>MEAIndia, MFAIceland, PHammondMP, StateDeptLive, USAbilAraby, USAdarFarsi</t>
  </si>
  <si>
    <t>JohnKerry, POTUS, StateDept, USAdarFarsi, USAemPortugues, USAenEspanol, WhiteHouse</t>
  </si>
  <si>
    <t>ItamaratyGovBr, MFAIceland, MFA_KZ, MZZRS</t>
  </si>
  <si>
    <t>ItamaratyGovBr, MFAIceland, PHammondMP, PMNawazSharif</t>
  </si>
  <si>
    <t>CancilleriaPeru, ChileMFA, Israel, ItamaratyGovBr, Itamaraty_EN, Itamaraty_ES, LithuaniaMFA, MEAIndia, MID_RF, MofaNepal, PHammondMP, Petrit, SpainMFA, TPKanslia</t>
  </si>
  <si>
    <t>BorutPahor, Brivibas36, EUCouncil, Elysee, FedericaMog, FinGovernment, ForeignStrategy, Grybauskaite_LT, JosephMuscat_JM, JunckerEU, KvirikashviliGi, MFATurkey, MiroCerar, MofaJapan_en, TPKanslia, WhiteHouse, Xavier_Bettel, ZaoralekL, borgebrende, donaldtusk, dreynders, eucopresident, fhollande, gouvernementFR, margotwallstrom</t>
  </si>
  <si>
    <t>APUkraine, AuswaertigesAmt, BelarusMID, BgPresidency, CancilleriaPeru, CancilleriaPma, ChileMFA, IKasoulides, IgnacioYbanez, IndianDiplomacy, Israel, ItalyMFA, ItamaratyGovBr, Itamaraty_EN, Itamaraty_ES, JanelidzeMkh, MEAIndia, MFAEcuador, MFA_KZ, MFA_Mongolia, MFA_Tajikistan, MID_RF, MOFAUAE, MOFAVietNam, MVEP_hr, MfaEgypt, MinCanadaAE, MinCanadaFA, MinexGt, Minrel_Chile, MofaNepal, Petrit, RwandaMFA, SpainMFA, TheBankova, Utrikesdep, VladaRH, avucic, cancilleriasv, govSlovenia, marianorajoy, mfaethiopia, pressslujba</t>
  </si>
  <si>
    <t>EUCouncil, EUCouncilPress, juhasipila, niinisto</t>
  </si>
  <si>
    <t>BarackObama, David_Cameron, FedericaMog, Grybauskaite_LT, IlvesToomas, JohnKerry, KremlinRussia_E, Rigas_pils, eucopresident</t>
  </si>
  <si>
    <t>GeoffreyOnyeama, IgnacioYbanez, MFAsg, MID_RF, MinCanadaAE, MinCanadaFA, govsingapore</t>
  </si>
  <si>
    <t>CancilleriaPeru, MFAKOSOVO, MFA_Austria, MFAofArmenia, PresidencySrb, vladaOCDrs</t>
  </si>
  <si>
    <t>David_Cameron, EU_Commission, FedericaMog, GermanyDiplo, Number10gov, SerbianGov, SerbianPM, SweMFA, VladaCG, cabinetofficeuk, eu_eeas, foreignoffice</t>
  </si>
  <si>
    <t>Itamaraty_ES, SpainMFA, TheBankova</t>
  </si>
  <si>
    <t>CharlesMichel, David_Cameron, FedericaMog, FinGovernment, GermanyDiplo, JunckerEU, KolindaGK, MonarchieBe, NorwayMFA, Number10gov, SerbianPM, VladaMK, WhiteHouse, Xavier_Bettel, donaldtusk, eu_eeas, foreignoffice, gouv_lu, gouvernementFR, manuelvalls, predsednikrs, strakovka, teamkanzler</t>
  </si>
  <si>
    <t>APUkraine, CanadaFP, CancilleriaPeru, MFAgovge, PHammondMP, avucic</t>
  </si>
  <si>
    <t>GouvGN, PresAlphaConde, Presidence_gn</t>
  </si>
  <si>
    <t>BarackObama, EUCouncil, Number10gov, donaldtusk, eucopresident, mfa_russia</t>
  </si>
  <si>
    <t>BarackObama, EU_Commission</t>
  </si>
  <si>
    <t>BarackObama, EUCouncil, FedericaMog, GermanyDiplo, IsraelMFA, JohnKerry, JunckerEU, MZemanOficialni, StateDept, eucopresident, foreignoffice, jokowi, poroshenko</t>
  </si>
  <si>
    <t>https://twitter.com/iGABahrain</t>
  </si>
  <si>
    <t>https://twitter.com/MFA_Mongolia</t>
  </si>
  <si>
    <t>https://twitter.com/Govkorea</t>
  </si>
  <si>
    <t>Tweets per Day (Between Account Creation and Now)</t>
  </si>
  <si>
    <t>Favorites per original Tweet</t>
  </si>
  <si>
    <t>evoespueblo</t>
  </si>
  <si>
    <t>MichelTemer</t>
  </si>
  <si>
    <t>Evo Morales Ayma</t>
  </si>
  <si>
    <t>Presidente del Estado Plurinacional de Bolivia</t>
  </si>
  <si>
    <t>Fri Apr 15 01:31:24 +0000 2016</t>
  </si>
  <si>
    <t>Michel Temer</t>
  </si>
  <si>
    <t>Vice-presidente da República reeleito e presidente nacional do PMDB</t>
  </si>
  <si>
    <t>Tue May 12 20:47:53 +0000 2009</t>
  </si>
  <si>
    <t>Ministry of Foreign Affairs &amp; Investment Promotion - Federal Republic of Somalia. Email: ppr@mfa.gov.so,You can also follow @SomaliaOfficial</t>
  </si>
  <si>
    <t>الصفحة الرسمية لوزارة الخارجية والتعاون الدولي على تويتر - الإمارات العربية المتحدة This is the official account of MoFAAIC UAE</t>
  </si>
  <si>
    <t>Prime Minister of Iceland / Forsætisráðherra Íslands</t>
  </si>
  <si>
    <t>Лідер Політичної партії Народний фронт</t>
  </si>
  <si>
    <t>Compte officiel de Lionel Zinsou</t>
  </si>
  <si>
    <t>Dormant since 14.08.2014</t>
  </si>
  <si>
    <t>Dormant since 07.01.2015</t>
  </si>
  <si>
    <t>Dormant since 23.09.2015</t>
  </si>
  <si>
    <t>Dormant since 06.09.2015</t>
  </si>
  <si>
    <t>Dormant since 28.03.2015</t>
  </si>
  <si>
    <t>Dormant since 05.09.2015</t>
  </si>
  <si>
    <t>Dormant since 20.09.2015</t>
  </si>
  <si>
    <t>Dormant since 26.09.2015</t>
  </si>
  <si>
    <t>FijiRepublic, MFAFiji, narendramodi</t>
  </si>
  <si>
    <t>AlbanianMFA, GermanyDiplo, IsraelMFA, JohnKerry, MiroslavLajcak, NasserJudeh, NorwayMFA, PHammondMP, PrimeMinistry, StateDept, borgebrende, eu_eeas, foreignoffice, francediplo_AR, khalidalkhalifa, manuelvalls, mfa_russia</t>
  </si>
  <si>
    <t>CancilleriaPma, MIREXRD, PrimatureHT, mfa_russia</t>
  </si>
  <si>
    <t>FijiPM, InokeRatu, LithuaniaMFA</t>
  </si>
  <si>
    <t>APUkraine, AuswaertigesAmt, BelarusMFA, BelarusMID, CanadaFP, CancilleriaEc, CancilleriaPeru, CubaMINREX, DanielMitov, Diplomacy_RM, DutchMFA, GOVuz, IraqMFA, Israel, IsraelMFA, ItamaratyGovBr, Itamaraty_EN, KremlinRussia, Latvian_MFA, LithuaniaMFA, MEAIndia, MFABulgaria, MFAIceland, MFA_KZ, MFA_Mongolia, MFA_Tajikistan, MFA_Ukraine, MFAofArmenia, MID_Tajikistan, MVEP_hr, MeGovernment, NorwayMFA, PHammondMP, Pravitelstvo_RF, PurevsurenL, SeychellesMFA, SweMFA, VladaCG, avucic, edgarsrinkevics, francediplo, mfa_russia, predsednikrs, pressslujba</t>
  </si>
  <si>
    <t>MofaSomalia</t>
  </si>
  <si>
    <t>JnCharlesEnexPM, JocelermeP, JocelermePriver, PrimatureHT</t>
  </si>
  <si>
    <t>GuatemalaGob, JuanOrlandoH, PresidenciaRD, Presidencia_Ec, cancilleriasv, presidenciacr, sanchezceren</t>
  </si>
  <si>
    <t>AMB_A_Mohammed, DrTedros, MofaSomalia, TheVillaSomalia</t>
  </si>
  <si>
    <t>CancilleriaPeru, NorwayMFA, VladaRH</t>
  </si>
  <si>
    <t>AzerbaijanPA, BelgiumMFA, CanadaPE, CancilleriaCol, EU_Commission, ForeignStrategy, KremlinRussia, MAERomania, MFAThai_PR_EN, MFAupdate, MOFAEGYPT, MOFAKuwait, MarocDiplomatie, MofaJapan_en, MofaQatar_EN, MofaSomalia, SeychellesMFA, StateDept, TunisieDiplo, azpresident, dfat, foreignoffice, mfaethiopia, presidentaz</t>
  </si>
  <si>
    <t>AlbanianMFA, AnastasiadesCY, AuswaertigesAmt, BarackObama, BelgiumMFA, CYpresidency, CyprusMFA, CzechMFA, David_Cameron, Diplomacy_RM, EUCouncil, EUCouncilPress, Elysee, FedericaMog, GovernmentGeo, HashimThaciRKS, HassanRouhani, IlvesToomas, Israel, JohnKerry, JunckerEU, KremlinRussia_E, Latvian_MFA, LithuaniaMFA, MFAKOSOVO, MFATurkey, MID_RF, MZZRS, MedvedevRussiaE, MofaSomalia, MonarchieBe, Number10gov, PHammondMP, POTUS, PolandMFA, Pontifex, Pravitelstvo_RF, PrimeministerGR, PutinRF_Eng, SlovakiaMFA, StateDept, WhiteHouse, eu_eeas, eucopresident, foreignoffice, francediplo_EN, matteorenzi, mauriciomacri, netanyahu, presidentaz, valismin</t>
  </si>
  <si>
    <t>BarackObama, IndianDiplomacy, MBuhari, MofaSomalia, PaulKagame, PutinRF_Eng, SAPresident, UKenyatta, mfaethiopia</t>
  </si>
  <si>
    <t>CancilleriaPeru, FijiGovernment, Minrel_Chile, PresidenceMali, StateHouseSey, SweMFA, VladaRH, samoagovt</t>
  </si>
  <si>
    <t>BelarusMFA, CancilleriaPeru, CancilleriaPma, ChileMFA, CyprusMFA, DutchMFA, EU_Commission, GreeceMFA, IgnacioYbanez, IndianDiplomacy, Israel, ItalyMFA, ItamaratyGovBr, Itamaraty_EN, Itamaraty_ES, LithuaniaMFA, MAECgob, MDVForeign, MEAIndia, MFAIceland, MFAKOSOVO, MFA_Austria, MFA_KZ, MFA_Mongolia, MFA_Ukraine, MFAofArmenia, MID_RF, MVEP_hr, MZZRS, MeGovernment, MfaEgypt, MinCanadaAE, MinCanadaFA, MinexGt, MofaNepal, OFMUAE, PakDiplomacy, Petrit, PolandMFA, SRE_mx, SpainMFA, SusanaMalcorra, SweMFA, VladaRH, edgarsrinkevics, francediplo, govSlovenia, pressslujba</t>
  </si>
  <si>
    <t>David_Cameron, ForeignOfficeKE, GermanyDiplo, KagutaMuseveni, MFASriLanka, MFA_Mongolia, MFA_SriLanka, MFAsg, MOFAIC, MagufuliJP, MangalaLK, MofaQatar_EN, MofaSomalia, Number10gov, PMOIndia, PresidentKE, RwandaGov, SeychellesMFA, foreignoffice, govsingapore</t>
  </si>
  <si>
    <t>A_Davutoglu_eng, Arlietas, BoykoBorissov, CanadaPE, CancilleriaARG, CancilleriaCol, Diplomacy_RM, FijiMFA, ForeignOfficeKE, GovernmentRF, HaiderAlAbadi, HassanRouhani, ItalyMFA, JZarif, JulieBishopMP, MFAThai_PR_EN, MFA_SriLanka, MIREXRD, MOFAEGYPT, MOFAIC, MOFAkr_eng, Matignon, MinBZ, MoFA_Indonesia, MofaJapan_en, MofaOman, MofaQatar_AR, MofaQatar_EN, MofaSomalia, NasserJudeh, Number10gov, POTUS, PavloKlimkin, StateDeptLive, TerzaLoggia, ZaoralekL, adosolutions, bahdiplomatic, borgebrende, donaldtusk, eucopresident, margotwallstrom, mofa_kr, narendramodi</t>
  </si>
  <si>
    <t>APUkraine, AbdoulayeDiop8, AlbanianMFA, AuswaertigesAmt, BWGovernment, CanadaFP, CanadaPE, CancilleriaPeru, CancilleriaPma, CharlesMichel, EUCouncilPress, EUCouncilTVNews, Elysee, ForeignMinistry, HannaTetteh, HashimThaciRKS, Israel, IsraelMFA, IsraeliPM_heb, JC_Varela, JocelermeP, JohnKerry, MFA_Mongolia, MFA_analysis, MID_RF, MOFAkr_eng, MVEP_hr, MeGovernment, MinexGt, MiroCerar, NorwayMFA, PHammondMP, PMOIndia, PSCU_Digital, Palazzo_Chigi, PolandMFA, PresidenceMali, PresidenteCV, PrimeministerGR, SeychellesMFA, StateHouseSey, SweMFA, TheBankova, VladaRH, avucic, ediramaal, eu_eeas, eucopresident, foreignoffice, govpt, japan, manuelvalls, narendramodi, samoagovt</t>
  </si>
  <si>
    <t>CanadaFP, CancilleriaEc, CancilleriaPeru, GuillaumeLong, Minrel_Chile, PresidenciaPma, SRECIHonduras, SRE_mx, SusanaMalcorra, VladaRH, cancilleriasv, francediplo_ES, infopresidencia, jimmymoralesgt, prensapalacio, presidenciacr</t>
  </si>
  <si>
    <t>BgPresidency, CancilleriaEc, CancilleriaPeru, CancilleriaPma, GuillaumeLong, IsraelMFA, ItamaratyGovBr, Itamaraty_ES, MFAEcuador, MichelTemer, MindeGobierno, PresidenciaPy, SRECIHonduras, SRE_mx, borgebrende, foreignoffice, francediplo_ES, mincombolivia, sanchezceren</t>
  </si>
  <si>
    <t>Brivibas36, CancilleriaPeru, IsraelRussian, Kristian_Jensen, LinkeviciusL, MID_RF, MichelTemer, Nicolae_Timofti, PHammondMP, SweMFA, VladaCG, VladaRH, avucic, borgebrende, edgarsrinkevics, elbegdorj, eu_eeas, foreignoffice, govSlovenia, mfa_russia, ortcomkz, pressslujba, primeministerkz, ts_elbegdorj</t>
  </si>
  <si>
    <t>AlbanianMFA, Arlietas, BgPresidency, BorutPahor, Brivibas36, CanadaFP, CancilleriaPeru, CyprusMFA, DutchMFA, EUCouncil, EU_Commission, GeoffreyOnyeama, GreeceMFA, Grybauskaite_LT, IKasoulides, Israel, IsraelMFA, IsraelRussian, IsraeliPM, JC_Varela, JulieBishopMP, LinkeviciusL, MFABulgaria, MFAIceland, MFAKOSOVO, MFA_Austria, MFA_KZ, MFA_Mongolia, MFA_Ukraine, MIREXRD, MOFAkr_eng, MZZRS, MangalaLK, MeGovernment, MichelTemer, MinisterMOFA, MiroslavLajcak, NorwayMFA, PHammondMP, PMOIndia, PMOMalaysia, Palazzo_Chigi, Pravitelstvo_RF, Prensa_Palacio, PresidenceMali, PresidenciaRD, PresidencySrb, PresidenteCV, SerbianGov, SusanaMalcorra, SweMFA, TurnbullMalcolm, Utrikesdep, VladaRH, borgebrende, edgarsrinkevics, eu_eeas, foreignoffice, govSlovenia, mfa_russia, presidenciacr</t>
  </si>
  <si>
    <t>AlbanianMFA, AuswaertigesAmt, BelarusMFA, Byegm, ByegmENG, ByegmRU, CancilleriaPeru, ChileMFA, DiploPubliqueTR, Diplomacy_RM, DrTedros, DutchMFA, ForeignMinistry, GreeceMFA, IgnacioYbanez, ItalyMFA, ItamaratyGovBr, Itamaraty_EN, Itamaraty_ES, JanelidzeMkh, KvirikashviliGi, LithuaniaMFA, MAERomania, MFAIceland, MFAKOSOVO, MFA_Ukraine, MFAgovge, MID_RF, MVEP_hr, MZZRS, MeGovernment, MinCanadaAE, MinisterMOFA, Minrel_Chile, MiroslavLajcak, NikolaPoposki, NorwayMFA, PavloKlimkin, Petrit, PresidenceMali, SRECIHonduras, SpainMFA, SusanaMalcorra, Utrikesdep, VladaRH, avucic, borgebrende, ditmirbushati, edgarsrinkevics, eu_eeas, francediplo, khalidalkhalifa, mfa_russia, sebastiankurz</t>
  </si>
  <si>
    <t>BelgiumMFA, EUCouncil, EU_Commission, FedericaMog, GermanyDiplo, MofaSomalia, borgebrende</t>
  </si>
  <si>
    <t>AlsisiOfficial, BelgiumMFA, CanadaFP, CyprusMFA, CzechMFA, DrTedros, FedericaMog, ForeignMinistry, GermanyDiplo, JohnKerry, KSAMOFA, MFABulgaria, MFA_Austria, MOFAKuwait, MOFAUAE, MofaJapan_en, MofaSomalia, PHammondMP, PolandMFA, StateDept, bahdiplomatic, foreignoffice, francediplo_EN, valismin</t>
  </si>
  <si>
    <t>AbdoulayeDiop8, AlbanianMFA, AzerbaijanMFA, BelarusMFA, CancilleriaARG, CancilleriaEc, CancilleriaPeru, ChileMFA, CyprusMFA, DIRCO_ZA, GreeceMFA, HannaTetteh, IgnacioYbanez, ItalyMFA, Itamaraty_EN, Itamaraty_ES, LithuaniaMFA, MEAIndia, MFAIceland, MFAKOSOVO, MFA_Austria, MFA_KZ, MID_RF, MZZRS, MinCanadaAE, MinCanadaFA, MinexGt, PSCU_Digital, VladaRH, francediplo, govSlovenia, pressslujba</t>
  </si>
  <si>
    <t>AMB_A_Mohammed, A_Davutoglu_eng, Andrej_Kiska, AzerbaijanMFA, B_Izetbegovic, BarackObama, BejiCEOfficial, BelgiumMFA, David_Cameron, EUCouncil, ForeignOfficeKE, Grybauskaite_LT, HassanRouhani, IlvesToomas, IndianDiplomacy, Israel, JZarif, JunckerEU, Kabmin_UA, KlausIohannis, MFATurkey, MFA_KZ, MFA_LI, MOFAkr_eng, MedvedevRussiaE, MevlutCavusoglu, MiroCerar, PHammondMP, RT_Erdogan, StateDept, SweMFA, TROfficeofPD, UKenyatta, WhiteHouse, dfat, dfatirl, dreynders, eucopresident, francediplo_EN, leehsienloong, mzvcr, narendramodi, poroshenko, presidentMT</t>
  </si>
  <si>
    <t>JohnKerry, MofaSomalia, PavloKlimkin</t>
  </si>
  <si>
    <t>AlbanianMFA, AuswaertigesAmt, AzerbaijanMFA, BelarusMFA, BelgiumMFA, CanadaFP, CanadaPE, CancilleriaARG, CancilleriaEc, CancilleriaPeru, CancilleriaPma, ChileMFA, CyprusMFA, CzechMFA, Diplomacy_RM, DutchMFA, EUCouncilPress, GreeceMFA, HannaTetteh, IgnacioYbanez, IndianDiplomacy, Israel, IsraelMFA, ItalyMFA, ItamaratyGovBr, Itamaraty_EN, Itamaraty_ES, JohnKerry, JulieBishopMP, Latvian_MFA, LithuaniaMFA, MAECgob, MAERomania, MEAIndia, MFAIceland, MFAKOSOVO, MFA_Austria, MFA_KZ, MFA_Mongolia, MFA_Ukraine, MFAgovge, MFAofArmenia, MFAupdate, MID_RF, MOFAUAE, MOFAVietNam, MVEP_hr, MZZRS, MangalaLK, MeGovernment, MfaEgypt, MinCanadaAE, MinCanadaFA, MinexGt, MofaNepal, NikolaPoposki, NorwayMFA, OFMUAE, PHammondMP, PMOIndia, PakDiplomacy, Petrit, PolandMFA, PresidenceMali, RwandaMFA, SlovakiaMFA, SpainMFA, StateDept, SusanaMalcorra, SweMFA, Utenriksdept, VladaCG, VladaRH, avucic, cancilleriasv, dfat, edgarsrinkevics, eu_eeas, foreignoffice, francediplo, francediplo_EN, govSlovenia, marianorajoy, mfa_russia, mfaethiopia, pressslujba, sebastiankurz, valismin</t>
  </si>
  <si>
    <t>AlbanianMFA, AzerbaijanMFA, BarackObama, CzechMFA, David_Cameron, EU_Commission, ForeignMinistry, ForeignOfficeKE, GermanyDiplo, GovernmentRF, IndianDiplomacy, JohnKerry, JulieBishopMP, KTnepal, KremlinRussia_E, MEAIndia, MFAIceland, MFAKOSOVO, MFATurkey, MFA_Austria, MFA_KZ, MFA_Mongolia, MFA_Ukraine, MFAofArmenia, MFAsg, MOFAkr_eng, MofaJapan_en, MofaQatar_AR, MofaQatar_EN, MofaSomalia, PMOIndia, PM_Nepal, RashtrapatiBhvn, SeychellesMFA, StateDept, SushmaSwaraj, SweMFA, TROfficeofPD, Utenriksdept, WhiteHouse, borgebrende, dfat, dfatirl, erna_solberg, foreignoffice, francediplo, francediplo_EN, govsingapore, kpsharmaoli, narendramodi, trpresidency, valismin</t>
  </si>
  <si>
    <t>CanadaFP, CancilleriaPeru, CyprusMFA, DrTedros, FCOArabic, GermanyDiplo, IgnacioYbanez, Israel, IsraelArabic, ItamaratyGovBr, Itamaraty_EN, Itamaraty_ES, Kronprinsparet, MFAIceland, MFAKOSOVO, MID_RF, MinCanadaAE, NorwayMFA, PakDiplomacy, Petrit, PrimeMinistry, SpainMFA, USAbilAraby, Utrikesdep, VladaRH, ditmirbushati, edgarsrinkevics, francediplo, francediplo_AR, francediplo_EN, mfa_russia</t>
  </si>
  <si>
    <t>CanadaFP, CancilleriaEc, CancilleriaPeru, CubaMINREX, EPP_Nicaragua, GuillaumeLong, HildaHeine, IsabelStMalo, ItamaratyGovBr, Itamaraty_EN, Itamaraty_ES, JC_Varela, JocelermeP, JuanManSantos, MID_RF, MIREXRD, MindeGobierno, MinexGt, PHammondMP, PrensaHC, Prensa_Palacio, PresidenciaPma, PresidencySrb, PrimeministerGR, RaulCastroR, SRE_mx, SkerritR, SusanaMalcorra, SweMFA, VladaRH, eucopresident, fhollande, mfa_russia, predsednikrs, presidencia_cl, sanchezceren</t>
  </si>
  <si>
    <t>AndrewHolnessJM, POTUS, WhiteHouse</t>
  </si>
  <si>
    <t>A_Davutoglu_ar, AdelAljubeir, Ahmet_Davutoglu, KSAMOFA, KingSalman, MFATurkey, RT_Erdogan, TC_Disisleri, rterdogan_ar, tcbestepe</t>
  </si>
  <si>
    <t>MofaSomalia, SomaliPM, TheVillaSomalia, foreignoffice</t>
  </si>
  <si>
    <t>AlbanianMFA, CanadaFP, CancilleriaEc, CancilleriaPeru, CancilleriaPma, CasaRosada, DrodriguezVen, Horacio_Cartes, IgnacioYbanez, IsabelStMalo, JC_Varela, JuanManSantos, MFAEcuador, MFA_Ukraine, MIREXRD, MashiRafael, Minrel_Chile, NicolasMaduro, NikolaPoposki, PHammondMP, PrensaHC, Prensa_Palacio, PresidenciaPy, Presidencia_HN, SRECIHonduras, SRE_mx, SusanaMalcorra, SweMFA, TerzaLoggia, VladaRH, andresnavarrog, cancilleriasv, evoespueblo, infopresidencia, luisguillermosr, marianorajoy, mauriciomacri, mfaethiopia, mgonzalezsanz, mreparaguay, prensapalacio, presidenciacr, pressslujba, sanchezceren, vencancilleria</t>
  </si>
  <si>
    <t>CanadaFP, CancilleriaPeru, Minrel_Chile, PresidenciaPma, VladaRH, cancilleriasv</t>
  </si>
  <si>
    <t>AbdoulayeDiop8, Issoufoumhm, PresidenceMali</t>
  </si>
  <si>
    <t>CanadaFP, CancilleriaEc, IsraelArabic, PDTurkeyArabic, SweMFA, VladaRH, khalidalkhalifa, tcbestepe</t>
  </si>
  <si>
    <t>CanadaFP, CanadaPE, CancilleriaEc, CancilleriaPeru, CancilleriaPma, Itamaraty_EN, Itamaraty_ES, MeGovernment, PHammondMP, SusanaMalcorra, SweMFA, VladaRH, cancilleriacrc, cancilleriasv, eucopresident, pcmperu, prensapalacio</t>
  </si>
  <si>
    <t>AMB_A_Mohammed, BarackObama, CzechMFA, David_Cameron, EUCouncil, EUCouncilPress, EU_Commission, Elysee, ForeignOfficeKE, GermanyDiplo, GovernmentRF, HHShkMohd, ItalyMFA, JPN_PMO, JohnKerry, KagutaMuseveni, KremlinRussia_E, Latvian_MFA, MFAsg, MarocDiplomatie, Matignon, MofaSomalia, Number10gov, PMOIndia, POTUS, PaulKagame, PolandMFA, Pontifex, PresidencyZA, PutinRF_Eng, RaulCastroR, SAPresident, StateDept, StateHouseKenya, StateHouseUg, UAEmGov, UKenyatta, WhiteHouse, fhollande, foreignoffice, trpresidency</t>
  </si>
  <si>
    <t>CancilleriaEc, SCpresidenciauy</t>
  </si>
  <si>
    <t>CancilleriaPeru, GouvGabon, IgnacioYbanez, IsraelMFA, MofaSomalia, PHammondMP, PMOComms, SpainMFA, TROfficeofPD, VladaRH, djiboutidiplo, marianorajoy, mfaethiopia, somaligov_</t>
  </si>
  <si>
    <t>AlbanianMFA, BelgiumMFA, Diplomacy_RM, ForeignOfficeKE, IsraeliPM, KagutaMuseveni, MFA_SriLanka, MFAgovge, MFAofArmenia, MOFAIC, MarocDiplomatie, MofaSomalia, POTUS, RuhakanaR, SlovakiaMFA, StateHouseUg, UKenyatta, WhiteHouse</t>
  </si>
  <si>
    <t>AuswaertigesAmt, AzerbaijanMFA, BarackObama, BelgiumMFA, CanadaFP, CancilleriaCol, CancilleriaEc, David_Cameron, Diplomacy_RM, EUCouncil, EU_Commission, FijiMFA, FinGovernment, ForeignOfficeKE, Gebran_Bassil, IndianDiplomacy, JohnKerry, JuanManSantos, KagutaMuseveni, KremlinRussia_E, Kristian_Jensen, MFABulgaria, MFA_Afghanistan, MFA_Austria, MFA_Ukraine, MFAofArmenia, MOFAEGYPT, MOFAkr_eng, MZZRS, MarocDiplomatie, MinexGt, MofaJapan_en, MofaSomalia, Number10gov, PaulKagame, PolandMFA, RepSouthSudan, RwandaMFA, SRECIHonduras, StateDept, StateDeptLive, TunisieDiplo, WhiteHouse, dfat, dfatirl, emansionliberia, eu_eeas, fhollande, foreignoffice, francediplo_EN, jeanmarcayrault, larsloekke, mreparaguay</t>
  </si>
  <si>
    <t>https://twitter.com/liljaalfreds</t>
  </si>
  <si>
    <t>liljaalfreds</t>
  </si>
  <si>
    <t>https://twitter.com/liljaalfreds/lists</t>
  </si>
  <si>
    <t>https://twitter.com/liljaalfreds/statuses/723099130306936832</t>
  </si>
  <si>
    <t>http://twiplomacy.com/info/oceania/australia/</t>
  </si>
  <si>
    <t>MvPressCenter</t>
  </si>
  <si>
    <t>https://twitter.com/MvPressCenter</t>
  </si>
  <si>
    <t>https://twitter.com/MvPressCenter/status/239611053284134913</t>
  </si>
  <si>
    <t>https://twitter.com/MvPressCenter/lists</t>
  </si>
  <si>
    <t>http://twiplomacy.com/info/asia/Maldives</t>
  </si>
  <si>
    <t>Czechia</t>
  </si>
  <si>
    <t>The Royal Family</t>
  </si>
  <si>
    <t>Minister for Foreign Affairs of Norway</t>
  </si>
  <si>
    <t>News and information from the European Commission. Tweets by the Social Media Team. Engaging on #TeamJunckerEU priorities: https://t.co/HDhTPYZYmg</t>
  </si>
  <si>
    <t>Prime Minister of Moldova, proud husband and father. Passionate for good governance and technology. This account is managed by me and my team.</t>
  </si>
  <si>
    <t>Latest news from the UK Foreign &amp; Commonwealth Office #DigitalDiplomacy. For a comprehensive list of the FCO on social media see https://t.co/DRXIKmx6Ic</t>
  </si>
  <si>
    <t>Official tweeter account for the Ministry of Foreign Affairs, East African, Regional and International Cooperation</t>
  </si>
  <si>
    <t>President of the Republic of Kosovo. Former Prime Minister and the Foreign Minister of the country. Declared the Independence of the Republic.</t>
  </si>
  <si>
    <t>Lilja Alfredsdottir</t>
  </si>
  <si>
    <t>Foreign Minister of Iceland</t>
  </si>
  <si>
    <t>Tue Apr 19 10:14:59 +0000 2016</t>
  </si>
  <si>
    <t>Official Government News Portal Republic of #Maldives</t>
  </si>
  <si>
    <t>Sun Aug 26 06:16:05 +0000 2012</t>
  </si>
  <si>
    <t>Foreign Minister @MFAKosovo - Lives &amp; loves (mostly) in #Kosovo. Fan of my wife, son, #digitaldiplomacy @chelseafc, #comics. Personal tweets. RT ≠ endorsement.</t>
  </si>
  <si>
    <t>Profil officiel de la Présidence de la République de Côte d'Ivoire</t>
  </si>
  <si>
    <t>Office of the President of Sierra Leone. Tweets by @CommsUnitSL managed by @jaraski..Facebook: https://t.co/fEtcv3uvRN</t>
  </si>
  <si>
    <t>RoyalFamily</t>
  </si>
  <si>
    <t>https://twitter.com/RoyalFamily</t>
  </si>
  <si>
    <t>https://twitter.com/A_Davutoglu_ar/statuses/361196514829275136</t>
  </si>
  <si>
    <t>https://twitter.com/A_Davutoglu_eng/statuses/439826887641427968</t>
  </si>
  <si>
    <t>https://twitter.com/AbdoulayeDiop8/statuses/594768668162142208</t>
  </si>
  <si>
    <t>https://twitter.com/AbeShinzo/statuses/376442843004698624</t>
  </si>
  <si>
    <t>https://twitter.com/ABLPGastonbrown/statuses/299571989209812993</t>
  </si>
  <si>
    <t>https://twitter.com/AButkevicius/statuses/478115665799544832</t>
  </si>
  <si>
    <t>https://twitter.com/ADO__Solutions/statuses/58936323377086464</t>
  </si>
  <si>
    <t>https://twitter.com/adosolutions/statuses/724570461892308993</t>
  </si>
  <si>
    <t>https://twitter.com/adrian_hasler/statuses/679008228928307206</t>
  </si>
  <si>
    <t>https://twitter.com/afgexecutive/statuses/712210520351367168</t>
  </si>
  <si>
    <t>https://twitter.com/Ahmet_Davutoglu/statuses/660874579418685440</t>
  </si>
  <si>
    <t>https://twitter.com/al_jaffaary/statuses/551249560585388033</t>
  </si>
  <si>
    <t>https://twitter.com/Al_Kasbah/statuses/566329503052746753</t>
  </si>
  <si>
    <t>https://twitter.com/AlbanianMFA/statuses/699852464414134272</t>
  </si>
  <si>
    <t>https://twitter.com/AlsisiOfficial/statuses/718016342222376961</t>
  </si>
  <si>
    <t>https://twitter.com/AMB_A_Mohammed/statuses/584588468359143424</t>
  </si>
  <si>
    <t>https://twitter.com/AmSellal/statuses/618918373091577856</t>
  </si>
  <si>
    <t>https://twitter.com/amurekezi/statuses/491925596864528385</t>
  </si>
  <si>
    <t>https://twitter.com/AnastasiadesCY/statuses/315879305710292993</t>
  </si>
  <si>
    <t>https://twitter.com/Andrej_Kiska/statuses/584289415230525440</t>
  </si>
  <si>
    <t>https://twitter.com/andresnavarrog/statuses/555710122497150976</t>
  </si>
  <si>
    <t>https://twitter.com/antiguagov/statuses/270899596459384833</t>
  </si>
  <si>
    <t>https://twitter.com/APMutharika/statuses/705652961809027072</t>
  </si>
  <si>
    <t>https://twitter.com/ARG_AFG/statuses/680319959944282112</t>
  </si>
  <si>
    <t>https://twitter.com/Arlietas/statuses/664308820458536960</t>
  </si>
  <si>
    <t>https://twitter.com/ashrafghani/statuses/680321525883473920</t>
  </si>
  <si>
    <t>https://twitter.com/atsipras/statuses/558341855147204610</t>
  </si>
  <si>
    <t>https://twitter.com/AuswaertigesAmt/statuses/665298653192458240</t>
  </si>
  <si>
    <t>https://twitter.com/avucic/statuses/702072554572349441</t>
  </si>
  <si>
    <t>https://twitter.com/AzerbaijanMFA/statuses/717006052047396864</t>
  </si>
  <si>
    <t>https://twitter.com/AzerbaijanPA/statuses/720941113104842752</t>
  </si>
  <si>
    <t>https://twitter.com/azpresident/statuses/710059447058620416</t>
  </si>
  <si>
    <t>https://twitter.com/B_Izetbegovic/statuses/498170306352402432</t>
  </si>
  <si>
    <t>https://twitter.com/bahdiplomatic/statuses/515522264041672705</t>
  </si>
  <si>
    <t>https://twitter.com/BahrainCPnews/statuses/511798106791223296</t>
  </si>
  <si>
    <t>https://twitter.com/Balozi_Mahiga/statuses/611496196692148224</t>
  </si>
  <si>
    <t>https://twitter.com/BarrowDean/statuses/96304980469874689</t>
  </si>
  <si>
    <t>https://twitter.com/BasbakanlikKDK/statuses/588674403413712898</t>
  </si>
  <si>
    <t>https://twitter.com/BdiPresidence/statuses/598462844749885440</t>
  </si>
  <si>
    <t>https://twitter.com/BejiCEOfficial/statuses/578220284601352192</t>
  </si>
  <si>
    <t>https://twitter.com/BelarusMFA/statuses/588215259745406977</t>
  </si>
  <si>
    <t>https://twitter.com/BelarusMID/statuses/635716041902059524</t>
  </si>
  <si>
    <t>https://twitter.com/BelgiumMFA/statuses/712322091308195842</t>
  </si>
  <si>
    <t>https://twitter.com/belizegov/statuses/16341624042</t>
  </si>
  <si>
    <t>https://twitter.com/BgPresidency/statuses/597684385224069122</t>
  </si>
  <si>
    <t>https://twitter.com/BhutanGov/statuses/398402763287060480</t>
  </si>
  <si>
    <t>https://twitter.com/bluehousekorea/statuses/632790420813037569</t>
  </si>
  <si>
    <t>https://twitter.com/borgebrende/statuses/676797662994243585</t>
  </si>
  <si>
    <t>https://twitter.com/BorutPahor/statuses/568837035022286849</t>
  </si>
  <si>
    <t>https://twitter.com/Bouterse2015/statuses/573810364674080768</t>
  </si>
  <si>
    <t>https://twitter.com/BoykoBorissov/statuses/587978711951085569</t>
  </si>
  <si>
    <t>https://twitter.com/BR_Sprecher/statuses/665290392108146688</t>
  </si>
  <si>
    <t>https://twitter.com/BrazilGovNews/statuses/693146740451479552</t>
  </si>
  <si>
    <t>https://twitter.com/brunei_pmo/statuses/295030905167282176</t>
  </si>
  <si>
    <t>https://twitter.com/BurundiForeign/statuses/530360862478188544</t>
  </si>
  <si>
    <t>https://twitter.com/BurundiGov/statuses/676722760811352065</t>
  </si>
  <si>
    <t>https://twitter.com/BWGovernment/statuses/710401906405941252</t>
  </si>
  <si>
    <t>https://twitter.com/ByegmENG/statuses/720203979578294272</t>
  </si>
  <si>
    <t>https://twitter.com/ByegmRU/statuses/725285004582989828</t>
  </si>
  <si>
    <t>https://twitter.com/cabinetofficeuk/statuses/496396461270384641</t>
  </si>
  <si>
    <t>https://twitter.com/CabinetSL/statuses/355612403578318848</t>
  </si>
  <si>
    <t>https://twitter.com/CanadaPE/statuses/661937388961296384</t>
  </si>
  <si>
    <t>https://twitter.com/CancilleriaARG/statuses/668212312612950020</t>
  </si>
  <si>
    <t>https://twitter.com/CancilleriaCol/statuses/699994717463797760</t>
  </si>
  <si>
    <t>https://twitter.com/cancilleriacrc/statuses/294341402412871680</t>
  </si>
  <si>
    <t>https://twitter.com/CancilleriaEc/statuses/722041243652485120</t>
  </si>
  <si>
    <t>https://twitter.com/CancilleriaPA/statuses/304295989374746624</t>
  </si>
  <si>
    <t>https://twitter.com/CancilleriaPma/statuses/665306300935352320</t>
  </si>
  <si>
    <t>https://twitter.com/cancilleriasv/statuses/683722165070344192</t>
  </si>
  <si>
    <t>https://twitter.com/casacivilbr/statuses/715238786305761280</t>
  </si>
  <si>
    <t>https://twitter.com/CasaCivilPRA/statuses/237668709727105025</t>
  </si>
  <si>
    <t>https://twitter.com/CasaReal/statuses/473383285486546944</t>
  </si>
  <si>
    <t>https://twitter.com/egyptgovportal/statuses/111184063875911680</t>
  </si>
  <si>
    <t>https://twitter.com/elbegdorj/statuses/329057453054513153</t>
  </si>
  <si>
    <t>https://twitter.com/Elysee/statuses/665302011324174336</t>
  </si>
  <si>
    <t>https://twitter.com/emansionliberia/statuses/505075597933314048</t>
  </si>
  <si>
    <t>https://twitter.com/EmomaliRahmon/statuses/522491211400351744</t>
  </si>
  <si>
    <t>https://twitter.com/EnexJeanCharles/statuses/725309906354507776</t>
  </si>
  <si>
    <t>https://twitter.com/eng_pm_kz/statuses/124456828045230080</t>
  </si>
  <si>
    <t>https://twitter.com/EPN/statuses/685526304058294272</t>
  </si>
  <si>
    <t>https://twitter.com/EPP_Nicaragua/statuses/659143095947128832</t>
  </si>
  <si>
    <t>https://twitter.com/erna_solberg/statuses/347793455126298624</t>
  </si>
  <si>
    <t>https://twitter.com/EstonianGovt/statuses/448536156666200065</t>
  </si>
  <si>
    <t>https://twitter.com/EU_Commission/statuses/712260558318407680</t>
  </si>
  <si>
    <t>https://twitter.com/eucopresident/statuses/620486708233129984</t>
  </si>
  <si>
    <t>https://twitter.com/EUCouncil/statuses/666184026395406336</t>
  </si>
  <si>
    <t>https://twitter.com/EUCouncilPress/statuses/620520262308626432</t>
  </si>
  <si>
    <t>https://twitter.com/EUCouncilTVNews/statuses/614820268247265280</t>
  </si>
  <si>
    <t>https://twitter.com/evoespueblo/statuses/721095320898256896</t>
  </si>
  <si>
    <t>https://twitter.com/FedericaMog/statuses/620894167057702912</t>
  </si>
  <si>
    <t>https://twitter.com/FEGnassingbe/statuses/714480796069826560</t>
  </si>
  <si>
    <t>https://twitter.com/fhollande/statuses/665308718335070212</t>
  </si>
  <si>
    <t>https://twitter.com/fico2014/statuses/449582630951202817</t>
  </si>
  <si>
    <t>https://twitter.com/FijiGovernment/statuses/450402824602390528</t>
  </si>
  <si>
    <t>https://twitter.com/FijiMFA/statuses/472176137905242114</t>
  </si>
  <si>
    <t>https://twitter.com/FijiPM/statuses/535043250101288960</t>
  </si>
  <si>
    <t>https://twitter.com/FijiRepublic/statuses/701359980763439104</t>
  </si>
  <si>
    <t>https://twitter.com/filip_pavel/statuses/725647934612713472</t>
  </si>
  <si>
    <t>https://twitter.com/FilipeNyusi/statuses/530610776281980928</t>
  </si>
  <si>
    <t>https://twitter.com/FinGovernment/statuses/647327798101680128</t>
  </si>
  <si>
    <t>https://twitter.com/FNyusi/statuses/552493907549122560</t>
  </si>
  <si>
    <t>https://twitter.com/foreignaffairng/statuses/589086426093850624</t>
  </si>
  <si>
    <t>https://twitter.com/ForeignMinistry/statuses/625947430932983808</t>
  </si>
  <si>
    <t>https://twitter.com/foreignMV/statuses/252127340769984512</t>
  </si>
  <si>
    <t>https://twitter.com/foreignoffice/statuses/712219551384150016</t>
  </si>
  <si>
    <t>https://twitter.com/ForeignOfficePk/statuses/581771303264235520</t>
  </si>
  <si>
    <t>https://twitter.com/ForeignStrategy/statuses/666617738782208000</t>
  </si>
  <si>
    <t>https://twitter.com/foreigntanzania/statuses/701806146781368320</t>
  </si>
  <si>
    <t>https://twitter.com/forsaetisradun/statuses/672061468813070336</t>
  </si>
  <si>
    <t>https://twitter.com/francediplo/statuses/670260315884552192</t>
  </si>
  <si>
    <t>https://twitter.com/francediplo_AR/statuses/517629345595408384</t>
  </si>
  <si>
    <t>https://twitter.com/francediplo_EN/statuses/665533046775525377</t>
  </si>
  <si>
    <t>https://twitter.com/francediplo_ES/statuses/675374291731529728</t>
  </si>
  <si>
    <t>https://twitter.com/French_Gov/statuses/555787366582222849</t>
  </si>
  <si>
    <t>https://twitter.com/CathySambaPanza/statuses/442055389375635457</t>
  </si>
  <si>
    <t>https://twitter.com/CharlesMichel/statuses/620482680023588864</t>
  </si>
  <si>
    <t>https://twitter.com/CharlieFlanagan/statuses/665290841313943555</t>
  </si>
  <si>
    <t>https://twitter.com/ChefGov_ma/statuses/570961783424475136</t>
  </si>
  <si>
    <t>https://twitter.com/CommsUnitSL/statuses/441918620096942080</t>
  </si>
  <si>
    <t>https://twitter.com/ComunicadosHN/statuses/246873106508025856</t>
  </si>
  <si>
    <t>https://twitter.com/CourGrandDucale/statuses/565919995339997184</t>
  </si>
  <si>
    <t>https://twitter.com/CRcancilleria/statuses/665342559275741185</t>
  </si>
  <si>
    <t>https://twitter.com/CYpresidency/statuses/607992283607134208</t>
  </si>
  <si>
    <t>https://twitter.com/CyprusMFA/statuses/714779614476763136</t>
  </si>
  <si>
    <t>https://twitter.com/CzechMFA/statuses/616147521199583232</t>
  </si>
  <si>
    <t>https://twitter.com/Daniel_k_Duncan/statuses/271915708655472640</t>
  </si>
  <si>
    <t>https://twitter.com/DanielMitov/statuses/715933911918985217</t>
  </si>
  <si>
    <t>https://twitter.com/DaniloMedina/statuses/314229967670091776</t>
  </si>
  <si>
    <t>https://twitter.com/David_Cameron/statuses/665287406459990016</t>
  </si>
  <si>
    <t>https://twitter.com/deplu/statuses/101901101250523136</t>
  </si>
  <si>
    <t>https://twitter.com/DeptEstadoPR/statuses/707564203859714048</t>
  </si>
  <si>
    <t>https://twitter.com/dfaspokesperson/statuses/323973397023428609</t>
  </si>
  <si>
    <t>https://twitter.com/dfat/statuses/658014331825614848</t>
  </si>
  <si>
    <t>https://twitter.com/dfatirl/statuses/610794666087292928</t>
  </si>
  <si>
    <t>https://twitter.com/DGRAVELONARIVO/statuses/417700634012295168</t>
  </si>
  <si>
    <t>https://twitter.com/dhoinine/statuses/189757102783336448</t>
  </si>
  <si>
    <t>https://twitter.com/Diplomacy_RM/statuses/482433463862431744</t>
  </si>
  <si>
    <t>https://twitter.com/DiploPubliqueTR/statuses/570278111704686593</t>
  </si>
  <si>
    <t>https://twitter.com/DIRCO_ZA/statuses/688412923580973056</t>
  </si>
  <si>
    <t>https://twitter.com/ditmirbushati/statuses/522130463511818240</t>
  </si>
  <si>
    <t>https://twitter.com/djiboutidiplo/statuses/706707140652703744</t>
  </si>
  <si>
    <t>https://twitter.com/DjibPrimature/statuses/439673917008248832</t>
  </si>
  <si>
    <t>https://twitter.com/DOImalta/statuses/513604903327920128</t>
  </si>
  <si>
    <t>https://twitter.com/donaldtusk/statuses/477834553806307328</t>
  </si>
  <si>
    <t>https://twitter.com/DrEnsour/statuses/316579511447736321</t>
  </si>
  <si>
    <t>https://twitter.com/DutchMFA/statuses/621968892605370369</t>
  </si>
  <si>
    <t>https://twitter.com/ebkoroma/statuses/337658776318509056</t>
  </si>
  <si>
    <t>https://twitter.com/ediramaal/statuses/619429887988920320</t>
  </si>
  <si>
    <t>https://twitter.com/eGovMalta/statuses/271900955182784512</t>
  </si>
  <si>
    <t>https://twitter.com/gastonbrowne/statuses/515414709118308352</t>
  </si>
  <si>
    <t>https://twitter.com/GeoffreyOnyeama/statuses/719929900749094915</t>
  </si>
  <si>
    <t>https://twitter.com/GISDominica/statuses/717379133987094528</t>
  </si>
  <si>
    <t>https://twitter.com/GjorgeIvanov/statuses/1157469096</t>
  </si>
  <si>
    <t>https://twitter.com/GMICafghanistan/statuses/270014853832404992</t>
  </si>
  <si>
    <t>https://twitter.com/Gobierno_CR/statuses/609412614851022848</t>
  </si>
  <si>
    <t>https://twitter.com/gouv_lu/statuses/658015996637237248</t>
  </si>
  <si>
    <t>https://twitter.com/Gouvci/statuses/709072789819539457</t>
  </si>
  <si>
    <t>https://twitter.com/GouvGabon/statuses/565134824558432256</t>
  </si>
  <si>
    <t>https://twitter.com/GouvGN/statuses/688296342666391553</t>
  </si>
  <si>
    <t>https://twitter.com/GouvMali/statuses/520307902507393025</t>
  </si>
  <si>
    <t>https://twitter.com/Gouvrdcongo/statuses/270934823240077312</t>
  </si>
  <si>
    <t>https://twitter.com/GOV_BN/statuses/599053557019508736</t>
  </si>
  <si>
    <t>https://twitter.com/gov_tunisie/statuses/548061784163106817</t>
  </si>
  <si>
    <t>https://twitter.com/GovCyprus/statuses/712208544276156416</t>
  </si>
  <si>
    <t>https://twitter.com/govdotie/statuses/516577897277296640</t>
  </si>
  <si>
    <t>https://twitter.com/GovernmentGeo/statuses/726419734615449601</t>
  </si>
  <si>
    <t>https://twitter.com/GovernmentLY/statuses/524547604831813632</t>
  </si>
  <si>
    <t>https://twitter.com/GovernmentRF/statuses/562163039861211137</t>
  </si>
  <si>
    <t>https://twitter.com/govgd/statuses/215861568653631489</t>
  </si>
  <si>
    <t>https://twitter.com/govgeoabkhaz/statuses/642369535937384449</t>
  </si>
  <si>
    <t>https://twitter.com/govgr/statuses/202891486101114880</t>
  </si>
  <si>
    <t>https://twitter.com/govkorea/statuses/364902091279446016</t>
  </si>
  <si>
    <t>https://twitter.com/GovMonaco/statuses/516932158624395264</t>
  </si>
  <si>
    <t>https://twitter.com/govofvanuatu/statuses/229907102590717953</t>
  </si>
  <si>
    <t>https://twitter.com/GovPH_PCOO/statuses/127287434370220032</t>
  </si>
  <si>
    <t>https://twitter.com/govpt/statuses/724229693356969985</t>
  </si>
  <si>
    <t>https://twitter.com/govsingapore/statuses/551996743894958080</t>
  </si>
  <si>
    <t>https://twitter.com/govSlovenia/statuses/657199400381476864</t>
  </si>
  <si>
    <t>https://twitter.com/govsuriname/statuses/641235895924969477</t>
  </si>
  <si>
    <t>https://twitter.com/govtofgeorgia/statuses/6662967153</t>
  </si>
  <si>
    <t>https://twitter.com/GOVuz/statuses/225821714322423808</t>
  </si>
  <si>
    <t>https://twitter.com/GreeceMFA/statuses/712232383341338624</t>
  </si>
  <si>
    <t>https://twitter.com/Grybauskaite_LT/statuses/571451219690057728</t>
  </si>
  <si>
    <t>https://twitter.com/GuatemalaGob/statuses/687718302622191617</t>
  </si>
  <si>
    <t>https://twitter.com/GuillaumeLong/statuses/721938940584927233</t>
  </si>
  <si>
    <t>https://twitter.com/guv_ro/statuses/584982567474036736</t>
  </si>
  <si>
    <t>https://twitter.com/GuvernulRM/statuses/235622175636348928</t>
  </si>
  <si>
    <t>https://twitter.com/GuvernulRMD/statuses/636505633567703040</t>
  </si>
  <si>
    <t>https://twitter.com/GvtMonaco/statuses/533252274777518080</t>
  </si>
  <si>
    <t>https://twitter.com/HadiPresident/statuses/679385505914601473</t>
  </si>
  <si>
    <t>https://twitter.com/hagegeingob/statuses/604702379607519233</t>
  </si>
  <si>
    <t>https://twitter.com/HaiderAlAbadi/statuses/672920821325832192</t>
  </si>
  <si>
    <t>https://twitter.com/HailemariamD/statuses/199544019536183297</t>
  </si>
  <si>
    <t>https://twitter.com/HannaTetteh/statuses/483925866498760704</t>
  </si>
  <si>
    <t>https://twitter.com/HashimThaciRKS/statuses/656843264096673793</t>
  </si>
  <si>
    <t>https://twitter.com/HassanRouhani/statuses/375278962718412800</t>
  </si>
  <si>
    <t>https://twitter.com/HeraldoMunoz/statuses/477154412453179392</t>
  </si>
  <si>
    <t>https://twitter.com/Hilaaleege/statuses/84311892889313281</t>
  </si>
  <si>
    <t>https://twitter.com/HonEdgarCLungu/statuses/564457939105488896</t>
  </si>
  <si>
    <t>https://twitter.com/Horacio_Cartes/statuses/674732159127678976</t>
  </si>
  <si>
    <t>https://twitter.com/I_Luksic/statuses/720351883399983104</t>
  </si>
  <si>
    <t>https://twitter.com/IakobaItaleli/statuses/552942628694925312</t>
  </si>
  <si>
    <t>https://twitter.com/IBK_2013/statuses/367030199042719744</t>
  </si>
  <si>
    <t>https://twitter.com/ID_Itno/statuses/566228847415545857</t>
  </si>
  <si>
    <t>https://twitter.com/IEmbassy/statuses/312234528544546817</t>
  </si>
  <si>
    <t>https://twitter.com/IgnacioYbanez/statuses/713793621552734208</t>
  </si>
  <si>
    <t>https://twitter.com/IKasoulides/statuses/564744385732960258</t>
  </si>
  <si>
    <t>https://twitter.com/IlvesToomas/statuses/568788381171388416</t>
  </si>
  <si>
    <t>https://twitter.com/imprensaPR/statuses/482920047758024704</t>
  </si>
  <si>
    <t>https://twitter.com/IndianDiplomacy/statuses/715184781646909441</t>
  </si>
  <si>
    <t>https://twitter.com/infopresidencia/statuses/718832568360116225</t>
  </si>
  <si>
    <t>https://twitter.com/InokeRatu/statuses/725671123799531520</t>
  </si>
  <si>
    <t>https://twitter.com/IranMFA/statuses/683916268286558209</t>
  </si>
  <si>
    <t>https://twitter.com/IraqMFA/statuses/480205550387347456</t>
  </si>
  <si>
    <t>https://twitter.com/isaacyzida/statuses/529055629147516928</t>
  </si>
  <si>
    <t>https://twitter.com/IsabelStMalo/statuses/524733659094732801</t>
  </si>
  <si>
    <t>https://twitter.com/IsmailOguelleh/statuses/718365234642231297</t>
  </si>
  <si>
    <t>https://twitter.com/IsraeliPM/statuses/680012747703058432</t>
  </si>
  <si>
    <t>https://twitter.com/Israelipm_ar/statuses/670916190362030080</t>
  </si>
  <si>
    <t>https://twitter.com/IsraelMFA/statuses/717386366112366592</t>
  </si>
  <si>
    <t>https://twitter.com/ItalyMFA/statuses/712201742285479936</t>
  </si>
  <si>
    <t>https://twitter.com/ItamaratyGovBr/statuses/670257617994911745</t>
  </si>
  <si>
    <t>https://twitter.com/JanelidzeMkh/statuses/721046751470305280</t>
  </si>
  <si>
    <t>https://twitter.com/JDMahama/statuses/424635677016592385</t>
  </si>
  <si>
    <t>https://twitter.com/JocelermePriver/statuses/725309740507484163</t>
  </si>
  <si>
    <t>https://twitter.com/Jorgecfonseca/statuses/106164385210306560</t>
  </si>
  <si>
    <t>https://twitter.com/JuanOrlandoH/statuses/715254129178718208</t>
  </si>
  <si>
    <t>https://twitter.com/juhasipila/statuses/625295809463062528</t>
  </si>
  <si>
    <t>https://twitter.com/JunckerEU/statuses/615159973404876800</t>
  </si>
  <si>
    <t>https://twitter.com/Kabmin_UA/statuses/699156977038049280</t>
  </si>
  <si>
    <t>https://twitter.com/Kabmin_UA_e/statuses/639002939395305472</t>
  </si>
  <si>
    <t>https://twitter.com/Kantei_Saigai/statuses/696130132801486848</t>
  </si>
  <si>
    <t>https://twitter.com/kaz_pm_kz/statuses/124454580296753152</t>
  </si>
  <si>
    <t>https://twitter.com/KhaledBahah/statuses/725719898572382210</t>
  </si>
  <si>
    <t>https://twitter.com/Khamenei_ar/statuses/719421385383149568</t>
  </si>
  <si>
    <t>https://twitter.com/Khamenei_es/statuses/624587117885198336</t>
  </si>
  <si>
    <t>https://twitter.com/Khamenei_Fra/statuses/722736560228196353</t>
  </si>
  <si>
    <t>https://twitter.com/khamenei_ir/statuses/624909057573408768</t>
  </si>
  <si>
    <t>https://twitter.com/KolindaGK/statuses/665303090912849922</t>
  </si>
  <si>
    <t>https://twitter.com/koninklijkhuis/statuses/636591159897391104</t>
  </si>
  <si>
    <t>https://twitter.com/KremlinRussia/statuses/725543893752791040</t>
  </si>
  <si>
    <t>https://twitter.com/Kronprinsparet/statuses/599825692109447169</t>
  </si>
  <si>
    <t>https://twitter.com/KSAMOFA/statuses/698194672200634368</t>
  </si>
  <si>
    <t>https://twitter.com/KvirikashviliGi/statuses/723097342409211908</t>
  </si>
  <si>
    <t>https://twitter.com/kyrgyzpresident/statuses/624862085328060416</t>
  </si>
  <si>
    <t>https://twitter.com/Latvian_MFA/statuses/700941938741133312</t>
  </si>
  <si>
    <t>https://twitter.com/Lithuania/statuses/660409692074729472</t>
  </si>
  <si>
    <t>https://twitter.com/LMushikiwabo/statuses/613238464478343168</t>
  </si>
  <si>
    <t>https://twitter.com/LT_MFA_Stratcom/statuses/628916141306564608</t>
  </si>
  <si>
    <t>https://twitter.com/macky_sall/statuses/724593088610615296</t>
  </si>
  <si>
    <t>https://twitter.com/MAECgob/statuses/712194072551792640</t>
  </si>
  <si>
    <t>https://twitter.com/MAEHaiti/statuses/692670757239857152</t>
  </si>
  <si>
    <t>https://twitter.com/MaithripalaS/statuses/647723578784243712</t>
  </si>
  <si>
    <t>https://twitter.com/Malaysia_Gov/statuses/583642921934557184</t>
  </si>
  <si>
    <t>https://twitter.com/MaltaGov/statuses/700044033146617856</t>
  </si>
  <si>
    <t>https://twitter.com/MangalaLK/statuses/625893180504838144</t>
  </si>
  <si>
    <t>https://twitter.com/MankeurNdiaye/statuses/536107958485417984</t>
  </si>
  <si>
    <t>https://twitter.com/manuelvalls/statuses/665608365301739520</t>
  </si>
  <si>
    <t>https://twitter.com/Mapon_Matata/statuses/702947193955721223</t>
  </si>
  <si>
    <t>https://twitter.com/margotwallstrom/statuses/634419987474722816</t>
  </si>
  <si>
    <t>https://twitter.com/MargvelashviliG/statuses/685767364860862464</t>
  </si>
  <si>
    <t>https://twitter.com/marianorajoy/statuses/677792218980220928</t>
  </si>
  <si>
    <t>https://twitter.com/MarinaKaljurand/statuses/633905621008556032</t>
  </si>
  <si>
    <t>https://twitter.com/Maroc_eGov/statuses/395168190931947520</t>
  </si>
  <si>
    <t>https://twitter.com/MarocDiplomatie/statuses/709854081859395585</t>
  </si>
  <si>
    <t>https://twitter.com/MBuhari/statuses/582242263729831936</t>
  </si>
  <si>
    <t>https://twitter.com/MDVForeign/statuses/661814704961032192</t>
  </si>
  <si>
    <t>https://twitter.com/MEAIndia/statuses/680436028558061568</t>
  </si>
  <si>
    <t>https://twitter.com/MedvedevRussia/statuses/184920711721259009</t>
  </si>
  <si>
    <t>https://twitter.com/MedvedevRussiaE/statuses/637948971567181824</t>
  </si>
  <si>
    <t>https://twitter.com/MeGovernment/statuses/671959986696790016</t>
  </si>
  <si>
    <t>https://twitter.com/merrionstreet/statuses/682912910352453632</t>
  </si>
  <si>
    <t>https://twitter.com/MFA_analysis/statuses/583705274957062145</t>
  </si>
  <si>
    <t>https://twitter.com/MFA_Austria/statuses/696996207688884224</t>
  </si>
  <si>
    <t>https://twitter.com/MFA_KZ/statuses/719571989782990849</t>
  </si>
  <si>
    <t>https://twitter.com/MFA_Mongolia/statuses/658977502707085312</t>
  </si>
  <si>
    <t>https://twitter.com/MFA_SriLanka/statuses/663993079557287936</t>
  </si>
  <si>
    <t>https://twitter.com/MFA_Tajikistan/statuses/661420450401112064</t>
  </si>
  <si>
    <t>https://twitter.com/mfaethiopia/statuses/687167266060939264</t>
  </si>
  <si>
    <t>https://twitter.com/MFAgovge/statuses/717101669964783619</t>
  </si>
  <si>
    <t>https://twitter.com/MFAKOSOVO/statuses/665311916357619712</t>
  </si>
  <si>
    <t>https://twitter.com/MFAofArmenia/statuses/718781885988618240</t>
  </si>
  <si>
    <t>https://twitter.com/mfarighana/statuses/702588184752955392</t>
  </si>
  <si>
    <t>https://twitter.com/MFAsg/statuses/657871092954959872</t>
  </si>
  <si>
    <t>https://twitter.com/MFASriLanka/statuses/693288986463199232</t>
  </si>
  <si>
    <t>https://twitter.com/MFAThai/statuses/665336619252117504</t>
  </si>
  <si>
    <t>https://twitter.com/MFAThai_Pol/statuses/45319791409508352</t>
  </si>
  <si>
    <t>https://twitter.com/MFATurkey/statuses/717004678437928962</t>
  </si>
  <si>
    <t>https://twitter.com/MFATurkeyArabic/statuses/495075279782817792</t>
  </si>
  <si>
    <t>https://twitter.com/MFATurkeyFrench/statuses/590451589237858304</t>
  </si>
  <si>
    <t>https://twitter.com/mgonzalezsanz/statuses/610937133424078848</t>
  </si>
  <si>
    <t>https://twitter.com/MichelTemer/statuses/582413077754195968</t>
  </si>
  <si>
    <t>https://twitter.com/MinCanadaAE/statuses/712261532864933888</t>
  </si>
  <si>
    <t>https://twitter.com/MinCanadaFA/statuses/712261475310694400</t>
  </si>
  <si>
    <t>https://twitter.com/mincombolivia/statuses/721898382181007360</t>
  </si>
  <si>
    <t>https://twitter.com/MindeGobierno/statuses/703244790566133761</t>
  </si>
  <si>
    <t>https://twitter.com/MinexGt/statuses/723607802552393728</t>
  </si>
  <si>
    <t>https://twitter.com/MinExterioresUY/statuses/712305195112341504</t>
  </si>
  <si>
    <t>https://twitter.com/MinisterMOFA/statuses/601753227705614337</t>
  </si>
  <si>
    <t>https://twitter.com/MinPres/statuses/606690115881205761</t>
  </si>
  <si>
    <t>https://twitter.com/Minrel_Chile/statuses/712230505391988736</t>
  </si>
  <si>
    <t>https://twitter.com/MiroCerar/statuses/620460568684699648</t>
  </si>
  <si>
    <t>https://twitter.com/MiroslavLajcak/statuses/676481070959861760</t>
  </si>
  <si>
    <t>https://twitter.com/MNEGOVPT/statuses/509421381197766658</t>
  </si>
  <si>
    <t>https://twitter.com/MOFAIC/statuses/656812683543629824</t>
  </si>
  <si>
    <t>https://twitter.com/MofaJapan_en/statuses/665848166894272517</t>
  </si>
  <si>
    <t>https://twitter.com/MofaJapan_jp/statuses/665844372223619072</t>
  </si>
  <si>
    <t>https://twitter.com/MOFAKuwait_en/statuses/614545532292173824</t>
  </si>
  <si>
    <t>https://twitter.com/MofaNepal/statuses/712247304544067584</t>
  </si>
  <si>
    <t>https://twitter.com/MofaOman/statuses/684092191090864128</t>
  </si>
  <si>
    <t>https://twitter.com/MofaSomalia/statuses/559285897305546754</t>
  </si>
  <si>
    <t>https://twitter.com/MonarchieBe/statuses/540931392641957888</t>
  </si>
  <si>
    <t>https://twitter.com/MongolDiplomacy/statuses/629089694635036672</t>
  </si>
  <si>
    <t>https://twitter.com/MPMCTweeter/statuses/314565515299389440</t>
  </si>
  <si>
    <t>https://twitter.com/mreparaguay/statuses/665326142249902080</t>
  </si>
  <si>
    <t>https://twitter.com/MVEP_hr/statuses/636826903903662081</t>
  </si>
  <si>
    <t>https://twitter.com/MvPressCenter/statuses/704963388384743424</t>
  </si>
  <si>
    <t>https://twitter.com/MZemanOficialni/statuses/382539165356670976</t>
  </si>
  <si>
    <t>https://twitter.com/mzvcr/statuses/712196472486416384</t>
  </si>
  <si>
    <t>https://twitter.com/MZZRS/statuses/665296482707222529</t>
  </si>
  <si>
    <t>https://twitter.com/namibia_mfa/statuses/602582413915611136</t>
  </si>
  <si>
    <t>https://twitter.com/netanyahu/statuses/565148423507042305</t>
  </si>
  <si>
    <t>https://twitter.com/Nicolae_Timofti/statuses/398024161529835520</t>
  </si>
  <si>
    <t>https://twitter.com/niinisto/statuses/673421540235550721</t>
  </si>
  <si>
    <t>https://twitter.com/NikolaPoposki/statuses/671680056431927296</t>
  </si>
  <si>
    <t>https://twitter.com/NikosKotzias/statuses/614845320715968512</t>
  </si>
  <si>
    <t>https://twitter.com/NorwayMFA/statuses/520482663506128896</t>
  </si>
  <si>
    <t>https://twitter.com/NoticiaCR/statuses/564803069775314944</t>
  </si>
  <si>
    <t>https://twitter.com/noynoyaquino/statuses/678781743864766465</t>
  </si>
  <si>
    <t>https://twitter.com/Number10gov/statuses/630824877424013312</t>
  </si>
  <si>
    <t>https://twitter.com/OFMUAE/statuses/397997546670260224</t>
  </si>
  <si>
    <t>https://twitter.com/OkmotKG/statuses/506748369339834369</t>
  </si>
  <si>
    <t>https://twitter.com/Ollanta_HumalaT/statuses/309070683881750529</t>
  </si>
  <si>
    <t>https://twitter.com/OPM_TT/statuses/725058952095010816</t>
  </si>
  <si>
    <t>https://twitter.com/opmguyana/statuses/658703082180747264</t>
  </si>
  <si>
    <t>https://twitter.com/OPMUganda/statuses/613031681918926852</t>
  </si>
  <si>
    <t>https://twitter.com/otptt/statuses/575300292419457024</t>
  </si>
  <si>
    <t>https://twitter.com/palaismonaco/statuses/542751279815340032</t>
  </si>
  <si>
    <t>https://twitter.com/PalestinianGov/statuses/506025750474940418</t>
  </si>
  <si>
    <t>https://twitter.com/PaoloGentiloni/statuses/718477050907009025</t>
  </si>
  <si>
    <t>https://twitter.com/pcmperu/statuses/723523822129954817</t>
  </si>
  <si>
    <t>https://twitter.com/pdhnisbett/statuses/654135965519183872</t>
  </si>
  <si>
    <t>https://twitter.com/PDTurkeyArabic/statuses/709282560136896512</t>
  </si>
  <si>
    <t>https://twitter.com/Petrit/statuses/723861767554785281</t>
  </si>
  <si>
    <t>https://twitter.com/PHammondMP/statuses/635350309494239233</t>
  </si>
  <si>
    <t>https://twitter.com/pid_gov/statuses/602742449233002496</t>
  </si>
  <si>
    <t>https://twitter.com/PM_GOV_PG/statuses/635953298206363648</t>
  </si>
  <si>
    <t>https://twitter.com/PMBhutan/statuses/537532715948445696</t>
  </si>
  <si>
    <t>https://twitter.com/PMOBhutan/statuses/431325878962774016</t>
  </si>
  <si>
    <t>https://twitter.com/pmoffice_mn/statuses/291129539147464704</t>
  </si>
  <si>
    <t>https://twitter.com/PMOIndia/statuses/686513218458497025</t>
  </si>
  <si>
    <t>https://twitter.com/pnkurunziza/statuses/598919770910625792</t>
  </si>
  <si>
    <t>https://twitter.com/PolandMFA/statuses/591591091780059137</t>
  </si>
  <si>
    <t>https://twitter.com/Pontifex_ar/statuses/671252372207734785</t>
  </si>
  <si>
    <t>https://twitter.com/Pontifex_de/statuses/721201500609839104</t>
  </si>
  <si>
    <t>https://twitter.com/Pontifex_es/statuses/713976379428052992</t>
  </si>
  <si>
    <t>https://twitter.com/Pontifex_fr/statuses/665591295138594816</t>
  </si>
  <si>
    <t>https://twitter.com/Pontifex_pt/statuses/713976373623173121</t>
  </si>
  <si>
    <t>https://twitter.com/poroshenko/statuses/647625743091023874</t>
  </si>
  <si>
    <t>https://twitter.com/Portal_Kemlu_RI/statuses/687527531956711424</t>
  </si>
  <si>
    <t>https://twitter.com/Pr_Alpha_Conde/statuses/389062595304382464</t>
  </si>
  <si>
    <t>https://twitter.com/PR_Paul_Biya/statuses/625855211794513920</t>
  </si>
  <si>
    <t>https://twitter.com/Pravitelstvo_RF/statuses/647667761724948480</t>
  </si>
  <si>
    <t>https://twitter.com/prdthailand/statuses/692899372313366528</t>
  </si>
  <si>
    <t>https://twitter.com/predsednikrs/statuses/710067311273705472</t>
  </si>
  <si>
    <t>https://twitter.com/PRepublicaTL/statuses/597559727233589248</t>
  </si>
  <si>
    <t>https://twitter.com/Presidence_gn/statuses/678857921078427648</t>
  </si>
  <si>
    <t>https://twitter.com/PresidenceGA/statuses/633369023191875584</t>
  </si>
  <si>
    <t>https://twitter.com/PresidenceMada/statuses/718394740698451973</t>
  </si>
  <si>
    <t>https://twitter.com/PresidenceMali/statuses/623788589713915905</t>
  </si>
  <si>
    <t>https://twitter.com/PresidenceNiger/statuses/691293919087366144</t>
  </si>
  <si>
    <t>https://twitter.com/PresidenceTg/statuses/725121777114992643</t>
  </si>
  <si>
    <t>https://twitter.com/presidenceTN/statuses/617325561539653632</t>
  </si>
  <si>
    <t>https://twitter.com/Presidencia_Ec/statuses/721842741181825025</t>
  </si>
  <si>
    <t>https://twitter.com/Presidencia_HN/statuses/707692313993023488</t>
  </si>
  <si>
    <t>https://twitter.com/PresidenciadeHN/statuses/40084912887443456</t>
  </si>
  <si>
    <t>https://twitter.com/PresidencialVen/statuses/721903412531568640</t>
  </si>
  <si>
    <t>https://twitter.com/PresidenciaPy/statuses/675075206470344705</t>
  </si>
  <si>
    <t>https://twitter.com/Presidency_Sy/statuses/658618733519355904</t>
  </si>
  <si>
    <t>https://twitter.com/presidencymv/statuses/704684388546584577</t>
  </si>
  <si>
    <t>https://twitter.com/PresidencySrb/statuses/654954865282711552</t>
  </si>
  <si>
    <t>https://twitter.com/PresidentABO/statuses/685221257244225536</t>
  </si>
  <si>
    <t>https://twitter.com/PresidenteCV/statuses/665552948844503040</t>
  </si>
  <si>
    <t>https://twitter.com/PresidentFuad/statuses/660566433714348032</t>
  </si>
  <si>
    <t>https://twitter.com/presidentMT/statuses/665336807928815616</t>
  </si>
  <si>
    <t>https://twitter.com/PresidentRuvi/statuses/664405597673144320</t>
  </si>
  <si>
    <t>https://twitter.com/pressslujba/statuses/596678341442211841</t>
  </si>
  <si>
    <t>https://twitter.com/presstj/statuses/601665309737492480</t>
  </si>
  <si>
    <t>https://twitter.com/primaturebj/statuses/367785352208994304</t>
  </si>
  <si>
    <t>https://twitter.com/PrimatureHT/statuses/721382169642307584</t>
  </si>
  <si>
    <t>https://twitter.com/PRIMATURERCA/statuses/535811335846903808</t>
  </si>
  <si>
    <t>https://twitter.com/PrimatureRwanda/statuses/712640963659894784</t>
  </si>
  <si>
    <t>https://twitter.com/PrimeministerGR/statuses/560124441393631232</t>
  </si>
  <si>
    <t>https://twitter.com/primeministerkz/statuses/515434369566011394</t>
  </si>
  <si>
    <t>https://twitter.com/PurevsurenL/statuses/659399861402488832</t>
  </si>
  <si>
    <t>https://twitter.com/PutinRF/statuses/578208963205996544</t>
  </si>
  <si>
    <t>https://twitter.com/PutinRF_Eng/statuses/591272698497605632</t>
  </si>
  <si>
    <t>https://twitter.com/QueenRania/statuses/688087446173671424</t>
  </si>
  <si>
    <t>https://twitter.com/Quirinale/statuses/712216493124096000</t>
  </si>
  <si>
    <t>https://twitter.com/RamiHamdalla/statuses/709043003533488128</t>
  </si>
  <si>
    <t>https://twitter.com/rdussey/statuses/692758598015934465</t>
  </si>
  <si>
    <t>https://twitter.com/regierung_fl/statuses/316584589600649216</t>
  </si>
  <si>
    <t>https://twitter.com/RegSprecher/statuses/478612717428019201</t>
  </si>
  <si>
    <t>https://twitter.com/RepdemCongo/statuses/323104419908567041</t>
  </si>
  <si>
    <t>https://twitter.com/RHCJO/statuses/724587882841837568</t>
  </si>
  <si>
    <t>https://twitter.com/Rigas_pils/statuses/687566669619826688</t>
  </si>
  <si>
    <t>https://twitter.com/Rijksoverheid/statuses/684684980572807172</t>
  </si>
  <si>
    <t>https://twitter.com/Rouhani_ir/statuses/688469081826144257</t>
  </si>
  <si>
    <t>https://twitter.com/rplevneliev/statuses/130010703070371840</t>
  </si>
  <si>
    <t>https://twitter.com/RT_Erdogan/statuses/614536973529804800</t>
  </si>
  <si>
    <t>https://twitter.com/rubirivlin/statuses/675313653315424256</t>
  </si>
  <si>
    <t>https://twitter.com/RW_UNP/statuses/633679617304342528</t>
  </si>
  <si>
    <t>https://twitter.com/RwandaGov/statuses/724575396461686784</t>
  </si>
  <si>
    <t>https://twitter.com/RwandaMFA/statuses/703136770985099265</t>
  </si>
  <si>
    <t>https://twitter.com/SaikhanbilegPM/statuses/713984234189230080</t>
  </si>
  <si>
    <t>https://twitter.com/SaintLuciaGov/statuses/690321072491728898</t>
  </si>
  <si>
    <t>https://twitter.com/SalahRabbani/statuses/589483471560671233</t>
  </si>
  <si>
    <t>https://twitter.com/SalamTammam/statuses/320494500357222400</t>
  </si>
  <si>
    <t>https://twitter.com/samoagovt/statuses/649381743070306306</t>
  </si>
  <si>
    <t>https://twitter.com/SassouCG/statuses/665497639232872448</t>
  </si>
  <si>
    <t>https://twitter.com/Saudiegov/statuses/646900801881812992</t>
  </si>
  <si>
    <t>https://twitter.com/SCpresidenciauy/statuses/721339714750521345</t>
  </si>
  <si>
    <t>https://twitter.com/sebastiankurz/statuses/676472140149993473</t>
  </si>
  <si>
    <t>https://twitter.com/SerbianPM/statuses/712011530901065728</t>
  </si>
  <si>
    <t>https://twitter.com/setkabgoid/statuses/687526500766072832</t>
  </si>
  <si>
    <t>https://twitter.com/SeychellesMFA/statuses/715847693889904641</t>
  </si>
  <si>
    <t>https://twitter.com/SkerritR/statuses/639109542643527680</t>
  </si>
  <si>
    <t>https://twitter.com/skngov/statuses/638387789571080192</t>
  </si>
  <si>
    <t>https://twitter.com/SlavekSobotka/statuses/666274272592191489</t>
  </si>
  <si>
    <t>https://twitter.com/SlovakiaMFA/statuses/605291575711821825</t>
  </si>
  <si>
    <t>https://twitter.com/somaligov_/statuses/566029803883876353</t>
  </si>
  <si>
    <t>https://twitter.com/SomaliPM/statuses/690235190447362048</t>
  </si>
  <si>
    <t>https://twitter.com/SpainMFA/statuses/688785642990469120</t>
  </si>
  <si>
    <t>https://twitter.com/SRECIHonduras/statuses/726142374473175040</t>
  </si>
  <si>
    <t>https://twitter.com/StateDept/statuses/665343168108470273</t>
  </si>
  <si>
    <t>https://twitter.com/StateDeptLive/statuses/570242484980166656</t>
  </si>
  <si>
    <t>https://twitter.com/StateHouseKenya/statuses/706372179319988224</t>
  </si>
  <si>
    <t>https://twitter.com/StateHousePress/statuses/237683924267044864</t>
  </si>
  <si>
    <t>https://twitter.com/strakovka/statuses/672400719572574208</t>
  </si>
  <si>
    <t>https://twitter.com/SushmaSwaraj/statuses/673738806038683648</t>
  </si>
  <si>
    <t>https://twitter.com/SweMFA/statuses/703837071555715072</t>
  </si>
  <si>
    <t>https://twitter.com/TC_Disisleri/statuses/631224864486072320</t>
  </si>
  <si>
    <t>https://twitter.com/tcbestepe/statuses/703276931324706816</t>
  </si>
  <si>
    <t>https://twitter.com/TheVillaSomalia/statuses/660715618023403520</t>
  </si>
  <si>
    <t>https://twitter.com/togoprimature/statuses/722819512790155265</t>
  </si>
  <si>
    <t>https://twitter.com/TommyRemengesau/statuses/654695844029927424</t>
  </si>
  <si>
    <t>https://twitter.com/TPKanslia/statuses/711919226131501057</t>
  </si>
  <si>
    <t>https://twitter.com/trpresidency/statuses/615153598209609728</t>
  </si>
  <si>
    <t>https://twitter.com/ts_elbegdorj/statuses/292525618166374400</t>
  </si>
  <si>
    <t>https://twitter.com/tsheringtobgay/statuses/625704834587619328</t>
  </si>
  <si>
    <t>https://twitter.com/tsipras_eu/statuses/615224725137133569</t>
  </si>
  <si>
    <t>https://twitter.com/TunisieDiplo/statuses/558667199708422144</t>
  </si>
  <si>
    <t>https://twitter.com/UgandaMediaCent/statuses/714516917046874112</t>
  </si>
  <si>
    <t>https://twitter.com/UKUrdu/statuses/714735983116357634</t>
  </si>
  <si>
    <t>https://twitter.com/Ulkoministerio/statuses/712197527899152384</t>
  </si>
  <si>
    <t>https://twitter.com/UM_dk/statuses/720203791392509954</t>
  </si>
  <si>
    <t>https://twitter.com/UrugwiroVillage/statuses/596583495864025088</t>
  </si>
  <si>
    <t>https://twitter.com/USA_Zhongwen/statuses/145586157047123969</t>
  </si>
  <si>
    <t>https://twitter.com/USApoRusski/statuses/725567755609579520</t>
  </si>
  <si>
    <t>https://twitter.com/USAUrdu/statuses/678194763187793920</t>
  </si>
  <si>
    <t>https://twitter.com/Utenriksdept/statuses/336456247236767744</t>
  </si>
  <si>
    <t>https://twitter.com/valtioneuvosto/statuses/604246415099957248</t>
  </si>
  <si>
    <t>https://twitter.com/vencancilleria/statuses/712330606647054336</t>
  </si>
  <si>
    <t>https://twitter.com/Viktor_Orban/statuses/10466119440</t>
  </si>
  <si>
    <t>https://twitter.com/VladaCG/statuses/467659020401410049</t>
  </si>
  <si>
    <t>https://twitter.com/VladaMK/statuses/567233936406110209</t>
  </si>
  <si>
    <t>https://twitter.com/vladaRS/statuses/712197365747347458</t>
  </si>
  <si>
    <t>https://twitter.com/votealpha2015/statuses/653279989215948800</t>
  </si>
  <si>
    <t>https://twitter.com/WhiteHouse/statuses/726594477746429956</t>
  </si>
  <si>
    <t>https://twitter.com/Xavier_Bettel/statuses/504878510562099200</t>
  </si>
  <si>
    <t>https://twitter.com/Yatsenyuk_AP/statuses/403973383047491584</t>
  </si>
  <si>
    <t>https://twitter.com/evoespueblo</t>
  </si>
  <si>
    <t>https://twitter.com/MichelTemer</t>
  </si>
  <si>
    <t>https://twitter.com/evoespueblo/status/721004628771528704</t>
  </si>
  <si>
    <t>https://twitter.com/MichelTemer/status/19906393250</t>
  </si>
  <si>
    <t>https://twitter.com/evoespueblo/lists</t>
  </si>
  <si>
    <t>https://twitter.com/MichelTemer/lists</t>
  </si>
  <si>
    <t>Total @replies</t>
  </si>
  <si>
    <t>% of @replies</t>
  </si>
  <si>
    <t>AuswaertigesAmt, BelarusMFA, CanadaFP, CancilleriaEc, CancilleriaPeru, CyprusMFA, CzechMFA, Diplomacy_RM, DutchMFA, EUCouncil, ForeignMinistry, GermanyDiplo, GreeceMFA, HashimThaciRKS, IKasoulides, IndianDiplomacy, Israel, IsraelMFA, ItalyMFA, ItamaratyGovBr, Itamaraty_EN, JapanGov, JohnKerry, Latvian_MFA, LithuaniaMFA, MAECgob, MFABulgaria, MFAEcuador, MFAIceland, MFAKOSOVO, MFA_Austria, MFA_KZ, MFA_LI, MFA_Mongolia, MFA_Ukraine, MFAgovge, MFAofArmenia, MVEP_hr, MZZRS, MeGovernment, MfaEgypt, Minrel_Chile, MiroslavLajcak, NikosKotzias, NorwayMFA, Petrit, PolandMFA, RwandaMFA, SeychellesMFA, SlovakiaMFA, SpainMFA, SweMFA, Ulkoministerio, VladaCG, VladaRH, avucic, cancilleriasv, dfat, ditmirbushati, edgarsrinkevics, eu_eeas, foreignoffice, francediplo, francediplo_EN, govSlovenia, mfa_russia, sebastiankurz, valismin</t>
  </si>
  <si>
    <t>GeoffreyOnyeama, NGRPresident</t>
  </si>
  <si>
    <t>APUkraine, AzerbaijanMFA, IndianDiplomacy, Israel, IsraelMFA, ItamaratyGovBr, Latvian_MFA, LithuaniaMFA, MAECgob, MFABulgaria, MFA_KZ, MFA_Ukraine, MFAofArmenia, MID_RF, MID_Tajikistan, MeGovernment, MinexGt, PHammondMP, SpainMFA, VladaRH, edgarsrinkevics, eu_eeas, francediplo, mfa_russia, pressslujba</t>
  </si>
  <si>
    <t>DrZvizdic, EUCouncil, EUCouncilTVNews, EU_Commission, Grybauskaite_LT, HashimThaciRKS, KolindaGK, MVEP_hr, MZZRS, MiroCerar, Palazzo_Chigi, VladaRH, eucopresident, govSlovenia, presidentMT, prezydentpl, vladaRS</t>
  </si>
  <si>
    <t>CRcancilleria, CancilleriaARG, CancilleriaEc, CancilleriaPeru, CubaMINREX, DutchMFA, IndianDiplomacy, IsabelStMalo, IsraelMFA, ItamaratyGovBr, Itamaraty_EN, Itamaraty_ES, JC_Varela, LithuaniaMFA, MAECgob, MAEHaiti, MFAEcuador, MFAIceland, MFA_LI, MFAofArmenia, MIREXRD, MZZRS, MinexGt, Minrel_Chile, PresidenciaPma, SRECIHonduras, SRE_mx, SlovakiaMFA, SpainMFA, cancilleriasv, eu_eeas, mfa_russia, mreparaguay</t>
  </si>
  <si>
    <t>CourGrandDucale, EU_Commission, RoyalFamily, desdelamoncloa</t>
  </si>
  <si>
    <t>AlbanianMFA, AnastasiadesCY, BelarusMFA, BelgiumMFA, CYpresidency, CanadaFP, CzechMFA, Diplomacy_RM, DutchMFA, EUCouncilTVNews, EU_Commission, GermanyDiplo, GovCyprus, GreeceMFA, IKasoulides, IsraelMFA, ItalyMFA, ItamaratyGovBr, JohnKerry, Latvian_MFA, LithuaniaMFA, MAECgob, MAERomania, MFABulgaria, MFAIceland, MFA_Austria, MFA_KZ, MFA_LI, MFA_Mongolia, MFA_Ukraine, MFAgovge, MFAofArmenia, MVEP_hr, MZZRS, MeGovernment, MiroslavLajcak, NikosKotzias, NorwayMFA, OFMUAE, PolandMFA, RwandaMFA, SlovakiaMFA, SpainMFA, SweMFA, UgandaMFA, Ulkoministerio, VladaRH, eu_eeas, francediplo, francediplo_EN, mfa_russia, sebastiankurz, valismin</t>
  </si>
  <si>
    <t>BasbakanlikKDK, Byegm, ByegmENG, ByegmRU, DutchMFA, MFAIceland, MFATurkeyFrench, MFA_Austria, PDTurkeyArabic, PresidenceMali, TROfficeofPD, eu_eeas, francediplo</t>
  </si>
  <si>
    <t>AMB_A_Mohammed, HannaTetteh, LMushikiwabo, MinCanadaFA, PHammondMP, PaoloGentiloni, PaulKagame, RepSouthSudan, SomaliPM, borgebrende, foreignoffice, mfa_russia, mfaethiopia</t>
  </si>
  <si>
    <t>AlbanianMFA, AuswaertigesAmt, AzerbaijanMFA, BelarusMFA, BelgiumMFA, BoykoBorissov, CanadaFP, CancilleriaARG, CancilleriaPeru, CancilleriaPma, CharlesMichel, CyprusMFA, CzechMFA, DiploPubliqueTR, EUCouncilPress, EUCouncilTVNews, ForeignStrategy, Gebran_Bassil, GermanyDiplo, GouvGN, GreeceMFA, HannaTetteh, HashimThaciRKS, IKasoulides, IgnacioYbanez, IndianDiplomacy, Israel, IsraelMFA, ItalyMFA, ItamaratyGovBr, Itamaraty_EN, JohnKerry, Kristian_Jensen, LT_MFA_Stratcom, Latvian_MFA, LinkeviciusL, LithuaniaMFA, MAECgob, MAERomania, MFABulgaria, MFAEcuador, MFAIceland, MFAKOSOVO, MFAMalta, MFA_Austria, MFA_KZ, MFA_LI, MFA_Mongolia, MFA_Ukraine, MFAgovge, MFAofArmenia, MFAupdate, MID_RF, MVEP_hr, MZZRS, MeGovernment, MinBZ, MinexGt, Minrel_Chile, MiroslavLajcak, MofaNepal, NikolaPoposki, NikosKotzias, NorwayMFA, PakDiplomacy, Petrit, PolandMFA, PresidenceMali, RwandaMFA, SRECIHonduras, SRE_mx, SlovakiaMFA, SpainMFA, SweMFA, UM_dk, Ulkoministerio, Utenriksdept, Utrikesdep, VladaRH, avucic, borgebrende, cancilleriasv, dfatirl, edgarsrinkevics, eu_eeas, foreignoffice, francediplo, francediplo_EN, mfa_russia, mfaethiopia, valismin</t>
  </si>
  <si>
    <t>AlbanianMFA, Arlietas, AuswaertigesAmt, BelarusMFA, BelarusMID, Brivibas36, CanadaFP, CancilleriaPeru, CzechMFA, Diplomacy_RM, DutchMFA, EUCouncilPress, EU_Commission, FedericaMog, GermanyDiplo, HashimThaciRKS, IKasoulides, IsraelMFA, Itamaraty_EN, JohnKerry, JulieBishopMP, JunckerEU, Kristian_Jensen, Latvian_MFA, LinkeviciusL, LithuaniaMFA, MAERomania, MFAIceland, MFAKOSOVO, MFA_Austria, MFA_Ukraine, MFAgovge, MFAofArmenia, MID_RF, MVEP_hr, MZZRS, MarinaKaljurand, MarisKucinskis, MeGovernment, MiroslavLajcak, NikolaPoposki, NorwayMFA, PHammondMP, PaoloGentiloni, PavloKlimkin, Petrit, SlovakiaMFA, SusanaMalcorra, SweMFA, TaaviRoivas, Utrikesdep, Vejonis, ZaoralekL, borgebrende, ditmirbushati, eu_eeas, foreignoffice, liljaalfreds, margotwallstrom, marianorajoy, mfa_russia, sebastiankurz, valismin</t>
  </si>
  <si>
    <t>EU_Commission, Elysee_Com, IsraeliPM, JohnKerry, Matignon, Number10gov, PMOIndia, Palazzo_Chigi, PresidenceMali, RegSprecher, RoyalFamily, VladaRH, bluehousekorea, eucopresident, fhollande, francediplo, francediplo_AR, francediplo_EN, francediplo_ES, gouvernementFR, jeanmarcayrault, manuelvalls, marianorajoy, narendramodi, prensapalacio, presidenciacr, vladaRS</t>
  </si>
  <si>
    <t>AsoRock, HannaTetteh, eu_eeas</t>
  </si>
  <si>
    <t>CancilleriaEc, DrodriguezVen, MFAEcuador, SusanaMalcorra, vencancilleria</t>
  </si>
  <si>
    <t>PresidenceMali, UKenyatta</t>
  </si>
  <si>
    <t>MeGovernment, VladaCG</t>
  </si>
  <si>
    <t>AlbanianMFA, AuswaertigesAmt, AzerbaijanMFA, BelarusMFA, BelarusMID, BoykoBorissov, CanadaFP, CancilleriaPeru, Diplomacy_RM, DutchMFA, GermanyDiplo, GreeceMFA, IndianDiplomacy, IsraelArabic, IsraelHebrew, IsraelMFA, IsraelRussian, IsraeliPM, IsraeliPM_heb, ItamaratyGovBr, Itamaraty_ES, Latvian_MFA, LithuaniaMFA, MAERomania, MEAIndia, MFABulgaria, MFAEcuador, MFAIceland, MFAKOSOVO, MFA_KZ, MFA_Ukraine, MFAofArmenia, MID_RF, MVEP_hr, MeGovernment, MiroCerar, NorwayMFA, PHammondMP, Palazzo_Chigi, PolandMFA, PresidenceMali, PresidentRuvi, SerbianGov, SpainMFA, SweMFA, Ulkoministerio, VladaRH, bluehousekorea, cancilleriacrc, eu_eeas, foreignoffice, francediplo, francediplo_EN, mfa_russia, mofa_kr, netanyahu</t>
  </si>
  <si>
    <t>JocelermeP, PresidenceHT</t>
  </si>
  <si>
    <t>JnCharlesEnexPM, PresidenceHT, PrimatureHT</t>
  </si>
  <si>
    <t>AbdoulayeDiop8, AuswaertigesAmt, DutchMFA, FedericaMog, Itamaraty_EN, LT_MFA_Stratcom, LinkeviciusL, MFAIceland, MarinaKaljurand, NorwayMFA, PHammondMP, SpainMFA, UM_dk, borgebrende, ditmirbushati, edgarsrinkevics, eu_eeas, foreignoffice, larsloekke, liljaalfreds, margotwallstrom, mfa_russia, valismin</t>
  </si>
  <si>
    <t>NorwayMFA, RoyalFamily, Statsmin_kontor, Utenriksdept, borgebrende, erna_solberg</t>
  </si>
  <si>
    <t>Kristian_Jensen, MFAIceland, MiroslavLajcak, SigurdurIngiJ, borgebrende, edgarsrinkevics, margotwallstrom</t>
  </si>
  <si>
    <t>AlbanianMFA, BelarusMFA, BelarusMID, BelgiumMFA, CanadaFP, CancilleriaARG, CancilleriaEc, CancilleriaPeru, CancilleriaPma, CubaMINREX, CyprusMFA, Diplomacy_RM, DutchMFA, EUCouncilPress, EUCouncilTVNews, FedericaMog, GermanyDiplo, GreeceMFA, IgnacioYbanez, IndianDiplomacy, IsraelMFA, ItalyMFA, ItamaratyGovBr, Itamaraty_EN, Itamaraty_ES, Latvian_MFA, LithuaniaMFA, MAERomania, MEAIndia, MFABulgaria, MFAEcuador, MFAIceland, MFATurkey, MFA_Austria, MFA_KZ, MFA_LI, MFA_Ukraine, MFAgovge, MIREXRD, MVEP_hr, MZZRS, MeGovernment, MinexGt, Minrel_Chile, NorwayMFA, SRECIHonduras, SRE_mx, SlovakiaMFA, SpainMFA, SusanaMalcorra, SweMFA, VladaRH, cancilleriasv, desdelamoncloa, eu_eeas, francediplo, francediplo_EN, francediplo_ES, marianorajoy, valismin, vencancilleria</t>
  </si>
  <si>
    <t>AbdoulayeDiop8, CharlesMichel, EU_Commission, Elysee, Elysee_Com, EndaKennyTD, ForeignMinistry, French_Gov, GreeceMFA, GvtMonaco, JosephMuscat_JM, JuanManSantos, MKOfficiel, Matignon, NasserJudeh, PHammondMP, PresidenceMali, PrimatureRwanda, PrimeministerGR, SalamTammam, SlavekSobotka, SusanaMalcorra, VladaRH, avucic, djiboutidiplo, eucopresident, fhollande, foreignoffice, francediplo, francediplo_AR, francediplo_EN, gouvernementFR, govpt, jeanmarcayrault, marianorajoy, mauriciomacri, merrionstreet, prezydentpl</t>
  </si>
  <si>
    <t>AlbanianMFA, AuswaertigesAmt, AzerbaijanMFA, BelarusMFA, BelarusMID, CanadaFP, CancilleriaARG, CancilleriaEc, CancilleriaPeru, CubaMINREX, CyprusMFA, Diplomacy_RM, DutchMFA, GermanyDiplo, GreeceMFA, IndianDiplomacy, Israel, IsraelMFA, ItalyMFA, ItamaratyGovBr, Latvian_MFA, LithuaniaMFA, MAECgob, MEAIndia, MFABulgaria, MFAIceland, MFAIraq, MFAKOSOVO, MFATurkey, MFA_Austria, MFA_LI, MFA_Mongolia, MFA_Ukraine, MFAgovge, MFAofArmenia, MID_RF, MNEGOVPT, MVEP_hr, MZZRS, MinexGt, NorwayMFA, PolandMFA, SlovakiaMFA, SweMFA, Utrikesdep, cancilleriasv, eu_eeas, francediplo, francediplo_EN, mfa_russia, ortcomkz, pressslujba, primeministerkz</t>
  </si>
  <si>
    <t>AlbanianMFA, AuswaertigesAmt, AzerbaijanMFA, BelarusMFA, CanadaFP, CyprusMFA, DutchMFA, EUCouncilPress, IndianDiplomacy, IsraelMFA, ItalyMFA, Latvian_MFA, LithuaniaMFA, MFABulgaria, MFAIceland, MFATurkey, MFA_Austria, MFA_KZ, MFA_LI, MFA_Ukraine, MFAgovge, MFAupdate, MID_RF, MOFAUAE, MVEP_hr, MZZRS, MeGovernment, MongolDiplomacy, NorwayMFA, OFMUAE, PolandMFA, PurevsurenL, RwandaMFA, SeychellesMFA, SlovakiaMFA, SpainMFA, SweMFA, UgandaMFA, dfat, eu_eeas, francediplo, mfa_russia, mfaethiopia, pressslujba</t>
  </si>
  <si>
    <t>GermanyDiplo, MFASriLanka, MangalaLK, RW_UNP, SweMFA</t>
  </si>
  <si>
    <t>AlbanianMFA, AuswaertigesAmt, BelarusMFA, BelarusMID, BgPresidency, BoykoBorissov, CyprusMFA, CzechMFA, DanielMitov, Diplomacy_RM, DutchMFA, EUCouncil, EUCouncilPress, EUCouncilTVNews, EU_Commission, GermanyDiplo, GreeceMFA, IKasoulides, IndianDiplomacy, Israel, IsraelMFA, ItamaratyGovBr, JohnKerry, Latvian_MFA, LithuaniaMFA, MAECgob, MAERomania, MEAIndia, MFAIceland, MFAIraq, MFAKOSOVO, MFATurkey, MFA_Austria, MFA_KZ, MFA_LI, MFA_Mongolia, MFA_Ukraine, MFAgovge, MFAofArmenia, MID_RF, MVEP_hr, MZZRS, MiroslavLajcak, NorwayMFA, PHammondMP, PolandMFA, SlovakiaMFA, SpainMFA, StateDept, SweMFA, Ulkoministerio, cancilleriacrc, eu_eeas, francediplo, francediplo_EN, mfa_russia, mfaethiopia, sebastiankurz, valismin</t>
  </si>
  <si>
    <t>AlbanianMFA, BelarusMFA, CancilleriaEc, CancilleriaPeru, CancilleriaPma, ChileMFA, DutchMFA, GuillaumeLong, Israel, IsraelMFA, ItamaratyGovBr, Itamaraty_EN, LithuaniaMFA, MAECgob, MFAIceland, MFA_LI, MZZRS, NorwayMFA, SpainMFA, mfa_russia</t>
  </si>
  <si>
    <t>AMB_A_Mohammed, APUkraine, AlbanianMFA, AuswaertigesAmt, BelarusMFA, CanadaFP, CancilleriaPeru, CancilleriaPma, CubaMINREX, CyprusMFA, CzechMFA, DiploPubliqueTR, Diplomacy_RM, DutchMFA, EUCouncilTVNews, EU_Commission, GermanyDiplo, GreeceMFA, HannaTetteh, HashimThaciRKS, IKasoulides, IgnacioYbanez, IndianDiplomacy, IraqMFA, Israel, IsraelMFA, ItalyMFA, ItamaratyGovBr, Itamaraty_EN, Itamaraty_ES, JohnKerry, Kristian_Jensen, LT_MFA_Stratcom, Latvian_MFA, LinkeviciusL, LithuaniaMFA, MAECgob, MAERomania, MEAIndia, MFABulgaria, MFAEcuador, MFAIraq, MFAKOSOVO, MFATurkey, MFA_Austria, MFA_KZ, MFA_LI, MFA_Mongolia, MFA_Ukraine, MFAgovge, MFAofArmenia, MID_RF, MOFAVietNam, MVEP_hr, MZZRS, MeGovernment, MfaEgypt, MinexGt, Minrel_Chile, MiroslavLajcak, NikolaPoposki, NorwayMFA, PHammondMP, PolandMFA, RamiHamdalla, RwandaMFA, SRE_mx, SeychellesMFA, SigurdurIngiJ, SlovakiaMFA, SpainMFA, StateDept, SweMFA, TheBankova, UM_dk, USAbilAraby, UgandaMFA, Ulkoministerio, Utenriksdept, Utrikesdep, VladaRH, avucic, cancilleriasv, dfatirl, edgarsrinkevics, eu_eeas, foreignoffice, francediplo, francediplo_EN, govSlovenia, liljaalfreds, mfa_russia, mofa_kr, pressslujba, rdussey, sebastiankurz, valismin</t>
  </si>
  <si>
    <t>BelarusMFA, BelarusMID, CRcancilleria, CancilleriaARG, CancilleriaCol, CancilleriaEc, CancilleriaPeru, CancilleriaPma, CubaMINREX, DutchMFA, GreeceMFA, GuatemalaGob, IsraelMFA, ItalyMFA, Itamaraty_EN, Itamaraty_ES, LithuaniaMFA, MAECgob, MFAIceland, MFA_KZ, MFA_LI, MIREXRD, NorwayMFA, SRECIHonduras, SRE_mx, SpainMFA, cancilleriasv, francediplo, infopresidencia, mfa_russia, mreparaguay</t>
  </si>
  <si>
    <t>Ahmet_Davutoglu, AlbanianMFA, AnastasiadesCY, AuswaertigesAmt, BelarusMFA, CanadaFP, CyprusMFA, CzechMFA, DanielMitov, Diplomacy_RM, DutchMFA, EUCouncilPress, EU_Commission, FedericaMog, ForeignMinistry, Gebran_Bassil, GermanyDiplo, IKasoulides, IsraelMFA, ItalyMFA, JohnKerry, JulieBishopMP, KolindaGK, Latvian_MFA, LinkeviciusL, LithuaniaMFA, MAERomania, MFABulgaria, MFAIceland, MFAKOSOVO, MFA_Austria, MFA_Ukraine, MFAgovge, MVEP_hr, MZZRS, MeGovernment, NasserJudeh, NikolaPoposki, NorwayMFA, PavloKlimkin, Petrit, PolandMFA, SerbianGov, SlovakiaMFA, Utenriksdept, Utrikesdep, VladaRH, ZaoralekL, avucic, borgebrende, ditmirbushati, edgarsrinkevics, eu_eeas, foreignoffice, francediplo, liljaalfreds, mfa_russia, sebastiankurz, valismin</t>
  </si>
  <si>
    <t>CanadaFP, CzechMFA, DanielMitov, DutchMFA, EU_Commission, HashimThaciRKS, Latvian_MFA, LithuaniaMFA, MFAIceland, MFA_Austria, MiroslavLajcak, NorwayMFA, PolandMFA, VladaMK, avucic, borgebrende, ditmirbushati, edgarsrinkevics, eu_eeas, mfa_russia, sebastiankurz</t>
  </si>
  <si>
    <t>DrTedros, KagutaMuseveni, MBuhari, PHammondMP, PresidenceMali, RwandaGov, UKenyatta, macky_sall</t>
  </si>
  <si>
    <t>CancilleriaEc, DaniloMedina, ItamaratyGovBr, JC_Varela, JuanOrlandoH, MIREXRD, MeGovernment, PresidenceMali, PresidenciaPma, Presidencia_Ec, Presidencia_HN, agarciapadilla, andresnavarrog, cancilleriacrc, cancilleriasv, fortalezapr, luisguillermosr, marianorajoy, presidencia_sv, presidenciacr, sanchezceren</t>
  </si>
  <si>
    <t>MDVForeign, MvPressCenter</t>
  </si>
  <si>
    <t>BgPresidency, BorutPahor, JosephMuscat_JM, MiroCerar, RoyalFamily</t>
  </si>
  <si>
    <t>Andrej_Kiska, BeataSzydlo, BorutPahor, GermanyDiplo, KolindaGK, MSZ_RP, MiroCerar, PolandMFA, PremierRP, fhollande, francediplo, manuelvalls</t>
  </si>
  <si>
    <t>MFA_Mongolia, MID_RF, MongolDiplomacy, borgebrende, elbegdorj, margotwallstrom</t>
  </si>
  <si>
    <t>CasaReal, Elysee, GermanyDiplo, Kronprinsparet, Number10gov, PHammondMP, PMOIndia, presidentMT</t>
  </si>
  <si>
    <t>EU_Commission, GreeceMFA, Israel, IsraelMFA, MZZRS, MeGovernment, MiroCerar, MiroslavLajcak, NorwayMFA, PrimeministerGR, SerbianPM, VladaCG, VladaRH, avucic, foreignoffice, marianorajoy, vladaRS</t>
  </si>
  <si>
    <t>MFAIceland, liljaalfreds</t>
  </si>
  <si>
    <t>AlbanianMFA, BelarusMFA, BelarusMID, CancilleriaEc, CancilleriaPeru, CancilleriaPma, CubaMINREX, CyprusMFA, CzechMFA, DIRCO_ZA, DutchMFA, EUCouncilPress, GermanyDiplo, GreeceMFA, HannaTetteh, IgnacioYbanez, Israel, IsraelMFA, ItamaratyGovBr, Itamaraty_EN, Itamaraty_ES, JohnKerry, Kristian_Jensen, Latvian_MFA, LithuaniaMFA, MAECgob, MAERomania, MFABulgaria, MFAEcuador, MFAIceland, MFATurkey, MFA_Austria, MFA_LI, MFA_Mongolia, MFA_Ukraine, MFAgovge, MFAofArmenia, MOFAVietNam, MVEP_hr, MZZRS, MeGovernment, MfaEgypt, MinCanadaFA, MinexGt, MongolDiplomacy, NorwayMFA, SlovakiaMFA, StateDept, eu_eeas, foreignoffice, marianorajoy, mfa_russia, mfaethiopia, pressslujba, sebastiankurz</t>
  </si>
  <si>
    <t>EUCouncilPress, SlavekSobotka, ZaoralekL, eucopresident, mzvcr</t>
  </si>
  <si>
    <t>CancilleriaARG, CancilleriaPeru, CasaRosada, GuillaumeLong, ItamaratyGovBr, LithuaniaMFA, MAECgob, MinCanadaFA, MinExterioresUY, borgebrende, edgarsrinkevics, manuelvalls, marianorajoy, mauriciomacri, mfa_russia</t>
  </si>
  <si>
    <t>KagutaMuseveni, MagufuliJP, PaulKagame, UrugwiroVillage, hagegeingob</t>
  </si>
  <si>
    <t>KagutaMuseveni, LMushikiwabo, PresidenceMali, PrimatureRwanda, RwandaGov, RwandaMFA, UKenyatta</t>
  </si>
  <si>
    <t>EconEngage, JohnKerry, Minrel_Chile, StateDept, StateDeptLive, USAemPortugues, USAenFrancais, lacasablanca</t>
  </si>
  <si>
    <t>JohnKerry, MinCanadaAE, StateDept, StateDeptLive, USAenEspanol, USApoRusski, francediplo</t>
  </si>
  <si>
    <t>JohnKerry, MFAofArmenia, StateDept, StateDeptLive, UKUrdu, USAHindiMein, USAbilAraby, USApoRusski</t>
  </si>
  <si>
    <t>DutchMFA, EUCouncilPress, EUCouncilTVNews, EU_Commission, HashimThaciRKS, Latvian_MFA, LithuaniaMFA, MFAIceland, MFA_KZ, MFA_analysis, MiroslavLajcak, NorwayMFA, PHammondMP, SweMFA, TPKanslia, UM_dk, Ulkoministerio, Utenriksdept, edgarsrinkevics, eu_eeas, margotwallstrom, mfa_russia</t>
  </si>
  <si>
    <t>CancilleriaARG, CancilleriaCol, CancilleriaEc, CancilleriaPeru, CubaMINREX, DrodriguezVen, GreeceMFA, GuillaumeLong, ItamaratyGovBr, MAECgob, MIREXRD, NicolasMaduro, PresidencialVen, VladaRH, mfa_russia, sanchezceren</t>
  </si>
  <si>
    <t>AlbanianMFA, BoykoBorissov, I_Luksic, KolindaGK, MID_RF, MVEP_hr, MZZRS, MeGovernment, PHammondMP, SerbianGov, SweMFA, VladaRH, avucic, vladaRS</t>
  </si>
  <si>
    <t>BarackObama, Number10gov, RoyalFamily, WhiteHouse</t>
  </si>
  <si>
    <t>Ahmet_Davutoglu, AzerbaijanMFA, BarackObama, BelgiumMFA, ByegmENG, CancilleriaARG, DanielMitov, David_Cameron, EUCouncilPress, EU_Commission, Elysee, FedericaMog, FijiMFA, ForeignOfficeKE, ForeignOfficePk, ForeignStrategy, GovMonaco, IraqMFA, IsraeliPM, JPN_PMO, JunckerEU, KSAMOFA, KolindaGK, KremlinRussia_E, LinkeviciusL, MAERomania, MFAMalta, MFAThai_PR_EN, MFATurkey, MFAsg, MNEGOVPT, MOFAUAE, MOFAkr_eng, MarocDiplomatie, MedvedevRussiaE, MevlutCavusoglu, MinBZ, MoFA_Indonesia, MofaJapan_en, MofaQatar_EN, NajibRazak, NikolaPoposki, Number10gov, OFMUAE, PHammondMP, POTUS, Palazzo_Chigi, PaoloGentiloni, Pontifex, Pontifex_es, Pontifex_pt, Portal_Kemlu_RI, PresidencyZA, PrimeministerGR, PutinRF_Eng, Quirinale, RegSprecher, SerbianPM, StateDept, TROfficeofPD, TunisieDiplo, WhiteHouse, bahdiplomatic, borgebrende, dfatirl, dreynders, ediramaal, eucopresident, fhollande, govsingapore, leehsienloong, margotwallstrom, matteorenzi, mfaethiopia, netanyahu, tsheringtobgay</t>
  </si>
  <si>
    <t>APUkraine, BarackObama, BelgiumMFA, CyprusMFA, CzechMFA, Diplomacy_RM, FedericaMog, GovernAndorra, Grybauskaite_LT, IlvesToomas, IsraeliPM, JZarif, JohnKerry, KremlinRussia, Kristian_Jensen, Latvian_MFA, LinkeviciusL, MFA_Ukraine, MZZRS, MarocDiplomatie, MedvedevRussiaE, Number10gov, PavloKlimkin, PolandMFA, Rigas_pils, RoyalFamily, SlovakiaMFA, StateDept, SweMFA, TROfficeofPD, UM_dk, WhiteHouse, Yatsenyuk_AP, donaldtusk, eucopresident, fhollande, netanyahu, poroshenko</t>
  </si>
  <si>
    <t>Ahmet_Davutoglu, BarackObama, BelarusMID, BelgiumMFA, BorutPahor, CanadaFP, David_Cameron, EUCouncil, EUCouncilPress, EUCouncilTVNews, EU_Commission, GermanyDiplo, GovernmentRF, GreeceMFA, Grybauskaite_LT, HHShkMohd, IsraelMFA, IsraeliPM, ItalyMFA, JPN_PMO, JohnKerry, JosephMuscat_JM, JunckerEU, KlausIohannis, KremlinRussia, KremlinRussia_E, Latvian_MFA, MAERomania, MFABulgaria, MFATurkey, MFA_LI, MZZRS, MedvedevRussia, MevlutCavusoglu, MofaJapan_en, Number10gov, PHammondMP, PaoloGentiloni, PolandMFA, PrimeministerGR, SlavekSobotka, StateDept, SweMFA, Ulkoministerio, VladaMK, Xavier_Bettel, atsipras, erna_solberg, eucopresident, fhollande, foreignoffice, francediplo, francediplo_EN, govSlovenia, japan, matteorenzi, netanyahu, valismin, vladaRS</t>
  </si>
  <si>
    <t>AButkevicius, David_Cameron, Elysee, EstonianGovt, FedericaMog, FinGovernment, GovernmentRF, Grybauskaite_LT, IlvesToomas, JunckerEU, MarinaKaljurand, MedvedevRussia, MedvedevRussiaE, Number10gov, POTUS, Pravitelstvo_RF, PremierRP, Presidencia_Ec, RegSprecher, RoyalFamily, TaaviRoivas, Vyriausybe, WhiteHouse, donaldtusk, jeanmarcayrault, valtioneuvosto</t>
  </si>
  <si>
    <t>GovernmentZA, JPN_PMO, JosephMuscat_JM, Number10gov, RoyalFamily, StateDept, WhiteHouse</t>
  </si>
  <si>
    <t>AMB_A_Mohammed, BarackObama, CancilleriaPA, EUCouncilPress, EU_Commission, Elysee, GermanyDiplo, Horacio_Cartes, IsraeliPM, JPN_PMO, JohnKerry, MFATurkey, MFATurkeyFrench, MOFAUAE, MofaJapan_en, MofaOman, Number10gov, Ollanta_HumalaT, PresidenciaPy, RoyalFamily, SCpresidenciauy, StateDept, WhiteHouse, bahdiplomatic, cabinetofficeuk, dfat, dreynders, edgarsrinkevics, eucopresident, foreignoffice, khalidalkhalifa, netanyahu</t>
  </si>
  <si>
    <t>Kronprinsparet, MonarchieBe, RoyalFamily, koninklijkhuis, palaismonaco</t>
  </si>
  <si>
    <t>MofaQatar_EN, NicolasMaduro, evoespueblo</t>
  </si>
  <si>
    <t>BarackObama, RoyalFamily, WhiteHouse</t>
  </si>
  <si>
    <t>BelgiumMFA, CanadaFP, EU_Commission, FedericaMog, HassanRouhani, JohnKerry, JunckerEU, MFATurkey, PMOIndia, POTUS, PresidentIRL, RoyalFamily, eucopresident, narendramodi</t>
  </si>
  <si>
    <t>BarackObama, BelgiumMFA, CanadianPM, EUCouncil, EUCouncilPress, EUCouncilTVNews, GuvernulRM, LinkeviciusL, MevlutCavusoglu, MofaJapan_en, MofaQatar_EN, Number10gov, POTUS, PavloKlimkin, Portal_Kemlu_RI, RT_Erdogan, RoyalFamily, StateDept, UM_dk, Yatsenyuk_AP, borgebrende, donaldtusk, eucopresident, margotwallstrom, poroshenko, tsipras_eu</t>
  </si>
  <si>
    <t>ABZayed, Ahmet_Davutoglu, BarackObama, BrazilGovNews, CharlieFlanagan, FedericaMog, ForeignOfficeKE, JDMahama, JZarif, JohnKerry, JulieBishopMP, KagutaMuseveni, LinkeviciusL, MevlutCavusoglu, NasserJudeh, Number10gov, Pontifex, PresidentKE, StateDept, SushmaSwaraj, UKenyatta, UrugwiroVillage, macky_sall, narendramodi, sebastiankurz</t>
  </si>
  <si>
    <t>Ahmet_Davutoglu, Andrej_Kiska, BarackObama, BeataSzydlo, CharlesMichel, CiolosDacian, David_Cameron, Diplomacy_RM, EUCouncil, EndaKennyTD, FedericaMog, GermanyDiplo, IsraeliPM, JohnKerry, JustinTrudeau, KolindaGK, MFA_Ukraine, MiroCerar, Nicolae_Timofti, NorwayMFA, POTUS, PrimeMinisterGe, RT_Erdogan, RobertFico, SlavekSobotka, TaaviRoivas, Vejonis, Viktor_Orban, WhiteHouse, donaldtusk, edgarsrinkevics, erna_solberg, juhasipila, niinisto, sebastiankurz, tsipras_eu</t>
  </si>
  <si>
    <t>BarackObama, Hilaaleege, MvPressCenter, Number10gov, PMOIndia</t>
  </si>
  <si>
    <t>AMB_A_Mohammed, DIRCO_ZA, David_Cameron, EPN, ForeignOfficeKE, GermanyDiplo, HonStephaneDion, IgnacioYbanez, IndianDiplomacy, IsraelMFA, IsraeliPM, JohnKerry, JulieBishopMP, KSAMOFA, Kristian_Jensen, MBuhari, MFAMalta, MFATurkey, MedvedevRussiaE, NGRPresident, Number10gov, OFMUAE, PHammondMP, POTUS, PresidenciaMX, PresidencyZA, SAPresident, StateDept, VivianBala, WhiteHouse, fhollande, foreignoffice, mfa_russia, netanyahu, ruizmassieu</t>
  </si>
  <si>
    <t>EU_Commission, Elysee, FedericaMog, French_Gov, JohnKerry, KremlinRussia_E, Number10gov, Pontifex, RoyalFamily, WhiteHouse, eu_eeas, francediplo, francediplo_EN, gouvernementFR, manuelvalls, palaismonaco</t>
  </si>
  <si>
    <t>AnastasiadesCY, BarackObama, David_Cameron, EstonianGovt, IlvesToomas, JohnKerry, JunckerEU, KremlinRussia_E, Kronprinsparet, MedvedevRussiaE, MinPres, Number10gov, POTUS, Pontifex, PresidentRuvi, RoyalFamily, WhiteHouse, donaldtusk, netanyahu</t>
  </si>
  <si>
    <t>EU_Commission, Elysee, JohnKerry, Matignon, Pontifex, Pontifex_fr, RoyalFamily, fhollande, francediplo_EN, gouvernementFR</t>
  </si>
  <si>
    <t>BarackObama, JDMahama, MBuhari, PR_Paul_Biya, SAPresident</t>
  </si>
  <si>
    <t>FedericaMog, JunckerEU, WhiteHouse, eu_eeas</t>
  </si>
  <si>
    <t>DaniloMedina, DrodriguezVen, EPN, EUCouncilTVNews, IsraeliPM, JohnKerry, JuanManSantos, NicolasMaduro, PHammondMP, POTUS, Pontifex_es, fhollande, francediplo, netanyahu, ruizmassieu</t>
  </si>
  <si>
    <t>AbeShinzo, AnastasiadesCY, BarackObama, CYpresidency, CanadianPM, KolindaGK, KremlinRussia_E, MedvedevRussiaE, Number10gov, POTUS, PalestinianGov, Pontifex, PresidencyGhana, StateDept, WhiteHouse, leehsienloong, matteorenzi, tsipras_eu</t>
  </si>
  <si>
    <t>AuswaertigesAmt, AzerbaijanMFA, BelgiumMFA, David_Cameron, EU_Commission, FedericaMog, GermanyDiplo, GovernmentGeo, Grybauskaite_LT, JohnKerry, JunckerEU, JustinTrudeau, MargvelashviliG, MarinaKaljurand, MevlutCavusoglu, MinPres, PHammondMP, POTUS, StateDept, TaaviRoivas, _BR_JSA, azpresident, dreynders, edgarsrinkevics, eucopresident, margotwallstrom, poroshenko, valismin</t>
  </si>
  <si>
    <t>BarackObama, BorutPahor, David_Cameron, Elysee, GH_PARK, GobiernodeChile, GovernmentRF, Grybauskaite_LT, HHShkMohd, HassanRouhani, IsraeliPM, JohnKerry, JosephMuscat_JM, KremlinRussia_E, MinPres, NajibRazak, NicolasMaduro, Number10gov, PMOIndia, Pontifex_es, PresidenciaMX, PrimeMinistry, QueenRania, RT_Erdogan, RaulCastroR, RoyalFamily, SAPresident, StateDept, UKenyatta, WhiteHouse, Xavier_Bettel, gobmx, jeanmarcayrault, kantei, lacasablanca, noynoyaquino, tcbestepe</t>
  </si>
  <si>
    <t>AbeShinzo, BarackObama, CanadaFP, David_Cameron, FedericaMog, FijiMFA, GovernmentRF, HaiderAlAbadi, HonStephaneDion, IsraelMFA, MedvedevRussiaE, MofaJapan_en, NajibRazak, Number10gov, PMOIndia, POTUS, Pontifex, Portal_Kemlu_RI, RoyalFamily, StateDept, WhiteHouse, leehsienloong, netanyahu, ruizmassieu</t>
  </si>
  <si>
    <t>BarackObama, HHShkMohd, IndianDiplomacy, Number10gov, PresidenciaMX, PresidencyZA, QueenRania, RoyalFamily, SAPresident, WhiteHouse, narendramodi</t>
  </si>
  <si>
    <t>BarackObama, BelgiumMFA, CyprusMFA, CzechMFA, DanielMitov, David_Cameron, EUCouncil, ForeignOfficeKE, GermanyDiplo, HannaTetteh, IKasoulides, IlvesToomas, IranMFA, IraqMFA, JZarif, JohnKerry, JunckerEU, Latvian_MFA, MFATurkey, MFA_Afghanistan, MFA_Austria, MFAgovge, MedvedevRussia, MfaEgypt, MiroslavLajcak, NajibRazak, NikolaPoposki, Number10gov, POTUS, PaoloGentiloni, PavloKlimkin, RT_Erdogan, SeychellesMFA, SlovakiaMFA, StateDept, StateDeptLive, TaaviRoivas, Ulkoministerio, ZaoralekL, dfatirl, dreynders, erna_solberg, eucopresident, francediplo_EN, hagegeingob, leehsienloong, sebastiankurz</t>
  </si>
  <si>
    <t>MEAIndia, PHammondMP, SushmaSwaraj, narendramodi</t>
  </si>
  <si>
    <t>FedericaMog, LinkeviciusL, MarinaKaljurand, PHammondMP, PavloKlimkin, ZaoralekL, forsaetisradun, sebastiankurz</t>
  </si>
  <si>
    <t>A_Davutoglu_eng, Ahmet_Davutoglu, Arlietas, BarackObama, BelgiumMFA, CharlieFlanagan, DanielMitov, EUCouncil, EU_Commission, Elysee, FedericaMog, GreeceMFA, JZarif, JohnKerry, JulieBishopMP, JunckerEU, KlausIohannis, Kristian_Jensen, LinkeviciusL, MFATurkey, MarinaKaljurand, MevlutCavusoglu, MinBZ, MoFA_Indonesia, MofaJapan_en, MofaQatar_EN, PaoloGentiloni, PavloKlimkin, Portal_Kemlu_RI, StateDept, StateDeptLive, TROfficeofPD, Ulkoministerio, ZaoralekL, dfat, dfatirl, dreynders, eucopresident, govpt, jeanmarcayrault, margotwallstrom, mzvcr, sebastiankurz</t>
  </si>
  <si>
    <t>Anifah_myg, David_Cameron, GovernmentRF, GovernmentZA, NajibRazak, Number10gov, PMOMalaysia, PutinRF_Eng, WhiteHouse, eu_eeas, govsingapore, leehsienloong</t>
  </si>
  <si>
    <t>AButkevicius, AbeShinzo, AnastasiadesCY, AzerbaijanMFA, BarackObama, BelgiumMFA, CancilleriaCol, CasaReal, CasaRosada, DaniloMedina, EU_Commission, EstonianGovt, FedericaMog, GobiernodeChile, Grybauskaite_LT, GuatemalaGob, GuillaumeLong, Horacio_Cartes, IlvesToomas, IndianDiplomacy, ItalyMFA, JDMahama, JohnKerry, JosephMuscat_JM, JulieBishopMP, JustinTrudeau, KlausIohannis, LinkeviciusL, LithuaniaMFA, MAERomania, MFA_Ukraine, MZZRS, MashiRafael, MinPres, MiroslavLajcak, MofaJapan_en, MonarchieBe, NajibRazak, NikolaPoposki, Ollanta_HumalaT, PMOIndia, POTUS, Pontifex, Pontifex_es, PremierRP, PresidenciaMX, Presidencia_Ec, QueenRania, Quirinale, RHCJO, RT_Erdogan, SerbianPM, SomaliPM, StateDept, TheVillaSomalia, TurnbullMalcolm, UKenyatta, WhiteHouse, Xavier_Bettel, agarciapadilla, cabinetofficeuk, dfatirl, donaldtusk, dreynders, erna_solberg, foreignoffice, fortalezapr, gobmx, gouvernementFR, govpt, govsingapore, guv_ro, infopresidencia, jeanmarcayrault, johnkeypm, larsloekke, leehsienloong, luisguillermosr, macky_sall, margotwallstrom, matteorenzi, merrionstreet, mgonzalezsanz, noynoyaquino, prensapalacio, presidencia_sv, prezydentpl, sanchezceren, strakovka, valismin</t>
  </si>
  <si>
    <t>BarackObama, David_Cameron, Elysee, French_Gov, JunckerEU, MinPres, PMOIndia, POTUS, RoyalFamily, SRE_mx, WhiteHouse, fhollande, foreignoffice, gouvernementFR, matteorenzi, narendramodi</t>
  </si>
  <si>
    <t>AbeShinzo, BelarusMID, BelgiumMFA, CzechMFA, Diplomacy_RM, EU_Commission, FijiMFA, ForeignMinistry, ForeignOfficeKE, ForeignStrategy, GermanyDiplo, IraqMFA, JPN_PMO, JapanGov, JulieBishopMP, KremlinRussia_E, LinkeviciusL, MAERomania, MFAIraq, MFAThai_PR_EN, MFA_Afghanistan, MFA_SriLanka, MFAofArmenia, MFAsg, MOFAEGYPT, MOFAIC, MOFAKuwait, MOFAkr_eng, MarocDiplomatie, MedvedevRussiaE, MiroslavLajcak, MoFA_Indonesia, MofaJapan_en, MofaQatar_EN, MofaSomalia, Number10gov, PHammondMP, PakDiplomacy, PaulKagame, PutinRF_Eng, RegSprecher, RepSouthSudan, StateDept, SushmaSwaraj, TROfficeofPD, TunisieDiplo, WhiteHouse, azpresident, bahdiplomatic, borgebrende, dfaspokesperson, dfatirl, donaldtusk, elbegdorj, foreignoffice, francediplo_EN, khalidalkhalifa, margotwallstrom, mfagovtt, mofa_kr, narendramodi, presidentaz, ts_elbegdorj, valismin</t>
  </si>
  <si>
    <t>AMB_A_Mohammed, A_Davutoglu_eng, BarackObama, BelgiumMFA, David_Cameron, FedericaMog, ForeignOfficeKE, KremlinRussia_E, LMushikiwabo, MFAThai, MFAThai_PR_EN, MFAsg, MOFAkr_eng, MSZ_RP, MedvedevRussiaE, MoFA_Indonesia, MofaQatar_EN, MofaSomalia, NikosKotzias, Number10gov, OFMUAE, PavloKlimkin, Pontifex, PutinRF, PutinRF_Eng, RwandaMFA, bahdiplomatic, dfat, dfatirl, eucopresident, foreignoffice, mzvcr, netanyahu</t>
  </si>
  <si>
    <t>AzerbaijanMFA, BelgiumMFA, CRcancilleria, CanadaFP, CancilleriaCol, CyprusMFA, CzechMFA, Diplomacy_RM, EU_Commission, FijiMFA, ForeignOfficeKE, ForeignStrategy, GreeceMFA, IranMFA, JuanManSantos, LT_MFA_Stratcom, Latvian_MFA, MDVForeign, MFABulgaria, MFATurkey, MFATurkeyArabic, MFATurkeyFrench, MFA_Austria, MFA_KZ, MFA_Mongolia, MFA_SriLanka, MFA_Ukraine, MFAgovge, MFAofArmenia, MFAupdate, MNEGOVPT, MashiRafael, MfaEgypt, MinBZ, Minrel_Chile, MofaQatar_EN, Ollanta_HumalaT, POTUS, PolandMFA, Pontifex_es, Presidencia_Ec, Russia, RwandaMFA, SeychellesMFA, SlovakiaMFA, SweMFA, UgandaMFA, WhiteHouse, ditmirbushati, eucopresident, gobmx, mauriciomacri, mgonzalezsanz, prensapalacio, valismin</t>
  </si>
  <si>
    <t>BelgiumMFA, EUCouncil, EU_Commission, FijiRepublic, GovernmentRF, IndianDiplomacy, JohnKerry, JulieBishopMP, KremlinRussia_E, POTUS, RoyalFamily, SlovakiaMFA, StateDept, WhiteHouse, dfat, francediplo_EN, mfa_russia, narendramodi, samoagovt</t>
  </si>
  <si>
    <t>Ahmet_Davutoglu, AnastasiadesCY, Arlietas, B_Izetbegovic, BarackObama, BelgiumMFA, BorutPahor, Brivibas36, CancilleriaARG, CharlesMichel, CharlieFlanagan, DanielMitov, David_Cameron, EUCouncil, EUCouncilPress, EU_Commission, Elysee, EndaKennyTD, FedericaMog, ForeignOfficePk, GjorgeIvanov, Grybauskaite_LT, HannaTetteh, IlvesToomas, JunckerEU, JustinTrudeau, KolindaGK, KvirikashviliGi, LT_MFA_Stratcom, MFAsg, MNEGOVPT, MSZ_RP, MZemanOficialni, MarinaKaljurand, Matignon, MevlutCavusoglu, MinBZ, MiroCerar, MofaJapan_en, MofaQatar_EN, NikolaPoposki, Number10gov, PHammondMP, Palazzo_Chigi, PaoloGentiloni, PavloKlimkin, Petrit, Pontifex, Quirinale, RT_Erdogan, RegSprecher, RoyalFamily, SalahRabbani, SerbianGov, StateDept, StenbockiMaja, TC_Disisleri, TPKanslia, TaaviRoivas, Ulkoministerio, VladaMK, WhiteHouse, Yatsenyuk_AP, ZaoralekL, azpresident, borgebrende, cabinetofficeuk, desdelamoncloa, dfatirl, ditmirbushati, donaldtusk, dreynders, ediramaal, eucopresident, fhollande, gouvernementFR, manuelvalls, margotwallstrom, matteorenzi, md_higgins, mzvcr, niinisto, poroshenko, regierung_fl, strakovka, tcbestepe, valtioneuvosto, vladaRS</t>
  </si>
  <si>
    <t>AlbanianMFA, Arlietas, AzerbaijanMFA, BarackObama, BelgiumMFA, CancilleriaPA, CasaReal, CzechMFA, EPN, ForeignMinistry, GermanyDiplo, GobiernodeChile, IsabelStMalo, JPN_PMO, JapanGov, JuanManSantos, Latvian_MFA, MFAEcuador, MFAKOSOVO, MFATurkey, MFAgovge, MFAofArmenia, MZZRS, MinExterioresUY, Minrel_Chile, MofaJapan_en, NicolasMaduro, PolandMFA, PresidenciaMX, PresidenciaPy, Presidencia_Ec, PrimeministerGR, SlovakiaMFA, StateDept, SweMFA, USAenEspanol, WhiteHouse, cancilleriacrc, dfat, dfatirl, foreignoffice, francediplo_ES, jimmymoralesgt, mfaethiopia, prensapalacio, presidencia_cl, presidencia_sv, presidenciacr, ruizmassieu, sanchezceren, valismin</t>
  </si>
  <si>
    <t>AMB_A_Mohammed, Balozi_Mahiga, BarackObama, David_Cameron, DrTedros, EU_Commission, FedericaMog, ForeignOfficeKE, GermanyDiplo, HHShkMohd, IsmailOguelleh, JZarif, JohnKerry, JunckerEU, KagutaMuseveni, KremlinRussia_E, Kristian_Jensen, MOFAUAE, MedvedevRussiaE, MevlutCavusoglu, MiroslavLajcak, MofaQatar_EN, Number10gov, PHammondMP, PaoloGentiloni, PaulKagame, PutinRF_Eng, RT_Erdogan, SomaliPM, StateDept, SushmaSwaraj, UKenyatta, Utrikesdep, WhiteHouse, eucopresident, foreignoffice, francediplo_EN, margotwallstrom</t>
  </si>
  <si>
    <t>MDVForeign, PMOIndia, RW_UNP</t>
  </si>
  <si>
    <t>BarackObama, David_Cameron, HHShkMohd, JPN_PMO, JZarif, JustinTrudeau, KremlinRussia_E, MBZNews, MinPres, Number10gov, RashtrapatiBhvn, RoyalFamily, SushmaSwaraj, johnkeypm</t>
  </si>
  <si>
    <t>Pontifex_es, maduro_ar, maduro_cmn, maduro_en, maduro_fr, maduro_pt</t>
  </si>
  <si>
    <t>BarackObama, MashiRafael</t>
  </si>
  <si>
    <t>BarackObama, Elysee, Kronprinsparet, QueenRania, RoyalFamily, WhiteHouse</t>
  </si>
  <si>
    <t>FedericaMog, JohnKerry, MagufuliJP, POTUS, matteorenzi</t>
  </si>
  <si>
    <t>BarackObama, Daniel_k_Duncan, Elysee, FEGnassingbe, WhiteHouse, adosolutions, fhollande, gouvernementFR, primatureci</t>
  </si>
  <si>
    <t>Elysee, EnexJeanCharles, MAEHaiti, fhollande, francediplo, manuelvalls</t>
  </si>
  <si>
    <t>HeraldoMunoz, MashiRafael, evoespueblo</t>
  </si>
  <si>
    <t>BarackObama, CasaReal, DaniloMedina, EPN, GobiernodeChile, GuatemalaGob, JC_Varela, JohnKerry, JuanManSantos, MashiRafael, POTUS, Pontifex_es, PresidenciaMX, PresidenciaPy, Presidencia_Ec, SRE_mx, USAenEspanol, WhiteHouse, fhollande, jimmymoralesgt, lacasablanca, prensapalacio, presidencia_cl, presidencia_sv, presidenciacr</t>
  </si>
  <si>
    <t>AnastasiadesCY, BarackObama, BorutPahor, CYpresidency, David_Cameron, EUCouncilPress, EU_Commission, EgyPresidency, Elysee, GovCyprus, GovernmentRF, Grybauskaite_LT, GvtMonaco, Kabmin_UA_e, KremlinRussia, KremlinRussia_E, Kronprinsparet, MZemanOficialni, Matignon, MedvedevRussiaE, MonarchieBe, Nicolae_Timofti, NicolasMaduro, Number10gov, Palazzo_Chigi, Pontifex_pt, Pravitelstvo_RF, PresidencyZA, PutinRF_Eng, RoyalFamily, VladaCG, cabinetofficeuk, donaldtusk, eu_eeas, eucopresident, fhollande, gouvernementFR, govSlovenia, presedinte_md, presidenceTN, trpresidency</t>
  </si>
  <si>
    <t>BarackObama, French_Gov, JDMahama, KagutaMuseveni, LMushikiwabo, MBuhari, MagufuliJP, NGRPresident, POTUS, PaulKagame, Pontifex, RwandaGov, UKenyatta, UrugwiroVillage, WhiteHouse, aguribfakim, ashrafghani, fhollande, hagegeingob, matteorenzi, narendramodi, netanyahu</t>
  </si>
  <si>
    <t>BarackObama, MvPressCenter, NajibRazak, PMOIndia, POTUS, RashtrapatiBhvn, WhiteHouse, leehsienloong, narendramodi, presidencymv</t>
  </si>
  <si>
    <t>AButkevicius, A_Davutoglu_eng, Ahmet_Davutoglu, AndrzejDuda, BarackObama, CharlesMichel, David_Cameron, EndaKennyTD, Grybauskaite_LT, IlvesToomas, KremlinRussia_E, MZemanOficialni, POTUS, PavloKlimkin, Pontifex_pl, RT_Erdogan, SalamTammam, SlavekSobotka, TaaviRoivas, Vejonis, WhiteHouse, Xavier_Bettel, Yatsenyuk_AP, afgexecutive, ashrafghani, donaldtusk, ediramaal, francediplo_EN, matteorenzi, poroshenko</t>
  </si>
  <si>
    <t>BarackObama, BdiPresidence, BurundiGov, EU_Commission, Elysee, ForeignOfficeKE, KagutaMuseveni, LMushikiwabo, MagufuliJP, Number10gov, PR_Paul_Biya, PaulKagame, Pontifex, PrimatureRDC, SAPresident, SassouCG, SomaliPM, UKenyatta, WhiteHouse, adosolutions, fhollande, macky_sall, pnkurunziza</t>
  </si>
  <si>
    <t>BarackObama, FedericaMog, Number10gov, RoyalFamily, republicoftogo, togodiplomatie</t>
  </si>
  <si>
    <t>BarackObama, Number10gov, QueenRania, RoyalFamily</t>
  </si>
  <si>
    <t>A_Davutoglu_eng, AuswaertigesAmt, BarackObama, JustinTrudeau, MonarchieBe, POTUS, Pontifex, Quirinale, RegSprecher, WhiteHouse, cabinetofficeuk, fhollande, johnkeypm, koninklijkhuis</t>
  </si>
  <si>
    <t>JustinTrudeau, Ollanta_HumalaT, RoyalFamily, SushmaSwaraj</t>
  </si>
  <si>
    <t>AbeShinzo, BarackObama, EU_Commission, FijiPM, FijiRepublic, ForeignOfficeKE, GovernmentRF, JPN_PMO, JulieBishopMP, MPMCTweeter, Number10gov, POTUS, Pontifex, RoyalFamily, RwandaGov, StateDept, WhiteHouse, dfat, fhollande, foreignoffice, govsingapore</t>
  </si>
  <si>
    <t>BorutPahor, EUCouncil, EU_Commission, FedericaMog, matteorenzi, predsednikrs</t>
  </si>
  <si>
    <t>AButkevicius, BarackObama, David_Cameron, FedericaMog, JosephMuscat_JM, JunckerEU, POTUS, eucopresident, fhollande, matteorenzi</t>
  </si>
  <si>
    <t>CzechMFA, David_Cameron, EUCouncil, EU_Commission, JunckerEU, MZemanOficialni, Number10gov</t>
  </si>
  <si>
    <t>AbeShinzo, David_Cameron, JDMahama, MBuhari, POTUS, PresidentABO, SAPresident, adosolutions, fhollande, narendramodi</t>
  </si>
  <si>
    <t>BarackObama, David_Cameron, EUCouncilPress, EU_Commission, HHShkMohd, JohnKerry, Number10gov, Pontifex, QueenRania, RoyalFamily, StateDept, WhiteHouse, cabinetofficeuk, eucopresident, francediplo_EN, khalidalkhalifa</t>
  </si>
  <si>
    <t>BarackObama, JDMahama, Number10gov, PR_Paul_Biya, PaulKagame, PresidencyGhana, PresidencyZA, QueenRania, SAPresident, WhiteHouse, adosolutions, macky_sall</t>
  </si>
  <si>
    <t>CanadianPM, EconEngage, Elysee, Gouvci, Matignon, PMcanadien, POTUS, Presidenceci, USAbilAraby, WhiteHouse, eu_eeas, fhollande, gouvernementFR, jeanmarcayrault, macky_sall, manuelvalls</t>
  </si>
  <si>
    <t>BarackObama, ForeignOfficePk, MDVForeign, POTUS, USA_Zhongwen, USAdarFarsi, USAemPortugues, USAenEspanol, USAenFrancais, WhiteHouse, lacasablanca, presidencymv</t>
  </si>
  <si>
    <t>BarackObama, CharlesMichel, DrZvizdic, EU_Commission, FedericaMog, GermanyDiplo, GovernmentRF, Grybauskaite_LT, JohnKerry, JosephMuscat_JM, JunckerEU, KremlinRussia, MAERomania, MedvedevRussia, MiroslavLajcak, MofaJapan_en, NorwayMFA, Number10gov, Quirinale, RoyalFamily, SerbianPM, SlovakiaMFA, VladaMK, WhiteHouse, ediramaal, eu_eeas, eucopresident, fhollande, francediplo, francediplo_EN, gouv_lu, gouvernementFR, govSlovenia, predsednikrs, sebastiankurz</t>
  </si>
  <si>
    <t>AMB_A_Mohammed, Ahmet_Davutoglu, AuswaertigesAmt, BelarusMFA, ByegmENG, CancilleriaPeru, CyprusMFA, DutchMFA, HashimThaciRKS, Israel, IsraelMFA, ItamaratyGovBr, Itamaraty_EN, Itamaraty_ES, JZarif, MAERomania, MFABulgaria, MFAIceland, MFAKOSOVO, MFA_Austria, MFA_Ukraine, MID_RF, MZZRS, MeGovernment, MiroslavLajcak, NorwayMFA, PHammondMP, PakDiplomacy, Petrit, PrimeministerGR, RoyalFamily, SweMFA, TROfficeofPD, VladaRH, borgebrende, eu_eeas, francediplo, francediplo_EN, govSlovenia, manuelvalls, mfa_russia, pressslujba, prezydentpl, sebastiankurz</t>
  </si>
  <si>
    <t>AbdoulayeDiop8, CancilleriaPeru, GouvGabon, Gouvci, Issoufoumhm, MIREXRD, MKOfficiel, Mapon_Matata, PresAlphaConde, PresidenceMali, Presidenceci, PresidenciaRD, PresidencyGhana, PrimatureRDC, PrimatureRwanda, RepSouthSudan, Sekhoutoureya, SweMFA, UKenyatta, UrugwiroVillage, VladaRH, francediplo, francediplo_EN, gouvbenin, macky_sall, primatureci, rochkaborepf</t>
  </si>
  <si>
    <t>AlbanianMFA, Byegm, ByegmENG, ByegmRU, CanadaFP, CancilleriaPeru, CancilleriaPma, DiploPubliqueTR, DrTedros, DutchMFA, ItalyMFA, MAERomania, MFAIceland, MFAKOSOVO, MFA_Austria, MFA_Ukraine, MFAgovge, MZZRS, NajibRazak, NikolaPoposki, PDTurkeyArabic, PHammondMP, VladaRH, avucic, djiboutidiplo, edgarsrinkevics, eu_eeas, filip_pavel, foreignoffice, manuelvalls, prezydentpl</t>
  </si>
  <si>
    <t>BgPresidency, ChileMFA, IgnacioYbanez, Itamaraty_ES, MEAIndia, MFAIraq, MID_RF, MinCanadaAE, MinCanadaFA, MinexGt, MofaNepal, PakDiplomacy, UgandaMFA, Utrikesdep, mfagovtt, pressslujba</t>
  </si>
  <si>
    <t>CancilleriaPeru, EUCouncilPress, KolindaGK, MFA_Ukraine, MeGovernment, MiroslavLajcak, SlovakiaMFA, TheBankova, VladaRH, filip_pavel</t>
  </si>
  <si>
    <t>BelarusMFA, BelarusMID, BgPresidency, CancilleriaPeru, EUCouncilTVNews, Itamaraty_ES, JanelidzeMkh, Petrit, RoyalFamily, SpainMFA, Utenriksdept, Utrikesdep, VladaRH, gouv_lu, govSlovenia, manuelvalls</t>
  </si>
  <si>
    <t>DutchMFA, ItamaratyGovBr, Itamaraty_EN, Itamaraty_ES, MFAIceland, PHammondMP, VladaRH</t>
  </si>
  <si>
    <t>AButkevicius, MiroCerar, filip_pavel</t>
  </si>
  <si>
    <t>CancilleriaEc, CancilleriaPeru, MFAIceland, MFA_Mongolia, SerbianGov, TheBankova, avucic</t>
  </si>
  <si>
    <t>CancilleriaPeru, ItamaratyGovBr, Itamaraty_EN, Itamaraty_ES, LithuaniaMFA, MFAKOSOVO, MinCanadaAE, MinCanadaFA, SweMFA</t>
  </si>
  <si>
    <t>CancilleriaPeru, GouvGabon, PrimatureRwanda, RwandaMFA, SweMFA, VladaRH</t>
  </si>
  <si>
    <t>CancilleriaARG, CancilleriaEc, CancilleriaPma, ChileMFA, CzechMFA, HonStephaneDion, IKasoulides, IgnacioYbanez, Itamaraty_EN, Itamaraty_ES, JulieBishopMP, MFAEcuador, MOFAVietNam, MfaEgypt, Minrel_Chile, PMcanadien, RwandaMFA, SpainMFA, UM_dk, Utenriksdept, aguribfakim, avucic, dfatirl, gisbarbados, pressslujba</t>
  </si>
  <si>
    <t>ChileMFA, DutchMFA, GreeceMFA, Israel, Itamaraty_ES, LithuaniaMFA, MEAIndia, MFAIceland, MFA_Ukraine, MOFAVietNam, MeGovernment, Prensa_Palacio, SweMFA, Utenriksdept, VladaRH, francediplo</t>
  </si>
  <si>
    <t>CancilleriaPeru, ChileMFA, HildaHeine, KvirikashviliGi, MFA_Ukraine, MFAgovge, MKOfficiel, MeGovernment, PrimatureRDC, SalamTammam, SpainMFA, VladaCG, VladaRH, filip_pavel, foreignoffice, govpt, larsloekke, prezydentpl, vladaRS</t>
  </si>
  <si>
    <t>AMB_A_Mohammed, Arlietas, AuswaertigesAmt, BgPresidency, CancilleriaPeru, CancilleriaPma, ChileMFA, HashimThaciRKS, IndianDiplomacy, Israel, Itamaraty_EN, Itamaraty_ES, Kristian_Jensen, LT_MFA_Stratcom, MEAIndia, MFAEcuador, MFAKOSOVO, MID_RF, MOFAUAE, MfaEgypt, MinCanadaAE, MinCanadaFA, Utrikesdep, govSlovenia, pressslujba</t>
  </si>
  <si>
    <t>ChileMFA, DanielMitov, IakobaItaleli, Itamaraty_ES, MEAIndia, MOFAVietNam, MinCanadaAE, MinCanadaFA</t>
  </si>
  <si>
    <t>CancilleriaPeru, MFAKOSOVO, PresidenceMali, PresidencySrb, SweMFA, VladaRH, predsednikrs</t>
  </si>
  <si>
    <t>CanadaFP, CancilleriaPeru, EUCouncilPress, MFA_Mongolia, MID_RF, MedvedevRussiaE, MongolDiplomacy, PHammondMP, PMOIndia, SaikhanbilegPM, SpainMFA, SusanaMalcorra, SweMFA, VladaRH, mfa_russia, pmoffice_mn, zasagmn</t>
  </si>
  <si>
    <t>ADO__Solutions, AbdoulayeDiop8, AlbanianMFA, BdiPresidence, BgPresidency, BorutPahor, Brivibas36, CRcancilleria, CYpresidency, CanadaFP, CanadaPE, CancilleriaPeru, CancilleriaPma, CathySambaPanza, CharlesMichel, CyprusMFA, DiploPubliqueTR, DutchMFA, EUCouncil, EUCouncilPress, EUCouncilTVNews, EndaKennyTD, French_Gov, Gebran_Bassil, GermanyDiplo, GovMonaco, GovernAndorra, GreeceMFA, GuillaumeLong, GvtMonaco, IKasoulides, IgnacioYbanez, Israel, IsraelMFA, ItamaratyGovBr, JocelermeP, JosephMuscat_JM, JuanManSantos, KarimMassimov, KarimMassimov_E, Latvian_MFA, MAERomania, MFA_Austria, MFA_Ukraine, MFAgovge, MFAofArmenia, MKOfficiel, MZZRS, MargvelashviliG, Maroc_eGov, MeGovernment, MichelTemer, MiroCerar, NorwayMFA, PHammondMP, PR_Paul_Biya, Pr_Alpha_Conde, PresidenceHT, PresidenceMada, PresidenceNiger, Presidenceci, PresidencySrb, PresidenteCV, PrimatureHT, PrimatureRwanda, PrimeministerGR, RepSouthSudan, SRECIHonduras, SalamTammam, Sekhoutoureya, SeychellesMFA, SpainMFA, StateHouseSey, SweMFA, TPKanslia, USAenFrancais, Utrikesdep, aguribfakim, borgebrende, djiboutidiplo, edgarsrinkevics, eu_eeas, foreignoffice, gouv_lu, govSlovenia, govpt, infopresidencia, macky_sall, merrionstreet, mincombolivia, palaismonaco, pcmperu, rochkaborepf, telle_serge, valismin</t>
  </si>
  <si>
    <t>CanadaFP, CancilleriaPeru, CharlesMichel, DutchMFA, EUCouncilPress, EndaKennyTD, HildaHeine, Kristian_Jensen, KvirikashviliGi, MFAIceland, MofaNepal, NorwayMFA, PHammondMP, SalamTammam, TaaviRoivas, VladaRH, avucic, fhollande, filip_pavel, foreignoffice, larsloekke, marianorajoy, mfa_russia</t>
  </si>
  <si>
    <t>Brivibas36, EUCouncil, Grybauskaite_LT, MEAIndia, MVEP_hr, MeGovernment, Palazzo_Chigi, PrimeministerGR, RepSouthSudan, SweMFA, VladaRH, edgarsrinkevics, eucopresident, foreignoffice, marianorajoy</t>
  </si>
  <si>
    <t>APUkraine, AnastasiadesCY, Andrej_Kiska, AuswaertigesAmt, BelarusMID, BgPresidency, BoykoBorissov, ByegmENG, CYpresidency, CanadaFP, CancilleriaPeru, CancilleriaPma, CasaReal, CharlieFlanagan, CiolosDacian, CyprusMFA, Diplomacy_RM, DrZvizdic, DutchMFA, FedericaMog, ForeignStrategy, French_Gov, GreeceMFA, HannaTetteh, IKasoulides, IgnacioYbanez, Israel, IsraelMFA, ItalyMFA, ItamaratyGovBr, Itamaraty_EN, Itamaraty_ES, JunckerEU, Kristian_Jensen, MAECgob, MAERomania, MFAFiji, MFASriLanka, MFATurkey, MFA_LI, MFA_Ukraine, MFAgovge, MIREXRD, MNEGOVPT, MVEP_hr, MarinaKaljurand, MeGovernment, Minrel_Chile, MiroslavLajcak, NikolaPoposki, Palazzo_Chigi, Rigas_pils, SerbianPM, SeychellesMFA, SlovakiaMFA, SpainMFA, TROfficeofPD, TaaviRoivas, TheBankova, Utenriksdept, Utrikesdep, Vyriausybe, ZaoralekL, avucic, edgarsrinkevics, filip_pavel, foreignaffairng, gouv_lu, guv_ro, larsloekke, pcmperu, prensapalacio, presidentMT, pressslujba, sebastiankurz, strakovka, valismin, valtioneuvosto</t>
  </si>
  <si>
    <t>CancilleriaPeru, Presidenceci, togoprimature</t>
  </si>
  <si>
    <t>AbdoulayeDiop8, AlbanianMFA, AuswaertigesAmt, BdiPresidence, BelarusMFA, BelarusMID, CanadaFP, CancilleriaARG, CancilleriaPeru, ChileMFA, CyprusMFA, DrTedros, DutchMFA, GeoffreyOnyeama, GreeceMFA, HannaTetteh, IsraelMFA, ItalyMFA, ItamaratyGovBr, Itamaraty_EN, Itamaraty_ES, Kristian_Jensen, LithuaniaMFA, MAECgob, MEAIndia, MFABulgaria, MFAEcuador, MFAIceland, MFAKOSOVO, MFA_Austria, MFA_KZ, MFA_Mongolia, MFA_Ukraine, MID_RF, MVEP_hr, MZZRS, MeGovernment, MinCanadaAE, MinCanadaFA, MinisterMOFA, MiroslavLajcak, MofaNepal, NorwayMFA, PrimatureRwanda, RwandaMFA, SeychellesMFA, SpainMFA, StateDept, StateHouseKenya, SweMFA, UgandaMFA, Utenriksdept, Utrikesdep, VladaRH, cancilleriasv, eu_eeas, foreigntanzania, francediplo, francediplo_EN, mfa_russia, mfaethiopia, pressslujba, samoagovt</t>
  </si>
  <si>
    <t>CancilleriaPeru, MFAIceland, SigurdurIngiJ, VladaRH, liljaalfreds</t>
  </si>
  <si>
    <t>BelarusMFA, CancilleriaPeru</t>
  </si>
  <si>
    <t>CancilleriaPeru, MFAgovge, SweMFA, VladaRH</t>
  </si>
  <si>
    <t>AlbanianMFA, CancilleriaPeru, Israel, IsraelMFA, MID_RF, MeGovernment, VladaRH, mfa_russia</t>
  </si>
  <si>
    <t>CancilleriaPeru, ItamaratyGovBr, MFA_Ukraine, MID_Tajikistan, MIREXRD, PresidenciaRD, SweMFA, VladaRH</t>
  </si>
  <si>
    <t>CancilleriaCol, CancilleriaPeru, ChileMFA, MIREXRD, PresidencialVen, SRECIHonduras, SRE_mx, eu_eeas, marianorajoy, mincombolivia</t>
  </si>
  <si>
    <t>AButkevicius, BgPresidency, CancilleriaPma, Itamaraty_EN, MinCanadaFA, MiroslavLajcak, Petrit, RepSouthSudan, francediplo_AR, presidenciacr, pressslujba</t>
  </si>
  <si>
    <t>CancilleriaPeru, IsraelHebrew, PresidentRuvi, francediplo_AR</t>
  </si>
  <si>
    <t>APUkraine, AlbanianMFA, Arlietas, CanadaFP, CanadaPE, CancilleriaPeru, CancilleriaPma, CharlesMichel, CyprusMFA, DutchMFA, ForeignMinistry, GeoffreyOnyeama, GermanyDiplo, GreeceMFA, GuvernulRMD, IKasoulides, IndianDiplomacy, IsabelStMalo, IsraelRussian, Itamaraty_ES, JuanManSantos, Latvian_MFA, MAECgob, MFA_Austria, MFA_Ukraine, MID_RF, MIREXRD, MeGovernment, MiroCerar, NikolaPoposki, NikosKotzias, NorwayMFA, PHammondMP, Palazzo_Chigi, Petrit, PresidenteCV, RegSprecher, RwandaMFA, SRECIHonduras, SweMFA, TheBankova, UgandaMFA, VladaRH, avucic, borgebrende, edgarsrinkevics, eucopresident, filip_pavel, foreignoffice, netanyahu, presidenciacr, pressslujba, togodiplomatie</t>
  </si>
  <si>
    <t>AbdoulayeDiop8, BoykoBorissov, Brivibas36, CharlesMichel, ChileMFA, CyprusMFA, EUCouncil, EUCouncilPress, EUCouncilTVNews, Elysee_Com, French_Gov, GreeceMFA, Habib_essid, JocelermeP, JuanManSantos, MAERomania, MFA_Austria, MFA_Ukraine, MFAofArmenia, MID_RF, MKOfficiel, MZZRS, MinCanadaAE, Minrel_Chile, NasserJudeh, NorwayMFA, Palazzo_Chigi, PavloKlimkin, Petrit, PresidenceMali, SpainMFA, SusanaMalcorra, SweMFA, USAenFrancais, Utenriksdept, VladaRH, borgebrende, djiboutidiplo, edgarsrinkevics, eucopresident, govSlovenia, marianorajoy, mfa_russia</t>
  </si>
  <si>
    <t>CanadaFP, CancilleriaPeru, ChileMFA, EUCouncilPress, EndaKennyTD, HashimThaciRKS, HildaHeine, IgnacioYbanez, InokeRatu, LMushikiwabo, MEAIndia, MFASriLanka, MOFAVietNam, MaithripalaS, MeGovernment, Minrel_Chile, MiroCerar, PHammondMP, Palazzo_Chigi, RoyalFamily, RwandaMFA, SRE_mx, SpainMFA, SweMFA, VladaRH, cancilleriasv, eucopresident, marianorajoy, narendramodi</t>
  </si>
  <si>
    <t>FinGovernment, Itamaraty_EN, MiroCerar, SalamTammam, Ulkoministerio, filip_pavel, niinisto, statsradet, valtioneuvosto</t>
  </si>
  <si>
    <t>CancilleriaPeru, ChileMFA, EPN, Elysee, EndaKennyTD, Habib_essid, IgnacioYbanez, Israel, IsraelMFA, ItamaratyGovBr, Itamaraty_EN, Itamaraty_ES, JanelidzeMkh, JocelermeP, Kabmin_UA, MAEHaiti, MFASriLanka, MFA_Austria, MFA_Ukraine, MFAgovge, MFAofArmenia, MID_RF, MaithripalaS, Minrel_Chile, MiroCerar, PMOIndia, Petrit, Portal_Kemlu_RI, PresidenceMali, PrimeministerGR, RoyalFamily, SRE_mx, SalamTammam, SpainMFA, SusanaMalcorra, borgebrende, ditmirbushati, edgarsrinkevics, eu_eeas, filip_pavel, foreignoffice, govpt, infopresidencia, jeanmarcayrault, margotwallstrom, marianorajoy, narendramodi, presidencia_cl, presidentMT, rochkaborepf, ruizmassieu, sebastiankurz</t>
  </si>
  <si>
    <t>CancilleriaPeru, IsraelMFA, MFA_KZ, MiroCerar, PHammondMP, VladaRH</t>
  </si>
  <si>
    <t>CancilleriaPeru, DutchMFA, GuillaumeLong, HassanRouhani, IranMFA, JZarif, OAAInformation, PaoloGentiloni, PrimeministerGR, Rouhani_ir, SweMFA, USAdarFarsi, VladaRH</t>
  </si>
  <si>
    <t>AlbanianMFA, CancilleriaPeru, DutchMFA, HashimThaciRKS, Israel, IsraelMFA, IsraeliPM, MFAgovge, NorwayMFA, Petrit, PrimeministerGR, filip_pavel, foreignoffice, presidentMT, vladaRS</t>
  </si>
  <si>
    <t>MFA_Ukraine, NorwayMFA, Number10gov, SweMFA, TaaviRoivas, UM_dk, Utenriksdept, foreignoffice, marianorajoy</t>
  </si>
  <si>
    <t>CancilleriaPeru, Latvian_MFA, LithuaniaMFA</t>
  </si>
  <si>
    <t>BelarusMID, Itamaraty_ES, MFAEcuador, MFAgovge, SpainMFA</t>
  </si>
  <si>
    <t>AMB_A_Mohammed, CancilleriaPeru, CharlesMichel, DiploPubliqueTR, DrTedros, GouvGabon, HannaTetteh, Issoufoumhm, Mapon_Matata, Minrel_Chile, PresAlphaConde, PrimatureRDC, PrimatureRwanda, RepSouthSudan, SpainMFA, SusanaMalcorra, SweMFA, USAenFrancais, UrugwiroVillage, VladaRH, gouvbenin, marianorajoy, namibia_mfa, rochkaborepf</t>
  </si>
  <si>
    <t>CancilleriaPeru, KagutaMuseveni, PaulKagame, PresidentKE, PrimatureRwanda, TheVillaSomalia, foreigntanzania, majaliwa_kassim</t>
  </si>
  <si>
    <t>CancilleriaPeru, DOImalta, MeGovernment, PrimeministerGR</t>
  </si>
  <si>
    <t>AuswaertigesAmt, BelarusMFA, CancilleriaPeru, ItamaratyGovBr, Itamaraty_EN, Itamaraty_ES, LithuaniaMFA, MEAIndia, MFAIceland, MID_RF, MinCanadaAE, MinCanadaFA, NorwayMFA, SpainMFA, foreigntanzania</t>
  </si>
  <si>
    <t>CanadaFP, CancilleriaPeru, CostaPS2015, EUCouncilPress, EUCouncilTVNews, GovMonaco, GuillaumeLong, ItamaratyGovBr, JocelermeP, MFAgovge, Mapon_Matata, MeGovernment, Minrel_Chile, MiroCerar, PresAlphaConde, PresidenceHT, PresidenceNiger, PrimatureRDC, SRE_mx, SpainMFA, USAenFrancais, macky_sall, pressslujba, rochkaborepf, telle_serge, vladaRS</t>
  </si>
  <si>
    <t>CancilleriaPeru, DutchMFA, HashimThaciRKS, HildaHeine, ItamaratyGovBr, Itamaraty_EN, Itamaraty_ES, LithuaniaMFA, MFAEcuador, MFAIceland, MID_RF, MinCanadaAE, MinCanadaFA, MvPressCenter, SpainMFA, USAUrdu, mfa_russia</t>
  </si>
  <si>
    <t>APUkraine, BelarusMFA, HashimThaciRKS, IKasoulides, ItamaratyGovBr, Itamaraty_EN, Itamaraty_ES, LT_MFA_Stratcom, MEAIndia, MFAofArmenia, MID_RF, MinCanadaAE, MinCanadaFA, MiroslavLajcak, PHammondMP, TheBankova, Utrikesdep, VladaRH, avucic, edgarsrinkevics, pressslujba</t>
  </si>
  <si>
    <t>Arlietas, ChileMFA, HashimThaciRKS, Itamaraty_EN, Itamaraty_ES, MEAIndia, MFAEcuador, MFAIraq, MFAKOSOVO, MOFAVietNam, MargvelashviliG, MinCanadaAE, Minrel_Chile, MofaNepal, Petrit, USAbilAraby, Utenriksdept, Utrikesdep, VladaRH, filip_pavel, govSlovenia, marianorajoy, mfagovtt, namibia_mfa</t>
  </si>
  <si>
    <t>Itamaraty_ES, MinCanadaAE, MinexGt, eu_eeas</t>
  </si>
  <si>
    <t>BelarusMID, CancilleriaPeru, DutchMFA, GreeceMFA, IgnacioYbanez, IndianDiplomacy, Israel, IsraelMFA, ItamaratyGovBr, Itamaraty_EN, Itamaraty_ES, Kristian_Jensen, LithuaniaMFA, MAECgob, MFAEcuador, MFA_Ukraine, MinCanadaAE, eu_eeas, namibia_mfa</t>
  </si>
  <si>
    <t>AuswaertigesAmt, CanadaFP, ChileMFA, IgnacioYbanez, MAECgob, MEAIndia, MFAEcuador, MFAIraq, MFAKOSOVO, MFA_Mongolia, MinexGt, MofaNepal, RwandaMFA, UgandaMFA, Utenriksdept, Utrikesdep, VladaRH, govSlovenia</t>
  </si>
  <si>
    <t>AlbanianMFA, BelarusMFA, BelarusMID, CanadaFP, CancilleriaEc, CancilleriaPeru, CyprusMFA, DutchMFA, GreeceMFA, HannaTetteh, IKasoulides, IgnacioYbanez, IndianDiplomacy, Israel, IsraelMFA, ItalyMFA, ItamaratyGovBr, Itamaraty_EN, Itamaraty_ES, LithuaniaMFA, MAECgob, MEAIndia, MFABulgaria, MFAIceland, MFAKOSOVO, MFA_Austria, MFA_KZ, MFA_Mongolia, MFA_Ukraine, MFAgovge, MFAofArmenia, MID_RF, MOFAVietNam, MVEP_hr, MinCanadaAE, MinCanadaFA, MofaNepal, NorwayMFA, PMOMalaysia, Petrit, PolandMFA, RwandaMFA, SRE_mx, SeychellesMFA, SpainMFA, SweMFA, Utrikesdep, VladaRH, dfat, eu_eeas, foreigntanzania, francediplo, mfa_russia, pressslujba</t>
  </si>
  <si>
    <t>CancilleriaPeru, IsraelMFA, MFAgovge, MiroslavLajcak, SpainMFA, filip_pavel, valismin</t>
  </si>
  <si>
    <t>AMB_A_Mohammed, AzerbaijanMFA, BgPresidency, CanadaFP, CancilleriaARG, CancilleriaEc, CancilleriaPeru, ChileMFA, CyprusMFA, DIRCO_ZA, DutchMFA, IndianDiplomacy, IsraelMFA, ItalyMFA, ItamaratyGovBr, Itamaraty_EN, Itamaraty_ES, LithuaniaMFA, MAECgob, MEAIndia, MFABulgaria, MFAIceland, MFAKOSOVO, MFA_Austria, MFA_KZ, MFA_LI, MFA_Mongolia, MFA_Ukraine, MID_RF, MVEP_hr, MZZRS, MeGovernment, MfaEgypt, MinCanadaAE, MofaNepal, NorwayMFA, PMOComms, RwandaMFA, SeychellesMFA, SlovakiaMFA, SpainMFA, SweMFA, UgandaMFA, Utenriksdept, VladaRH, bluehousekorea, edgarsrinkevics, eu_eeas, foreignoffice, foreigntanzania, francediplo, francediplo_EN, mfa_russia, mfaethiopia, mofa_kr, pressslujba</t>
  </si>
  <si>
    <t>APUkraine, AuswaertigesAmt, BelarusMFA, BelarusMID, CancilleriaPeru, DutchMFA, GreeceMFA, ItamaratyGovBr, LT_MFA_Stratcom, LithuaniaMFA, MEAIndia, MFABulgaria, MFAIceland, MFA_Austria, MFA_KZ, MFA_Ukraine, MFAgovge, MID_RF, MVEP_hr, NorwayMFA, SlovakiaMFA, SpainMFA, TheBankova, VladaRH, cancilleriasv, edgarsrinkevics, francediplo, pressslujba</t>
  </si>
  <si>
    <t>BelarusMID, CanadaFP, CancilleriaPma, ChileMFA, Itamaraty_EN, Itamaraty_ES, LT_MFA_Stratcom, MEAIndia, MinCanadaAE, MinCanadaFA, Utrikesdep</t>
  </si>
  <si>
    <t>PresidentYameen, foreignMV</t>
  </si>
  <si>
    <t>AMB_A_Mohammed, AlbanianMFA, BelarusMFA, BelarusMID, CancilleriaARG, CancilleriaPeru, CommsUnitSL, DutchMFA, GeoffreyOnyeama, HannaTetteh, IgnacioYbanez, ItamaratyGovBr, Itamaraty_EN, Itamaraty_ES, Latvian_MFA, MAECgob, MEAIndia, MFABulgaria, MFAIceland, MFAKOSOVO, MFA_Austria, MFA_KZ, MFA_Ukraine, MFAofArmenia, MID_RF, MVEP_hr, MZZRS, MangalaLK, MeGovernment, MinCanadaAE, NorwayMFA, PHammondMP, Petrit, RwandaMFA, SpainMFA, Utrikesdep, VladaRH, cancilleriasv, francediplo, mgonzalezsanz, pressslujba</t>
  </si>
  <si>
    <t>AlbanianMFA, BgPresidency, BorutPahor, CancilleriaPeru, CancilleriaPma, CommsUnitSL, CyprusMFA, CzechMFA, DanielMitov, DutchMFA, EUCouncilPress, ForeignStrategy, GeoffreyOnyeama, HannaTetteh, IsabelStMalo, Itamaraty_EN, Itamaraty_ES, JanelidzeMkh, KTnepal, KvirikashviliGi, LT_MFA_Stratcom, MFA_Mongolia, MFAgovge, MNEGOVPT, MOFAVietNam, MangalaLK, MfaEgypt, MinCanadaAE, MinCanadaFA, MinisterMOFA, MiroCerar, MiroslavLajcak, NikolaPoposki, Petrit, PurevsurenL, RwandaMFA, SpainMFA, StateHouseKenya, SusanaMalcorra, TheBankova, avucic, borgebrende, ditmirbushati, jeanmarcayrault, liljaalfreds, margotwallstrom, mfaethiopia, pressslujba</t>
  </si>
  <si>
    <t>CancilleriaPeru, MFASriLanka, MangalaLK</t>
  </si>
  <si>
    <t>BhutanGov, CanadaFP, CancilleriaPeru, CancilleriaPma, DutchMFA, HannaTetteh, InokeRatu, Israel, IsraelMFA, ItamaratyGovBr, Itamaraty_EN, Itamaraty_ES, JocelermeP, JuanManSantos, JulieBishopMP, Latvian_MFA, MDVForeign, MFASriLanka, MFA_Austria, MID_RF, MeGovernment, MinBZ, MofaNepal, MvPressCenter, OAAInformation, PHammondMP, PMNawazSharif, PMOBhutan, PM_Nepal, PSCU_Digital, PakDiplomacy, Palazzo_Chigi, PresidenceMada, PresidenceMali, PresidenciaRD, PresidentYameen, RepSouthSudan, RwandaMFA, SeychellesMFA, SpainMFA, StateHouseSey, SweMFA, VladaRH, borgebrende, dfatirl, ediramaal, eu_eeas, eucopresident, foreignMV, foreignoffice, foreigntanzania, francediplo, marianorajoy, merrionstreet, mfa_russia, pressslujba</t>
  </si>
  <si>
    <t>CanadaFP, CancilleriaPeru, Gebran_Bassil, PHammondMP, SweMFA, TerzaLoggia, VladaRH, francediplo_AR, khalidalkhalifa</t>
  </si>
  <si>
    <t>CancilleriaPeru, HildaHeine, ItamaratyGovBr, MaithripalaS, PresidentYameen, StateHouseSey, SweMFA, USAUrdu, VladaRH, dunyamaumoon</t>
  </si>
  <si>
    <t>CancilleriaPeru, DiploPubliqueTR, GouvGabon, Israel, IsraelMFA, MFA_Austria, MID_RF, PresidenceMali, UKenyatta, gouvbenin, rochkaborepf</t>
  </si>
  <si>
    <t>CancilleriaPeru, GouvGabon, PresidenceMali, SweMFA, VladaRH, foreignoffice</t>
  </si>
  <si>
    <t>BelarusMFA, CancilleriaPeru, ItamaratyGovBr, Itamaraty_EN, Itamaraty_ES, LithuaniaMFA, MFAIceland, MinCanadaAE, Utrikesdep, mfa_russia</t>
  </si>
  <si>
    <t>AlbanianMFA, AuswaertigesAmt, BorutPahor, CancilleriaPeru, EUCouncilTVNews, Elysee, FedericaMog, ItalyMFA, MFAgovge, MZZRS, MiroCerar, PHammondMP, PaoloGentiloni, PrimeministerGR, RoyalFamily, SweMFA, TPKanslia, VladaCG, VladaRH, eu_eeas, marianorajoy</t>
  </si>
  <si>
    <t>BelarusMFA, CanadaFP, CancilleriaPeru, EUCouncilPress, Elysee, HildaHeine, IndianDiplomacy, Israel, IsraelMFA, ItamaratyGovBr, MEAIndia, MFASriLanka, MID_RF, MaithripalaS, MofaNepal, PHammondMP, PMOIndia, PresidenceMali, PresidentYameen, PrimeministerGR, VladaRH, mfa_russia, narendramodi</t>
  </si>
  <si>
    <t>AlbanianMFA, BR_Sprecher, Brivibas36, CancilleriaPeru, EUCouncil, EUCouncilPress, EUCouncilTVNews, IsraelMFA, JunckerEU, LithuaniaMFA, MFA_Austria, MFA_Mongolia, MFA_Ukraine, MFAgovge, MVEP_hr, MZZRS, MeGovernment, PHammondMP, Palazzo_Chigi, PrimeministerGR, RoyalFamily, SusanaMalcorra, SweMFA, VladaRH, eucopresident, foreignoffice, gouv_lu, gouvernementFR, govSlovenia, manuelvalls, sebastiankurz</t>
  </si>
  <si>
    <t>SweMFA, VladaRH, filip_pavel</t>
  </si>
  <si>
    <t>BelarusMID, CancilleriaPeru, MEAIndia, MFAEcuador, Pravitelstvo_RF, PutinRF, PutinRF_Eng, VladaRH, mfa_russia</t>
  </si>
  <si>
    <t>CanadaFP, CancilleriaPeru, MDVForeign, MFASriLanka, MvPressCenter, borgebrende</t>
  </si>
  <si>
    <t>CancilleriaPeru, GouvGabon, PresAlphaConde, PresidenceMali, PrimatureRDC, PrimatureRwanda, VladaRH, gouvbenin, macky_sall</t>
  </si>
  <si>
    <t>AzerbaijanMFA, BelarusMFA, CancilleriaEc, CancilleriaPeru, CyprusMFA, DutchMFA, ItamaratyGovBr, Itamaraty_EN, Itamaraty_ES, Kristian_Jensen, MAECgob, MEAIndia, MFAEcuador, MFAKOSOVO, MFA_KZ, MFA_Ukraine, MVEP_hr, MZZRS, MinCanadaAE, MinCanadaFA, MofaNepal, RwandaMFA, SlovakiaMFA, Utrikesdep, foreigntanzania, pressslujba</t>
  </si>
  <si>
    <t>APUkraine, Arlietas, AuswaertigesAmt, BelarusMID, BgPresidency, CanadaFP, CancilleriaEc, CancilleriaPeru, ChileMFA, EUCouncilPress, EUCouncilTVNews, GreeceMFA, IKasoulides, IgnacioYbanez, IndianDiplomacy, Israel, IsraelMFA, ItalyMFA, ItamaratyGovBr, Itamaraty_EN, Itamaraty_ES, JohnKerry, Kristian_Jensen, LT_MFA_Stratcom, MEAIndia, MFAEcuador, MFAFiji, MFAKOSOVO, MFASriLanka, MID_RF, MOFAVietNam, MeGovernment, MinCanadaAE, MinCanadaFA, MinexGt, Minrel_Chile, PHammondMP, Petrit, RwandaMFA, TheBankova, UgandaMFA, Ulkoministerio, Utrikesdep, VladaCG, cancilleriasv, francediplo, govSlovenia, mfa_russia, pressslujba</t>
  </si>
  <si>
    <t>MID_RF, MinCanadaAE</t>
  </si>
  <si>
    <t>CancilleriaPeru, CommsUnitSL, GouvGabon, LMushikiwabo, OPMUganda, RepSouthSudan, RwandaGov, RwandaMFA, SeychellesMFA, StateHouseSey, SweMFA, VladaRH, foreignoffice, mfaethiopia, somaligov_</t>
  </si>
  <si>
    <t>CancilleriaPeru, EUCouncilTVNews, MFAgovge, MZZRS, PremierRP, PresidenciaRD, SpainMFA, SweMFA, VladaRH, marianorajoy, vladaRS</t>
  </si>
  <si>
    <t>AuswaertigesAmt, BelarusMFA, CanadaFP, CancilleriaPeru, DrTedros, FedericaMog, ForeignOfficePk, IndianDiplomacy, InokeRatu, IsraelMFA, ItamaratyGovBr, Itamaraty_EN, Itamaraty_ES, KTnepal, LithuaniaMFA, MAECgob, MDVForeign, MEAIndia, MFAIceland, MFASriLanka, MFA_KZ, MFA_Mongolia, MFAofArmenia, MID_RF, MangalaLK, MinCanadaAE, MinCanadaFA, MinisterMOFA, MofaNepal, PHammondMP, PMOBhutan, PMOIndia, RW_UNP, RwandaMFA, SpainMFA, SusanaMalcorra, Utrikesdep, VladaRH, borgebrende, francediplo, khalidalkhalifa, margotwallstrom, mfa_russia, narendramodi, pressslujba, ruizmassieu, sebastiankurz, tsheringtobgay</t>
  </si>
  <si>
    <t>Brivibas36, CancilleriaPeru, JanelidzeMkh, Kristian_Jensen, LithuaniaMFA, MFAIceland, MFA_Ukraine, MFAgovge, MargvelashviliG, MeGovernment, PrimeministerGR, SusanaMalcorra, VladaRH, filip_pavel, foreignoffice, prezydentpl</t>
  </si>
  <si>
    <t>KhaledBahah, Maroc_eGov, MeGovernment, PHammondMP, SeychellesMFA, StateHouseSey, SweMFA, VladaRH, eGovMalta, somaligov_</t>
  </si>
  <si>
    <t>BelarusMID, CanadaFP, CancilleriaEc, CancilleriaPeru, DutchMFA, GreeceMFA, IKasoulides, IndianDiplomacy, ItamaratyGovBr, Itamaraty_EN, Itamaraty_ES, LithuaniaMFA, MAECgob, MEAIndia, MFAEcuador, MFA_Austria, MFA_KZ, MFA_Ukraine, MID_RF, MeGovernment, MinCanadaAE, MinCanadaFA, SpainMFA, Utrikesdep, VladaRH, eu_eeas, pressslujba</t>
  </si>
  <si>
    <t>AMB_A_Mohammed, APMutharika, AbdoulayeDiop8, BelarusMID, CanadaFP, CancilleriaPeru, CommsUnitSL, DIRCO_ZA, DrTedros, DutchMFA, GouvGabon, HannaTetteh, IsmailOguelleh, Israel, IsraelMFA, ItamaratyGovBr, JohnKerry, JuanManSantos, KolindaGK, LMushikiwabo, MinisterMOFA, MiroslavLajcak, NorwayMFA, OPMUganda, PHammondMP, PMOIndia, PSCU_Digital, PresidenceMali, PresidentKE, PrimatureRDC, PrimatureRwanda, RepSouthSudan, RwandaMFA, SeychellesMFA, StateHouseKenya, StateHouseSey, StateHouseUg, SusanaMalcorra, SweMFA, TheVillaSomalia, UgandaMFA, UgandaMediaCent, VladaRH, amurekezi, djiboutidiplo, foreignoffice, gouvbenin, macky_sall, marianorajoy, mfaethiopia, namibia_mfa, somaligov_</t>
  </si>
  <si>
    <t>AbdoulayeDiop8, BurundiForeign, CancilleriaPeru, DrTedros, Elysee, GouvGabon, IsraelMFA, ItamaratyGovBr, JocelermeP, MFAKOSOVO, OPMUganda, PHammondMP, PSCU_Digital, PresidentKE, StateHouseUg, SusanaMalcorra, SweMFA, TheVillaSomalia, VladaRH, amurekezi, foreignoffice, mfaethiopia</t>
  </si>
  <si>
    <t>IsraelMFA, Itamaraty_ES, MFAIceland, Minrel_Chile, PHammondMP, USAUrdu, USApoRusski</t>
  </si>
  <si>
    <t>CancilleriaPeru, GreeceMFA, Itamaraty_EN, Itamaraty_ES, MEAIndia, MFAKOSOVO, MinisterMOFA, Petrit, SpainMFA, VladaRH</t>
  </si>
  <si>
    <t>MFAIceland, MFA_Ukraine, MarinaKaljurand, VladaRH, filip_pavel, prezydentpl</t>
  </si>
  <si>
    <t>CancilleriaPeru, HannaTetteh, SweMFA, VladaRH, filip_pavel</t>
  </si>
  <si>
    <t>Total Connections</t>
  </si>
  <si>
    <t>https://twitter.com/joseserra_</t>
  </si>
  <si>
    <t>joseserra_</t>
  </si>
  <si>
    <t>https://twitter.com/joseserra_/lists</t>
  </si>
  <si>
    <t>https://twitter.com/joseserra_/statuses/525822113794752512</t>
  </si>
  <si>
    <t>https://twitter.com/joseserra_/status/1840093668</t>
  </si>
  <si>
    <t>الصفحة الرسمية لرئيس الوزراء التركي ورئيس حزب العدالة والتنمية أحمد داوود أوغلو على موقع تويتر 
Türkçe:@Ahmet_Davutoglu  -  English: @A_Davutoglu_eng</t>
  </si>
  <si>
    <t>Ministre des Affaires Étrangères du Mali. Minister of Foreign Affairs of Mali</t>
  </si>
  <si>
    <t>衆議院議員安倍晋三（あべしんぞう）の公式twitterです。 
Prime Minister of Japan. Leader of Liberal Democratic Party.</t>
  </si>
  <si>
    <t>وزير خارجية المملكة العربية السعودية
, Foreign Minister of the Kingdom of Saudi Arabia</t>
  </si>
  <si>
    <t>Alassane Dramane Ouattara, Président la République de Côte d'Ivoire._x000D_
http://t.co/i9hppRIF39</t>
  </si>
  <si>
    <t>AMBASSADOR (DR) AMINA C. MOHAMED, CBS, CAV_x000D_
CABINET SECRETARY FOR FOREIGN AFFAIRS AND_x000D_
INTERNATIONAL TRADE OF THE REPUBLIC OF KENYA_x000D_
(Views are my own)</t>
  </si>
  <si>
    <t>Πρόεδρος του @syriza_gr, Αντιπρόεδρος της @EuropeanLeft.
English account: @tsipras_eu</t>
  </si>
  <si>
    <t>يتبع هذا الحساب ديوان ولي العهد.
This account is run by the Court of the Crown Prince.
مملكة البحرين - Kingdom of Bahrain</t>
  </si>
  <si>
    <t>Kamu Diplomasisi Koordinatörlüğü -KDK- Resmi Twitter - Hesabı     _x000D_
Follow us in English @TROfficeofPD, in French @DiploPubliqueTR and in Arabic @PDTurkeyArabic</t>
  </si>
  <si>
    <t>Pour une diplomatie efficace et performante _x000D_
au service de la reconstruction, de l'investissement _x000D_
et du développement.</t>
  </si>
  <si>
    <t>Ministerio de Relaciones Exteriores y Culto de la República Argentina.
Ministry of Foreign Affairs and Worship - Argentine Republic.</t>
  </si>
  <si>
    <t xml:space="preserve">Bogotá, Colombia. </t>
  </si>
  <si>
    <t>Cuenta Oficial del Ministerio de Relaciones Exteriores de la República de Panamá.
Official Account of the Ministry of Foreign Affairs of the Republic of Panama.</t>
  </si>
  <si>
    <t>Bem vindo!_x000D_
A Casa Civil do Presidente da República de Angola.</t>
  </si>
  <si>
    <t xml:space="preserve">Bucharest </t>
  </si>
  <si>
    <t xml:space="preserve">Avenidas 7-9, calles 11-13 SJ </t>
  </si>
  <si>
    <t>Προεδρία της Κυπριακής Δημοκρατίας/ 
Presidency of the Republic of Cyprus/
Kıbrıs Cumhuriyeti Cumhurbaşkanlığı;
see also @AnastasiadesCY</t>
  </si>
  <si>
    <t>Bienvenidos al Twitter oficial del Gobierno de España. 
Normas de uso:  http://t.co/63DlLk9h0s</t>
  </si>
  <si>
    <t>Official Account of Dr. Tedros Adhanom Ghebreyesus, the Minister of Foreign Affairs of #Ethiopia. @mfaethiopia
To contact me, email: mfa_minister@ethionet.et.</t>
  </si>
  <si>
    <t>Tsakhiagiin ELBEGDORJ, President of Mongolia | Монгол Улсын Ерөнхийлөгч
| МОНГОЛ УЛСЫН ТӨЛӨӨ ЗҮТГЭЕ! |</t>
  </si>
  <si>
    <t>Taoiseach, Leader of @FineGael, husband and father.</t>
  </si>
  <si>
    <t>Statsminister i Norge. Jobber for et samfunn med muligheter for alle.
For saker til forvaltningen, henvend deg til rette myndighet for saksbehandling.</t>
  </si>
  <si>
    <t>High Representative of the EU for Foreign Affairs and Security Policy. 
Vice President of the EU Commission</t>
  </si>
  <si>
    <t xml:space="preserve">France </t>
  </si>
  <si>
    <t>*Account for - Ministry of Foreign Affairs-Kenya.                _x000D_
* Find us also on: https://t.co/q5nZwQs8Qh</t>
  </si>
  <si>
    <t>Mohammed Nafees Zakaria
Spokesperson 
Ministry of Foreign Affairs Pakistan
Contact Details: 
+92 336 1816004
+92-51-9210002
spokesperson.office@mofa.gov.pk</t>
  </si>
  <si>
    <t>We are the #Strategy Advisory Unit 
(ESA) of the Dutch Ministry of #ForeignAffairs. Tweets are what we read and keeps us thinking, NOT endorsements.</t>
  </si>
  <si>
    <t>الموقع الرسمي للخارجية الفرنسية
يمكنك زيارتنا على كل من @francediplo_EN و  @francediplo #فرنسا #France</t>
  </si>
  <si>
    <t xml:space="preserve"> Lebanon</t>
  </si>
  <si>
    <t>Foreign Affairs Minister of Nigeria. Former Deputy Director General @WIPO @UN #SDGs #GlobalGoals #Diplomacy #GoodGovernance #Economy #Security #ProudlyNigerian</t>
  </si>
  <si>
    <t>Official Twitter Account of the eGovernment Policy Unit, OGCIO, Department of Public Expenditure &amp; Reform.   
Twitter policy: http://t.co/v2l9FNWSru</t>
  </si>
  <si>
    <t>El twitter del Govern d'Andorra, un espai informatiu i de servei públic per estar en contacte amb el ciutadà._x000D_
_x000D_
Visita el nostre web:</t>
  </si>
  <si>
    <t>Official Twitter Channel of Georgian Government in_x000D_
Abkhaz Language</t>
  </si>
  <si>
    <t>Compte géré par le bureau de comté de Stéphane Dion, député de Saint-Laurent / Account handled by 
the riding office of Stéphane Dion, MP for Saint-Laurent.</t>
  </si>
  <si>
    <t>‏‏مرحباً بكم في الحساب الرسمي لبوابة حكومة #قطر الإلكترونية - #حكومي 
Welcome to the official Twitter account of #Qatar Government Portal #Hukoomi</t>
  </si>
  <si>
    <t>@MeGovernment candidate for #UNSG. Former PM &amp; Finance Minister, DPM and Foreign and European Integration Minister, Economics professor, Writer</t>
  </si>
  <si>
    <t>الحساب الرسمي لهيئة المعلومات والحكومة الإلكترونية،مملكة البحرين |
 The Official Twitter Account for the Information &amp; eGovernment Authority, Kingdom of Bahrain</t>
  </si>
  <si>
    <t>Office of the Interim Prime Minister | Colonel Isaac Yacouba Zida | Ouagadougou | Burkina Faso
 #Ouagadougou | #BurkinaFaso | #ECOWAS | #Africa</t>
  </si>
  <si>
    <t>The State of Israel's official twitter channel, maintained by the Foreign Ministry's Digital Diplomacy Team _x000D_
(See also: @IsraelMFA)</t>
  </si>
  <si>
    <t>مرحبا بكم في حساب تويتر الرسمي بالعربية لدولة إسرائيل
  @Israel MFA created this Twitter feed as a resource of information on the State of Israel in Arabic</t>
  </si>
  <si>
    <t>- הערוץ הרשמי של משרד החוץ בשפה העברית_x000D_
 - ערוצים מרכזיים נוספים _x000D_
@Israel @IsraelMFA</t>
  </si>
  <si>
    <t>החשבון הרשמי של משרד ראש הממשלה בעברית_x000D_
http://t.co/evwIlZsI2X</t>
  </si>
  <si>
    <t xml:space="preserve">Port au prince </t>
  </si>
  <si>
    <t>Fri Apr 24 18:21:05 +0000 2009</t>
  </si>
  <si>
    <t>本アカウントは首相官邸の公式アカウントです。
首相官邸から災害・危機管理関連の政府活動情報をお届けいたします。</t>
  </si>
  <si>
    <t>Prime Minister of Kazakhstan._x000D_
Версию на казахском и русском языках вы найдете здесь @KarimMassimov</t>
  </si>
  <si>
    <t>صاحب السمو الشيخ خليفة بن زايد آل نهيان
رئيس دولة الامارات العربية المتحدة
شاركنا حبك للقائد { مبادرة } . *حساب غير رسمي 
http://t.co/mdR71PQbIR</t>
  </si>
  <si>
    <t>Vice President, Prime Minister of Yemen (former)
ypminister@gmail.com</t>
  </si>
  <si>
    <t>Prime Minister of Nepal, 
Chairman and Parliamentary Party Leader, CPN (UML)</t>
  </si>
  <si>
    <t>Sveiki atvykę! Welcome to the official account of the Republic of Lithuania.
Let's discover Lithuania together!</t>
  </si>
  <si>
    <t>委內瑞拉玻利瓦爾共和國的總統。
 查韋斯的兒子。
 正以革命性的高效率在建設这个國家。</t>
  </si>
  <si>
    <t>Presidente da República Bolivariana da Venezuela. Filho do Chávez. _x000D_
Construindo a Pátria com eficiência revolucionária. Tradução de Português de @NicolasMaduro</t>
  </si>
  <si>
    <t>Ministre des Affaires étrangères et des Sénégalais de l'Extérieur. _x000D_
http://t.co/Q5MsG3tCbk</t>
  </si>
  <si>
    <t>Presidente del Gobierno en funciones y del @PPopular. Casado, padre de dos hijos. Lidero un proyecto estable para mi país. #AhoraMásQueNunca, España en serio.</t>
  </si>
  <si>
    <t xml:space="preserve">Afghanistan </t>
  </si>
  <si>
    <t xml:space="preserve">Ulaanbaatar, Mongolia </t>
  </si>
  <si>
    <t>Official twitter-account of the Ministry of Foreign Affairs of the Russian Federation_x000D_
(For tweets in Russian please follow @MID_RF)</t>
  </si>
  <si>
    <t xml:space="preserve">Dushanbe, Tajikistan </t>
  </si>
  <si>
    <t>Latest news and information from the official twitter account of the Ministry of Foreign Affairs of Ethiopia_x000D_
_x000D_
@mfaethiopia #Ethiopia #InspiringAfricasFuture</t>
  </si>
  <si>
    <t>Spokesperson
Ministry of Foreign Affairs of Sri Lanka</t>
  </si>
  <si>
    <t>Официальный twitter-аккаунт Министерства иностранных дел Российской Федерации_x000D_
(For tweets in English please follow @MFA_Russia)</t>
  </si>
  <si>
    <t xml:space="preserve">Душанбе, Таджикистан </t>
  </si>
  <si>
    <t>الصفحة الرسمية لوزارة الخارجية المصرية_x000D_
_x000D_
The Official Site of the Ministry of Foreign Affairs of the Arab Republic of Egypt</t>
  </si>
  <si>
    <t>Welcome to the official Twitter of the Ministry of Foreign Affairs of Japan! 
The Social Media Moderation Policy is below.
https://t.co/Bo4rTBJ6r6</t>
  </si>
  <si>
    <t>このアカウントは外務省公式アカウントです。外務省ホームページの新着情報を中心に情報を発信しています。　　　
　運用方針は以下ＵＲＬからご覧いただけますhttps://t.co/jUI7C2RJiU</t>
  </si>
  <si>
    <t xml:space="preserve">Kuwait City, Gulf Street </t>
  </si>
  <si>
    <t xml:space="preserve">أبوظبي - الإمارات </t>
  </si>
  <si>
    <t xml:space="preserve">Монгол Улс, Улаанбаатар хот </t>
  </si>
  <si>
    <t>Contacto Directo del Gobierno de Costa Rica_x000D_
https://t.co/uZX36znY</t>
  </si>
  <si>
    <t>The official channel for Prime Minister David Cameron's office, based at 10 Downing Street. 
Read our social media policy: https://t.co/d3gtbSx5d2</t>
  </si>
  <si>
    <t>Bienvenue sur le compte officiel du Palais Princier de Monaco. _x000D_
Ce compte est géré par son service de presse.</t>
  </si>
  <si>
    <t>Ministro degli Esteri e della cooperazione internazionale
Italian Foreign Affairs Minister</t>
  </si>
  <si>
    <t>Compte twitter de Patrice Talon.
Candidat à l'élection présidentielle du #Bénin / #Talon2016</t>
  </si>
  <si>
    <t>Presidencia del Consejo de Ministros: _x000D_
http://t.co/Tx0u5vrzQr_x000D_
Cuenta administrada por la Oficina de Prensa e Imagen Institucional</t>
  </si>
  <si>
    <t>Hon Peter O'Neill CMG MP,_x000D_
Prime Minister of Papua New Guinea</t>
  </si>
  <si>
    <t xml:space="preserve">Ottawa (Ontario) Canada </t>
  </si>
  <si>
    <t>This account is run by staff of the Office of the Prime Minister of Timor-Leste. Tweets from the Prime Minister are signed - RMA.
Email: mpmo@mof.gov.tl</t>
  </si>
  <si>
    <t xml:space="preserve">India </t>
  </si>
  <si>
    <t>Новости о Председателе Правительства России и Правительстве России. 
For tweets in English, follow @GovernmentRF</t>
  </si>
  <si>
    <t xml:space="preserve">Москва </t>
  </si>
  <si>
    <t>Présidence de la République Gabonaise
https://t.co/zXQ0UrkfRs</t>
  </si>
  <si>
    <t>The official Twitter account of the Office of the Prime Minister of Rwanda | Serivisi z'Ibiro bya Minisitiri w'Intebe              infos@primature.gov.rw</t>
  </si>
  <si>
    <t>{국무총리실 공식 트위터}_x000D_
'통(通)하지 않으면 통(痛)한다'는 각오로 대국민 소통의 활시위를 당기겠습니다.</t>
  </si>
  <si>
    <t>Tвиттер-аккаунт официального сайта Премьер-Министра РК https://t.co/aQaEmuPUZf 
https://t.co/hW8IcMsURE</t>
  </si>
  <si>
    <t>Hier twittert Steffen Seibert, Sprecher der Bundesregierung und Chef des Bundespresseamtes (BPA). _x000D_
Tweets seiner Mitarbeiter/innen enden mit dem Kürzel (BPA).</t>
  </si>
  <si>
    <t>الديوان الملكي الهاشمي - The Royal Hashemite Court._x000D_
 تغريدات جلالة الملك عبدالله الثاني تنتهي بـ_x000D_
Tweets from His Majesty King Abdullah II are signed #ABH</t>
  </si>
  <si>
    <t xml:space="preserve">Apia, Samoa </t>
  </si>
  <si>
    <t>Bienvenidos al twitter oficial de la Secretaría de Comunicación -Presidencia de la República Oriental del #Uruguay
Norma de convivencia: https://t.co/Dy6AbUjzrb</t>
  </si>
  <si>
    <t>Institution gouvernementale en charge du Projet de la Réforme de l'Administration._x000D_
_x000D_
 Efficience, Compétivité et Responsabilité telles sont nos objectifs en vu</t>
  </si>
  <si>
    <t>Official Twitter account of the Somalia Prime Minister His Excellency
Omar Abdirashid Ali Sharmarke. Re-tweet doesn't mean endorsement. Views are my own.</t>
  </si>
  <si>
    <t>Welcome to the official U.S. Department of State Twitter account!  
Secretary Kerry tweets from @JohnKerry.</t>
  </si>
  <si>
    <t>MFA Communications Department, Stockholm. 
Developing #DigitalDiplomacy. In Swedish: @Utrikesdep 
FM @MargotWallstrom MD @IsabellaLovin MT @MikaelDamberg</t>
  </si>
  <si>
    <t>T.C. Dışişleri Bakanlığı Resmi Twitter sayfası _x000D_
_x000D_
Official Twitter Page of Ministry of Foreign Affairs of Turkey @MFATurkey @MFATurkeyFrench @MFATurkeyArabic</t>
  </si>
  <si>
    <t>Монгол Улсын Ерөнхийлөгчийн Тамгын газар |_x000D_
Office of the President of Mongolia</t>
  </si>
  <si>
    <t>Welcome to the FCO Urdu Twitter channel: UKUrdu_x000D_
وزارت خارجہ برطانیہ کےسرکاری ٹوئٹر:''یوکے اردو'' پرخوش آمدید</t>
  </si>
  <si>
    <t>Utrikesministeriet,
Ministry for Foreign Affairs of Finland</t>
  </si>
  <si>
    <t>وزارت امور خارجۀ ایالات متحده آمریکا- ما به زبان فارسی تویت میکنیم و میخواهیم در گفتگوهای شما شرکت کنیم _x000D_
http://t.co/HjUukVPO</t>
  </si>
  <si>
    <t xml:space="preserve">Washington, D.C. </t>
  </si>
  <si>
    <t>Utenriksdepartementets offisielle profil, med siste nytt fra UD. _x000D_
Norwegian Ministry of Foreign Affairs. For tweets in English, visit us here: @NorwayMFA</t>
  </si>
  <si>
    <t>Official Twitter of the Ministry of Foreign Affairs of the Republic of Estonia: news, activity, engagement, _x000D_
#publicdiplomacy #foreignrelations</t>
  </si>
  <si>
    <t>ВЛАДА НА РЕПУБЛИКА МАКЕДОНИЈА_x000D_
http://t.co/mcdvkolIms_x000D_
http://t.co/8N6XmTUFnH</t>
  </si>
  <si>
    <t>CharlesMichel, JohnKerry, eucopresident, narendramodi</t>
  </si>
  <si>
    <t>CYpresidency, CyprusMFA, EUCouncilPress, EUCouncilTVNews, GovCyprus, GreeceMFA, IKasoulides, JunckerEU, MiroslavLajcak, NikosKotzias, Palazzo_Chigi, PrimeministerGR, borgebrende, eu_eeas, eucopresident</t>
  </si>
  <si>
    <t>CancilleriaPeru, MIREXRD, PresidenciaRD, mgonzalezsanz</t>
  </si>
  <si>
    <t>AlbanianMFA, Arlietas, BelgiumMFA, CanadaFP, CubaMINREX, Diplomacy_RM, DutchMFA, EUCouncilPress, EU_Commission, GermanyDiplo, GreeceMFA, HashimThaciRKS, Israel, IsraelMFA, ItalyMFA, ItamaratyGovBr, Itamaraty_EN, JohnKerry, JunckerEU, Kristian_Jensen, Latvian_MFA, LinkeviciusL, LithuaniaMFA, MAERomania, MEAIndia, MFABulgaria, MFAIceland, MFAKOSOVO, MFA_Austria, MFA_KZ, MFA_LI, MFA_Mongolia, MFA_Ukraine, MFAgovge, MID_RF, MVEP_hr, MZZRS, MargvelashviliG, MiroslavLajcak, MongolDiplomacy, NorwayMFA, PHammondMP, PolandMFA, RegSprecher, SweMFA, borgebrende, edgarsrinkevics, eu_eeas, foreignoffice, francediplo, francediplo_EN, gouvernementFR, jeanmarcayrault, mfa_russia, sebastiankurz</t>
  </si>
  <si>
    <t>BoykoBorissov, DanielMitov, EUCouncilTVNews, EU_Commission, GermanyDiplo, IsraelMFA, Itamaraty_EN, KolindaGK, MFABulgaria, MFAgovge, MVEP_hr, MargvelashviliG, MeGovernment, NorwayMFA, PresidenceMali, PresidencySrb, SweMFA, VladaRH, avucic, mfa_russia, poroshenko, predsednikrs, presidentMT</t>
  </si>
  <si>
    <t>AbdoulayeDiop8, AnastasiadesCY, AuswaertigesAmt, DanielMitov, DrTedros, DutchMFA, FedericaMog, ForeignMinistry, GermanyDiplo, HashimThaciRKS, JohnKerry, JulieBishopMP, Kristian_Jensen, Kronprinsparet, LinkeviciusL, MAERomania, MEAIndia, MinCanadaAE, MinCanadaFA, MinisterMOFA, MiroslavLajcak, NasserJudeh, NikolaPoposki, NorwayMFA, PaoloGentiloni, Petrit, PurevsurenL, Statsmin_kontor, SusanaMalcorra, Utenriksdept, avucic, ditmirbushati, edgarsrinkevics, erna_solberg, eu_eeas, liljaalfreds, margotwallstrom, marianorajoy, mfa_russia, sebastiankurz</t>
  </si>
  <si>
    <t>CancilleriaCol, CancilleriaEc, CancilleriaPA, CancilleriaPeru, CancilleriaPma, CasaRosada, CubaMINREX, DutchMFA, GreeceMFA, IsraelMFA, ItalyMFA, ItamaratyGovBr, Itamaraty_ES, MAECgob, MEAIndia, MFA_KZ, MFA_Ukraine, MFAofArmenia, MIREXRD, MinExterioresUY, MinexGt, Minrel_Chile, NorwayMFA, SCpresidenciauy, SRECIHonduras, SusanaMalcorra, cancilleriasv, eu_eeas, foreignoffice, francediplo, francediplo_ES, mfa_russia, mreparaguay, vencancilleria</t>
  </si>
  <si>
    <t>AlbanianMFA, AzerbaijanMFA, BelarusMFA, CancilleriaARG, CancilleriaCol, CancilleriaPA, CancilleriaPeru, CancilleriaPma, CubaMINREX, DrodriguezVen, GuillaumeLong, IsraelMFA, ItalyMFA, ItamaratyGovBr, Itamaraty_EN, MAECgob, MFAEcuador, MFA_KZ, MFAofArmenia, MID_RF, MIREXRD, MVEP_hr, MinexGt, Minrel_Chile, NorwayMFA, PresidenciaPy, PresidenciaRD, Presidencia_Ec, PresidencialVen, SRECIHonduras, SRE_mx, SpainMFA, cancilleriacrc, cancilleriasv, eu_eeas, foreignoffice, francediplo_EN, francediplo_ES, marianorajoy, mfa_russia, mgonzalezsanz, mincombolivia, mreparaguay, pcmperu, prensapalacio, sanchezceren, vencancilleria</t>
  </si>
  <si>
    <t>AlbanianMFA, AzerbaijanMFA, BelarusMFA, CanadaFP, CancilleriaARG, CancilleriaCol, CancilleriaEc, CancilleriaPA, CancilleriaPma, ChileMFA, CubaMINREX, DutchMFA, GreeceMFA, IgnacioYbanez, Israel, IsraelMFA, ItalyMFA, ItamaratyGovBr, Itamaraty_EN, Itamaraty_ES, JapanGov, Lithuania, LithuaniaMFA, MAECgob, MEAIndia, MFAEcuador, MFAIceland, MFAKOSOVO, MFAThai, MFA_KZ, MFA_LI, MFA_Ukraine, MFAofArmenia, MID_RF, MIREXRD, MOFAVietNam, MVEP_hr, MZZRS, MeGovernment, MinCanadaAE, MinexGt, Minrel_Chile, NorwayMFA, Ollanta_HumalaT, Petrit, PolandMFA, PresidenciaPy, Presidencia_Ec, PresidencySrb, PrimeMinisterKR, RamiHamdalla, SRECIHonduras, SRE_mx, SkerritR, SpainMFA, SusanaMalcorra, SweMFA, VladaRH, andresnavarrog, bluehousekorea, cancilleriasv, edgarsrinkevics, eu_eeas, foreignoffice, francediplo, francediplo_EN, francediplo_ES, marianorajoy, mfa_russia, mofa_kr, mreparaguay, pcmperu, prensapalacio, pressslujba, vencancilleria</t>
  </si>
  <si>
    <t>AlbanianMFA, BelarusMFA, CRcancilleria, CancilleriaARG, CancilleriaCol, CancilleriaEc, CancilleriaPA, CancilleriaPeru, CancilleriaPma, CubaMINREX, DutchMFA, GuatemalaGob, IsabelStMalo, IsraelMFA, ItamaratyGovBr, Itamaraty_EN, Itamaraty_ES, LithuaniaMFA, MAECgob, MEAIndia, MFAIceland, MFA_KZ, MIREXRD, MinExterioresUY, MinexGt, Minrel_Chile, NorwayMFA, PresidenciaPma, PresidenciaRD, SRECIHonduras, SRE_mx, francediplo, infopresidencia, luisguillermosr, mfa_russia, mgonzalezsanz, mreparaguay, presidencia_sv, sanchezceren</t>
  </si>
  <si>
    <t>BrazilGovNews, ItamaratyGovBr, imprensaPR</t>
  </si>
  <si>
    <t>AbeShinzo, BelgiumMFA, DutchMFA, EUCouncil, EUCouncilPress, EUCouncilTVNews, EU_Commission, ItamaratyGovBr, MinBZ, MiroCerar, PrimeministerGR, TaaviRoivas, Xavier_Bettel, dreynders, eucopresident, fhollande, gouv_lu, manuelvalls, marianorajoy, narendramodi</t>
  </si>
  <si>
    <t>AuswaertigesAmt, AzerbaijanMFA, BelarusMFA, CancilleriaARG, CancilleriaEc, CancilleriaPeru, CancilleriaPma, DrodriguezVen, FedericaMog, GermanyDiplo, GreeceMFA, ItamaratyGovBr, Itamaraty_EN, Itamaraty_ES, MAECgob, MFAIceland, MFA_KZ, MID_RF, MIREXRD, MinCanadaAE, MinCanadaFA, MinexGt, Minrel_Chile, NorwayMFA, RaulCastroR, SpainMFA, StateDept, Utenriksdept, VladaRH, cancilleriasv, eu_eeas, foreignoffice, francediplo, mfa_russia, mincombolivia, sanchezceren, vencancilleria</t>
  </si>
  <si>
    <t>BgPresidency, JohnKerry, MFABulgaria, MFA_Ukraine, MID_RF, MiroslavLajcak, NikolaPoposki, NikosKotzias, NorwayMFA, borgebrende, ditmirbushati, eu_eeas, mfa_russia, sebastiankurz</t>
  </si>
  <si>
    <t>IndianDiplomacy, noynoyaquino</t>
  </si>
  <si>
    <t>JuanManSantos, Ollanta_HumalaT, PresidenciaMX, SRE_mx, gobmx, johnkeypm, luisguillermosr, marianorajoy, mauriciomacri, ruizmassieu</t>
  </si>
  <si>
    <t>AbeShinzo, AnastasiadesCY, BorutPahor, BoykoBorissov, Brivibas36, CharlesMichel, CiolosDacian, DOImalta, EUCouncil, EUCouncilPress, EUCouncilTVNews, EU_Commission, Elysee, EndaKennyTD, FedericaMog, Grybauskaite_LT, JohnKerry, JuanManSantos, JunckerEU, KvirikashviliGi, LithuaniaMFA, MedvedevRussiaE, MiroCerar, Number10gov, PremierRP, PresidenceMali, PrimeministerGR, TaaviRoivas, VladaRH, Xavier_Bettel, Yatsenyuk_AP, bluehousekorea, donaldtusk, eu_eeas, francediplo, govpt, larsloekke, manuelvalls, marianorajoy, merrionstreet, strakovka, vladaRS</t>
  </si>
  <si>
    <t>CubaMINREX, EUCouncilPress, EUCouncilTVNews, EU_Commission, GermanyDiplo, IsabelStMalo, ItalyMFA, JohnKerry, JunckerEU, Kristian_Jensen, LinkeviciusL, LithuaniaMFA, MAECgob, MarinaKaljurand, MinCanadaAE, MiroslavLajcak, NasserJudeh, NikosKotzias, Palazzo_Chigi, PaoloGentiloni, PavloKlimkin, avucic, borgebrende, ditmirbushati, dreynders, edgarsrinkevics, ediramaal, eu_eeas, eucopresident, foreignoffice, francediplo, francediplo_EN, jeanmarcayrault, sebastiankurz</t>
  </si>
  <si>
    <t>CharlesMichel, David_Cameron, Elysee, Grybauskaite_LT, JosephMuscat_JM, JuanManSantos, JunckerEU, Number10gov, francediplo, jeanmarcayrault, johnkeypm, manuelvalls, marianorajoy, narendramodi, prezydentpl</t>
  </si>
  <si>
    <t>AMB_A_Mohammed, AlbanianMFA, AuswaertigesAmt, BelarusMFA, BoykoBorissov, Brivibas36, CanadaFP, CancilleriaARG, CancilleriaEc, CancilleriaPeru, CubaMINREX, CzechMFA, David_Cameron, Diplomacy_RM, DrTedros, DutchMFA, EUCouncil, EUCouncilPress, EUCouncilTVNews, EU_Commission, FCOArabic, FedericaMog, ForeignMinistry, ForeignOfficeKE, Gebran_Bassil, GermanyDiplo, GreeceMFA, HashimThaciRKS, IKasoulides, IndianDiplomacy, Israel, IsraelMFA, ItalyMFA, ItamaratyGovBr, Itamaraty_EN, JohnKerry, JulieBishopMP, KarimMassimov, KarimMassimov_E, Kristian_Jensen, Latvian_MFA, LinkeviciusL, LithuaniaMFA, MAERomania, MDVForeign, MEAIndia, MFAIceland, MFAKOSOVO, MFATurkey, MFA_Austria, MFA_LI, MFAgovge, MFAofArmenia, MFAupdate, MOFAkr_eng, MSZ_RP, MZZRS, MeGovernment, MinBZ, MinCanadaFA, Minrel_Chile, MiroCerar, MiroslavLajcak, NasserJudeh, NorwayMFA, Number10gov, OFMUAE, PHammondMP, Palazzo_Chigi, PavloKlimkin, PolandMFA, RwandaMFA, SerbianGov, SlovakiaMFA, SpainMFA, StateDept, SweMFA, TPKanslia, UKUrdu, Ulkoministerio, bluehousekorea, cabinetofficeuk, dfat, dfatirl, ditmirbushati, edgarsrinkevics, eu_eeas, francediplo, francediplo_EN, govpt, jeanmarcayrault, khalidalkhalifa, manuelvalls, margotwallstrom, mfa_russia, mfaethiopia, valismin</t>
  </si>
  <si>
    <t>AlbanianMFA, AuswaertigesAmt, AzerbaijanMFA, BelarusMFA, BelarusMID, BelgiumMFA, CanadaFP, CanadaPE, CancilleriaARG, CancilleriaPeru, CubaMINREX, CyprusMFA, DiploPubliqueTR, Diplomacy_RM, DutchMFA, EUCouncil, EUCouncilPress, EUCouncilTVNews, EU_Commission, Elysee, Elysee_Com, FedericaMog, French_Gov, GermanyDiplo, GreeceMFA, GvtMonaco, IndianDiplomacy, IraqMFA, Israel, IsraelMFA, ItalyMFA, ItamaratyGovBr, JohnKerry, Latvian_MFA, LinkeviciusL, LithuaniaMFA, MAECgob, MAERomania, MFABulgaria, MFAIceland, MFAKOSOVO, MFA_Austria, MFA_KZ, MFA_LI, MFA_Mongolia, MFA_Ukraine, MFAgovge, MFAofArmenia, MID_RF, MIREXRD, MVEP_hr, MZZRS, Matignon, MeGovernment, MinexGt, Minrel_Chile, MiroslavLajcak, NorwayMFA, Number10gov, PHammondMP, PolandMFA, PresidenceMali, PrimatureHT, RepSouthSudan, RwandaMFA, SRECIHonduras, SeychellesMFA, StateDept, StateHouseSey, SweMFA, USAenFrancais, Ulkoministerio, Utenriksdept, VladaRH, cancilleriacrc, cancilleriasv, ditmirbushati, eu_eeas, eucopresident, fhollande, foreignoffice, francediplo_AR, francediplo_EN, francediplo_ES, gouvernementFR, govSlovenia, jeanmarcayrault, macky_sall, manuelvalls, marianorajoy, mfa_russia, prezydentpl, valismin, vladaRS</t>
  </si>
  <si>
    <t>AlbanianMFA, Arlietas, AuswaertigesAmt, AzerbaijanMFA, BelarusMFA, BelgiumMFA, BgPresidency, CanadaFP, CubaMINREX, CyprusMFA, CzechMFA, Diplomacy_RM, DutchMFA, EUCouncil, EUCouncilPress, EUCouncilTVNews, EU_Commission, FedericaMog, ForeignMinistry, ForeignStrategy, GreeceMFA, Grybauskaite_LT, IndianDiplomacy, Israel, IsraelMFA, ItalyMFA, ItamaratyGovBr, Itamaraty_EN, JohnKerry, Latvian_MFA, LinkeviciusL, LithuaniaMFA, MAECgob, MAERomania, MEAIndia, MFABulgaria, MFAIceland, MFAKOSOVO, MFA_Austria, MFA_KZ, MFA_SriLanka, MFA_Ukraine, MFAgovge, MFAofArmenia, MVEP_hr, MZZRS, MangalaLK, MinCanadaAE, MinCanadaFA, Minrel_Chile, MiroslavLajcak, NorwayMFA, PHammondMP, PolandMFA, PresidenceMali, RegSprecher, RoyalFamily, SlovakiaMFA, SpainMFA, StateDept, SweMFA, UM_dk, Ulkoministerio, VladaRH, borgebrende, dfat, dfatirl, ditmirbushati, dreynders, edgarsrinkevics, eu_eeas, foreignoffice, francediplo, francediplo_EN, jeanmarcayrault, marianorajoy, mfa_russia, poroshenko, pressslujba, prezydentpl, sebastiankurz, valismin</t>
  </si>
  <si>
    <t>EUCouncil, EUCouncilPress, EU_Commission, JunckerEU, MNEGOVPT, NorwayMFA, Number10gov, Palazzo_Chigi, PolandMFA, PrimeministerGR, eucopresident, foreignoffice, manuelvalls, tsipras_eu</t>
  </si>
  <si>
    <t>AbdoulayeDiop8, AlbanianMFA, AuswaertigesAmt, BorutPahor, DutchMFA, Latvian_MFA, LinkeviciusL, LithuaniaMFA, MFAIceland, MFAKOSOVO, MFA_Austria, MVEP_hr, MZZRS, MeGovernment, NikolaPoposki, NorwayMFA, Petrit, PrimeMinisterKR, SlovakiaMFA, SweMFA, Utrikesdep, VladaRH, borgebrende, ditmirbushati, edgarsrinkevics, ediramaal, eu_eeas, foreignoffice, margotwallstrom, sebastiankurz</t>
  </si>
  <si>
    <t>ItamaratyGovBr, PrensaHC, PresidenciaPy, luisguillermosr</t>
  </si>
  <si>
    <t>BrazilGovNews, ItamaratyGovBr, MichelTemer, casacivilbr</t>
  </si>
  <si>
    <t>AlbanianMFA, AzerbaijanMFA, BelarusMFA, BelarusMID, CanadaFP, CancilleriaPma, CzechMFA, Diplomacy_RM, DutchMFA, ForeignOfficeKE, GermanyDiplo, GreeceMFA, Israel, IsraelMFA, Itamaraty_EN, Itamaraty_ES, Latvian_MFA, LithuaniaMFA, MAECgob, MEAIndia, MFABulgaria, MFAIceland, MFAKOSOVO, MFA_Austria, MFA_KZ, MFA_Mongolia, MFA_Ukraine, MFAgovge, MFAofArmenia, MOFAUAE, MVEP_hr, MZZRS, MeGovernment, NorwayMFA, OFMUAE, PHammondMP, PMOIndia, PakDiplomacy, PresidenceMali, RwandaMFA, StateDept, SweMFA, UM_dk, USAHindiMein, dfaspokesperson, dfat, eu_eeas, foreignoffice, francediplo, francediplo_EN, mfa_russia, mfaethiopia, mfagovtt, narendramodi</t>
  </si>
  <si>
    <t>CancilleriaPma, FedericaMog, JC_Varela, MIREXRD, PresidenciaPma, cancilleriasv, dreynders, luisguillermosr</t>
  </si>
  <si>
    <t>AMB_A_Mohammed, AlbanianMFA, AuswaertigesAmt, AzerbaijanMFA, BelarusMFA, BelarusMID, BelgiumMFA, BgPresidency, CanadaFP, CanadaPE, CancilleriaARG, CancilleriaEc, CancilleriaPeru, CancilleriaPma, CyprusMFA, CzechMFA, Diplomacy_RM, DutchMFA, ForeignMinistry, GermanyDiplo, GreeceMFA, HannaTetteh, IKasoulides, IndianDiplomacy, Israel, IsraelArabic, IsraelHebrew, IsraelRussian, IsraeliPM, IsraeliPM_heb, ItalyMFA, ItamaratyGovBr, Itamaraty_EN, Itamaraty_ES, Latvian_MFA, LinkeviciusL, LithuaniaMFA, MAECgob, MAERomania, MEAIndia, MFABulgaria, MFAEcuador, MFAIceland, MFAKOSOVO, MFA_Austria, MFA_KZ, MFA_LI, MFA_Mongolia, MFA_Ukraine, MFAgovge, MFAofArmenia, MID_RF, MVEP_hr, MZZRS, MeGovernment, MinCanadaFA, MinexGt, MiroslavLajcak, NorwayMFA, PHammondMP, Palazzo_Chigi, Petrit, PolandMFA, PresidentKE, PresidentRuvi, RwandaGov, RwandaMFA, SRECIHonduras, SerbianGov, SeychellesMFA, SpainMFA, StateDept, SweMFA, UM_dk, UgandaMFA, Utenriksdept, VladaRH, bluehousekorea, cancilleriacrc, cancilleriasv, dfat, ditmirbushati, edgarsrinkevics, eu_eeas, foreignoffice, francediplo, francediplo_EN, marianorajoy, mfa_russia, mfaethiopia, mfagovtt, mofa_kr, netanyahu, pressslujba, sebastiankurz, valismin</t>
  </si>
  <si>
    <t>AlbanianMFA, AuswaertigesAmt, BelarusMFA, BgPresidency, BrazilGovNews, CRcancilleria, CancilleriaEc, CancilleriaPeru, CancilleriaPma, ChileMFA, CubaMINREX, CzechMFA, DutchMFA, GermanyDiplo, IndianDiplomacy, IsraelMFA, ItamaratyGovBr, Itamaraty_ES, Kristian_Jensen, LT_MFA_Stratcom, LithuaniaMFA, MAECgob, MAERomania, MFAEcuador, MFAIceland, MFAgovge, MFAofArmenia, MID_RF, MZZRS, MeGovernment, MinexGt, Minrel_Chile, NorwayMFA, SpainMFA, USAemPortugues, VladaRH, cancilleriasv, edgarsrinkevics, eu_eeas, foreignoffice, foreigntanzania, joseserra_, mfa_russia, mreparaguay, rdussey</t>
  </si>
  <si>
    <t>CancilleriaARG, CancilleriaPeru, CancilleriaPma, CubaMINREX, IndianDiplomacy, Israel, IsraelMFA, ItamaratyGovBr, Itamaraty_EN, LithuaniaMFA, MAECgob, MEAIndia, MFAIceland, MFAofArmenia, MinexGt, Minrel_Chile, PresidenciaPy, SpainMFA, cancilleriasv, eu_eeas, joseserra_, mreparaguay, presidencia_cl</t>
  </si>
  <si>
    <t>AbdoulayeDiop8, AlbanianMFA, AuswaertigesAmt, BelarusMFA, BelarusMID, BrazilGovNews, CRcancilleria, CanadaFP, CancilleriaARG, CancilleriaCol, CancilleriaEc, CancilleriaPeru, CancilleriaPma, CharlesMichel, CubaMINREX, CyprusMFA, Diplomacy_RM, DrodriguezVen, DutchMFA, Gebran_Bassil, GermanyDiplo, GreeceMFA, HeraldoMunoz, Horacio_Cartes, Israel, IsraelMFA, ItalyMFA, Itamaraty_EN, Itamaraty_ES, LT_MFA_Stratcom, LithuaniaMFA, MAECgob, MEAIndia, MFABulgaria, MFAEcuador, MFAIceland, MFA_Austria, MFA_KZ, MFA_Ukraine, MFAofArmenia, MID_RF, MIREXRD, MVEP_hr, MZZRS, MichelTemer, Minrel_Chile, NorwayMFA, PHammondMP, PolandMFA, PresidenciaRD, Presidencia_Ec, SCpresidenciauy, SRE_mx, SpainMFA, StateDept, SusanaMalcorra, SweMFA, USAemPortugues, VladaRH, bluehousekorea, cancilleriasv, casacivilbr, eu_eeas, foreignoffice, francediplo, francediplo_EN, imprensaPR, joseserra_, marianorajoy, mfa_russia, mfaethiopia, mreparaguay, pressslujba, vencancilleria</t>
  </si>
  <si>
    <t>ItamaratyGovBr, Itamaraty_EN, Itamaraty_ES</t>
  </si>
  <si>
    <t>CancilleriaCol, EPN, MashiRafael, MedvedevRussiaE, Ollanta_HumalaT, PresidenceMali, Presidencia_Ec, PutinRF_Eng, bluehousekorea, eucopresident, fhollande, infopresidencia, johnkeypm, manuelvalls, marianorajoy, presidenciacr</t>
  </si>
  <si>
    <t>AButkevicius, APUkraine, AuswaertigesAmt, BelarusMFA, DutchMFA, EUCouncil, EUCouncilPress, EUCouncilTVNews, EU_Commission, FedericaMog, GermanyDiplo, Grybauskaite_LT, HashimThaciRKS, IKasoulides, IlvesToomas, IsraelMFA, JanelidzeMkh, JohnKerry, Kristian_Jensen, LT_MFA_Stratcom, Latvian_MFA, LithuaniaMFA, MFAIceland, MFAKOSOVO, MFA_Ukraine, MFAgovge, MVEP_hr, MZZRS, MargvelashviliG, MarinaKaljurand, MevlutCavusoglu, MiroslavLajcak, NasserJudeh, NorwayMFA, PavloKlimkin, PolandMFA, SweMFA, TaaviRoivas, Vyriausybe, ZaoralekL, borgebrende, ditmirbushati, edgarsrinkevics, foreignoffice, francediplo, francediplo_EN, margotwallstrom, mfa_russia, sebastiankurz, valismin</t>
  </si>
  <si>
    <t>AButkevicius, CancilleriaPeru, LithuaniaMFA, MeGovernment</t>
  </si>
  <si>
    <t>CRcancilleria, EPN, Gobierno_CR, GuatemalaGob, Horacio_Cartes, IsabelStMalo, JC_Varela, JuanOrlandoH, NoticiaCR, PresidenciaPma, PresidenciaRD, Presidencia_HN, SkerritR, cancilleriasv, jimmymoralesgt, mgonzalezsanz, mincombolivia, presidenciacr, sanchezceren</t>
  </si>
  <si>
    <t>AuswaertigesAmt, BelarusMFA, CanadaFP, CiolosDacian, CyprusMFA, CzechMFA, Diplomacy_RM, DutchMFA, EUCouncilPress, GermanyDiplo, IKasoulides, Israel, IsraelMFA, ItalyMFA, Itamaraty_EN, Latvian_MFA, LithuaniaMFA, MAECgob, MFABulgaria, MFAIceland, MFA_Austria, MFA_Ukraine, MFAgovge, MFAofArmenia, MVEP_hr, MZZRS, MeGovernment, MiroslavLajcak, NorwayMFA, PHammondMP, PolandMFA, SlovakiaMFA, SpainMFA, SweMFA, UM_dk, Utenriksdept, borgebrende, edgarsrinkevics, eu_eeas, foreignoffice, francediplo, francediplo_EN, guv_ro, mfa_russia, valismin</t>
  </si>
  <si>
    <t>EU_Commission, HashimThaciRKS, JohnKerry, JulieBishopMP, Kristian_Jensen, LinkeviciusL, MarinaKaljurand, PurevsurenL, SweMFA, Utrikesdep, ZaoralekL, borgebrende, ditmirbushati, edgarsrinkevics, eu_eeas, foreignoffice, liljaalfreds</t>
  </si>
  <si>
    <t>BR_Sprecher, BelarusMFA, BoykoBorissov, CRcancilleria, CYpresidency, CanadaFP, CancilleriaEc, CancilleriaPeru, CharlesMichel, David_Cameron, EPN, EUCouncil, EUCouncilPress, EUCouncilTVNews, Elysee, EndaKennyTD, GermanyDiplo, GovernAndorra, IgnacioYbanez, IsraelMFA, ItamaratyGovBr, JC_Varela, JuanManSantos, JuanOrlandoH, JunckerEU, MAECgob, MFA_Austria, MFAgovge, MIREXRD, MeGovernment, MiroCerar, NorwayMFA, Number10gov, PHammondMP, Palazzo_Chigi, PresidenceMali, PresidenciaPma, PresidenciaPy, PresidenciaRD, Presidencia_HN, PrimeministerGR, RegSprecher, SRECIHonduras, SRE_mx, SerbianGov, SpainMFA, SusanaMalcorra, SweMFA, TaaviRoivas, VladaRH, avucic, borgebrende, desdelamoncloa, edgarsrinkevics, eu_eeas, eucopresident, fhollande, francediplo, francediplo_ES, manuelvalls, mauriciomacri, mfa_russia, narendramodi, presidenciacr, sebastiankurz</t>
  </si>
  <si>
    <t>AlbanianMFA, BelarusMFA, BelarusMID, BgPresidency, CanadaFP, CancilleriaPeru, CyprusMFA, DutchMFA, EU_Commission, EndaKennyTD, GreeceMFA, HashimThaciRKS, I_Luksic, IndianDiplomacy, Israel, IsraelMFA, Itamaraty_EN, KolindaGK, Latvian_MFA, Lithuania, LithuaniaMFA, MAECgob, MAERomania, MFAIceland, MFAKOSOVO, MFA_Austria, MFA_LI, MFA_Mongolia, MFA_Ukraine, MFAofArmenia, MID_RF, MVEP_hr, MZZRS, MiroCerar, MiroslavLajcak, NorwayMFA, PHammondMP, Petrit, PolandMFA, PresidenceMali, PresidenciaRD, PresidencyGhana, PresidencySrb, PrimeministerGR, RepSouthSudan, RwandaMFA, SerbianGov, SpainMFA, SweMFA, VladaCG, VladaRH, avucic, edgarsrinkevics, eu_eeas, foreignoffice, francediplo, francediplo_EN, govSlovenia, marianorajoy, mfa_russia, presidenciacr, valismin, vladaOCDrs, vladaRS</t>
  </si>
  <si>
    <t>ABZayed, APUkraine, AlbanianMFA, Arlietas, AuswaertigesAmt, AzerbaijanMFA, BelarusMFA, BelarusMID, BelgiumMFA, BgPresidency, CanadaFP, CanadaPE, CancilleriaARG, CancilleriaEc, CancilleriaPeru, CancilleriaPma, CubaMINREX, CyprusMFA, CzechMFA, DIRCO_ZA, DanielMitov, Diplomacy_RM, DrTedros, DutchMFA, EUCouncil, ForeignMinistry, ForeignOfficePk, GOVuz, Gebran_Bassil, GermanyDiplo, GovernmentRF, GreeceMFA, HannaTetteh, IKasoulides, IlvesToomas, IndianDiplomacy, Israel, IsraelMFA, ItalyMFA, ItamaratyGovBr, Itamaraty_EN, KremlinRussia_E, Kristian_Jensen, Latvian_MFA, LinkeviciusL, LithuaniaMFA, MAEHaiti, MAERomania, MEAIndia, MFABulgaria, MFAEcuador, MFAIceland, MFAKOSOVO, MFATurkey, MFA_Austria, MFA_KZ, MFA_LI, MFA_Mongolia, MFA_Tajikistan, MFA_Ukraine, MFAofArmenia, MID_RF, MID_Tajikistan, MOFAUAE, MSZ_RP, MVEP_hr, MZZRS, MeGovernment, MfaEgypt, MinexGt, MinisterMOFA, Minrel_Chile, MiroslavLajcak, MofaNepal, NikolaPoposki, NorwayMFA, OFMUAE, PakDiplomacy, PolandMFA, Portal_Kemlu_RI, PutinRF_Eng, RepSouthSudan, RwandaMFA, SRE_mx, SeychellesMFA, SpainMFA, StateHouseSey, SusanaMalcorra, SweMFA, UgandaMFA, Ulkoministerio, Utenriksdept, Utrikesdep, VladaRH, ZaoralekL, avucic, borgebrende, cancilleriasv, dfat, dfatirl, edgarsrinkevics, eu_eeas, foreignoffice, foreigntanzania, francediplo, francediplo_EN, marianorajoy, mfaethiopia, pressslujba, samoagovt, valismin, vencancilleria</t>
  </si>
  <si>
    <t>AMB_A_Mohammed, CanadaFP, DrTedros, DutchMFA, IndianDiplomacy, IsraelMFA, ItamaratyGovBr, MFABulgaria, MFATurkey, MFA_LI, MFA_Mongolia, MFA_Ukraine, MFAofArmenia, MfaEgypt, NorwayMFA, PolandMFA, RepSouthSudan, RwandaMFA, SeychellesMFA, SpainMFA, StateDept, StateHouseSey, SweMFA, UgandaMFA, djiboutidiplo, eu_eeas, foreignoffice, foreigntanzania, francediplo_EN, mfa_russia</t>
  </si>
  <si>
    <t>AlbanianMFA, BelarusMFA, BelarusMID, CancilleriaARG, CancilleriaEc, CancilleriaPeru, CancilleriaPma, CyprusMFA, DutchMFA, GermanyDiplo, GreeceMFA, IKasoulides, IndianDiplomacy, Israel, IsraelMFA, ItalyMFA, ItamaratyGovBr, Itamaraty_EN, Itamaraty_ES, Latvian_MFA, LithuaniaMFA, MAERomania, MFABulgaria, MFAIceland, MFA_Austria, MFA_KZ, MFA_Ukraine, MFAgovge, MID_RF, MVEP_hr, MZZRS, MeGovernment, MinCanadaAE, MinCanadaFA, NorwayMFA, PresidentAM_arm, SlovakiaMFA, SpainMFA, SweMFA, USAUrdu, avucic, edgarsrinkevics, eu_eeas, foreignoffice, francediplo, francediplo_EN, mfa_russia, mfaethiopia, pressslujba, valismin</t>
  </si>
  <si>
    <t>CRcancilleria, CancilleriaEc, Gobierno_CR, MIREXRD, andresnavarrog, cancilleriasv, luisguillermosr, presidenciacr</t>
  </si>
  <si>
    <t>ItamaratyGovBr, imprensaPR</t>
  </si>
  <si>
    <t>CanadaPE, CanadianPM, CancilleriaPeru, CubaMINREX, FedericaMog, GermanyDiplo, HannaTetteh, MFAKOSOVO, MFAofArmenia, Minrel_Chile, PMcanadien, Petrit, USAenFrancais, borgebrende</t>
  </si>
  <si>
    <t>BelarusMFA, CanadaFP, CanadianPM, CharlieFlanagan, CubaMINREX, DrTedros, GermanyDiplo, HannaTetteh, IsraelMFA, MEAIndia, MFAKOSOVO, MFA_Ukraine, MFAgovge, MFAofArmenia, MZZRS, MevlutCavusoglu, NasserJudeh, NorwayMFA, Petrit, SpainMFA, SusanaMalcorra, borgebrende, foreignoffice, jeanmarcayrault, khalidalkhalifa</t>
  </si>
  <si>
    <t>MofaSomalia, PMOComms, TheVillaSomalia, borgebrende, eu_eeas, mfa_russia</t>
  </si>
  <si>
    <t>CRcancilleria, CancilleriaARG, CancilleriaEc, CancilleriaPeru, CancilleriaPma, CubaMINREX, DIRCO_ZA, IsabelStMalo, ItamaratyGovBr, MAECgob, MAEHaiti, MFA_Ukraine, MinexGt, Minrel_Chile, PresidenciaRD, SRECIHonduras, SRE_mx, andresnavarrog, cancilleriasv, francediplo, francediplo_ES, marianorajoy, mgonzalezsanz, mreparaguay, vencancilleria</t>
  </si>
  <si>
    <t>AbeShinzo, CharlesMichel, Elysee, EndaKennyTD, FijiPM, IndianDiplomacy, IsraeliPM, JohnKerry, JulieBishopMP, MEAIndia, MaithripalaS, MedvedevRussiaE, PMOIndia, RW_UNP, SeychellesMFA, TurnbullMalcolm, ashrafghani, bluehousekorea, elbegdorj, fhollande, leehsienloong, marianorajoy, mauriciomacri, tsheringtobgay</t>
  </si>
  <si>
    <t>ABZayed, FedericaMog, ForeignMinistry, JohnKerry, LinkeviciusL, MinCanadaFA, MiroslavLajcak, PHammondMP, borgebrende, eu_eeas, foreignoffice, khalidalkhalifa, manuelvalls</t>
  </si>
  <si>
    <t>DrodriguezVen, MashiRafael, PresidencialVen, evoespueblo, vencancilleria</t>
  </si>
  <si>
    <t>AlbanianMFA, AnastasiadesCY, CyprusMFA, DanielMitov, DutchMFA, FedericaMog, GreeceMFA, IKasoulides, JohnKerry, sebastiankurz</t>
  </si>
  <si>
    <t>APUkraine, AlbanianMFA, Arlietas, AuswaertigesAmt, AzerbaijanMFA, BelarusMFA, BelgiumMFA, BgPresidency, CanadaFP, CancilleriaARG, CancilleriaEc, CancilleriaPeru, CubaMINREX, CyprusMFA, CzechMFA, DanielMitov, Diplomacy_RM, DutchMFA, EUCouncil, EUCouncilPress, EUCouncilTVNews, EU_Commission, ForeignMinistry, GermanyDiplo, GreeceMFA, HashimThaciRKS, IndianDiplomacy, Israel, IsraelMFA, ItalyMFA, ItamaratyGovBr, Itamaraty_EN, JohnKerry, Kristian_Jensen, Kronprinsparet, Latvian_MFA, LinkeviciusL, LithuaniaMFA, MAECgob, MAERomania, MFABulgaria, MFAEcuador, MFAIceland, MFAIraq, MFAKOSOVO, MFATurkey, MFA_Austria, MFA_KZ, MFA_LI, MFA_Mongolia, MFA_Ukraine, MFAgovge, MFAofArmenia, MID_RF, MVEP_hr, MZZRS, MargvelashviliG, MeGovernment, MfaEgypt, MinCanadaFA, MinexGt, Minrel_Chile, MiroslavLajcak, MofaNepal, NikolaPoposki, PHammondMP, Petrit, PolandMFA, PresidenceMali, RamiHamdalla, RwandaMFA, SerbianGov, SeychellesMFA, SlovakiaMFA, SpainMFA, StateDept, SweMFA, TheBankova, UM_dk, UgandaMFA, Ulkoministerio, Utenriksdept, Utrikesdep, VladaRH, avucic, borgebrende, cancilleriasv, dfat, dfatirl, edgarsrinkevics, eu_eeas, foreignoffice, francediplo, francediplo_EN, govSlovenia, govpt, marianorajoy, mfa_russia, mfaethiopia, sebastiankurz, valismin</t>
  </si>
  <si>
    <t>David_Cameron, Elysee, JohnKerry, MedvedevRussiaE, NajibRazak, PHammondMP, RoyalFamily, StateDept, TurnbullMalcolm, WhiteHouse, bluehousekorea, cabinetofficeuk, eucopresident, fhollande, foreignoffice, francediplo, gouv_lu, govpt, johnkeypm, marianorajoy, merrionstreet</t>
  </si>
  <si>
    <t>CancilleriaPeru, EPN, JuanManSantos, Presidencia_Ec, pcmperu, prensapalacio</t>
  </si>
  <si>
    <t>AnastasiadesCY, BorutPahor, Brivibas36, CYpresidency, EUCouncilPress, EUCouncilTVNews, EU_Commission, Elysee, EndaKennyTD, FedericaMog, Israel, IsraelMFA, ItalyMFA, Matignon, PaoloGentiloni, PolandMFA, PrimeministerGR, Quirinale, VladaRH, bluehousekorea, foreignoffice, gouvernementFR, govpt, marianorajoy, matteorenzi, vladaRS</t>
  </si>
  <si>
    <t>CanadaFP, FedericaMog, LinkeviciusL, LithuaniaMFA, MFA_Ukraine, MiroslavLajcak, Yatsenyuk_AP, dreynders, edgarsrinkevics, eu_eeas, foreignoffice, poroshenko</t>
  </si>
  <si>
    <t>CancilleriaEc, CancilleriaPeru, Ollanta_HumalaT, prensapalacio</t>
  </si>
  <si>
    <t>ABZayed, APUkraine, AuswaertigesAmt, BelarusMFA, BelarusMID, BelgiumMFA, CanadaFP, CharlieFlanagan, DrTedros, FCOArabic, ForeignMinistry, GermanyDiplo, IKasoulides, IndianDiplomacy, Israel, IsraelMFA, ItalyMFA, ItamaratyGovBr, JohnKerry, JulieBishopMP, Kristian_Jensen, LithuaniaMFA, MAERomania, MFABulgaria, MFAIceland, MFA_Austria, MFA_Ukraine, MID_RF, MSZ_RP, MZZRS, MeGovernment, MevlutCavusoglu, MinBZ, NasserJudeh, NorwayMFA, Number10gov, PSCU_Digital, PaoloGentiloni, PaulKagame, PolandMFA, PrimeMinisterKR, RoyalFamily, SRE_mx, StateDept, SweMFA, TaaviRoivas, UKUrdu, USAbilAraby, USApoRusski, Utrikesdep, VladaCG, VladaRH, bluehousekorea, dfatirl, edgarsrinkevics, eu_eeas, foreignoffice, francediplo, khalidalkhalifa, manuelvalls, marianorajoy, merrionstreet, sebastiankurz, valismin</t>
  </si>
  <si>
    <t>Elysee, EndaKennyTD, IndianDiplomacy, IsraeliPM, JapanGov, KagutaMuseveni, MEAIndia, MaithripalaS, PresidentKE, RW_UNP, RoyalFamily, bluehousekorea, francediplo_EN, leehsienloong, narendramodi, tsheringtobgay</t>
  </si>
  <si>
    <t>jokowi, mfa_russia, setkabgoid</t>
  </si>
  <si>
    <t>CancilleriaEc, CancilleriaPeru, Elysee, JC_Varela, Ollanta_HumalaT, mincombolivia, noynoyaquino, pcmperu</t>
  </si>
  <si>
    <t>AbdoulayeDiop8, BgPresidency, ByegmENG, CommsUnitSL, DiploPubliqueTR, DutchMFA, Elysee, GermanyDiplo, GouvGN, GvtMonaco, IBK_2013, IndianDiplomacy, Israel, JapanGov, JuanManSantos, Maroc_eGov, MeGovernment, NorwayMFA, PaulKagame, PresidenceTg, Presidenceci, PresidenciaRD, PresidenteCV, PrimatureRDC, PutinRF_Eng, RepSouthSudan, RwandaGov, Sekhoutoureya, StateHouseKenya, StateHouseSL, SweMFA, TROfficeofPD, UrugwiroVillage, eu_eeas, eucopresident, francediplo, francediplo_EN, hagegeingob, macky_sall, manuelvalls, marianorajoy</t>
  </si>
  <si>
    <t>ChileMFA, GobiernodeChile, Itamaraty_ES, Minrel_Chile, PrimeministerGR, mauriciomacri</t>
  </si>
  <si>
    <t>CancilleriaEc, CancilleriaPeru, ItamaratyGovBr, JC_Varela, JuanManSantos, Ollanta_HumalaT, PresidenciaRD, infopresidencia, presidencia_sv</t>
  </si>
  <si>
    <t>AzerbaijanMFA, BelarusMFA, BelarusMID, CancilleriaPeru, GermanyDiplo, IsraelMFA, ItamaratyGovBr, Latvian_MFA, LithuaniaMFA, MFAIceland, MFA_KZ, MFA_Mongolia, MFA_Ukraine, MFAofArmenia, MID_RF, MVEP_hr, OkmotKG, SpainMFA, VladaRH, mfa_russia</t>
  </si>
  <si>
    <t>JuanManSantos, PresidenceMali, PutinRF, mfa_russia</t>
  </si>
  <si>
    <t>ABZayed, AlbanianMFA, AuswaertigesAmt, BelgiumMFA, CyprusMFA, DanielMitov, EUCouncilPress, EUCouncilTVNews, FedericaMog, GermanyDiplo, HashimThaciRKS, IKasoulides, IsraelMFA, ItalyMFA, JohnKerry, KolindaGK, Latvian_MFA, LinkeviciusL, MEAIndia, MFABulgaria, MFAIceland, MFAKOSOVO, MFA_Austria, MFA_LI, MFA_Ukraine, MFAgovge, MVEP_hr, MZZRS, MarinaKaljurand, MiroslavLajcak, NikolaPoposki, NikosKotzias, NorwayMFA, PHammondMP, PaoloGentiloni, SerbianPM, SlovakiaMFA, SpainMFA, ZaoralekL, avucic, borgebrende, ditmirbushati, edgarsrinkevics, eu_eeas, francediplo_EN, marianorajoy, valismin</t>
  </si>
  <si>
    <t>TaaviRoivas, ZaoralekL, manuelvalls, strakovka</t>
  </si>
  <si>
    <t>CancilleriaCol, CancilleriaEc, CancilleriaPeru, CancilleriaPma, DutchMFA, EPN, ItamaratyGovBr, JohnKerry, MAECgob, MFAIceland, MIREXRD, MinexGt, Minrel_Chile, PHammondMP, PresidenciaMX, PresidenciaPma, StateDept, cancilleriasv, gobmx, marianorajoy, mfa_russia, mreparaguay, ruizmassieu</t>
  </si>
  <si>
    <t>AlbanianMFA, AuswaertigesAmt, BelarusMFA, BelgiumMFA, BgPresidency, CanadaFP, CanadaPE, CancilleriaPeru, CyprusMFA, CzechMFA, Diplomacy_RM, DutchMFA, EUCouncil, EUCouncilPress, EUCouncilTVNews, EU_Commission, GermanyDiplo, GreeceMFA, HashimThaciRKS, IndianDiplomacy, IraqMFA, Israel, IsraelMFA, ItamaratyGovBr, JohnKerry, Latvian_MFA, LinkeviciusL, LithuaniaMFA, MAECgob, MAERomania, MFABulgaria, MFAIceland, MFAKOSOVO, MFATurkey, MFA_Austria, MFA_KZ, MFA_LI, MFA_Mongolia, MFA_SriLanka, MFA_Ukraine, MFAgovge, MFAofArmenia, MID_RF, MVEP_hr, MZZRS, MeGovernment, NorwayMFA, OFMUAE, PHammondMP, Petrit, PolandMFA, PresidenceMali, PrimeMinisterKR, RamiHamdalla, RwandaMFA, SeychellesMFA, SlovakiaMFA, StateDept, StateHouseSey, TPKanslia, TheBankova, TheVillaSomalia, UM_dk, UgandaMFA, Ulkoministerio, Utenriksdept, Utrikesdep, VladaCG, VladaRH, bluehousekorea, dfat, dfatirl, edgarsrinkevics, eu_eeas, foreignoffice, francediplo, francediplo_EN, margotwallstrom, marianorajoy, mfa_russia, mfaethiopia, valismin, vladaRS</t>
  </si>
  <si>
    <t>AButkevicius, CharlesMichel, EUCouncilPress, EUCouncilTVNews, EU_Commission, EstonianGovt, IlvesToomas, JosephMuscat_JM, LinkeviciusL, MarinaKaljurand, MiroCerar, PHammondMP, SalamTammam, SlavekSobotka, StenbockiMaja, Vejonis, Xavier_Bettel, dreynders, edgarsrinkevics, eucopresident, juhasipila, marianorajoy, valismin</t>
  </si>
  <si>
    <t>APUkraine, AlbanianMFA, BelarusMID, BgPresidency, BorutPahor, CanadaFP, CancilleriaPeru, CubaMINREX, CyprusMFA, DutchMFA, EUCouncil, EUCouncilPress, EUCouncilTVNews, EU_Commission, Elysee, GermanyDiplo, GovCyprus, GovernAndorra, HannaTetteh, HashimThaciRKS, Israel, IsraelMFA, ItamaratyGovBr, Itamaraty_EN, JapanGov, KolindaGK, LithuaniaMFA, MAECgob, MFAIceland, MFAKOSOVO, MFAgovge, MVEP_hr, MZZRS, MargvelashviliG, MeGovernment, MiroCerar, MiroslavLajcak, NorwayMFA, PHammondMP, Palazzo_Chigi, Petrit, PolandMFA, PresidencySrb, PrimeMinisterKR, PrimeministerGR, RamiHamdalla, SerbianGov, SeychellesMFA, SlovakiaMFA, SweMFA, Utenriksdept, VladaCG, avucic, bluehousekorea, eu_eeas, eucopresident, francediplo, govSlovenia, manuelvalls, marianorajoy, mfa_russia, pressslujba, vencancilleria, vladaOCDrs, vladaRS</t>
  </si>
  <si>
    <t>BarackObama, BeataSzydlo, EUCouncilPress, EU_Commission, FedericaMog, FinGovernment, GovernmentGeo, Israel, JohnKerry, JosephMuscat_JM, JunckerEU, MarisKucinskis, Number10gov, Pontifex, Pontifex_ln, WhiteHouse, Yatsenyuk_AP, donaldtusk, eucopresident, fhollande, netanyahu, poroshenko</t>
  </si>
  <si>
    <t>A_Davutoglu_eng, AzerbaijanMFA, BarackObama, BdiPresidence, BelgiumMFA, CyprusMFA, GermanyDiplo, Grybauskaite_LT, HHShkMohd, IKasoulides, JDMahama, JZarif, JohnKerry, LinkeviciusL, MFATurkey, MFA_SriLanka, MofaQatar_EN, MofaSomalia, NorwayMFA, Number10gov, OFMUAE, PaulKagame, PresidencyGhana, PresidencyZA, SAPresident, StateHouseUg, UAEGover, UKenyatta, anifah_aman, dfaspokesperson, dfat, dreynders, macky_sall, narendramodi</t>
  </si>
  <si>
    <t>ADO__Solutions, AMB_A_Mohammed, AmSellal, BarackObama, DrTedros, EU_Commission, Elysee, Elysee_Com, FedericaMog, ForeignOfficeKE, GermanyDiplo, GouvMali, IBK_2013, JDMahama, JPN_PMO, JohnKerry, LMushikiwabo, MBuhari, MFAKOSOVO, Matignon, PSCU_Digital, PaulKagame, PutinRF_Eng, RT_Erdogan, RwandaGov, StateDept, UKenyatta, UrugwiroVillage, WhiteHouse, adosolutions, djiboutidiplo, dreynders, fhollande, francediplo, jeanmarcayrault, margotwallstrom, marianorajoy, mfaethiopia, rochkaborepf</t>
  </si>
  <si>
    <t>AMB_A_Mohammed, A_Davutoglu_eng, AbdoulayeDiop8, AdelAljubeir, AzerbaijanMFA, BarackObama, CyprusMFA, CzechMFA, DOImalta, David_Cameron, EPN, EUCouncil, FedericaMog, ForeignOfficeKE, ForeignStrategy, French_Gov, GovernmentRF, Grybauskaite_LT, HassanRouhani, HonStephaneDion, IKasoulides, IlvesToomas, IndianDiplomacy, JPN_PMO, JZarif, KingSalman, KremlinRussia_E, LMushikiwabo, MAECgob, MBZNews, MFATurkey, MFA_SriLanka, MFAofArmenia, MOFAKuwait, MOFAKuwait_en, MOFAkr_eng, MSZ_RP, MangalaLK, MarocDiplomatie, MevlutCavusoglu, MofaJapan_en, MonarchieBe, NikolaPoposki, POTUS, PaoloGentiloni, PavloKlimkin, PremierRP, PresidenceMali, PresidentRuvi, PrimeministerGR, PutinRF_Eng, Quirinale, RHCJO, RwandaMFA, SRE_mx, SlovakiaMFA, StateDept, SushmaSwaraj, TheBankova, TunisieDiplo, UM_dk, Ulkoministerio, WhiteHouse, Yatsenyuk_AP, ZaoralekL, atsipras, dfat, dfatirl, ditmirbushati, donaldtusk, dreynders, eucopresident, fhollande, govpt, margotwallstrom, matteorenzi, mzvcr, narendramodi, poroshenko, tsipras_eu, valismin, vencancilleria</t>
  </si>
  <si>
    <t>A_Davutoglu_eng, AuswaertigesAmt, BelgiumMFA, CRcancilleria, CancilleriaARG, CancilleriaCol, CancilleriaPma, CharlieFlanagan, DOImalta, DanielMitov, Diplomacy_RM, DrTedros, DrodriguezVen, EUCouncilPress, EU_Commission, FedericaMog, ForeignMinistry, ForeignOfficeKE, ForeignOfficePk, GeoffreyOnyeama, HassanRouhani, IranMFA, JZarif, JulieBishopMP, KSAMOFA, MFAMalta, MFA_LI, MFA_SriLanka, MFAsg, MFAupdate, MID_Tajikistan, MIREXRD, MOFAEGYPT, MOFAKuwait, MOFAKuwait_en, MOFAkr_eng, MSZ_RP, MangalaLK, MarinaKaljurand, MarocDiplomatie, MashiRafael, MevlutCavusoglu, MinBZ, MinExterioresUY, MoFA_Indonesia, MofaJapan_en, MofaNepal, MofaOman, MofaQatar_EN, NajibRazak, NikolaPoposki, NikosKotzias, OFMUAE, PakDiplomacy, PaoloGentiloni, PavloKlimkin, Pontifex, Portal_Kemlu_RI, PurevsurenL, RashtrapatiBhvn, SRECIHonduras, SRE_mx, SeychellesMFA, SushmaSwaraj, Ulkoministerio, WhiteHouse, ZaoralekL, bahdiplomatic, borgebrende, dfaspokesperson, dfat, dfatirl, ditmirbushati, dreynders, eucopresident, margotwallstrom, mfaethiopia, mfarighana, mofa_uae, mofasudan, mzvcr, narendramodi, sebastiankurz, tsipras_eu, vencancilleria</t>
  </si>
  <si>
    <t>AuswaertigesAmt, CancilleriaCol, CancilleriaPma, CzechMFA, Diplomacy_RM, DrodriguezVen, EUCouncil, EUCouncilPress, EU_Commission, FedericaMog, ForeignOfficeKE, GermanyDiplo, IgnacioYbanez, IranMFA, JZarif, JohnKerry, KremlinRussia, LT_MFA_Stratcom, LinkeviciusL, MAERomania, MFAMalta, MFA_Austria, MFAgovge, MFAsg, MSZ_RP, MVEP_hr, MarocDiplomatie, MfaEgypt, OFMUAE, PaoloGentiloni, PavloKlimkin, Pravitelstvo_RF, RT_Erdogan, Russia, SRECIHonduras, SlovakiaMFA, StateDept, TunisieDiplo, UKenyatta, UM_dk, UgandaMFA, ZaoralekL, dreynders, francediplo_EN, mreparaguay, mzvcr, ortcomkz, presidentaz, sebastiankurz, valismin</t>
  </si>
  <si>
    <t>B_Izetbegovic, BarackObama, CasaReal, David_Cameron, EUCouncilPress, Elysee, FedericaMog, GvtMonaco, IlvesToomas, JohnKerry, JunckerEU, KremlinRussia_E, MedvedevRussiaE, MiroslavLajcak, Number10gov, PHammondMP, Pontifex, PutinRF, Quirinale, RT_Erdogan, SAPresident, StateDept, TPKanslia, WhiteHouse, md_higgins, narendramodi, predsednikrs, presidentaz</t>
  </si>
  <si>
    <t>CasaReal, Elysee, GobiernodeChile, GuatemalaGob, JuanManSantos, JulieBishopMP, PresidenciaMX, PresidenciaRD, desdelamoncloa, dfat, fhollande, gobmx, prensapalacio</t>
  </si>
  <si>
    <t>AzerbaijanMFA, BelgiumMFA, CRcancilleria, CanadaFP, CanadaPE, CzechMFA, ForeignOfficeKE, ForeignOfficePk, GermanyDiplo, IndianDiplomacy, IranMFA, MAERomania, MFABulgaria, MFATurkey, MFA_Austria, MFAupdate, MOFAUAE, MOFAkr_eng, MarocDiplomatie, MoFA_Indonesia, MofaJapan_en, MofaQatar_EN, MofaSomalia, OFMUAE, PolandMFA, SRE_mx, StateDept, SweMFA, TunisieDiplo, UM_dk, USAenEspanol, Ulkoministerio, dfat, dfatirl, mfaethiopia, mfagovtt</t>
  </si>
  <si>
    <t>BarackObama, FedericaMog, GuillaumeLong, IsabelStMalo, JohnKerry, MashiRafael, Ollanta_HumalaT, USAenEspanol, ruizmassieu</t>
  </si>
  <si>
    <t>BarackObama, BelarusMID, BelgiumMFA, CRcancilleria, CanadaFP, CasaRosada, DaniloMedina, Diplomacy_RM, EPN, EU_Commission, FedericaMog, Gebran_Bassil, GermanyDiplo, GobiernodeChile, HeraldoMunoz, Horacio_Cartes, IsabelStMalo, JC_Varela, JuanManSantos, JuanOrlandoH, KremlinRussia_E, MAE_Haiti, MFAThai_PR_EN, MFATurkey, MFA_Mongolia, MFAsg, MOFAkr_eng, MashiRafael, MinExterioresUY, MoFA_Indonesia, MofaJapan_en, MofaQatar_EN, MofaSomalia, NicolasMaduro, Ollanta_HumalaT, PolandMFA, Pontifex_es, PresidenciaMX, PresidenciaPma, RT_Erdogan, RaulCastroR, RepSouthSudan, RwandaMFA, SCpresidenciauy, SeychellesMFA, SlovakiaMFA, StateDept, SusanaMalcorra, TabareVazquez, TerzaLoggia, USAenEspanol, UgandaMFA, Ulkoministerio, WhiteHouse, andresnavarrog, desdelamoncloa, dfat, dfatirl, eucopresident, evoespueblo, gobmx, govpt, imprensaPR, infopresidencia, luisguillermosr, mauriciomacri, mfaethiopia, mfagovtt, presidencia_cl, presidencia_sv, presidenciacr, rterdogan_ar, ruizmassieu</t>
  </si>
  <si>
    <t>AbeShinzo, Ahmet_Davutoglu, BarackObama, BelgiumMFA, CanadaFP, CancilleriaCol, CasaReal, CyprusMFA, CzechMFA, DaniloMedina, David_Cameron, EPN, EUCouncil, EUCouncilPress, EU_Commission, EconEngage, Elysee, FedericaMog, ForeignMinistry, GermanyDiplo, GovernmentRF, GreeceMFA, Horacio_Cartes, Israel, IsraeliPM, ItalyMFA, JPN_PMO, JapanGov, JohnKerry, JuanManSantos, JunckerEU, KSAMOFA, KremlinRussia_E, Latvian_MFA, MFATurkey, MFA_Austria, MFAgovge, MFAupdate, MNEGOVPT, MOFAEGYPT, MOFAkr_eng, MVEP_hr, MashiRafael, MinExterioresUY, MofaJapan_en, MofaQatar_EN, NorwayMFA, Number10gov, Ollanta_HumalaT, PHammondMP, PMOIndia, PaoloGentiloni, PolandMFA, Pontifex_es, PresidenciaRD, RT_Erdogan, SCpresidenciauy, SweMFA, TC_Disisleri, UM_dk, USAenEspanol, cancilleriacrc, desdelamoncloa, dfatirl, eucopresident, fhollande, francediplo, francediplo_EN, gouvernementFR, lacasablanca, luisguillermosr, matteorenzi, mauriciomacri, mgonzalezsanz, narendramodi, netanyahu, presidenciacr, trpresidency, valismin, vencancilleria</t>
  </si>
  <si>
    <t>ItamaratyGovBr, PresidenciaMX, Presidencia_Ec, PresidencyZA, SAPresident, WhiteHouse, govpt, imprensaPR, marianorajoy</t>
  </si>
  <si>
    <t>BarackObama, BoykoBorissov, CasaReal, David_Cameron, Elysee, FedericaMog, IsraelMFA, IsraeliPM, Itamaraty_EN, Itamaraty_ES, JPN_PMO, JapanGov, JohnKerry, JosephMuscat_JM, JunckerEU, KremlinRussia_E, MinPres, MonarchieBe, Number10gov, POTUS, Pontifex_fr, PresidenceMada, PresidenceMali, QueenRania, RHCJO, StateDept, WhiteHouse, atsipras, erna_solberg, eu_eeas, jeanmarcayrault, macky_sall, matteorenzi, poroshenko, tsipras_eu</t>
  </si>
  <si>
    <t>AlbanianMFA, AzerbaijanMFA, BarackObama, BelarusMFA, BelgiumMFA, CRcancilleria, CanadaFP, CancilleriaCol, CancilleriaEc, CancilleriaPma, CharlesMichel, CharlieFlanagan, CubaMINREX, CyprusMFA, CzechMFA, David_Cameron, Diplomacy_RM, DutchMFA, EU_Commission, FedericaMog, FijiMFA, ForeignMinistry, ForeignOfficeKE, ForeignStrategy, GermanyDiplo, GobiernodeChile, GreeceMFA, GuillaumeLong, HonStephaneDion, Horacio_Cartes, IndianDiplomacy, IsabelStMalo, IsraelMFA, ItalyMFA, JunckerEU, JustinTrudeau, KSAMOFA, KremlinRussia_E, Latvian_MFA, LithuaniaMFA, MAECgob, MAERomania, MEAIndia, MFABulgaria, MFAIceland, MFAKOSOVO, MFATurkey, MFA_Afghanistan, MFA_Austria, MFA_KZ, MFA_Mongolia, MFA_Ukraine, MFAgovge, MFAofArmenia, MFAupdate, MOFAEGYPT, MOFAIC, MOFAkr_eng, MVEP_hr, MarocDiplomatie, MashiRafael, MeGovernment, MevlutCavusoglu, MinExterioresUY, MinexGt, MofaJapan_en, MofaSomalia, MonarchieBe, NorwayMFA, Number10gov, POTUS, PolandMFA, Portal_Kemlu_RI, PresidenciaPma, PresidenciaPy, Presidencia_Ec, PresidentIRL, RT_Erdogan, RepSouthSudan, RwandaMFA, SRECIHonduras, SRE_mx, SlovakiaMFA, StateDept, SweMFA, TunisieDiplo, Ulkoministerio, Utenriksdept, WhiteHouse, bahdiplomatic, cancilleriacrc, cancilleriasv, dfaspokesperson, dfat, dfatirl, dreynders, eu_eeas, foreignoffice, francediplo, francediplo_EN, govpt, infopresidencia, jeanmarcayrault, johnkeypm, mfa_russia, mfaethiopia, mfagovtt, mincombolivia, mreparaguay, ruizmassieu, valismin, vencancilleria</t>
  </si>
  <si>
    <t>BarackObama, BgPresidency, BoykoBorissov, David_Cameron, EUCouncil, EUCouncilPress, EU_Commission, FedericaMog, Grybauskaite_LT, JohnKerry, JunckerEU, KlausIohannis, LinkeviciusL, MiroslavLajcak, POTUS, PolandMFA, WhiteHouse, donaldtusk, eu_eeas, fhollande</t>
  </si>
  <si>
    <t>A_Davutoglu_eng, AzerbaijanMFA, BarackObama, David_Cameron, EUCouncil, EUCouncilPress, Elysee, FedericaMog, ForeignMinistry, ForeignOfficeKE, ForeignStrategy, GovernmentRF, Grybauskaite_LT, IraqMFA, IsraeliPM, JunckerEU, LinkeviciusL, MFAThai_PR_EN, MFAsg, MFAupdate, MOFAEGYPT, MOFAIC, MOFAKuwait, MOFAkr_eng, MarocDiplomatie, MedvedevRussiaE, MoFA_Indonesia, MofaJapan_en, MofaQatar_EN, MofaSomalia, NasserJudeh, Number10gov, PHammondMP, PrimeministerGR, SeychellesMFA, StateDept, atsipras, bahdiplomatic, dfat, dfatirl, donaldtusk, eucopresident, fhollande, foreignoffice, jeanmarcayrault, margotwallstrom, mfaethiopia, netanyahu</t>
  </si>
  <si>
    <t>BarackObama, JuanManSantos</t>
  </si>
  <si>
    <t>B_Izetbegovic, EUCouncil, EU_Commission, FedericaMog, GermanyDiplo, JunckerEU, MiroslavLajcak, SerbianPM, donaldtusk, eucopresident, margotwallstrom, sebastiankurz</t>
  </si>
  <si>
    <t>JuanManSantos, MashiRafael, Pontifex_es, RaulCastroR, atsipras, evoespueblo, jimmymoralesgt, maduro_cmn, tsipras_eu</t>
  </si>
  <si>
    <t>AMB_A_Mohammed, A_Davutoglu_eng, Ahmet_Davutoglu, AzerbaijanPA, BarackObama, BasbakanlikKDK, Cabinet, CanadaPE, CancilleriaCol, CancilleriaEc, CancilleriaPA, CharlieFlanagan, CubaMINREX, David_Cameron, Diplomacy_RM, DrTedros, EPN, EUCouncil, EU_Commission, Elysee, FedericaMog, FijiMFA, FinGovernment, ForeignMinistry, ForeignOfficeKE, ForeignOfficePk, Grybauskaite_LT, HadiPresident, HassanRouhani, IranMFA, IraqMFA, IsraeliPM, JC_Varela, JZarif, JuanManSantos, JulieBishopMP, JunckerEU, KSAMOFA, KhaledBahah, KolindaGK, KremlinRussia_E, LMushikiwabo, MAE_Haiti, MDVForeign, MFAIraq, MFAThai_PR_EN, MFATurkey, MFATurkeyArabic, MFATurkeyFrench, MFA_Afghanistan, MFA_SriLanka, MFAsg, MIREXRD, MNEGOVPT, MOFAEGYPT, MOFAIC, MOFAkr_eng, MSZ_RP, MarocDiplomatie, MedvedevRussiaE, MevlutCavusoglu, MfaEgypt, MinPres, MinisterMOFA, MoFA_Indonesia, MofaJapan_en, MofaOman, MofaQatar_EN, MofaSomalia, NajibRazak, Number10gov, OFMUAE, PHammondMP, PMOIndia, POTUS, PaoloGentiloni, PavloKlimkin, Pontifex, Portal_Kemlu_RI, PresidentRuvi, QueenRania, RHCJO, RaulCastroR, RepSouthSudan, SeychellesMFA, StateDept, StateDeptLive, TC_Disisleri, TROfficeofPD, TerzaLoggia, TunisieDiplo, UKenyatta, USAenFrancais, UgandaMFA, WhiteHouse, Xavier_Bettel, ZaoralekL, ashrafghani, azpresident, bahdiplomatic, cancilleriacrc, deplu, dfaspokesperson, dfat, ditmirbushati, dreynders, erna_solberg, eucopresident, fhollande, foreignMV, foreigntanzania, francediplo_ES, govpt, khamenei_ir, lacasablanca, margotwallstrom, matteorenzi, merrionstreet, mreparaguay, mzvcr, narendramodi, netanyahu, predsednikrs, presidentaz, pressslujba, sebastiankurz, tsipras_eu, vencancilleria</t>
  </si>
  <si>
    <t>MashiRafael, NicolasMaduro, RaulCastroR</t>
  </si>
  <si>
    <t>APUkraine, AnastasiadesCY, BarackObama, David_Cameron, ForeignMinistry, HHShkMohd, JohnKerry, KremlinRussia_E, MedvedevRussiaE, MinPres, Number10gov, PDTurkeyArabic, PremierRP, StateDept, WhiteHouse, Xavier_Bettel, desdelamoncloa, donaldtusk, fhollande, kantei, matteorenzi</t>
  </si>
  <si>
    <t>BarackObama, David_Cameron, Diplomacy_RM, EUCouncil, JosephMuscat_JM, JuanManSantos, Quirinale, StateDept, SushmaSwaraj, WhiteHouse, afgexecutive, fhollande, matteorenzi</t>
  </si>
  <si>
    <t>EU_Commission, InokeRatu, JulieBishopMP, POTUS, StateDept, WhiteHouse, foreignoffice</t>
  </si>
  <si>
    <t>BarackObama, CYpresidency, CancilleriaCol, CancilleriaEc, DanielMitov, David_Cameron, Diplomacy_RM, EUCouncil, EU_Commission, Elysee, FedericaMog, ForeignMinistry, ForeignOfficeKE, ForeignOfficePk, Gebran_Bassil, Grybauskaite_LT, IsraeliPM, JunckerEU, KremlinRussia_E, Latvian_MFA, LinkeviciusL, MFAMalta, MFAgovge, MFAsg, MOFAEGYPT, MOFAKuwait, MOFAkr_eng, MSZ_RP, MedvedevRussiaE, MevlutCavusoglu, MfaEgypt, Minrel_Chile, MiroslavLajcak, MoFA_Indonesia, MofaJapan_en, MofaQatar_EN, NikolaPoposki, Number10gov, POTUS, PaoloGentiloni, PavloKlimkin, Pontifex, Portal_Kemlu_RI, PresidencySrb, PresidentRuvi, RwandaMFA, SlovakiaMFA, TunisieDiplo, UM_dk, UgandaMFA, Ulkoministerio, Utrikesdep, WhiteHouse, ZaoralekL, atsipras, bahdiplomatic, dfaspokesperson, dfatirl, eucopresident, fhollande, francediplo_EN, gouvernementFR, jeanmarcayrault, mfaethiopia, netanyahu, sebastiankurz, tsipras_eu</t>
  </si>
  <si>
    <t>BarackObama, CubaMINREX, David_Cameron, EPN, Elysee, FedericaMog, HassanRouhani, Horacio_Cartes, JohnKerry, JuanManSantos, JuanOrlandoH, JunckerEU, MashiRafael, NicolasMaduro, POTUS, Presidencia_Ec, PrimeministerGR, PutinRF_Eng, RaulCastroR, SAPresident, StateDept, atsipras, evoespueblo, fhollande, khamenei_ir, manuelvalls, mauriciomacri, narendramodi, presidencia_cl, sanchezceren, tsipras_eu</t>
  </si>
  <si>
    <t>BarackObama, DIRCO_ZA, David_Cameron, EUCouncil, EUCouncilPress, EU_Commission, EconEngage, ForeignOfficeKE, ForeignStrategy, GermanyDiplo, GovernmentZA, HassanRouhani, IndianDiplomacy, JPN_PMO, JZarif, JohnKerry, KremlinRussia_E, MEAIndia, MFAsg, MOFAkr_eng, MoFA_Indonesia, MofaJapan_en, MofaQatar_EN, NorwayMFA, Number10gov, OFMUAE, PHammondMP, PMOIndia, POTUS, PaulKagame, Pontifex, Presidenceci, PresidencyGhana, PresidencyZA, PutinRF_Eng, SAPresident, StateDept, SweMFA, UKenyatta, Viktor_Orban, WhiteHouse, borgebrende, cabinetofficeuk, dfat, eucopresident, foreignoffice, francediplo, francediplo_EN, macky_sall, mfaethiopia</t>
  </si>
  <si>
    <t>BarackObama, CharlesMichel, DaniloMedina, David_Cameron, EPN, Grybauskaite_LT, HaiderAlAbadi, JC_Varela, JDMahama, JosephMuscat_JM, JuanManSantos, JulieBishopMP, JunckerEU, KingSalman, MDVForeign, MashiRafael, NajibRazak, NicolasMaduro, Number10gov, Pontifex, RT_Erdogan, RashtrapatiBhvn, SAPresident, TurnbullMalcolm, atsipras, dfat, erna_solberg, fhollande, johnkeypm, marianorajoy, matteorenzi, narendramodi, netanyahu, noynoyaquino, poroshenko, presidencymv, prezydentpl</t>
  </si>
  <si>
    <t>BarackObama, DutchMFA, FijiMFA, HHShkMohd, Number10gov, QueenRania, TommyRemengesau, WhiteHouse</t>
  </si>
  <si>
    <t>ARG_AFG, AlbanianMFA, AzerbaijanMFA, BarackObama, BelgiumMFA, CanadaFP, CanadaPE, CasaReal, DrTedros, EUCouncil, EUCouncilPress, EU_Commission, Elysee, FedericaMog, ForeignMinistry, GermanyDiplo, HonStephaneDion, IsraelMFA, ItalyMFA, JZarif, JohnKerry, JulieBishopMP, JunckerEU, JustinTrudeau, Latvian_MFA, MFA_KZ, MFAofArmenia, MFAsg, MOFAUAE, MOFAkr_eng, MZZRS, MarocDiplomatie, MevlutCavusoglu, MfaEgypt, MofaJapan_en, MofaQatar_EN, NasserJudeh, NorwayMFA, Number10gov, OFMUAE, POTUS, PavloKlimkin, Pontifex, Pontifex_es, RwandaMFA, SlovakiaMFA, StateDept, SusanaMalcorra, TheVillaSomalia, VivianBala, WhiteHouse, desdelamoncloa, dfat, eucopresident, foreignoffice, francediplo, gouvernementFR, johnkeypm, mfa_russia, mfaethiopia, narendramodi, netanyahu, sebastiankurz, valismin</t>
  </si>
  <si>
    <t>AbeShinzo, BarackObama, BelgiumMFA, CyprusMFA, DrTedros, FijiMFA, ForeignMinistry, ForeignOfficePk, ForeignStrategy, GovernmentZA, IraqMFA, IsraeliPM, JulieBishopMP, KSAMOFA, KremlinRussia_E, LMushikiwabo, MAERomania, MFAThai_PR_EN, MFAThai_Pol, MFATurkey, MFA_Afghanistan, MFA_SriLanka, MFAsg, MOFAEGYPT, MOFAIC, MOFAkr_eng, MarocDiplomatie, MfaEgypt, MoFA_Indonesia, MofaJapan_en, MofaQatar_EN, MofaSomalia, Number10gov, PaulKagame, PolandMFA, PresidencyZA, RHCJO, RashtrapatiBhvn, RepSouthSudan, SlovakiaMFA, StateDeptLive, SushmaSwaraj, UgandaMFA, Ulkoministerio, WhiteHouse, bahdiplomatic, cancilleriacrc, deplu, dfatirl, foreignMV, govpt, govsingapore, leehsienloong, mofa_uae, valismin</t>
  </si>
  <si>
    <t>A_Davutoglu_eng, AbeShinzo, AnastasiadesCY, BarackObama, BelgiumMFA, ByegmENG, CYpresidency, CancilleriaEc, CyprusMFA, CzechMFA, DIRCO_ZA, EPN, EUCouncil, EUCouncilPress, EU_Commission, Elysee, FinGovernment, ForeignMinistry, French_Gov, GobiernodeChile, GovMonaco, GovernmentRF, Grybauskaite_LT, GvtMonaco, HHShkMohd, HonStephaneDion, IKasoulides, Israelipm_ar, JPN_PMO, JapanGov, JuanManSantos, JustinTrudeau, KolindaGK, KremlinRussia_E, Lithuania, MAECgob, MBuhari, MFAThai_PR_EN, MFATurkey, MFA_Austria, MFAgovge, MFAsg, MOFAEGYPT, MOFAkr_eng, MZZRS, MaithripalaS, MashiRafael, MedvedevRussiaE, MfaEgypt, MofaJapan_en, MonarchieBe, NajibRazak, NasserJudeh, Number10gov, Ollanta_HumalaT, PMOIndia, POTUS, Pontifex, PresidenceGA, PresidenceMada, PresidenciaMX, Presidencia_Ec, PresidencyZA, PresidentABO, PresidentKE, PrimeministerGR, PutinRF_Eng, QueenRania, RHCJO, RT_Erdogan, RashtrapatiBhvn, RoyalFamily, SerbianPM, SlovakiaMFA, StateDept, UKenyatta, USAbilAraby, Utenriksdept, WhiteHouse, bahdiplomatic, dfat, dfatirl, edgarsrinkevics, eucopresident, fhollande, gobmx, gouv_lu, leehsienloong, luisguillermosr, marianorajoy, narendramodi, poroshenko, presidentMT, tcbestepe, tsipras_eu, valismin</t>
  </si>
  <si>
    <t>A_Davutoglu_eng, AkordaPress, AnastasiadesCY, BarackObama, BorutPahor, BoykoBorissov, ByegmENG, CYpresidency, CanadianPM, CancilleriaCol, CancilleriaPA, DIRCO_ZA, DaniloMedina, David_Cameron, EPN, EUCouncil, EUCouncilPress, EU_Commission, Elysee, FedericaMog, FijiMFA, FijiRepublic, FinGovernment, ForeignOfficeKE, ForeignStrategy, French_Gov, GobiernodeChile, GovMonaco, GovernmentRF, Grybauskaite_LT, GuatemalaGob, GvtMonaco, HHShkMohd, HonStephaneDion, IraqMFA, Israelipm_ar, JDMahama, JPN_PMO, JapanGov, JohnKerry, JuanManSantos, JunckerEU, JustinTrudeau, KSAMOFA, KarimMassimov_E, KolindaGK, KremlinRussia_E, Lithuania, MAE_Haiti, MBuhari, MFAThai, MFAThai_PR_EN, MFAThai_Pol, MFATurkey, MFA_SriLanka, MFAsg, MFAupdate, MOFAEGYPT, MOFAIC, MOFAKuwait, MOFAkr_eng, MaithripalaS, MarocDiplomatie, MashiRafael, MedvedevRussiaE, MfaEgypt, MiroCerar, MofaJapan_en, MofaOman, MofaSomalia, MonarchieBe, MongolDiplomacy, NajibRazak, NikosKotzias, Number10gov, Ollanta_HumalaT, PMOIndia, POTUS, Pontifex, Portal_Kemlu_RI, PresidenceGA, PresidenceMada, PresidenceMali, PresidenciaMX, PresidenciaPma, PresidenciaPy, PresidenciaRD, Presidencia_Ec, PresidencyZA, PresidentABO, PrimeMinistry, PrimeministerGR, PutinRF_Eng, QueenRania, RHCJO, RT_Erdogan, RashtrapatiBhvn, RegSprecher, RepSouthSudan, RoyalFamily, SAPresident, SerbianPM, SlovakiaMFA, StateDeptLive, SushmaSwaraj, TheVillaSomalia, UKenyatta, USAemPortugues, Ulkoministerio, UrugwiroVillage, Vyriausybe, WhiteHouse, azpresident, bahdiplomatic, borgebrende, dfaspokesperson, dfatirl, eucopresident, fhollande, foreigntanzania, gobmx, govsingapore, guv_ro, infopresidencia, khalidalkhalifa, leehsienloong, luisguillermosr, mauriciomacri, mfapresskenya, mreparaguay, mzvcr, narendramodi, poroshenko, prensapalacio, tcbestepe, vencancilleria</t>
  </si>
  <si>
    <t>Ahmet_Davutoglu, AzerbaijanMFA, BarackObama, BelgiumMFA, CancilleriaCol, Diplomacy_RM, DrTedros, EUCouncil, FijiMFA, FijiRepublic, ForeignMinistry, ForeignOfficeKE, IranMFA, IraqMFA, JDMahama, JZarif, JunckerEU, Latvian_MFA, MFABulgaria, MFAThai_PR_EN, MFA_Afghanistan, MFA_SriLanka, MFAsg, MOFAEGYPT, MOFAKuwait, MOFAkr_eng, MarocDiplomatie, MevlutCavusoglu, MoFA_Indonesia, MofaJapan_en, MofaQatar_EN, MofaSomalia, PakDiplomacy, Pontifex_it, Quirinale, SlovakiaMFA, SweMFA, TerzaLoggia, TunisieDiplo, WhiteHouse, bahdiplomatic, cancilleriacrc, dfat, dfatirl, dreynders, eucopresident, matteorenzi, mfaethiopia, mreparaguay, valismin</t>
  </si>
  <si>
    <t>BarackObama, EPN, GobiernodeChile, Horacio_Cartes, JPN_PMO, JuanManSantos, MashiRafael, MedvedevRussiaE, MinPres, NicolasMaduro, Number10gov, Ollanta_HumalaT, POTUS, PolandMFA, Pontifex_es, PresidenciaMX, RHCJO, StateDept, desdelamoncloa, eucopresident, gobmx, matteorenzi, presidencia_cl</t>
  </si>
  <si>
    <t>BarackObama, BrazilGovNews, DaniloMedina, Elysee, Elysee_Com, EnexJeanCharles, ItamaratyGovBr, Itamaraty_EN, Itamaraty_ES, JPN_PMO, JapanGov, JohnKerry, JuanManSantos, JustinTrudeau, KingSalman, KremlinRussia_E, MAEHaiti, MashiRafael, MinPres, NGRPresident, NicolasMaduro, Number10gov, Ollanta_HumalaT, PMOIndia, POTUS, Pontifex, Pontifex_fr, Pontifex_ln, PresidenceMali, PresidenciaMX, PresidenciaRD, PresidencyZA, PresidentIRL, PresidentKE, PresidentRuvi, RaulCastroR, RoyalFamily, SerbianGov, StateDept, UrugwiroVillage, WhiteHouse, donaldtusk, fhollande, francediplo, francediplo_EN, gouvernementFR, jeanmarcayrault, manuelvalls, matteorenzi, narendramodi, prensapalacio, presidenciacr, presidentMT, tcbestepe, trpresidency</t>
  </si>
  <si>
    <t>CharlieFlanagan, EPN, JPN_PMO, MFATurkey, MFAupdate, MofaJapan_en, PavloKlimkin, SlovakiaMFA, UKenyatta, donaldtusk, fhollande, ruizmassieu</t>
  </si>
  <si>
    <t>BarackObama, DaniloMedina, EPN, JuanManSantos, MashiRafael, Ollanta_HumalaT, PresidenciaMX</t>
  </si>
  <si>
    <t>BorutPahor, CharlesMichel, DanielMitov, David_Cameron, FedericaMog, Grybauskaite_LT, HHShkMohd, HassanRouhani, IlvesToomas, JunckerEU, MevlutCavusoglu, MinPres, PHammondMP, SlavekSobotka, StateDept, _BR_JSA, cabinetofficeuk, erna_solberg, margotwallstrom, poroshenko</t>
  </si>
  <si>
    <t>AButkevicius, APUkraine, BelgiumMFA, CyprusMFA, CzechMFA, David_Cameron, EUCouncilPress, EU_Commission, FedericaMog, ForeignStrategy, GermanyDiplo, Grybauskaite_LT, IlvesToomas, ItalyMFA, JohnKerry, Kabmin_UA_e, Latvian_MFA, MAECgob, MAERomania, MFABulgaria, MFA_Austria, MFA_LI, MSZ_RP, MVEP_hr, MiroslavLajcak, NorwayMFA, PHammondMP, PavloKlimkin, PolandMFA, SlovakiaMFA, StateDept, SweMFA, TROfficeofPD, UM_dk, WhiteHouse, Yatsenyuk_AP, ZaoralekL, dfatirl, donaldtusk, edgarsrinkevics, eucopresident, foreignoffice, francediplo, francediplo_EN, poroshenko, sebastiankurz</t>
  </si>
  <si>
    <t>BarackObama, ByegmENG, CanadaPE, CasaReal, David_Cameron, Elysee, FedericaMog, Grybauskaite_LT, IlvesToomas, IsraeliPM, JunckerEU, Kabmin_UA, KremlinRussia, MOFAkr_eng, MarinaKaljurand, MoFA_Indonesia, MofaJapan_en, MofaQatar_EN, MongolDiplomacy, Number10gov, OFMUAE, PMOIndia, PavloKlimkin, Pravitelstvo_RF, RoyalFamily, TROfficeofPD, WhiteHouse, Yatsenyuk_AP, borgebrende, cabinetofficeuk, dfat, ditmirbushati, dreynders, eucopresident, fhollande, francediplo_ES, gouvernementFR, liljaalfreds, narendramodi, netanyahu, niinisto, poroshenko</t>
  </si>
  <si>
    <t>AbeShinzo, AndrzejDuda, BarackObama, CharlieFlanagan, David_Cameron, GovernmentRF, ItalyMFA, JulieBishopMP, JunckerEU, KremlinRussia_E, MFA_Afghanistan, MZemanOficialni, MedvedevRussia, MedvedevRussiaE, Number10gov, POTUS, Pontifex, PutinRF_Eng, StateDept, WhiteHouse, Yatsenyuk_AP, donaldtusk, dreynders, eucopresident, fhollande</t>
  </si>
  <si>
    <t>AndrzejDuda, AzerbaijanMFA, BarackObama, CRcancilleria, CanadaPE, CancilleriaCol, CasaReal, CzechMFA, DrodriguezVen, EUCouncil, EU_Commission, FijiMFA, ForeignMinistry, ForeignOfficeKE, ForeignStrategy, GovernmentRF, Grybauskaite_LT, IranMFA, IraqMFA, IsabelStMalo, IsraeliPM, JunckerEU, KSAMOFA, LinkeviciusL, MAEHaiti, MFAIraq, MFAMalta, MFAThai_PR_EN, MFA_Mongolia, MFA_SriLanka, MFA_Tajikistan, MFAofArmenia, MFAsg, MFAupdate, MOFAEGYPT, MOFAVietNam, MOFAkr_eng, MarocDiplomatie, MfaEgypt, MinExterioresUY, MoFA_Indonesia, MofaJapan_en, MofaOman, MofaQatar_EN, MofaSomalia, OFMUAE, PakDiplomacy, PolandMFA, Presidencia_Ec, RwandaMFA, SeychellesMFA, StateDept, SushmaSwaraj, TROfficeofPD, TunisieDiplo, USAenEspanol, UgandaMFA, Ulkoministerio, WhiteHouse, andresnavarrog, bahdiplomatic, cancilleriacrc, deplu, dfat, dfatirl, ditmirbushati, eucopresident, foreignoffice, mfagovtt, mfarighana, mgonzalezsanz, mreparaguay, narendramodi, ruizmassieu</t>
  </si>
  <si>
    <t>BarackObama, Pontifex, Pontifex_fr, StateDept, WhiteHouse, fhollande, francediplo, palaisnational</t>
  </si>
  <si>
    <t>ABZayed, ForeignMinistry, KSAMOFA, MFA_SriLanka, PMOIndia, RW_UNP, StateDept, SushmaSwaraj, narendramodi</t>
  </si>
  <si>
    <t>AdelAljubeir, AlbanianMFA, Arlietas, AzerbaijanMFA, BarackObama, BelgiumMFA, CanadaPE, CancilleriaCol, CancilleriaEc, CancilleriaPA, CubaMINREX, CyprusMFA, CzechMFA, David_Cameron, DutchMFA, EndaKennyTD, EstonianGovt, ForeignMinistry, ForeignOfficeKE, ForeignStrategy, IraqMFA, ItalyMFA, JohnKerry, KSAMOFA, LMushikiwabo, Latvian_MFA, MAERomania, MAE_Haiti, MFAIraq, MFAKOSOVO, MFAThai, MFAThai_PR_EN, MFAThai_Pol, MFATurkey, MFA_Afghanistan, MFA_Austria, MFA_LI, MFA_Mongolia, MFA_SriLanka, MFA_Ukraine, MFAgovge, MFAofArmenia, MFAsg, MIREXRD, MOFAEGYPT, MOFAIC, MOFAKuwait, MOFAUAE, MOFAkr_eng, MSZ_RP, MVEP_hr, MZZRS, MaithripalaS, MangalaLK, MinBZ, MinPres, MinexGt, MoFA_Indonesia, MofaJapan_en, MofaJapan_jp, MofaQatar_EN, MofaSomalia, NajibRazak, NorwayMFA, OFMUAE, Portal_Kemlu_RI, PresidencyZA, RashtrapatiBhvn, RepSouthSudan, Russia, SRECIHonduras, SRE_mx, SeychellesMFA, SlovakiaMFA, StateDept, StateDeptLive, SushmaSwaraj, SweMFA, TC_Disisleri, TerzaLoggia, TunisieDiplo, TurnbullMalcolm, UM_dk, USAHindiMein, UgandaMFA, Ulkoministerio, Utenriksdept, Utrikesdep, WhiteHouse, ashrafghani, bahdiplomatic, cancilleriacrc, deplu, dfaspokesperson, dfat, dfatirl, eu_eeas, foreignMV, foreigntanzania, francediplo, francediplo_AR, francediplo_ES, govpt, johnkeypm, mfaethiopia, mfagovtt, mofa_kr, mofa_uae, mreparaguay, pressslujba, ruizmassieu, valismin, vencancilleria</t>
  </si>
  <si>
    <t>A_Davutoglu_ar, A_Davutoglu_eng, Ahmet_Davutoglu, AzerbaijanMFA, BarackObama, BelarusMFA, BelgiumMFA, BurundiForeign, CRcancilleria, CyprusMFA, David_Cameron, Diplomacy_RM, EUCouncilPress, EgyPresidency, FedericaMog, ForeignMinistry, ForeignOfficeKE, ForeignStrategy, GovernmentRF, HHShkMohd, IlvesToomas, IraqMFA, ItamaratyGovBr, JunckerEU, KagutaMuseveni, MAECgob, MAERomania, MFAMalta, MFAThai_PR_EN, MFA_Mongolia, MFA_Ukraine, MFAofArmenia, MFAsg, MIREXRD, MOFAEGYPT, MOFAIC, MOFAKuwait, MOFAkr_eng, MarocDiplomatie, MedvedevRussiaE, MevlutCavusoglu, MinPres, MoFA_Indonesia, MofaJapan_en, MofaQatar_EN, MofaSomalia, NasserJudeh, NikolaPoposki, Number10gov, OFMUAE, PakDiplomacy, PaulKagame, Pontifex, PresidenceMali, PresidencyZA, QueenRania, RT_Erdogan, RwandaGov, RwandaMFA, SAPresident, SeychellesMFA, SlovakiaMFA, StateDept, StateDeptLive, TC_Disisleri, TROfficeofPD, TunisieDiplo, TurnbullMalcolm, UrugwiroVillage, Utrikesdep, VladaCG, WhiteHouse, ZaoralekL, bahdiplomatic, borgebrende, deplu, dfat, dfatirl, dreynders, ediramaal, eucopresident, foreigntanzania, khalidalkhalifa, mfaethiopia, mfagovtt, mreparaguay, narendramodi, presidentMT, trpresidency</t>
  </si>
  <si>
    <t>AbeShinzo, BarackObama, CzechMFA, David_Cameron, EUCouncil, EUCouncilPress, EU_Commission, ForeignOfficePk, HassanRouhani, IndianDiplomacy, JapanGov, JohnKerry, JustinTrudeau, MFA_Austria, MaithripalaS, Number10gov, PMDNewsGov, PMOIndia, POTUS, Pontifex, PutinRF_Eng, QueenRania, RW_UNP, RashtrapatiBhvn, RoyalFamily, SlovakiaMFA, StateDept, SushmaSwaraj, WhiteHouse, cabinetofficeuk, foreignoffice, johnkeypm, narendramodi, sebastiankurz, tsheringtobgay</t>
  </si>
  <si>
    <t>AMB_A_Mohammed, A_Davutoglu_eng, Ahmet_Davutoglu, BarackObama, BorutPahor, CanadaPE, CancilleriaCol, CancilleriaPA, Elysee, FedericaMog, FijiMFA, ForeignMinistry, ForeignOfficeKE, GovernmentRF, HassanRouhani, IraqMFA, IsraeliPM, JZarif, JulieBishopMP, JunckerEU, JustinTrudeau, KremlinRussia_E, LMushikiwabo, LinkeviciusL, MAE_Haiti, MFAIraq, MFATurkey, MFA_Afghanistan, MFA_SriLanka, MFAsg, MFAupdate, MIREXRD, MOFAEGYPT, MOFAIC, MOFAKuwait, MOFAUAE, MOFAkr_eng, MSZ_RP, MankeurNdiaye, MarocDiplomatie, MedvedevRussiaE, MoFA_Indonesia, MofaJapan_en, MofaOman, MofaQatar_EN, MofaSomalia, NikosKotzias, Number10gov, OFMUAE, PMOIndia, POTUS, PakDiplomacy, PaoloGentiloni, PavloKlimkin, Pontifex_de, PresidentABO, PresidentRuvi, PrimeMinistry, PrimeministerGR, RegSprecher, SerbianPM, StateDeptLive, TerzaLoggia, TunisieDiplo, UM_dk, UgandaMFA, VladaCG, WhiteHouse, ZaoralekL, ashrafghani, bahdiplomatic, borgebrende, dfaspokesperson, dfat, ditmirbushati, donaldtusk, dreynders, eucopresident, fhollande, foreignMV, foreigntanzania, francediplo_ES, jeanmarcayrault, mfaethiopia, mfagovtt, mreparaguay, narendramodi, presidentaz, tsipras_eu</t>
  </si>
  <si>
    <t>AkordaPress, BWGovernment, BelgiumMFA, CanadaPE, CancilleriaCol, CancilleriaPA, CancilleriaPma, CzechMFA, EU_Commission, FijiMFA, ForeignMinistry, ForeignOfficeKE, ForeignOfficePk, ForeignStrategy, HassanRouhani, IraqMFA, KSAMOFA, KarimMassimov, KarimMassimov_E, KremlinRussia_E, MAERomania, MAE_Haiti, MFAThai_PR_EN, MFATurkeyArabic, MFA_Afghanistan, MFA_SriLanka, MFAsg, MFAupdate, MIREXRD, MOFAEGYPT, MOFAIC, MOFAkr_eng, MSZ_RP, MarocDiplomatie, MedvedevRussiaE, MoFA_Indonesia, MofaJapan_en, MofaOman, MofaQatar_EN, MofaSomalia, MongolDiplomacy, NajibRazak, Number10gov, OFMUAE, POTUS, PakDiplomacy, Portal_Kemlu_RI, PutinRF_Eng, RwandaMFA, SRECIHonduras, SRE_mx, SeychellesMFA, StateDept, StateDeptLive, SushmaSwaraj, TC_Disisleri, TROfficeofPD, TerzaLoggia, TunisieDiplo, UM_dk, USApoRusski, UgandaMFA, Ulkoministerio, bahdiplomatic, cancilleriacrc, deplu, dfaspokesperson, dfat, dfatirl, foreignMV, foreignoffice, foreigntanzania, francediplo_ES, kormany_hu, mfaethiopia, mfagovtt, mofa_uae, mreparaguay, presidenciacr, trpresidency, valismin, vencancilleria</t>
  </si>
  <si>
    <t>A_Davutoglu_eng, AbeShinzo, Ahmet_Davutoglu, Andrej_Kiska, BarackObama, BelgiumMFA, BgPresidency, CancilleriaCol, CancilleriaEc, CancilleriaPA, CharlesMichel, CharlieFlanagan, CubaMINREX, DacicIvica, David_Cameron, EUCouncil, EUCouncilPress, EU_Commission, Elysee, FedericaMog, ForeignMinistry, ForeignOfficeKE, ForeignStrategy, GOVuz, GovernmentRF, Grybauskaite_LT, HeraldoMunoz, HonStephaneDion, IgnacioYbanez, IlvesToomas, IsraeliPM, JulieBishopMP, JunckerEU, JustinTrudeau, KSAMOFA, Kabmin_UA_e, Kabmin_UA_r, KremlinRussia_E, Kristian_Jensen, MFAMalta, MFAThai_PR_EN, MFATurkey, MFA_SriLanka, MFAsg, MFAupdate, MNEGOVPT, MOFAEGYPT, MOFAKuwait, MOFAkr_eng, MSZ_RP, MarinaKaljurand, MarocDiplomatie, MedvedevRussiaE, MevlutCavusoglu, MfaEgypt, MoFA_Indonesia, MofaJapan_en, MofaQatar_EN, MofaSomalia, NikosKotzias, Number10gov, OFMUAE, POTUS, PaoloGentiloni, Pontifex, Pontifex_es, Portal_Kemlu_RI, RegSprecher, RepSouthSudan, RoyalFamily, SRECIHonduras, SRE_mx, SeychellesMFA, StateDeptLive, TaaviRoivas, TunisieDiplo, UM_dk, UgandaMFA, Vejonis, WhiteHouse, Yatsenyuk_AP, ZaoralekL, bahdiplomatic, borgebrende, cabinetofficeuk, cancilleriasv, deplu, dfat, dfatirl, ditmirbushati, donaldtusk, dreynders, eucopresident, fhollande, foreignoffice, gouv_lu, jeanmarcayrault, kyrgyzpresident, larsloekke, margotwallstrom, mreparaguay, mzvcr, narendramodi, netanyahu, presidentaz, vencancilleria</t>
  </si>
  <si>
    <t>AMB_A_Mohammed, ARG_AFG, A_Davutoglu_eng, AbdoulayeDiop8, AdelAljubeir, AkordaPress, AlbanianMFA, AlsisiOfficial, Anifah_myg, Arlietas, AzerbaijanMFA, AzerbaijanPA, BarackObama, BelgiumMFA, CRcancilleria, CYpresidency, CanadaPE, CancilleriaARG, CancilleriaCol, CancilleriaPA, CancilleriaPma, CharlieFlanagan, CyprusMFA, CzechMFA, DIRCO_ZA, David_Cameron, DrTedros, DrodriguezVen, FedericaMog, FijiMFA, ForeignMinistry, ForeignOfficeKE, ForeignOfficePk, ForeignStrategy, Gebran_Bassil, GermanyDiplo, GovMonaco, GreeceMFA, HannaTetteh, HassanRouhani, HeraldoMunoz, HonStephaneDion, IKasoulides, IndianDiplomacy, InokeRatu, IranMFA, IsabelStMalo, IsraeliPM, ItalyMFA, JPN_PMO, JZarif, JohnKerry, JulieBishopMP, JustinTrudeau, KSAMOFA, KTnepal, KarimMassimov, KremlinRussia_E, Kristian_Jensen, LinkeviciusL, MAECgob, MAERomania, MAE_Haiti, MDVForeign, MFAFiji, MFAMalta, MFAThai, MFAThai_PR_EN, MFAThai_Pol, MFATurkey, MFA_Afghanistan, MFA_Austria, MFA_LI, MFA_SriLanka, MFAgovge, MFAsg, MFAupdate, MIREXRD, MNEGOVPT, MOFAEGYPT, MOFAIC, MOFAKuwait, MOFAKuwait_en, MOFAUAE, MOFAkr_eng, MSZ_RP, MZZRS, MangalaLK, MankeurNdiaye, MarinaKaljurand, MarocDiplomatie, Matignon, MedvedevRussia, MevlutCavusoglu, MinBZ, MinExterioresUY, MinexGt, MinisterMOFA, Minrel_Chile, MiroslavLajcak, MoFA_Indonesia, MofaJapan_en, MofaNepal, MofaQatar_AR, MofaQatar_EN, MofaSomalia, MongolDiplomacy, NasserJudeh, NicolasMaduro, NikolaPoposki, NikosKotzias, Number10gov, OFMUAE, PMOIndia, PakDiplomacy, PaoloGentiloni, PolandMFA, Portal_Kemlu_RI, PresidenciaMX, PresidenciaPy, PresidentABO, RT_Erdogan, RashtrapatiBhvn, RepSouthSudan, Rijksoverheid, RwandaMFA, SAPresident, SRECIHonduras, SRE_mx, SlovakiaMFA, SpainMFA, StateDept, StateDeptLive, SushmaSwaraj, TC_Disisleri, TunisieDiplo, UM_dk, UgandaMFA, Ulkoministerio, Utenriksdept, VivianBala, ZaoralekL, andresnavarrog, ashrafghani, bahdiplomatic, borgebrende, cancilleriacrc, cancilleriasv, deplu, dfaspokesperson, dfat, dfatirl, ditmirbushati, dreynders, elbegdorj, eu_eeas, foreignMV, foreignoffice, foreigntanzania, francediplo_EN, govpt, jeanmarcayrault, khalidalkhalifa, kormany_hu, kyrgyzpresident, margotwallstrom, mfaethiopia, mfagovtt, mfarighana, mgonzalezsanz, mofa_uae, mofasudan, mreparaguay, narendramodi, presidentaz, presstj, ruizmassieu, sebastiankurz, valismin, vencancilleria</t>
  </si>
  <si>
    <t>BarackObama, CancilleriaCol, CancilleriaPA, CasaReal, DaniloMedina, David_Cameron, EPN, EUCouncil, EUCouncilPress, EU_Commission, GOVuz, GobiernodeChile, GuatemalaGob, GuillaumeLong, IsraeliPM, JuanManSantos, KagutaMuseveni, MarocDiplomatie, MashiRafael, MedvedevRussiaE, MinPres, NicolasMaduro, Number10gov, Ollanta_HumalaT, POTUS, PaulKagame, PavloKlimkin, Pontifex_es, PresidenceMali, PresidenciaMX, PresidenciaPma, Presidencia_Ec, PresidenciadeHN, RaulCastroR, StateDept, USAenEspanol, adosolutions, agarciapadilla, cancilleriacrc, eucopresident, fhollande, foreignoffice, gobmx, govpt, infopresidencia, luisguillermosr, prensapalacio, presidencia_sv, presidenciacr, sanchezceren</t>
  </si>
  <si>
    <t>AzerbaijanMFA, BarackObama, BelgiumMFA, DanielMitov, David_Cameron, DrTedros, EUCouncil, EUCouncilTVNews, EstonianGovt, FedericaMog, FijiMFA, ForeignMinistry, ForeignOfficeKE, ForeignStrategy, Grybauskaite_LT, HHShkMohd, ItalyMFA, JPN_PMO, JunckerEU, KremlinRussia_E, MFAThai, MFA_Afghanistan, MFAsg, MSZ_RP, MarinaKaljurand, MevlutCavusoglu, Minrel_Chile, MoFA_Indonesia, MofaJapan_en, MofaQatar_EN, MofaSomalia, NikolaPoposki, Number10gov, OFMUAE, PaoloGentiloni, PavloKlimkin, Petrit, PolandMFA, QueenRania, RegSprecher, RoyalFamily, RwandaMFA, SerbianPM, SeychellesMFA, SlavekSobotka, StateDept, TunisieDiplo, UM_dk, WhiteHouse, ZaoralekL, borgebrende, cabinetofficeuk, dfatirl, ditmirbushati, ediramaal, eucopresident, foreignoffice, margotwallstrom, matteorenzi, mzvcr, valismin</t>
  </si>
  <si>
    <t>A_Davutoglu_eng, Ahmet_Davutoglu, BarackObama, DanielMitov, David_Cameron, Elysee, FedericaMog, ForeignMinistry, ForeignOfficeKE, ForeignStrategy, GobiernodeChile, GovernAndorra, HHShkMohd, JZarif, JunckerEU, Kabmin_UA_e, KremlinRussia_E, MFAThai_PR_EN, MFAThai_Pol, MFA_Afghanistan, MFA_SriLanka, MFAupdate, MOFAkr_eng, MZemanOficialni, MarocDiplomatie, MedvedevRussiaE, MevlutCavusoglu, MofaJapan_en, MofaQatar_EN, MofaSomalia, NikolaPoposki, Number10gov, OFMUAE, PaoloGentiloni, PaulKagame, Pontifex, Quirinale, RegSprecher, SeychellesMFA, TROfficeofPD, USApoRusski, WhiteHouse, Yatsenyuk_AP, donaldtusk, dreynders, eucopresident, fhollande, jeanmarcayrault, khalidalkhalifa, kormany_hu, mfaethiopia, netanyahu, strakovka</t>
  </si>
  <si>
    <t>AButkevicius, APUkraine, A_Davutoglu_eng, AnastasiadesCY, Andrej_Kiska, AndrzejDuda, AzerbaijanMFA, AzerbaijanPA, B_Izetbegovic, BarackObama, BelgiumMFA, BorutPahor, BoykoBorissov, Brivibas36, ByegmENG, CYpresidency, CancilleriaARG, CancilleriaEc, CasaReal, CharlesMichel, CiolosDacian, CostaPS2015, CourGrandDucale, CzechMFA, DanielMitov, David_Cameron, Diplomacy_RM, DrZvizdic, EUCouncil, EUCouncilPress, Elysee, Elysee_Com, EstonianGovt, FedericaMog, FinGovernment, ForeignMinistry, ForeignOfficeKE, French_Gov, GermanyDiplo, GouvMali, GovCyprus, GovMonaco, GovernmentRF, Grybauskaite_LT, GuvernulRMD, GvtMonaco, HHShkMohd, HaiderAlAbadi, HassanRouhani, IKasoulides, IlvesToomas, IsraeliPM, ItalyMFA, JDMahama, JPN_PMO, JZarif, JohnKerry, JosephMuscat_JM, JunckerEU, Kabmin_UA_e, KlausIohannis, KremlinRussia, KremlinRussia_E, Kronprinsparet, LinkeviciusL, MFABulgaria, MFAThai_PR_EN, MFATurkey, MFAgovge, MNEGOVPT, MOFAkr_eng, MaltaGov, MarocDiplomatie, Matignon, MedvedevRussiaE, MevlutCavusoglu, MinPres, Minrel_Chile, MoFA_Indonesia, MofaJapan_en, MofaQatar_EN, MofaSomalia, MonarchieBe, NajibRazak, NikolaPoposki, Number10gov, OFMUAE, PMBhutan, PMOIndia, POTUS, Palazzo_Chigi, PaoloGentiloni, PaulKagame, PavloKlimkin, Pontifex, PresidenceTg, PresidenciaMX, Presidencia_Ec, PresidentIRL, PrimatureHT, PrimeMinistry, PutinRF_Eng, QueenRania, RT_Erdogan, RegSprecher, RoyalFamily, SCpresidenciauy, SaikhanbilegPM, Saudiegov, SerbianPM, SlavekSobotka, SlovakiaMFA, StateDept, StateDeptLive, TPKanslia, TROfficeofPD, TaaviRoivas, TheBankova, UAEmGov, UM_dk, UgandaMFA, Ulkoministerio, VladaMK, Vyriausybe, WhiteHouse, Xavier_Bettel, Yatsenyuk_AP, ashrafghani, atsipras, azpresident, borgebrende, cabinetofficeuk, desdelamoncloa, dfat, dfatirl, ditmirbushati, donaldtusk, ediramaal, eucopresident, fhollande, filip_pavel, gouv_lu, gouvbenin, gouvernementFR, guv_ro, iGABahrain, johnkeypm, koninklijkhuis, manuelvalls, margotwallstrom, matteorenzi, md_higgins, narendramodi, netanyahu, niinisto, poroshenko, predsednikrs, prensapalacio, presidencia_sv, presidentaz, prezydentpl, republicoftogo, sebastiankurz, telle_serge, togoprimature, trpresidency, tsipras_eu, valtioneuvosto</t>
  </si>
  <si>
    <t>BarackObama, FedericaMog, MFATurkey, RT_Erdogan, presidentaz, tcbestepe</t>
  </si>
  <si>
    <t>BarackObama, CasaReal, David_Cameron, EPN, Elysee, GovernmentRF, MedvedevRussia, MedvedevRussiaE, Number10gov, POTUS, Pontifex, Pontifex_pt, WhiteHouse, fhollande, govpt, joseserra_, mauriciomacri</t>
  </si>
  <si>
    <t>ABZayed, AbdoulayeDiop8, AlbanianMFA, BelarusMFA, BelgiumMFA, BurundiForeign, CRcancilleria, CancilleriaARG, CancilleriaCol, CancilleriaPma, CharlieFlanagan, ChileMFA, CyprusMFA, CzechMFA, DanielMitov, DiploPubliqueTR, Diplomacy_RM, DrTedros, DutchMFA, ForeignMinistry, ForeignOfficeKE, Gebran_Bassil, HeraldoMunoz, IKasoulides, IranMFA, IraqMFA, IsabelStMalo, IsraelMFA, ItalyMFA, Itamaraty_EN, Itamaraty_ES, JZarif, JohnKerry, JulieBishopMP, KSAMOFA, KTnepal, Kristian_Jensen, LMushikiwabo, LankaMFA, Latvian_MFA, LinkeviciusL, LithuaniaMFA, MAEHaiti, MAERomania, MDVForeign, MEAIndia, MFABulgaria, MFAEcuador, MFAFiji, MFAIceland, MFASriLanka, MFATurkeyFrench, MFA_Afghanistan, MFA_Austria, MFA_KZ, MFA_LI, MFA_Mongolia, MFA_SriLanka, MFA_Tajikistan, MFA_Ukraine, MFAgovge, MFAsg, MFAupdate, MOFAEGYPT, MOFAKuwait_en, MOFAUAE, MOFAkr_eng, MVEP_hr, MZZRS, MangalaLK, MankeurNdiaye, MarinaKaljurand, MarocDiplomatie, MevlutCavusoglu, MfaEgypt, MinisterMOFA, MiroslavLajcak, MoFA_Indonesia, MofaJapan_en, MofaNepal, MofaOman, MofaQatar_EN, MofaSomalia, NasserJudeh, NikolaPoposki, NorwayMFA, OFMUAE, PHammondMP, PakDiplomacy, PaoloGentiloni, PavloKlimkin, PolandMFA, PurevsurenL, RwandaMFA, SeychellesMFA, SlovakiaMFA, SpainMFA, StateDept, StateDeptLive, SusanaMalcorra, SushmaSwaraj, SweMFA, TROfficeofPD, TunisieDiplo, UKUrdu, UM_dk, UgandaMFA, Ulkoministerio, VivianBala, bahdiplomatic, cancilleriasv, dfat, dfatirl, ditmirbushati, djiboutidiplo, dreynders, edgarsrinkevics, foreignoffice, foreigntanzania, francediplo, francediplo_EN, jeanmarcayrault, khalidalkhalifa, margotwallstrom, mfa_russia, mfaethiopia, mfarighana, namibia_mfa, ruizmassieu, sebastiankurz, valismin</t>
  </si>
  <si>
    <t>AbdoulayeDiop8, AdelAljubeir, AlbanianMFA, BelgiumMFA, BurundiForeign, CancilleriaARG, CancilleriaPma, ChileMFA, CyprusMFA, CzechMFA, DiploPubliqueTR, Diplomacy_RM, DutchMFA, FedericaMog, ForeignMinistry, ForeignOfficeKE, Gebran_Bassil, IKasoulides, IranMFA, Israel, ItalyMFA, Itamaraty_EN, JZarif, JohnKerry, JulieBishopMP, KSAMOFA, Kristian_Jensen, LankaMFA, Latvian_MFA, LinkeviciusL, LithuaniaMFA, MAEHaiti, MAERomania, MDVForeign, MFABulgaria, MFAFiji, MFAIceland, MFAMalta, MFASriLanka, MFAThai_PR_EN, MFATurkey, MFATurkeyFrench, MFA_Afghanistan, MFA_Austria, MFA_KZ, MFA_LI, MFA_Mongolia, MFA_SriLanka, MFA_Tajikistan, MFAsg, MFAupdate, MNEGOVPT, MOFAEGYPT, MOFAKuwait_en, MOFAkr_eng, MVEP_hr, MangalaLK, MarinaKaljurand, MarocDiplomatie, MinExterioresUY, MinisterMOFA, MiroslavLajcak, MoFA_Indonesia, MofaJapan_en, MofaQatar_EN, NikolaPoposki, PHammondMP, POTUS, PakDiplomacy, PaoloGentiloni, PavloKlimkin, PolandMFA, Portal_Kemlu_RI, RwandaMFA, SeychellesMFA, SlovakiaMFA, StateDept, StateDeptLive, SushmaSwaraj, SweMFA, TROfficeofPD, TunisieDiplo, UM_dk, UgandaMFA, Ulkoministerio, VivianBala, WhiteHouse, bahdiplomatic, cancilleriasv, dfaspokesperson, dfat, dfatirl, ditmirbushati, djiboutidiplo, dreynders, edgarsrinkevics, foreigntanzania, francediplo, francediplo_EN, margotwallstrom, mfa_russia, mfaethiopia, mfagovtt, mfarighana, mofa_kr, namibia_mfa, rdussey, ruizmassieu, sebastiankurz, valismin</t>
  </si>
  <si>
    <t>BarackObama, JuanManSantos, MashiRafael, NicolasMaduro, mauriciomacri</t>
  </si>
  <si>
    <t>AMB_A_Mohammed, BelgiumMFA, CRcancilleria, CanadaFP, CancilleriaPA, CasaRosada, CharlieFlanagan, EPN, EUCouncil, EU_Commission, FedericaMog, FijiPM, Grybauskaite_LT, HaiderAlAbadi, HonStephaneDion, Horacio_Cartes, IsabelStMalo, JohnKerry, JuanManSantos, JuanOrlandoH, JustinTrudeau, KremlinRussia_E, Latvian_MFA, MFABulgaria, MFATurkey, MFA_Austria, MFA_Ukraine, MFAgovge, MarocDiplomatie, MashiRafael, MevlutCavusoglu, MinExterioresUY, MinPres, Number10gov, Ollanta_HumalaT, POTUS, PolandMFA, Pontifex, Pontifex_es, PresidenciaMX, Presidencia_Ec, Presidencia_HN, PresidentIRL, RT_Erdogan, SlovakiaMFA, SusanaMalcorra, SweMFA, TommyRemengesau, USAemPortugues, USAenFrancais, Ulkoministerio, borgebrende, dfat, fhollande, gobmx, govpt, infopresidencia, jeanmarcayrault, johnkeypm, lacasablanca, macky_sall, manuelvalls, matteorenzi, mgonzalezsanz, prensapalacio, presidencia_sv, ruizmassieu, sanchezceren, valismin, vencancilleria</t>
  </si>
  <si>
    <t>AButkevicius, AndrzejDuda, BarackObama, BeataSzydlo, CzechMFA, David_Cameron, Elysee, FedericaMog, GobiernodeChile, GovernAndorra, GovernmentRF, Grybauskaite_LT, GvtMonaco, HassanRouhani, IlvesToomas, IsraeliPM, JC_Varela, JPN_PMO, JosephMuscat_JM, JunckerEU, JustinTrudeau, KarimMassimov_E, KremlinRussia_E, Kristian_Jensen, MargvelashviliG, MarinaKaljurand, MinPres, MonarchieBe, NajibRazak, Number10gov, PHammondMP, POTUS, Pontifex, PremierRP, PresidencySrb, PresidentRuvi, PutinRF_Eng, Quirinale, RT_Erdogan, SalamTammam, SlavekSobotka, TPKanslia, Xavier_Bettel, Yatsenyuk_AP, fhollande, japan, johnkeypm, juhasipila, manuelvalls, matteorenzi, narendramodi, netanyahu, poroshenko, predsednikrs, presidentaz, tsipras_eu</t>
  </si>
  <si>
    <t>A_Davutoglu_eng, AbdoulayeDiop8, AbeShinzo, AnastasiadesCY, BarackObama, CYpresidency, CanadaPE, CancilleriaCol, CancilleriaPA, CharlieFlanagan, David_Cameron, DrTedros, Elysee, FedericaMog, FijiMFA, ForeignOfficeKE, ForeignOfficePk, ForeignStrategy, GovernmentRF, GovernmentZA, Grybauskaite_LT, HaiderAlAbadi, HassanRouhani, IraqMFA, IsraeliPM, JDMahama, JPN_PMO, JZarif, JuanManSantos, JulieBishopMP, JunckerEU, KSAMOFA, KolindaGK, KremlinRussia_E, LMushikiwabo, MAE_Haiti, MFAThai, MFAThai_PR_EN, MFAThai_Pol, MFATurkeyFrench, MFA_Afghanistan, MFA_SriLanka, MFAsg, MFAupdate, MIREXRD, MNEGOVPT, MOFAEGYPT, MOFAIC, MOFAKuwait, MOFAUAE, MOFAkr_eng, MSZ_RP, Malaysia_Gov, MangalaLK, MarocDiplomatie, MedvedevRussiaE, MevlutCavusoglu, MinisterMOFA, MoFA_Indonesia, MofaJapan_en, MofaQatar_EN, MofaSomalia, NasserJudeh, Number10gov, OFMUAE, POTUS, PakDiplomacy, PalestinianGov, PaoloGentiloni, PaulKagame, PavloKlimkin, Portal_Kemlu_RI, PutinRF_Eng, QueenRania, RHCJO, RT_Erdogan, RepSouthSudan, SAPresident, SRECIHonduras, SRE_mx, StateDeptLive, Statsmin_kontor, TC_Disisleri, TPKanslia, TROfficeofPD, TerzaLoggia, TunisieDiplo, UKenyatta, WhiteHouse, ZaoralekL, adrian_hasler, bahdiplomatic, cabinetofficeuk, cancilleriacrc, deplu, dfaspokesperson, ditmirbushati, dreynders, erna_solberg, eucopresident, fhollande, foreignMV, foreigntanzania, jeanmarcayrault, jokowi, khalidalkhalifa, larsloekke, margotwallstrom, mfagovtt, mreparaguay, netanyahu, noynoyaquino, poroshenko, samoagovt, trpresidency</t>
  </si>
  <si>
    <t>BarackObama, JuanManSantos, Pontifex, WhiteHouse</t>
  </si>
  <si>
    <t>A_Davutoglu_ar, A_Davutoglu_eng, AbeShinzo, Ahmet_Davutoglu, AnastasiadesCY, Arlietas, BR_Sprecher, BarackObama, BasbakanlikKDK, BrazilGovNews, Brivibas36, CYpresidency, CanadaPE, CancilleriaARG, CasaReal, DaniloMedina, David_Cameron, EPN, EU_Commission, Elysee, EndaKennyTD, FedericaMog, GH_PARK, GobiernodeChile, GovernmentRF, GreeceMFA, Grybauskaite_LT, GuatemalaGob, GvtMonaco, HHShkMohd, Horacio_Cartes, IlvesToomas, IsraeliPM, IsraeliPM_heb, Israelipm_ar, IstanaRakyat, JC_Varela, JDMahama, JPN_PMO, JZarif, JapanGov, JosephMuscat_JM, JuanManSantos, JunckerEU, KSAMOFA, Kabmin_UA, Kabmin_UA_e, Kabmin_UA_r, KagutaMuseveni, Kantei_Saigai, KarimMassimov, KarimMassimov_E, KingSalman, KremlinRussia, KremlinRussia_E, Kronprinsparet, Latvian_MFA, LinkeviciusL, MBZNews, MFATurkey, MFATurkeyArabic, MFA_LI, MOFAKuwait, MOFAUAE, MOFAkr_eng, MashiRafael, Matignon, MedvedevRussia, MedvedevRussiaE, MinPres, MofaJapan_en, MofaJapan_jp, MofaOman, MofaQatar_AR, MofaQatar_EN, MonarchieBe, NajibRazak, NicolasMaduro, OFMUAE, Ollanta_HumalaT, PDTurkeyArabic, PMOIndia, POTUS, Palazzo_Chigi, Pontifex, Pontifex_ar, Pontifex_de, Pontifex_es, Pontifex_fr, Pontifex_it, Pontifex_ln, Pontifex_pl, Pontifex_pt, Pravitelstvo_RF, PremierRP, PresidenceMali, PresidenciaMX, PresidenciaPy, PresidenciaRD, Presidencia_Ec, PresidencyZA, PrimeMinistry, PrimeministerGR, QueenRania, Quirinale, RHCJO, RashtrapatiBhvn, RegSprecher, Rijksoverheid, RwandaGov, SAPresident, SCpresidenciauy, SlovakiaMFA, SomaliPM, StateDeptLive, Statsmin_kontor, SushmaSwaraj, TC_Disisleri, TROfficeofPD, TerzaLoggia, TheVillaSomalia, UAEmGov, UKenyatta, USAHindiMein, USAUrdu, USA_Zhongwen, USAdarFarsi, USAemPortugues, USAenEspanol, USAenFrancais, Ulkoministerio, UrugwiroVillage, Utenriksdept, WhiteHouse, Xavier_Bettel, agarciapadilla, azpresident, bahdiplomatic, cabinetofficeuk, desdelamoncloa, dfat, donaldtusk, elbegdorj, erna_solberg, eucopresident, fhollande, francediplo_EN, francediplo_ES, gobmx, gouvernementFR, johnkeypm, jokowi, kantei, koninklijkhuis, lacasablanca, leehsienloong, luisguillermosr, matteorenzi, mfa_russia, mofa_kr, narendramodi, netanyahu, noynoyaquino, palaismonaco, poroshenko, prensapalacio, presidenceTN, presidencia_cl, presidenciacr, presidentaz, tcbestepe, trpresidency, ts_elbegdorj, vladaRS</t>
  </si>
  <si>
    <t>BarackObama, IndianDiplomacy, Number10gov, PMBhutan, PMOIndia, QueenRania, SushmaSwaraj, WhiteHouse, narendramodi, tsheringtobgay</t>
  </si>
  <si>
    <t>ARG_AFG, AbeShinzo, BarackObama, CanadianPM, CasaRosada, David_Cameron, EPN, EUCouncil, EstonianGovt, FinGovernment, GermanyDiplo, GobiernodeChile, GovernmentRF, Grybauskaite_LT, HHShkMohd, HassanRouhani, IsraeliPM, JPN_PMO, JohnKerry, JosephMuscat_JM, JuanManSantos, JunckerEU, KremlinRussia_E, LinkeviciusL, LithuaniaMFA, MFATurkey, MFA_KZ, MZZRS, MashiRafael, MedvedevRussiaE, NajibRazak, Number10gov, Ollanta_HumalaT, PMOIndia, Pontifex_it, PremierRP, PresidenciaMX, Presidencia_Ec, PresidencyZA, PrimeMinistry, PutinRF_Eng, RegSprecher, RoyalFamily, SAPresident, StateDept, TROfficeofPD, TerzaLoggia, Ulkoministerio, WhiteHouse, atsipras, cabinetofficeuk, desdelamoncloa, dfat, donaldtusk, eGovMalta, edgarsrinkevics, eu_eeas, eucopresident, fhollande, francediplo_EN, gobmx, govdotie, imprensaPR, jeanmarcayrault, johnkeypm, merrionstreet, mfa_russia, netanyahu, noynoyaquino, pmofa, prensapalacio, presidenciacr, trpresidency</t>
  </si>
  <si>
    <t>EU_Commission, Grybauskaite_LT, IlvesToomas, MevlutCavusoglu, StateDept, eucopresident, jeanmarcayrault</t>
  </si>
  <si>
    <t>FedericaMog, ForeignMinistry, ForeignOfficePk, GobiernodeChile, JPN_PMO, KremlinRussia, KremlinRussia_E, MFAThai_PR_EN, MFAsg, MOFAkr_eng, MinBZ, MoFA_Indonesia, MofaJapan_en, Number10gov, TunisieDiplo, VladaMK, WhiteHouse, bahdiplomatic, cancilleriacrc, donaldtusk, eucopresident</t>
  </si>
  <si>
    <t>BarackObama, EU_Commission, JuanManSantos, NicolasMaduro, Pontifex_es, PresidenciaPy</t>
  </si>
  <si>
    <t>BarackObama, CancilleriaEc, GobiernodeChile, HeraldoMunoz, JuanManSantos, MashiRafael, MedvedevRussiaE, NicolasMaduro, Ollanta_HumalaT, POTUS, Pontifex, Pontifex_es, Presidencia_Ec, PresidencialVen, PutinRF_Eng, RaulCastroR, evoespueblo</t>
  </si>
  <si>
    <t>BWGovernment, BdiPresidence, BelgiumMFA, David_Cameron, EUCouncilPress, EU_Commission, EgyPresidency, FijiPM, GouvMali, Gouvci, HHShkMohd, HassanRouhani, HukoomiQatar, Issoufoumhm, JDMahama, JPN_PMO, JohnKerry, JunckerEU, JustinTrudeau, KagutaMuseveni, KremlinRussia_E, MBuhari, MEAIndia, MFATurkey, MFATurkeyFrench, Malaysia_Gov, MarocDiplomatie, Matignon, MedvedevRussiaE, MevlutCavusoglu, MoFA_Indonesia, MofaJapan_en, MofaQatar_EN, NGRPresident, Number10gov, PMOIndia, PMTunisie, PR_Paul_Biya, PRepublicaTL, Pontifex, Pr_Alpha_Conde, PresAlphaConde, PresidenceGA, PresidenceMada, PresidencyGhana, PresidencyZA, PresidentABO, PrimatureGabon, PrimatureRwanda, PrimeMinistry, PutinRF, RashtrapatiBhvn, SAPresident, SassouCG, StateDept, StateHouseUg, UKenyatta, WhiteHouse, adosolutions, fhollande, gouvernementFR, govofvanuatu, govpt, govtofgeorgia, jeanmarcayrault, khalidalkhalifa, mfa_russia, narendramodi, netanyahu, palaismonaco, presidentaz, rochkaborepf, trpresidency</t>
  </si>
  <si>
    <t>BarackObama, Number10gov</t>
  </si>
  <si>
    <t>BarackObama, DaniloMedina, EPN, FedericaMog, GuatemalaGob, Horacio_Cartes, JuanManSantos, JuanOrlandoH, MashiRafael, NicolasMaduro, Ollanta_HumalaT, PresidenciaMX, Presidencia_Ec, Presidencia_HN, WhiteHouse, jimmymoralesgt, presidencia_cl, presidenciacr, sanchezceren</t>
  </si>
  <si>
    <t>BarackObama, CancilleriaARG, CasaReal, CasaRosada, DaniloMedina, EPN, GobiernodeChile, GuatemalaGob, JuanManSantos, MashiRafael, Ollanta_HumalaT, POTUS, Pontifex_es, PresidenciaMX, Presidencia_Ec, RaulCastroR, WhiteHouse, desdelamoncloa, fhollande, gobmx, imprensaPR, infopresidencia, luisguillermosr, mauriciomacri, prensapalacio, presidencia_cl, presidencia_sv, presidenciacr</t>
  </si>
  <si>
    <t>ADO__Solutions, ARG_AFG, BarackObama, EPN, EU_Commission, GOVuz, JuanManSantos, KagutaMuseveni, MashiRafael, MedvedevRussiaE, MinPres, NoticiaCR, Number10gov, Ollanta_HumalaT, PMOIndia, PR_Paul_Biya, PalestinianGov, PaulKagame, PresidenciaMX, PresidenciadeHN, PresidencyGhana, PrimeMinistry, PrimeministerGR, QueenRania, RaulCastroR, StateDept, USAenEspanol, WhiteHouse, adosolutions, desdelamoncloa, eucopresident, fhollande, francediplo, govofvanuatu, govpt, govtofgeorgia, kormany_hu, lacasablanca, netanyahu, prensapalacio, presidencia_cl, strakovka</t>
  </si>
  <si>
    <t>CubaMINREX, GuillaumeLong, MashiRafael, evoespueblo</t>
  </si>
  <si>
    <t>IsraelArabic, Israelipm_ar, rubirivlin</t>
  </si>
  <si>
    <t>BarackObama, David_Cameron, EUCouncilPress, EU_Commission, Elysee, GobiernodeChile, GovernmentRF, HHShkMohd, IsraeliPM, JPN_PMO, JohnKerry, JuanManSantos, KremlinRussia, KremlinRussia_E, MashiRafael, MedvedevRussiaE, MinPres, NajibRazak, Number10gov, PMOMalaysia, Pontifex, PresidencyZA, PresidentNoy, RoyalFamily, SAPresident, StateDept, WhiteHouse, desdelamoncloa, fhollande, gobmx, govpt, imprensaPR, joseserra_, mfa_russia, netanyahu, noynoyaquino, presidenciacr, trpresidency</t>
  </si>
  <si>
    <t>DaniloMedina, Elysee, JohnKerry, POTUS, Pontifex, PresidenciaRD, StateDept, WhiteHouse, gouvernementFR</t>
  </si>
  <si>
    <t>A_Davutoglu_eng, BarackObama, BoykoBorissov, Brivibas36, CanadianPM, David_Cameron, EPN, Elysee, EstonianGovt, FedericaMog, GovernmentRF, HassanRouhani, JPN_PMO, JosephMuscat_JM, JustinTrudeau, KolindaGK, KremlinRussia_E, MaltaGov, MashiRafael, Matignon, MinPres, NicolasMaduro, Number10gov, POTUS, Pontifex, PresidenciaMX, Presidencia_Ec, PresidencySrb, PresidencyZA, PresidentIRL, PutinRF_Eng, Quirinale, RashtrapatiBhvn, RegSprecher, SAPresident, TaaviRoivas, Vyriausybe, WhiteHouse, Xavier_Bettel, desdelamoncloa, ediramaal, fhollande, gouvernementFR, govsingapore, infopresidencia, khamenei_ir, matteorenzi, prensapalacio, prezydentpl, trpresidency, valtioneuvosto</t>
  </si>
  <si>
    <t>BarackObama, BelarusMFA, BurundiGov, CanadaFP, CanadaPE, CzechMFA, David_Cameron, Diplomacy_RM, DrTedros, ForeignOfficeKE, GermanyDiplo, GovernmentRF, Grybauskaite_LT, IsraeliPM, JDMahama, JohnKerry, JulieBishopMP, KagutaMuseveni, Latvian_MFA, MBuhari, MFATurkeyFrench, MFAofArmenia, MFAsg, MFAupdate, MOFAUAE, MOFAkr_eng, MarocDiplomatie, Minrel_Chile, MiroslavLajcak, MoFA_Indonesia, MofaJapan_en, MofaQatar_EN, MofaSomalia, Number10gov, OFMUAE, PHammondMP, PMOIndia, PaoloGentiloni, PaulKagame, PolandMFA, PresidenceMali, PresidentKE, QueenRania, SAPresident, SeychellesMFA, SlovakiaMFA, SomaliPM, StateDept, StateHouseKenya, SushmaSwaraj, TunisieDiplo, UKenyatta, WhiteHouse, bahdiplomatic, borgebrende, dfat, dfatirl, dreynders, johnkeypm, margotwallstrom, presidentMT, sebastiankurz, valismin</t>
  </si>
  <si>
    <t>BarackObama, EPN, TabareVazquez, luisguillermosr</t>
  </si>
  <si>
    <t>BarackObama, CasaReal, CubaMINREX, EPN, Elysee, GobiernodeChile, GuillaumeLong, IsabelStMalo, IsraeliPM, JC_Varela, JohnKerry, JuanManSantos, JuanOrlandoH, Kronprinsparet, MashiRafael, MevlutCavusoglu, Ollanta_HumalaT, Pontifex, Pontifex_es, PresidenciaMX, PresidenciaPma, PresidenciaPy, PresidenciaRD, Presidencia_Ec, SRE_mx, StateDept, SweMFA, USAenEspanol, WhiteHouse, desdelamoncloa, foreignoffice, gobmx, lacasablanca, luisguillermosr, mauriciomacri, presidencia_cl, presidencia_sv, presidenciacr, ruizmassieu</t>
  </si>
  <si>
    <t>BarackObama, CasaReal, CharlieFlanagan, CubaMINREX, ForeignMinistry, GH_PARK, GermanyDiplo, GovernmentRF, GuillaumeLong, HHShkMohd, HonStephaneDion, JC_Varela, JuanManSantos, JuanOrlandoH, JustinTrudeau, Kristian_Jensen, MFA_Austria, MFAsg, MashiRafael, NicolasMaduro, Number10gov, Ollanta_HumalaT, POTUS, PolandMFA, Pontifex_es, PresidenciaRD, Presidencia_Ec, PresidencyZA, PrimeMinistry, SweMFA, WhiteHouse, andresnavarrog, fhollande, johnkeypm, lacasablanca, manuelvalls, matteorenzi, mauriciomacri</t>
  </si>
  <si>
    <t>AMB_A_Mohammed, Andrej_Kiska, BarackObama, CubaMINREX, EUCouncil, FedericaMog, MOFAkr_eng, MSZ_RP, MofaJapan_en, MofaQatar_EN, MofaSomalia, Pontifex, SeychellesMFA, StateDept, UM_dk, WhiteHouse, dfatirl, eucopresident, mzvcr, poroshenko</t>
  </si>
  <si>
    <t>AMB_A_Mohammed, AnastasiadesCY, BarackObama, CommsUnitSL, CubaMINREX, David_Cameron, DrTedros, EU_Commission, Elysee, FijiPM, GovPH_PCOO, GovernmentRF, HHShkMohd, JPN_PMO, JohnKerry, KremlinRussia_E, MEAIndia, Maroc_eGov, Matignon, Number10gov, PMOIndia, PMOMalaysia, POTUS, Pontifex, Pr_Alpha_Conde, PresidencyGhana, PutinRF, PutinRF_Eng, RaulCastroR, SAPresident, SaintLuciaGov, SomaliPM, StateDept, StateHouseKenya, StateHousePress, StateHouseUg, UAEmGov, UKenyatta, WhiteHouse, fhollande, francediplo_EN, govofvanuatu, narendramodi, palaisnational, presidencymv, samoagovt, trpresidency</t>
  </si>
  <si>
    <t>ARG_AFG, AbeShinzo, AnastasiadesCY, CharlieFlanagan, CubaMINREX, DaniloMedina, David_Cameron, DrodriguezVen, EPN, EU_Commission, FedericaMog, ForeignMinistry, Gebran_Bassil, GermanyDiplo, GovernmentRF, HeraldoMunoz, Horacio_Cartes, IKasoulides, IsabelStMalo, JC_Varela, JohnKerry, JuanManSantos, JuanOrlandoH, JulieBishopMP, JustinTrudeau, KagutaMuseveni, KingSalman, KremlinRussia_E, Kristian_Jensen, LinkeviciusL, MEAIndia, MashiRafael, MedvedevRussiaE, MevlutCavusoglu, MiroslavLajcak, MofaJapan_en, NicolasMaduro, NikolaPoposki, Number10gov, Ollanta_HumalaT, PHammondMP, POTUS, Palazzo_Chigi, PaoloGentiloni, PaulKagame, Pontifex_es, PrimeMinistry, PrimeministerGR, PutinRF_Eng, RT_Erdogan, RegSprecher, SCpresidenciauy, SalamTammam, SomaliPM, SushmaSwaraj, TROfficeofPD, TaaviRoivas, UKenyatta, UrugwiroVillage, ashrafghani, azpresident, ditmirbushati, elbegdorj, evoespueblo, fhollande, jeanmarcayrault, leehsienloong, macky_sall, margotwallstrom, matteorenzi, narendramodi, netanyahu, noynoyaquino, prensapalacio, ruizmassieu, trpresidency</t>
  </si>
  <si>
    <t>AButkevicius, ADO__Solutions, ARG_AFG, A_Davutoglu_eng, AbeShinzo, AkordaPress, AnastasiadesCY, AzerbaijanMFA, AzerbaijanPA, BR_Sprecher, BWGovernment, BarackObama, BarrowDean, BdiPresidence, BorutPahor, BrazilGovNews, Brivibas36, BurundiForeign, BurundiGov, CYpresidency, CabinetSL, CancilleriaEc, CasaCivilPRA, ChefGov_ma, CommsUnitSL, ComunicadosHN, CourGrandDucale, Daniel_k_Duncan, DaniloMedina, David_Cameron, EPN, EgyPresidency, Elysee, EmomaliRahmon, EndaKennyTD, EstonianGovt, FijiMFA, FijiPM, FijiRepublic, FinGovernment, ForeignMinistry, ForeignOfficeKE, ForeignOfficePk, ForeignStrategy, GH_PARK, GMICafghanistan, GOVuz, GeorgianGovernm, GjorgeIvanov, GobiernodeChile, Gouvci, Gouvrdcongo, GovCyprus, GovPH_PCOO, GovernAndorra, GovernmentMN, GovernmentRF, Grybauskaite_LT, GuatemalaGob, GuvernulRM, GvtMonaco, HHShkMohd, HailemariamD, HassanRouhani, Horacio_Cartes, IBK_2013, IlvesToomas, IsraeliPM, IsraeliPM_heb, Israelipm_ar, IstanaRakyat, JDMahama, JPN_PMO, Jorgecfonseca, JosephMuscat_JM, JuanManSantos, Kabmin_UA, Kabmin_UA_e, Kabmin_UA_r, KagutaMuseveni, Kantei_Saigai, KenyaGov, KingSalman, KremlinRussia, KremlinRussia_E, Kronprinsparet, LMushikiwabo, MFAThai_PR_EN, MFA_Afghanistan, MFAsg, MFAupdate, MOFAEGYPT, MOFAKuwait, MOFAkr_eng, MPMCTweeter, MZemanOficialni, Malaysia_Gov, MaldivesPO, MarocDiplomatie, Maroc_eGov, MashiRafael, Matignon, MedvedevRussia, MedvedevRussiaE, MinBZ, MinPres, MoFA_Indonesia, MofaJapan_en, MofaQatar_EN, MofaSomalia, NajibRazak, Nicolae_Timofti, NicolasMaduro, NikolaPoposki, NoticiaCR, Number10gov, OPMJamaica, Ollanta_HumalaT, PMNawazSharif, PMOIndia, PMOMalaysia, PMTCHAD, POTUS, PR_Paul_Biya, PRepublicaTL, Palazzo_Chigi, PalestinianGov, PaulKagame, Pontifex, Pontifex_ar, Pontifex_de, Pontifex_es, Pontifex_fr, Pontifex_it, Pontifex_pl, Pontifex_pt, Pr_Alpha_Conde, Pravitelstvo_RF, PremierRP, PrensaHC, Presidenceci, PresidenciaMX, PresidenciaPy, PresidenciaRD, Presidencia_Ec, PresidenciadeHN, PresidencialVen, PresidencyGhana, PresidencyZA, Presidency_Sy, PresidentAM_arm, PresidentAM_eng, PresidentAM_rus, PresidentNoy, PresidentUA, PresidenteCV, PrimatureGabon, PrimatureRwanda, PrimeMinistry, PrimeministerGR, PutinRF, PutinRF_Eng, QaTaR_, QueenRania, Quirinale, RHCJO, RT_Erdogan, RaulCastroR, RegSprecher, Regering, RepSouthSudan, Rigas_pils, Rijksoverheid, RobertFico, Rouhani_ir, RoyalFamily, RwandaGov, SAPresident, SCpresidenciauy, SaintLuciaGov, SalamTammam, Saudiegov, Sekhoutoureya, SerbianGov, SomaliPM, StateHouseKenya, StateHousePress, StateHouseSL, StateHouseUg, Statsmin_kontor, StenbockiMaja, TROfficeofPD, TaurMatanRuak, UAEGover, UAEmGov, UKenyatta, UrugwiroVillage, Viktor_Orban, VladaMK, Vyriausybe, WhiteHouse, Yatsenyuk_AP, adosolutions, antiguagov, ashrafghani, azpresident, bahdiplomatic, belizegov, brunei_pmo, cabinetofficeuk, deplu, desdelamoncloa, donaldtusk, dreynders, eGovMalta, ebkoroma, ediramaal, egyptgovportal, elbegdorj, emansionliberia, eng_pm_kz, eucopresident, fhollande, gobmx, gouvernementFR, govgd, govgr, govofvanuatu, govpt, govsingapore, govtofgeorgia, imprensaPR, infopresidencia, jeanmarcayrault, johnkeypm, kantei, kaz_pm_kz, khalidalkhalifa, khamenei_ir, koninklijkhuis, kormany_hu, kyrgyzpresident, lacasablanca, larsloekke, leehsienloong, macky_sall, md_higgins, merrionstreet, mfagovtt, mincombolivia, netanyahu, niinisto, noynoyaquino, ortcomkz, ortcomkzE, osucastle, palaismonaco, palaisnational, pcmperu, pgchristie, pmoffice_mn, predsednikrs, prensapalacio, presidenceTN, presidencia_sv, presidenciacr, presidencymv, presidentaz, press_president, presstj, prezydentpl, primatureci, primeministerkz, regierung_fl, rplevneliev, rterdogan_ar, samoagovt, setkabgoid, somaligov_, statsradet, strakovka, tcbestepe, teamkanzler, trpresidency, ts_elbegdorj, tsheringtobgay, valtioneuvosto, zasagmn</t>
  </si>
  <si>
    <t>EPN, Elysee, IlvesToomas, KremlinRussia_E, Matignon, Number10gov, PolandMFA, PresidenciaMX, Quirinale, Rigas_pils, StateDept, Utenriksdept, WhiteHouse, eucopresident, francediplo, gouv_lu, mfa_russia, prezydentpl</t>
  </si>
  <si>
    <t>AnastasiadesCY, BarackObama, BoykoBorissov, David_Cameron, EUCouncil, EndaKennyTD, FinGovernment, Grybauskaite_LT, JohnKerry, JunckerEU, KremlinRussia_E, MinPres, Number10gov, POTUS, StateDept, WhiteHouse, Yatsenyuk_AP, donaldtusk, erna_solberg, fhollande, larsloekke, narendramodi, niinisto, poroshenko, tsipras_eu, valtioneuvosto</t>
  </si>
  <si>
    <t>BrazilGovNews, EconEngage, POTUS, Pontifex_pt, WhiteHouse, lacasablanca</t>
  </si>
  <si>
    <t>AMB_A_Mohammed, ARG_AFG, AbdoulayeDiop8, AlbanianMFA, AuswaertigesAmt, AzerbaijanMFA, BarackObama, BelarusMFA, BelgiumMFA, CharlieFlanagan, CyprusMFA, CzechMFA, DacicIvica, DanielMitov, Diplomacy_RM, DrTedros, DrodriguezVen, EUCouncil, Elysee, FedericaMog, ForeignOfficeKE, ForeignOfficePk, Gebran_Bassil, GermanyDiplo, HHShkMohd, HannaTetteh, HeraldoMunoz, IKasoulides, IlvesToomas, InokeRatu, IsabelStMalo, IsraelMFA, JohnKerry, JulieBishopMP, JunckerEU, LMushikiwabo, MAERomania, MFABulgaria, MFATurkey, MFA_Austria, MFA_LI, MFA_Ukraine, MFAgovge, MFAofArmenia, MFAsg, MVEP_hr, MZZRS, MankeurNdiaye, MedvedevRussiaE, MevlutCavusoglu, MinBZ, NasserJudeh, NikolaPoposki, NikosKotzias, Number10gov, OFMUAE, POTUS, PaoloGentiloni, PaulKagame, PavloKlimkin, PolandMFA, PurevsurenL, SalahRabbani, SeychellesMFA, SlovakiaMFA, StateDept, SushmaSwaraj, TROfficeofPD, TunisieDiplo, UgandaMFA, WhiteHouse, ZaoralekL, andresnavarrog, borgebrende, cabinetofficeuk, dfatirl, ditmirbushati, dreynders, eucopresident, foreignoffice, francediplo_EN, khalidalkhalifa, mgonzalezsanz, mreparaguay, murray_mccully, presidencia_cl, sebastiankurz, valismin</t>
  </si>
  <si>
    <t>CRcancilleria, CancilleriaCol, CancilleriaPma, DaniloMedina, IsabelStMalo, JC_Varela, MinexGt, Pontifex_es, cancilleriasv, luisguillermosr, mreparaguay</t>
  </si>
  <si>
    <t>BarackObama, BelarusMFA, DaniloMedina, EPN, GobiernodeChile, JuanManSantos, MashiRafael, Number10gov, PresidenciaMX, Presidencia_Ec, PresidenciadeHN, PresidencyGhana, PrimeministerGR, SCpresidenciauy, SRE_mx, WhiteHouse, cancilleriasv, desdelamoncloa, foreignoffice, infopresidencia, joseserra_, marianorajoy, netanyahu, presidencia_sv</t>
  </si>
  <si>
    <t>BarackObama, CasaReal, CzechMFA, DaniloMedina, ForeignOfficeKE, ForeignOfficePk, GermanyDiplo, GobiernodeChile, GovernAndorra, GovernmentRF, HeraldoMunoz, IndianDiplomacy, ItalyMFA, JC_Varela, JohnKerry, JuanOrlandoH, KSAMOFA, KremlinRussia_E, MAERomania, MFABulgaria, MFA_Mongolia, MFA_SriLanka, MFAupdate, MOFAKuwait, MOFAKuwait_en, MOFAUAE, MOFAkr_eng, MSZ_RP, MZZRS, MarocDiplomatie, MoFA_Indonesia, MofaJapan_en, MofaQatar_EN, OFMUAE, OPMJamaica, POTUS, PolandMFA, Pontifex_es, Portal_Kemlu_RI, PresidenciaMX, PresidenciaPy, Presidencia_Ec, Presidencia_HN, SCpresidenciauy, SaintLuciaGov, SlovakiaMFA, StateDept, SweMFA, USAenEspanol, Ulkoministerio, WhiteHouse, antiguagov, belizegov, dfat, eucopresident, foreignoffice, francediplo_EN, francediplo_ES, govgd, johnkeypm, lacasablanca, presidenciacr, ruizmassieu, valismin, vencancilleria</t>
  </si>
  <si>
    <t>CanadianPM, FijiMFA, JohnKerry, MFATurkey, MFAsg, MoFA_Indonesia, MofaJapan_en, PolandMFA, RoyalFamily, TurnbullMalcolm, bahdiplomatic</t>
  </si>
  <si>
    <t>AButkevicius, Ahmet_Davutoglu, AndrzejDuda, AzerbaijanMFA, BarackObama, BelgiumMFA, CharlieFlanagan, David_Cameron, EUCouncil, EUCouncilTVNews, Elysee, EstonianGovt, ForeignMinistry, Gebran_Bassil, GovernmentRF, GreeceMFA, Grybauskaite_LT, HassanRouhani, I_Luksic, IlvesToomas, InokeRatu, IsraeliPM, JZarif, JustinTrudeau, KremlinRussia, KvirikashviliGi, LMushikiwabo, MFABulgaria, MFAThai_PR_EN, MFATurkey, MFA_LI, MSZ_RP, MedvedevRussia, MedvedevRussiaE, MevlutCavusoglu, MoFA_Indonesia, MofaJapan_en, MofaSomalia, NasserJudeh, Number10gov, PolandMFA, Pontifex, PutinRF, RT_Erdogan, Rigas_pils, RoyalFamily, RwandaMFA, StateDept, TurnbullMalcolm, WhiteHouse, Xavier_Bettel, Yatsenyuk_AP, atsipras, azpresident, dfatirl, donaldtusk, dreynders, eucopresident, francediplo, francediplo_EN, gouv_lu, jeanmarcayrault, matteorenzi, netanyahu, poroshenko, presidentaz, trpresidency, tsipras_eu</t>
  </si>
  <si>
    <t>ABZayed, APUkraine, A_Davutoglu_eng, AbeShinzo, AdelAljubeir, Ahmet_Davutoglu, AzerbaijanMFA, BarackObama, BdiPresidence, CRcancilleria, CancilleriaCol, DacicIvica, David_Cameron, DrTedros, Elysee, ForeignOfficeKE, ForeignOfficePk, GuillaumeLong, HassanRouhani, HeraldoMunoz, HonStephaneDion, IranMFA, IsabelStMalo, JPN_PMO, JZarif, JosephMuscat_JM, JuanManSantos, JulieBishopMP, JustinTrudeau, KSAMOFA, Kabmin_UA_e, KremlinRussia_E, LMushikiwabo, LinkeviciusL, MAEHaiti, MFAEcuador, MFAMalta, MFATurkey, MFATurkeyArabic, MFATurkeyFrench, MFA_Afghanistan, MFAsg, MFAupdate, MOFAEGYPT, MOFAIC, MOFAKuwait, MOFAKuwait_en, MOFAkr_eng, MarocDiplomatie, MedvedevRussia, MedvedevRussiaE, MevlutCavusoglu, MfaEgypt, MinBZ, MinExterioresUY, MinexGt, Minrel_Chile, MoFA_Indonesia, MofaJapan_en, MofaJapan_jp, MofaNepal, MofaOman, MofaQatar_EN, MofaSomalia, MonarchieBe, MongolDiplomacy, NikosKotzias, Number10gov, PMOIndia, POTUS, PaoloGentiloni, Pontifex, Pontifex_it, Portal_Kemlu_RI, PremierRP, Quirinale, RHCJO, RwandaMFA, SRE_mx, SomaliPM, StateDeptLive, SusanaMalcorra, TC_Disisleri, TPKanslia, TerzaLoggia, TunisieDiplo, UgandaMFA, WhiteHouse, Xavier_Bettel, Yatsenyuk_AP, ashrafghani, bahdiplomatic, dfaspokesperson, donaldtusk, ediramaal, fhollande, foreigntanzania, gouv_lu, jokowi, kantei, khalidalkhalifa, kormany_hu, leehsienloong, matteorenzi, mgonzalezsanz, mofa_kr, mreparaguay, mzvcr, namibia_mfa, narendramodi, netanyahu, poroshenko, ruizmassieu, tsipras_eu, vencancilleria</t>
  </si>
  <si>
    <t>BarackObama, David_Cameron, EPN, EstonianGovt, HHShkMohd, HassanRouhani, IlvesToomas, IsraeliPM, JPN_PMO, JosephMuscat_JM, KremlinRussia_E, MashiRafael, MinPres, NajibRazak, NicolasMaduro, Ollanta_HumalaT, PMOIndia, Pontifex, PresidenciaMX, Presidencia_Ec, PrimeMinistry, PutinRF_Eng, QueenRania, RT_Erdogan, RegSprecher, SAPresident, SCpresidenciauy, Statsmin_kontor, WhiteHouse, atsipras, desdelamoncloa, ediramaal, fhollande, govgr, guv_ro, jeanmarcayrault, johnkeypm, matteorenzi, mincombolivia, noynoyaquino, presidenciacr</t>
  </si>
  <si>
    <t>MashiRafael, Pontifex_es</t>
  </si>
  <si>
    <t>AdelAljubeir, Ahmet_Davutoglu, AndrzejDuda, BarackObama, BelgiumMFA, Cabinet, CanadianPM, CancilleriaPma, CasaRosada, CharlesMichel, CharlieFlanagan, EPN, Elysee, EstonianGovt, FinGovernment, ForeignOfficePk, French_Gov, GovernmentZA, HHShkMohd, HaiderAlAbadi, HassanRouhani, HonStephaneDion, IlvesToomas, IranMFA, IsabelStMalo, IsraeliPM, JPN_PMO, JZarif, JanelidzeMkh, JapanGov, JunckerEU, JustinTrudeau, KolindaGK, LMushikiwabo, MFA_Afghanistan, MarinaKaljurand, MedvedevRussia, MedvedevRussiaE, MoFA_Indonesia, MofaJapan_en, MofaOman, MofaQatar_EN, MofaSomalia, NGRPresident, NajibRazak, PMOIndia, POTUS, PaoloGentiloni, PaulKagame, Pontifex, PresidenciaMX, PresidenciaPy, Presidencia_Ec, PresidencyZA, PresidentIRL, PrimatureRwanda, PrimeMinistry, PrimeministerGR, QueenRania, RT_Erdogan, RegSprecher, Rouhani_ir, RoyalFamily, RwandaGov, SAPresident, SRE_mx, Saudiegov, SerbianPM, SomaliPM, StateDeptLive, StateHouseKenya, SusanaMalcorra, TC_Disisleri, TaaviRoivas, TerzaLoggia, UKenyatta, UrugwiroVillage, WhiteHouse, Xavier_Bettel, ashrafghani, atsipras, bahdiplomatic, borgebrende, donaldtusk, erna_solberg, eucopresident, fhollande, gouvernementFR, japan, larsloekke, leehsienloong, mauriciomacri, mreparaguay, narendramodi, netanyahu, poroshenko, presidentaz, ruizmassieu, sanchezceren, trpresidency, tsipras_eu</t>
  </si>
  <si>
    <t>A_Davutoglu_eng, AuswaertigesAmt, BarackObama, BelgiumMFA, Brivibas36, CyprusMFA, David_Cameron, Elysee, ForeignMinistry, GermanyDiplo, GovCyprus, IKasoulides, IndianDiplomacy, IraqMFA, IsraelMFA, JZarif, Kabmin_UA_e, KremlinRussia_E, Latvian_MFA, LinkeviciusL, MFABulgaria, MFATurkey, MFA_Ukraine, MFAofArmenia, MedvedevRussia, MedvedevRussiaE, MinPres, MofaJapan_en, NikolaPoposki, Number10gov, Palazzo_Chigi, PolandMFA, Pontifex, PremierRP, RegSprecher, SerbianGov, SlovakiaMFA, StateDept, SweMFA, TROfficeofPD, Ulkoministerio, Vyriausybe, WhiteHouse, desdelamoncloa, dfat, dfatirl, edgarsrinkevics, eucopresident, fhollande, foreignoffice, gouvernementFR, govpt, govtofgeorgia, jeanmarcayrault, merrionstreet, mfa_russia, mfaethiopia, netanyahu, predsednikrs, valismin</t>
  </si>
  <si>
    <t>AndrzejDuda, BelgiumMFA, BrazilGovNews, CharlesMichel, David_Cameron, EUCouncilTVNews, Elysee, GermanyDiplo, GovernAndorra, GovernmentRF, ItalyMFA, JPN_PMO, JustinTrudeau, cabinetofficeuk, desdelamoncloa, dfatirl, eu_eeas, fhollande, francediplo_EN, gouvernementFR, prezydentpl</t>
  </si>
  <si>
    <t>AsoRock, BarackObama, David_Cameron, Elysee, JohnKerry, JosephMuscat_JM, JuanOrlandoH, JustinTrudeau, KvirikashviliGi, MBuhari, MaithripalaS, MashiRafael, Number10gov, POTUS, Pontifex_es, StateDept, SusanaMalcorra, USAenEspanol, WhiteHouse, cabinetofficeuk, fhollande, jimmymoralesgt, lacasablanca, poroshenko, presidencia_sv, sanchezceren</t>
  </si>
  <si>
    <t>BarackObama, David_Cameron, GH_PARK, MinPres, Ollanta_HumalaT, PaulKagame, TurnbullMalcolm, WhiteHouse, govofvanuatu, micwebTonga, noynoyaquino</t>
  </si>
  <si>
    <t>BahrainCPnews, BarackObama, FedericaMog, HHShkMohd, JZarif, JohnKerry, KingSalman, MBZNews, MEAIndia, MevlutCavusoglu, Number10gov, Pontifex_ar, QueenRania, StateDept, SushmaSwaraj, TameemAlthani, WhiteHouse, borgebrende, dreynders, rterdogan_ar</t>
  </si>
  <si>
    <t>BarackObama, DaniloMedina, David_Cameron, GobiernodeChile, JohnKerry, JuanManSantos, MarinaKaljurand, MashiRafael, Ollanta_HumalaT, Pontifex_es, Pontifex_pt, Presidencia_Ec, StateDept, USAenEspanol, WhiteHouse, fhollande, lacasablanca, presidencia_cl, presidencia_sv</t>
  </si>
  <si>
    <t>ADO__Solutions, BarackObama, BdiPresidence, Elysee, ID_Itno, JDMahama, KagutaMuseveni, MBuhari, MankeurNdiaye, NGRPresident, POTUS, PR_Paul_Biya, Presidenceci, QueenRania, RT_Erdogan, SAPresident, SassouCG, UKenyatta, adosolutions, fhollande, manuelvalls</t>
  </si>
  <si>
    <t>A_Davutoglu_eng, AbeShinzo, AdelAljubeir, Ahmet_Davutoglu, AlsisiOfficial, AmSellal, AndrzejDuda, AuswaertigesAmt, BarackObama, BelgiumMFA, CasaReal, ChefGov_ma, David_Cameron, GermanyDiplo, HassanRouhani, JPN_PMO, JunckerEU, KingSalman, MinPres, MonarchieBe, Number10gov, POTUS, PremierRP, QueenRania, RHCJO, RegSprecher, TurnbullMalcolm, _BR_JSA, atsipras, desdelamoncloa, ditmirbushati, ediramaal, francediplo_ES, infopresidencia, matteorenzi, tsipras_eu</t>
  </si>
  <si>
    <t>AbeShinzo, BarackObama, CanadianPM, CancilleriaARG, HassanRouhani, JuanManSantos, MinPres, Number10gov, Ollanta_HumalaT, POTUS, Pontifex_es, QueenRania, WhiteHouse, fhollande, netanyahu</t>
  </si>
  <si>
    <t>AMB_A_Mohammed, ARG_AFG, A_Davutoglu_eng, AbeShinzo, AdelAljubeir, Anifah_myg, BarackObama, CRcancilleria, CancilleriaCol, CancilleriaPA, CharlieFlanagan, David_Cameron, DrodriguezVen, EPN, EUCouncilPress, EU_Commission, FedericaMog, FijiMFA, ForeignOfficeKE, ForeignStrategy, GovMonaco, GvtMonaco, HHShkMohd, HassanRouhani, HeraldoMunoz, InokeRatu, IranMFA, JZarif, JohnKerry, JulieBishopMP, JunckerEU, KSAMOFA, KagutaMuseveni, KremlinRussia, LMushikiwabo, MAECgob, MAE_Haiti, MDVForeign, MFAMalta, MFASriLanka, MFAThai, MFAThai_PR_EN, MFAThai_Pol, MFATurkeyArabic, MFATurkeyFrench, MFA_Afghanistan, MFA_SriLanka, MFAgovge, MFAsg, MFAupdate, MIREXRD, MOFAIC, MOFAKuwait, MOFAKuwait_en, MOFAkr_eng, MankeurNdiaye, MarinaKaljurand, MarocDiplomatie, Matignon, MedvedevRussia, MedvedevRussiaE, MevlutCavusoglu, MinBZ, MinExterioresUY, MoFA_Indonesia, MofaJapan_en, MofaJapan_jp, MofaOman, MofaQatar_AR, MofaQatar_EN, MofaSomalia, MongolDiplomacy, NasserJudeh, NicolasMaduro, NikosKotzias, OPMJamaica, PMOIndia, PaoloGentiloni, Pravitelstvo_RF, PresidenciaPy, PurevsurenL, RT_Erdogan, RashtrapatiBhvn, RaulCastroR, Rijksoverheid, Russia, SAPresident, SRECIHonduras, SaikhanbilegPM, SlovakiaMFA, StateDept, StateDeptLive, SushmaSwaraj, TROfficeofPD, TerzaLoggia, TunisieDiplo, UM_dk, ashrafghani, bahdiplomatic, cabinetofficeuk, cancilleriacrc, deplu, dfaspokesperson, ditmirbushati, dreynders, elbegdorj, erna_solberg, eucopresident, foreignMV, govpt, hagegeingob, jeanmarcayrault, khalidalkhalifa, kyrgyzpresident, margotwallstrom, mfagovtt, mfarighana, mgonzalezsanz, mreparaguay, mzvcr, narendramodi, noynoyaquino, palaismonaco, pnkurunziza, presidentaz, presstj, sebastiankurz</t>
  </si>
  <si>
    <t>BelgiumMFA, EU_Commission, FedericaMog, ForeignOfficeKE, GovernmentRF, JohnKerry, KagutaMuseveni, MFAThai_PR_EN, MFAgovge, MOFAIC, MOFAkr_eng, MarocDiplomatie, MofaJapan_en, MofaQatar_EN, MofaSomalia, PHammondMP, POTUS, PaulKagame, Pontifex, Pontifex_es, Pontifex_it, PresidentKE, StateHouseKenya, TheVillaSomalia, TunisieDiplo, UKenyatta, UgandaMediaCent, Ulkoministerio, UrugwiroVillage, bahdiplomatic, dfat, margotwallstrom, valismin</t>
  </si>
  <si>
    <t>IsabelStMalo, JohnKerry, JuanManSantos, MOFAUAE, MinexGt, OFMUAE, Pontifex_es, Pontifex_pt, infopresidencia, prensapalacio, sanchezceren</t>
  </si>
  <si>
    <t>Elysee, GermanyDiplo, GobiernodeChile, GuillaumeLong, HeraldoMunoz, JuanManSantos, MashiRafael, MindeGobierno, Minrel_Chile, Presidencia_Ec, SusanaMalcorra, evoespueblo, mauriciomacri, presidenciacr, vencancilleria</t>
  </si>
  <si>
    <t>CancilleriaPA, CubaMINREX, HeraldoMunoz, Horacio_Cartes, JuanManSantos, MAE_Haiti, Pontifex, Pontifex_es, StateDept, WhiteHouse, mfagovtt, vencancilleria</t>
  </si>
  <si>
    <t>BarackObama, BelgiumMFA, CasaReal, EPN, EUCouncil, EUCouncilPress, EU_Commission, Elysee, GobiernodeChile, GovernmentRF, Horacio_Cartes, JohnKerry, JuanManSantos, MashiRafael, PresidenciaMX, PresidenciaPy, Presidencia_Ec, PutinRF_Eng, SCpresidenciauy, SRE_mx, StateDept, USAenEspanol, WhiteHouse, desdelamoncloa, francediplo, francediplo_ES, gobmx, infopresidencia, lacasablanca, mreparaguay, presidencia_cl</t>
  </si>
  <si>
    <t>AbeShinzo, CasaReal, EPN, EUCouncil, EUCouncilPress, FedericaMog, JohnKerry, JuanManSantos, JuanOrlandoH, MashiRafael, MonarchieBe, POTUS, Pontifex_es, PresidenciaMX, Presidencia_Ec, PutinRF_Eng, SCpresidenciauy, SRE_mx, StateDept, USAenEspanol, desdelamoncloa, eucopresident, fhollande, francediplo, francediplo_ES, gobmx, infopresidencia, lacasablanca, luisguillermosr, narendramodi, presidencia_cl</t>
  </si>
  <si>
    <t>AnastasiadesCY, BarackObama, CasaRosada, David_Cameron, EPN, HeraldoMunoz, IKasoulides, Itamaraty_EN, JuanManSantos, JustinTrudeau, KremlinRussia_E, MashiRafael, NicolasMaduro, Number10gov, Ollanta_HumalaT, RT_Erdogan, RaulCastroR, RoyalFamily, SusanaMalcorra, SweMFA, fhollande, marianorajoy, trpresidency, tsipras_eu</t>
  </si>
  <si>
    <t>BarackObama, CRcancilleria, JuanManSantos, MashiRafael, USAenEspanol</t>
  </si>
  <si>
    <t>BarackObama, DaniloMedina, EPN, GobiernodeChile, Israel, IsraeliPM, JuanOrlandoH, MashiRafael, MedvedevRussiaE, Number10gov, Ollanta_HumalaT, Pontifex_es, PresidenceMali, PresidenciaMX, Presidencia_Ec, PresidencialVen, PrimeMinistry, PrimeministerGR, RepSouthSudan, StateDept, WhiteHouse, desdelamoncloa, gobmx, infopresidencia, jimmymoralesgt, lacasablanca, prensapalacio</t>
  </si>
  <si>
    <t>BarackObama, DOImalta, EUCouncil, EUCouncilPress, EU_Commission, ItalyMFA, JunckerEU, JustinTrudeau, KolindaGK, Number10gov, POTUS, PaoloGentiloni, RHCJO, WhiteHouse, eucopresident, fhollande, francediplo_EN</t>
  </si>
  <si>
    <t>AMB_A_Mohammed, A_Davutoglu_eng, AlbanianMFA, BarackObama, BelgiumMFA, CanadaFP, CanadaPE, CancilleriaARG, CancilleriaCol, CancilleriaPA, CubaMINREX, CyprusMFA, CzechMFA, David_Cameron, Diplomacy_RM, EUCouncil, EU_Commission, FedericaMog, FijiMFA, FinGovernment, ForeignMinistry, ForeignOfficeKE, ForeignOfficePk, ForeignStrategy, GovernmentRF, GreeceMFA, Grybauskaite_LT, IndianDiplomacy, IraqMFA, Israel, IsraeliPM, ItalyMFA, JohnKerry, JunckerEU, KremlinRussia, LMushikiwabo, LinkeviciusL, MAERomania, MFABulgaria, MFAIraq, MFAKOSOVO, MFAThai_PR_EN, MFATurkey, MFA_Afghanistan, MFA_Austria, MFA_LI, MFA_SriLanka, MFAgovge, MFAsg, MIREXRD, MOFAEGYPT, MOFAIC, MOFAKuwait, MOFAkr_eng, MSZ_RP, MZZRS, MarocDiplomatie, MedvedevRussia, MinexGt, MiroslavLajcak, MoFA_Indonesia, MofaJapan_en, MofaQatar_EN, MofaSomalia, NorwayMFA, Number10gov, OFMUAE, PHammondMP, PMOIndia, PakDiplomacy, PaulKagame, PavloKlimkin, PolandMFA, Pontifex, Pontifex_es, Pontifex_it, Pravitelstvo_RF, PutinRF, PutinRF_Eng, RepSouthSudan, RwandaMFA, SRECIHonduras, SeychellesMFA, SlovakiaMFA, StateDept, StateDeptLive, SushmaSwaraj, SweMFA, TC_Disisleri, TROfficeofPD, TerzaLoggia, TunisieDiplo, UgandaMFA, Ulkoministerio, WhiteHouse, bahdiplomatic, cancilleriasv, deplu, dfaspokesperson, dfat, dfatirl, ditmirbushati, edgarsrinkevics, eu_eeas, eucopresident, fhollande, foreignMV, foreignoffice, francediplo, francediplo_EN, francediplo_ES, khalidalkhalifa, manuelvalls, matteorenzi, mfaethiopia, mfagovtt, mofa_uae, mreparaguay, narendramodi, netanyahu, primeministerkz, sebastiankurz, valismin, vencancilleria</t>
  </si>
  <si>
    <t>BarackObama, DaniloMedina, EPN, JohnKerry, JuanManSantos, MashiRafael, NicolasMaduro, Ollanta_HumalaT, Pontifex_es, PresidenciaMX, Presidencia_Ec, PresidencialVen, RaulCastroR, SRE_mx, StateDept, WhiteHouse, evoespueblo, lacasablanca, mauriciomacri</t>
  </si>
  <si>
    <t>DaniloMedina, MashiRafael, MinExterioresUY, Pontifex_es, PresidenciaRD, PrimeministerGR, RaulCastroR, evoespueblo, jimmymoralesgt, luisguillermosr, maduro_ar, maduro_cmn, maduro_en, maduro_fr, maduro_pt, maduro_ru, narendramodi, tsipras_eu</t>
  </si>
  <si>
    <t>AuswaertigesAmt, CancilleriaPeru, Itamaraty_EN, Itamaraty_ES, MFAIceland, MID_RF, MinCanadaAE, MinCanadaFA, NorwayMFA, SpainMFA, Utrikesdep, VladaRH</t>
  </si>
  <si>
    <t>CanadaFP, CancilleriaPeru, CancilleriaPma, EUCouncilPress, IndianDiplomacy, InokeRatu, Israel, IsraeliPM, ItamaratyGovBr, JulieBishopMP, LinkeviciusL, MFASriLanka, MFA_Mongolia, MFA_Ukraine, MofaJapan_ITPR, NasserJudeh, NorwayMFA, PHammondMP, PMOIndia, PM_GOV_PG, Palazzo_Chigi, SkerritR, SusanaMalcorra, SweMFA, UKenyatta, VladaRH, elbegdorj, eu_eeas, francediplo, manuelvalls, marianorajoy, mauriciomacri, mfa_russia, noynoyaquino, prensapalacio, samoagovt</t>
  </si>
  <si>
    <t>Brivibas36, CancilleriaPeru, EUCouncilTVNews, EndaKennyTD, LT_MFA_Stratcom, MSZ_RP, MeGovernment, MiroCerar, SlavekSobotka, SweMFA, VladaRH, edgarsrinkevics, marianorajoy, prezydentpl</t>
  </si>
  <si>
    <t>CanadaFP, CancilleriaPeru, CommsUnitSL, DrTedros, Itamaraty_EN, Itamaraty_ES, KBZayed, KhaledBahah, MDVForeign, MFAIceland, MinCanadaAE, Petrit, SpainMFA, UAEGover, VladaRH, djiboutidiplo, eu_eeas, francediplo_AR</t>
  </si>
  <si>
    <t>CancilleriaPeru, MIREXRD, PHammondMP, VladaRH, marianorajoy</t>
  </si>
  <si>
    <t>BgPresidency, CancilleriaPeru, EU_Commission, EndaKennyTD, Grybauskaite_LT, Israel, IsraelMFA, IsraeliPM, MFAgovge, MeGovernment, NorwayMFA, PHammondMP, PresidencySrb, StateHouseSey, SusanaMalcorra, SweMFA, TaaviRoivas, VladaRH, atsipras, marianorajoy, presidencia_cl</t>
  </si>
  <si>
    <t>CancilleriaEc, HashimThaciRKS, ItamaratyGovBr, Itamaraty_EN, Itamaraty_ES, MAECgob, MFAIceland, MID_RF, SRE_mx, SpainMFA, Utrikesdep, VladaRH</t>
  </si>
  <si>
    <t>APUkraine, Andrej_Kiska, CancilleriaPeru, KolindaGK, LinkeviciusL, MAECgob, MSZ_RP, MeGovernment, MiroCerar, PremierRP, SpainMFA, TheBankova, edgarsrinkevics, foreignoffice, govpt, manuelvalls, prezydentpl</t>
  </si>
  <si>
    <t>CancilleriaPeru, SkerritR, SweMFA, VladaRH, cancilleriasv, gastonbrowne, skngov</t>
  </si>
  <si>
    <t>CancilleriaPeru, infopresidencia</t>
  </si>
  <si>
    <t>BorutPahor, CancilleriaPeru, DrZvizdic, MFAgovge, MeGovernment, MiroslavLajcak, VladaRH</t>
  </si>
  <si>
    <t>ABLPGastonbrown, AButkevicius, ADO__Solutions, AMB_A_Mohammed, APUkraine, AbdoulayeDiop8, AbeShinzo, AlbanianMFA, Arlietas, AuswaertigesAmt, BeataSzydlo, BgPresidency, BhutanGov, BorutPahor, BoykoBorissov, CYpresidency, CanadaFP, CanadaPE, CancilleriaCol, CancilleriaEc, CancilleriaPeru, CancilleriaPma, CharlesMichel, ChileMFA, CiolosDacian, CommsUnitSL, CostaPS2015, CyprusMFA, DIRCO_ZA, DaniloMedina, David_Cameron, DeptEstadoPR, Diplomacy_RM, DrTedros, DutchMFA, EPN, EUCouncil, EUCouncilPress, EUCouncilTVNews, EU_Commission, EconEngage, EmomaliRahmon, EndaKennyTD, FCOArabic, FedericaMog, ForeignStrategy, French_Gov, GermanyDiplo, GouvGabon, Gouvci, Gouvrdcongo, GovernAndorra, GovernmentGeo, GreeceMFA, Grybauskaite_LT, GuillaumeLong, GuvernulRMD, Habib_essid, HannaTetteh, HashimThaciRKS, HassanalBolkia2, Hilaaleege, HildaHeine, Horacio_Cartes, IKasoulides, IakobaItaleli, IgnacioYbanez, IndianDiplomacy, InokeRatu, Israel, IsraelMFA, IsraeliPM, ItalyMFA, ItamaratyGovBr, Itamaraty_EN, Itamaraty_ES, JC_Varela, JDMahama, JocelermeP, JosephMuscat_JM, JuanManSantos, JuanOrlandoH, JulieBishopMP, JustinTrudeau, Kabmin_UA, KarimMassimov, KarimMassimov_E, KeithRowleyPNM, KhaledBahah, KolindaGK, KremlinRussia, KremlinRussia_E, Kristian_Jensen, Kronprinsparet, Latvian_MFA, LinkeviciusL, LithuaniaMFA, MAECgob, MAERomania, MAE_Haiti, MBuhari, MEAIndia, MFABulgaria, MFAIceland, MFAKOSOVO, MFASriLanka, MFA_Austria, MFA_Ukraine, MFA_analysis, MFAgovge, MFAupdate, MID_RF, MIREXRD, MKOfficiel, MOFAIC, MOFAkr_eng, MPMCTweeter, MVEP_hr, MZZRS, MaithripalaS, MankeurNdiaye, Mapon_Matata, MargvelashviliG, MarinaKaljurand, MeGovernment, MevlutCavusoglu, MichelTemer, MindeGobierno, MinexGt, MinisterMOFA, MiroCerar, MiroslavLajcak, MofaNepal, NajibRazak, NikolaPoposki, NorwayMFA, NoticiaCR, OAAInformation, OPMUganda, Ollanta_HumalaT, PHammondMP, PMBhutan, PMNawazSharif, PMOBhutan, PMOMalaysia, PM_Nepal, PR_Paul_Biya, PSCU_Digital, Palazzo_Chigi, PaoloGentiloni, PatriceTrovoada, Petrit, PremierRP, PrensaHC, Prensa_Palacio, PresDGranger, Presidence_gn, Presidenceci, PresidenciaPma, PresidenciaPy, PresidenciaRD, Presidencia_HN, PresidencyGhana, PresidencySrb, PresidentKE, PresidentYameen, PresidenteCV, PrimatureRDC, PrimatureRwanda, PrimeMinisterKR, PrimeMinistry, PrimeministerGR, RW_UNP, Rigas_pils, RobertFico, RoyalFamily, RuhakanaR, RwandaMFA, SCpresidenciauy, SRECIHonduras, SRE_mx, SalahRabbani, SalamTammam, Sekhoutoureya, SeychellesMFA, SigurdurIngiJ, SkerritR, SlavekSobotka, SlovakiaMFA, SomaliPM, SpainMFA, StateHouseSey, SweMFA, TaaviRoivas, TheBankova, TommyRemengesau, UKUrdu, USAUrdu, USAbilAraby, USAdarFarsi, Ulkoministerio, UrugwiroVillage, Utenriksdept, Utrikesdep, Vejonis, VladaCG, VladaRH, Vyriausybe, Yatsenyuk_AP, ZaoralekL, agarciapadilla, aguribfakim, amurekezi, avucic, borgebrende, cancilleriacrc, cancilleriasv, djiboutidiplo, dreynders, edgarsrinkevics, ediramaal, elbegdorj, eu_eeas, eucopresident, fhollande, filip_pavel, foreignMV, foreignaffairng, foreignoffice, fortalezapr, francediplo, francediplo_AR, gastonbrowne, govSlovenia, govkorea, hagegeingob, infopresidencia, johnkeypm, juhasipila, khalidalkhalifa, luisguillermosr, macky_sall, manuelvalls, margotwallstrom, marianorajoy, matteorenzi, mauriciomacri, md_higgins, merrionstreet, mfa_russia, mfarighana, namibia_mfa, narendramodi, noynoyaquino, osucastle, palaismonaco, pcmperu, pdhnisbett, poroshenko, predsednikrs, presidencia_cl, presidencia_sv, presidenciacr, presidentMT, pressslujba, prezydentpl, rdussey, rochkaborepf, samoagovt, sanchezceren, sebastiankurz, setkabgoid, skngov, ts_elbegdorj, ugolini_massimo</t>
  </si>
  <si>
    <t>CancilleriaPeru, SweMFA, VladaRH, cancilleriasv</t>
  </si>
  <si>
    <t>Ahmet_Davutoglu, AlbanianMFA, BelarusMFA, CancilleriaPeru, Diplomacy_RM, HannaTetteh, IsraelMFA, ItamaratyGovBr, Itamaraty_EN, Itamaraty_ES, Latvian_MFA, LithuaniaMFA, MFAIceland, MFAKOSOVO, MFA_Austria, MFA_LI, MFA_Mongolia, MFA_Ukraine, MFAgovge, MID_RF, MVEP_hr, MeGovernment, Minrel_Chile, MofaNepal, RwandaMFA, SpainMFA, Utrikesdep, VladaRH, foreignoffice, francediplo, francediplo_EN, khalidalkhalifa, valismin</t>
  </si>
  <si>
    <t>CancilleriaPeru, IsraelMFA, JuanManSantos, KvirikashviliGi, MFA_Austria, MFAgovge, MeGovernment, PresidencySrb, SerbianGov, SerbianPM, SweMFA, avucic, francediplo, sebastiankurz, valismin</t>
  </si>
  <si>
    <t>AnastasiadesCY, CancilleriaPeru, CharlesMichel, CiolosDacian, DanielMitov, HashimThaciRKS, IsraelMFA, MeGovernment, PrimeministerGR, TaaviRoivas, TheBankova, francediplo, francediplo_EN</t>
  </si>
  <si>
    <t>CancilleriaPeru, MFAgovge, MeGovernment, PHammondMP, PrimeministerGR, SweMFA, VladaRH, govSlovenia, valismin</t>
  </si>
  <si>
    <t>CanadaFP, CanadaPE, CancilleriaPeru, CommsUnitSL, HannaTetteh, KvirikashviliGi, Latvian_MFA, MFASriLanka, MFA_Ukraine, MFAgovge, MVEP_hr, MeGovernment, NorwayMFA, PHammondMP, Palazzo_Chigi, PresidencySrb, RoyalFamily, SkerritR, SpainMFA, SweMFA, UKUrdu, Ulkoministerio, Utrikesdep, VladaRH, foreignaffairng, francediplo, govpt, infopresidencia, marianorajoy, mfa_russia, vladaOCDrs</t>
  </si>
  <si>
    <t>AzerbaijanMFA, BelarusMFA, BelarusMID, CancilleriaPA, CancilleriaPma, ChileMFA, DutchMFA, GreeceMFA, IraqMFA, IsraelMFA, ItalyMFA, Itamaraty_EN, Itamaraty_ES, LithuaniaMFA, MAECgob, MEAIndia, MFAEcuador, MFAIceland, MFA_Austria, MFA_KZ, MFA_Ukraine, MFAofArmenia, MID_RF, MIREXRD, MOFAVietNam, MinCanadaAE, NorwayMFA, SpainMFA, Utenriksdept, VladaRH, andresnavarrog, eu_eeas, francediplo, francediplo_EN, francediplo_ES, marianorajoy, mfa_russia, pressslujba</t>
  </si>
  <si>
    <t>BelarusMFA, BelarusMID, ChileMFA, MFA_KZ, MID_RF, MinCanadaAE, MinCanadaFA, VladaRH, andresnavarrog, foreignoffice</t>
  </si>
  <si>
    <t>ChileMFA, MFA_Ukraine, MID_RF, MinCanadaAE, MinCanadaFA, SpainMFA, VladaRH, andresnavarrog, cancilleriacrc, pressslujba</t>
  </si>
  <si>
    <t>BorutPahor, CRcancilleria, CanadaFP, CancilleriaPeru, CancilleriaPma, CharlesMichel, DeptEstadoPR, GuatemalaGob, Horacio_Cartes, IgnacioYbanez, Latvian_MFA, MAECgob, MIREXRD, MeGovernment, MichelTemer, MinexGt, PHammondMP, PresidenciaPy, Presidencia_HN, SRECIHonduras, SRE_mx, SpainMFA, VladaRH, cancilleriasv, francediplo_ES, manuelvalls, marianorajoy, pcmperu, prensapalacio</t>
  </si>
  <si>
    <t>BelarusMFA, CanadaFP, CancilleriaPeru, ChileMFA, CzechMFA, DrTedros, DutchMFA, EUCouncilPress, EndaKennyTD, HashimThaciRKS, ItamaratyGovBr, Itamaraty_EN, Itamaraty_ES, JohnKerry, LinkeviciusL, MAERomania, MFAIceland, MFA_Ukraine, MFAgovge, MID_RF, MinCanadaAE, Minrel_Chile, NasserJudeh, NorwayMFA, PaoloGentiloni, SRE_mx, SpainMFA, SusanaMalcorra, Utrikesdep, VladaRH, edgarsrinkevics, foreignoffice, mfa_russia</t>
  </si>
  <si>
    <t>MeGovernment, filip_pavel</t>
  </si>
  <si>
    <t>CancilleriaPeru, MeGovernment, SweMFA, VladaRH</t>
  </si>
  <si>
    <t>BelarusMFA, CanadaFP, CancilleriaARG, CancilleriaEc, CancilleriaPeru, ChileMFA, Itamaraty_ES, LithuaniaMFA, MAECgob, MFAEcuador, MFAKOSOVO, MID_RF, MinCanadaAE, Minrel_Chile, SpainMFA, andresnavarrog, eu_eeas, mfa_russia, presidencia_sv</t>
  </si>
  <si>
    <t>ChileMFA, DutchMFA, GuillaumeLong, LithuaniaMFA, MEAIndia, MFA_Ukraine, MFAofArmenia, PresidencialVen, SRECIHonduras, SRE_mx, SlovakiaMFA, StateHouseSey, SusanaMalcorra, mreparaguay, pressslujba</t>
  </si>
  <si>
    <t>BgPresidency, CancilleriaPeru, GreeceMFA, IKasoulides, Israel, IsraelMFA, IsraeliPM, MID_RF, MeGovernment, NorwayMFA, PHammondMP, PresidencySrb, SweMFA, VladaRH</t>
  </si>
  <si>
    <t>AlbanianMFA, BelarusMFA, CancilleriaPeru, CharlieFlanagan, EUCouncilPress, GreeceMFA, ItamaratyGovBr, Itamaraty_EN, Itamaraty_ES, Kristian_Jensen, KvirikashviliGi, LithuaniaMFA, MAERomania, MFAIceland, MFAgovge, MFAofArmenia, MVEP_hr, MZZRS, MeGovernment, MinCanadaAE, Petrit, SpainMFA, Utrikesdep</t>
  </si>
  <si>
    <t>CancilleriaEc, CancilleriaPeru, CancilleriaPma, HildaHeine, IsabelStMalo, IsraelMFA, ItamaratyGovBr, Itamaraty_EN, Itamaraty_ES, JocelermeP, JuanOrlandoH, MIREXRD, PHammondMP, PresidenciaPma, PresidenciaPy, Presidencia_HN, PrimatureHT, SusanaMalcorra, SweMFA, VladaRH, agarciapadilla, andresnavarrog, cancilleriacrc, cancilleriasv, fhollande, luisguillermosr, marianorajoy, presidenciacr, sanchezceren, vencancilleria</t>
  </si>
  <si>
    <t>APUkraine, AbeShinzo, AlbanianMFA, AnastasiadesCY, AuswaertigesAmt, BgPresidency, BorutPahor, BoykoBorissov, Brivibas36, CanadaFP, CancilleriaPeru, CancilleriaPma, CharlesMichel, ChileMFA, CiolosDacian, CyprusMFA, DutchMFA, EPN, EUCouncil, EUCouncilPress, EUCouncilTVNews, EU_Commission, EndaKennyTD, FCOArabic, FedericaMog, ForeignMinistry, GeoffreyOnyeama, GermanyDiplo, GreeceMFA, Grybauskaite_LT, GuillaumeLong, GuvernulRMD, HannaTetteh, HashimThaciRKS, HildaHeine, IKasoulides, IsraelMFA, ItamaratyGovBr, Itamaraty_EN, Itamaraty_ES, JanelidzeMkh, JosephMuscat_JM, JuanManSantos, JulieBishopMP, JunckerEU, Kristian_Jensen, KvirikashviliGi, LT_MFA_Stratcom, Latvian_MFA, LinkeviciusL, LithuaniaMFA, MEAIndia, MFABulgaria, MFAKOSOVO, MFASriLanka, MFA_Ukraine, MFAgovge, MID_RF, MIREXRD, MNEGOVPT, MVEP_hr, MZZRS, MaithripalaS, Malaysia_Gov, MargvelashviliG, MeGovernment, MichelTemer, MinisterMOFA, MiroCerar, MiroslavLajcak, MofaNepal, NajibRazak, NasserJudeh, NorwayMFA, PHammondMP, PMOIndia, PSCU_Digital, Palazzo_Chigi, Petrit, PremierRP, PresidenceMali, PresidencySrb, PresidenteCV, PrimatureRDC, PrimeministerGR, RW_UNP, RegSprecher, RwandaMFA, SalahRabbani, SalamTammam, SeychellesMFA, SigurdurIngiJ, SlavekSobotka, StateHouseSey, SusanaMalcorra, SweMFA, TaaviRoivas, TheBankova, TurnbullMalcolm, UKUrdu, UKenyatta, UM_dk, USAdarFarsi, Utenriksdept, Vejonis, VladaRH, avucic, borgebrende, djiboutidiplo, edgarsrinkevics, elbegdorj, eu_eeas, eucopresident, filip_pavel, foreignaffairng, foreigntanzania, francediplo, francediplo_AR, gouv_lu, govSlovenia, govpt, infopresidencia, johnkeypm, larsloekke, luisguillermosr, manuelvalls, margotwallstrom, merrionstreet, mfa_russia, narendramodi, pmoffice_mn, poroshenko, presidencia_cl, pressslujba, prezydentpl, sebastiankurz, strakovka, vladaOCDrs, vladaRS</t>
  </si>
  <si>
    <t>AnastasiadesCY, CRcancilleria, CYpresidency, CancilleriaEc, CancilleriaPeru, CancilleriaPma, EUCouncil, EUCouncilPress, EUCouncilTVNews, EU_Commission, GovernAndorra, IgnacioYbanez, JC_Varela, MFAgovge, MeGovernment, PHammondMP, Palazzo_Chigi, PresidenciaPy, PresidenciaRD, PresidenteCV, PrimeministerGR, SRECIHonduras, SpainMFA, SweMFA, VladaRH, cancilleriacrc, eucopresident, francediplo_ES, govSlovenia, govpt, manuelvalls, pcmperu, prensapalacio, presidenciacr</t>
  </si>
  <si>
    <t>AMB_A_Mohammed, BelarusMFA, CancilleriaPeru, ChileMFA, DutchMFA, GreeceMFA, IsraelMFA, ItamaratyGovBr, Itamaraty_EN, Itamaraty_ES, LithuaniaMFA, MEAIndia, MFAIceland, MFA_Austria, MFA_KZ, MFA_Mongolia, MID_RF, MinCanadaFA, NorwayMFA, SpainMFA, VladaRH, eu_eeas, mfa_russia, pressslujba</t>
  </si>
  <si>
    <t>APUkraine, Arlietas, BelarusMFA, BelarusMID, BgPresidency, CancilleriaEc, CancilleriaPeru, ChileMFA, CzechMFA, DutchMFA, FedericaMog, GreeceMFA, IKasoulides, ItalyMFA, Itamaraty_EN, Itamaraty_ES, MFAEcuador, MFAKOSOVO, MFA_Mongolia, MeGovernment, MinCanadaAE, MinCanadaFA, RwandaMFA, SpainMFA, TheBankova, UgandaMFA, Utenriksdept, Utrikesdep, VladaRH, filip_pavel, francediplo_EN, pressslujba</t>
  </si>
  <si>
    <t>GeoffreyOnyeama, HannaTetteh, Israel, IsraelMFA, LithuaniaMFA, MID_RF</t>
  </si>
  <si>
    <t>AuswaertigesAmt, BelarusMFA, CancilleriaPeru, DutchMFA, ItamaratyGovBr, Itamaraty_EN, Itamaraty_ES, Latvian_MFA, LithuaniaMFA, MAECgob, MFAEcuador, MFAIceland, MFA_Austria, MFA_Ukraine, MFAgovge, MID_RF, MVEP_hr, MeGovernment, MinBZ, MinCanadaAE, MinCanadaFA, NorwayMFA, SpainMFA, SusanaMalcorra, Utrikesdep, VladaRH, manuelvalls, mfa_russia, pressslujba</t>
  </si>
  <si>
    <t>AbdoulayeDiop8, CancilleriaPeru, ItamaratyGovBr, Itamaraty_EN, Itamaraty_ES, LithuaniaMFA, MFAIceland, MinCanadaAE, MinCanadaFA</t>
  </si>
  <si>
    <t>AButkevicius, APUkraine, Andrej_Kiska, Arlietas, AuswaertigesAmt, BeataSzydlo, Brivibas36, CanadaFP, CancilleriaPeru, CiolosDacian, CyprusMFA, DanielMitov, Diplomacy_RM, DrZvizdic, EUCouncil, EUCouncilPress, EUCouncilTVNews, EU_Commission, Elysee, EndaKennyTD, Grybauskaite_LT, HashimThaciRKS, IKasoulides, ItamaratyGovBr, JocelermeP, JohnKerry, JunckerEU, LT_MFA_Stratcom, LinkeviciusL, MFA_Austria, MFA_Mongolia, MFA_Ukraine, MFAgovge, MSZ_RP, MZZRS, MargvelashviliG, MeGovernment, NikolaPoposki, PHammondMP, Palazzo_Chigi, PolandMFA, PresidencySrb, SweMFA, TaaviRoivas, TheBankova, VladaRH, Vyriausybe, edgarsrinkevics, eu_eeas, filip_pavel, foreignoffice, francediplo, francediplo_EN, larsloekke, marianorajoy, prezydentpl, sebastiankurz, valismin, vladaRS</t>
  </si>
  <si>
    <t>AMB_A_Mohammed, AbdoulayeDiop8, AlbanianMFA, AuswaertigesAmt, BelarusMFA, BelarusMID, CanadaFP, CanadaPE, CancilleriaPeru, ChileMFA, DutchMFA, EUCouncilTVNews, ItalyMFA, ItamaratyGovBr, Itamaraty_EN, Itamaraty_ES, JanelidzeMkh, Kristian_Jensen, Latvian_MFA, LinkeviciusL, LithuaniaMFA, MAERomania, MFAIceland, MFAKOSOVO, MFA_Austria, MFA_Ukraine, MFAgovge, MID_RF, MKOfficiel, MZZRS, MinCanadaAE, MinCanadaFA, MiroslavLajcak, NasserJudeh, NikolaPoposki, NorwayMFA, PakDiplomacy, PrimatureRDC, RwandaMFA, SpainMFA, SweMFA, Utrikesdep, VladaRH, borgebrende, ditmirbushati, edgarsrinkevics, francediplo, khalidalkhalifa, marianorajoy, mfa_russia, sebastiankurz, valismin</t>
  </si>
  <si>
    <t>AbdoulayeDiop8, BelarusMFA, CancilleriaPeru, DutchMFA, IgnacioYbanez, IndianDiplomacy, ItalyMFA, ItamaratyGovBr, Itamaraty_EN, Itamaraty_ES, LithuaniaMFA, MFAIceland, MID_RF, MVEP_hr, MfaEgypt, MinCanadaAE, MinisterMOFA, NorwayMFA, RuhakanaR, RwandaMFA, SpainMFA, StateHouseSey, Utrikesdep, VladaRH, eu_eeas, margotwallstrom, namibia_mfa</t>
  </si>
  <si>
    <t>CanadaPE, Israel, ItamaratyGovBr, Itamaraty_ES, JanelidzeMkh, LT_MFA_Stratcom, MargvelashviliG, MinCanadaAE, MinCanadaFA, Palazzo_Chigi, SpainMFA, VladaRH, filip_pavel, govSlovenia, pressslujba, republicoftogo</t>
  </si>
  <si>
    <t>AbdoulayeDiop8, CancilleriaPeru, JocelermeP, MeGovernment, francediplo_ES, gouv_lu</t>
  </si>
  <si>
    <t>BdiPresidence, CancilleriaPeru, GouvGabon, RepSouthSudan, SweMFA, Utenriksdept, VladaRH</t>
  </si>
  <si>
    <t>CancilleriaPeru, MEAIndia, MFAgovge, PHammondMP, SalamTammam, SweMFA, TaaviRoivas, VladaRH, filip_pavel, md_higgins, prezydentpl</t>
  </si>
  <si>
    <t>AuswaertigesAmt, CanadaFP, CancilleriaEc, CancilleriaPeru, CancilleriaPma, DutchMFA, Elysee, GeoffreyOnyeama, GuillaumeLong, HildaHeine, Horacio_Cartes, IsabelStMalo, Israel, IsraelMFA, ItamaratyGovBr, Itamaraty_EN, Itamaraty_ES, JC_Varela, JohnKerry, JuanOrlandoH, MIREXRD, MichelTemer, MinexGt, Minrel_Chile, PHammondMP, Palazzo_Chigi, PresidenciaPma, PresidenciaPy, PresidenciaRD, Presidencia_HN, PrimeministerGR, SCpresidenciauy, SRECIHonduras, SusanaMalcorra, SweMFA, TPKanslia, VladaRH, cancilleriacrc, eucopresident, fhollande, foreignoffice, francediplo, francediplo_ES, lacasablanca, mfa_russia, niinisto, pcmperu, prensapalacio, presidencia_cl, presidenciacr, sanchezceren</t>
  </si>
  <si>
    <t>AButkevicius, AbdoulayeDiop8, AlbanianMFA, Andrej_Kiska, AzerbaijanMFA, BelarusMFA, BelarusMID, ByegmENG, ByegmRU, CanadaFP, CanadaPE, CancilleriaEc, CancilleriaPeru, CancilleriaPma, ChileMFA, CiolosDacian, CommsUnitSL, CzechMFA, DOImalta, DanielMitov, DiploPubliqueTR, DrZvizdic, DutchMFA, FijiPM, ForeignStrategy, French_Gov, GovMonaco, GovernmentGeo, GreeceMFA, GvtMonaco, HannaTetteh, HashimThaciRKS, IgnacioYbanez, Israel, IsraelMFA, ItamaratyGovBr, Itamaraty_EN, Itamaraty_ES, JanelidzeMkh, KolindaGK, LT_MFA_Stratcom, MAECgob, MAEHaiti, MAERomania, MFAEcuador, MFAFiji, MFASriLanka, MFAThai, MFA_KZ, MFA_LI, MFA_Mongolia, MFA_Ukraine, MFAgovge, MFAofArmenia, MIREXRD, MKOfficiel, MNEGOVPT, MOFAVietNam, MOFAkr_eng, MargvelashviliG, MarinaKaljurand, Maroc_eGov, MinisterMOFA, Minrel_Chile, MofaNepal, PHammondMP, PavloKlimkin, Petrit, PrensaHC, PresidenceMali, PresidenciaRD, PresidencySrb, PresidenteCV, PrimatureRwanda, Rigas_pils, RwandaGov, SaintLuciaGov, SalamTammam, SerbianPM, SeychellesMFA, SpainMFA, StateHouseSey, SusanaMalcorra, TheBankova, TunisieDiplo, UKUrdu, USAbilAraby, Utenriksdept, VladaCG, Yatsenyuk_AP, aguribfakim, avucic, borgebrende, dfatirl, ditmirbushati, eGovMalta, foreignaffairng, gouv_lu, govdotie, guv_ro, juhasipila, marianorajoy, mfa_russia, mfaethiopia, pcmperu, pmofa, presedinte_md, presidentMT, pressslujba, samoagovt, sebastiankurz, skngov, strakovka, vladaOCDrs</t>
  </si>
  <si>
    <t>BgPresidency, CharlesMichel, ChileMFA, CiolosDacian, EndaKennyTD, EstonianGovt, ForeignStrategy, GovMonaco, I_Luksic, IlvesToomas, MEAIndia, MFA_analysis, MID_RF, MOFAVietNam, Malaysia_Gov, Palazzo_Chigi, PresidencySrb, USAenFrancais, Utenriksdept, VladaCG, elbegdorj, gisbarbados, gouvernementFR, govpt, guv_ro, pressslujba, somaligov_, vladaOCDrs, vladaRS</t>
  </si>
  <si>
    <t>AButkevicius, AlbanianMFA, Andrej_Kiska, Arlietas, AuswaertigesAmt, BelarusMFA, BelgiumMFA, BgPresidency, ByegmENG, CYpresidency, CanadaFP, CanadaPE, CancilleriaEc, CancilleriaPeru, CancilleriaPma, CharlieFlanagan, CommsUnitSL, CyprusMFA, CzechMFA, DanielMitov, Diplomacy_RM, DrZvizdic, DutchMFA, FinGovernment, ForeignStrategy, GermanyDiplo, GreeceMFA, Habib_essid, HannaTetteh, HashimThaciRKS, IKasoulides, IgnacioYbanez, Israel, IsraelMFA, ItalyMFA, ItamaratyGovBr, Itamaraty_EN, Itamaraty_ES, JC_Varela, JanelidzeMkh, KarimMassimov, KarimMassimov_E, KolindaGK, Kristian_Jensen, LT_MFA_Stratcom, Latvian_MFA, LinkeviciusL, MAECgob, MAERomania, MFABulgaria, MFAEcuador, MFAIceland, MFAKOSOVO, MFA_Austria, MFA_Ukraine, MFAgovge, MFAofArmenia, MIREXRD, MNEGOVPT, MOFAVietNam, MVEP_hr, MZZRS, Mapon_Matata, MargvelashviliG, MarinaKaljurand, MeGovernment, MedvedevRussia, MinisterMOFA, MiroslavLajcak, NikolaPoposki, NorwayMFA, PHammondMP, PM_GOV_PG, Palazzo_Chigi, PavloKlimkin, Petrit, PolandMFA, PresidenciaRD, PresidencySrb, RepSouthSudan, SalamTammam, SerbianGov, SlavekSobotka, SlovakiaMFA, SpainMFA, StenbockiMaja, SweMFA, TPKanslia, TheBankova, UKUrdu, Ulkoministerio, Utrikesdep, Vejonis, VladaCG, Vyriausybe, ZaoralekL, aguribfakim, avucic, borgebrende, cancilleriasv, dfatirl, ditmirbushati, dreynders, edgarsrinkevics, erna_solberg, foreignoffice, francediplo_EN, gisbarbados, gouv_lu, govSlovenia, mfa_russia, niinisto, poroshenko, prensapalacio, presidentMT, pressslujba, sebastiankurz, ts_elbegdorj, valismin</t>
  </si>
  <si>
    <t>AButkevicius, APUkraine, AlbanianMFA, BelarusMFA, BelarusMID, BgPresidency, BorutPahor, BoykoBorissov, CYpresidency, CanadaFP, CanadaPE, CancilleriaPeru, CancilleriaPma, CiolosDacian, CommsUnitSL, CyprusMFA, DOImalta, Diplomacy_RM, ForeignStrategy, French_Gov, Habib_essid, HannaTetteh, IKasoulides, IgnacioYbanez, Israel, IsraelMFA, ItamaratyGovBr, Itamaraty_EN, JunckerEU, KlausIohannis, LT_MFA_Stratcom, MFAIceland, MFAKOSOVO, MFASriLanka, MFA_Ukraine, MFAgovge, MFAofArmenia, MIREXRD, MeGovernment, NikolaPoposki, Petrit, PresidenceMali, PresidencySrb, PresidenteCV, RepSouthSudan, SerbianGov, SeychellesMFA, TheBankova, UKUrdu, aguribfakim, avucic, francediplo_ES, gouv_lu, gouvernementFR, larsloekke, margotwallstrom, mfa_russia, pcmperu, prensapalacio, presidentMT, valtioneuvosto</t>
  </si>
  <si>
    <t>BoykoBorissov, CancilleriaPeru, Diplomacy_RM, IsabelStMalo, MVEP_hr, NikolaPoposki, PresidenceMada, SpainMFA, StenbockiMaja, avucic, edgarsrinkevics, govpt, margotwallstrom</t>
  </si>
  <si>
    <t>CancilleriaEc, CancilleriaPeru, CubaMINREX, DrodriguezVen, GuillaumeLong, Prensa_Palacio, Presidencia_Ec, PresidencialVen, SusanaMalcorra, mincombolivia, sanchezceren, vencancilleria</t>
  </si>
  <si>
    <t>ABZayed, AButkevicius, APUkraine, AbdoulayeDiop8, AlbanianMFA, AnastasiadesCY, Arlietas, AuswaertigesAmt, BelarusMFA, BelarusMID, BelgiumMFA, BgPresidency, BorutPahor, BoykoBorissov, Brivibas36, ByegmENG, CYpresidency, CanadaFP, CancilleriaCol, CancilleriaEc, CancilleriaPeru, CancilleriaPma, CharlesMichel, CharlieFlanagan, ChileMFA, CiolosDacian, CyprusMFA, CzechMFA, DanielMitov, DrTedros, DrZvizdic, DutchMFA, ForeignMinistry, ForeignStrategy, Gebran_Bassil, GovMonaco, GreeceMFA, GuillaumeLong, HashimThaciRKS, IKasoulides, I_Luksic, IgnacioYbanez, IsraelMFA, ItamaratyGovBr, Itamaraty_EN, Itamaraty_ES, JanelidzeMkh, JulieBishopMP, KvirikashviliGi, LT_MFA_Stratcom, Latvian_MFA, MAERomania, MFABulgaria, MFAIceland, MFAKOSOVO, MFA_Austria, MFA_LI, MFA_Ukraine, MFAgovge, MFAofArmenia, MID_RF, MSZ_RP, MVEP_hr, MZZRS, MeGovernment, MevlutCavusoglu, MfaEgypt, MinCanadaFA, MinisterMOFA, Minrel_Chile, MiroCerar, NikolaPoposki, NorwayMFA, PHammondMP, PaulKagame, Petrit, PolandMFA, PresidenciaPma, PrimeministerGR, RegSprecher, Rigas_pils, SalamTammam, SerbianPM, SlavekSobotka, SlovakiaMFA, SpainMFA, SusanaMalcorra, TheBankova, UM_dk, Utrikesdep, Vejonis, VladaCG, VladaRH, ZaoralekL, dfatirl, filip_pavel, gisbarbados, gouv_lu, guv_ro, khalidalkhalifa, liljaalfreds, margotwallstrom, marianorajoy, mfa_russia, mfaethiopia, niinisto, prensapalacio, pressslujba, rdussey, valismin, vladaOCDrs, vladaRS</t>
  </si>
  <si>
    <t>AButkevicius, APUkraine, AbdoulayeDiop8, AlbanianMFA, AnastasiadesCY, Arlietas, AuswaertigesAmt, CRcancilleria, CanadaFP, CancilleriaPeru, CancilleriaPma, CiolosDacian, CostaPS2015, CyprusMFA, DutchMFA, EUCouncil, EUCouncilPress, EU_Commission, Elysee_Com, EndaKennyTD, FedericaMog, ForeignMinistry, French_Gov, GeoffreyOnyeama, GermanyDiplo, Gouvrdcongo, GreeceMFA, GuillaumeLong, GvtMonaco, Habib_essid, HashimThaciRKS, HildaHeine, IKasoulides, IsabelStMalo, Israel, IsraelMFA, Issoufoumhm, ItamaratyGovBr, JocelermeP, JohnKerry, Latvian_MFA, LinkeviciusL, LithuaniaMFA, MAE_Haiti, MFAIceland, MFA_Austria, MFA_Ukraine, MFAgovge, MFAofArmenia, MIREXRD, MKOfficiel, MOFAVietNam, MZZRS, Mapon_Matata, MargvelashviliG, MeGovernment, MichelTemer, MinBZ, Minrel_Chile, MiroCerar, NikolaPoposki, NorwayMFA, PHammondMP, PMOIndia, Palazzo_Chigi, PaoloGentiloni, PresAlphaConde, PresidenceHT, PresidenceMali, PresidenceNiger, Presidenceci, PresidenciaPy, PresidenciaRD, Presidencia_HN, PresidencySrb, PresidentKE, PresidenteCV, PrimatureRDC, PrimatureRwanda, PrimeministerGR, RoyalFamily, SRE_mx, SalamTammam, Sekhoutoureya, SeychellesMFA, SigurdurIngiJ, SlavekSobotka, SpainMFA, StateHouseSey, SusanaMalcorra, SweMFA, TaaviRoivas, UKenyatta, USAenFrancais, Utenriksdept, VladaCG, VladaRH, avucic, borgebrende, dhoinine, djiboutidiplo, ediramaal, eu_eeas, eucopresident, foreignoffice, francediplo_AR, gouv_lu, gouvernementFR, govSlovenia, govpt, infopresidencia, luisguillermosr, macky_sall, margotwallstrom, mauriciomacri, merrionstreet, predsednikrs, prensapalacio, presidencia_cl, presidentMT, pressslujba, rochkaborepf, samoagovt, valismin</t>
  </si>
  <si>
    <t>CancilleriaPeru, FijiGovernment, IsraelMFA, ItalyMFA, MFAFiji, Republic_Nauru, SpainMFA, SweMFA, VladaRH, samoagovt</t>
  </si>
  <si>
    <t>CancilleriaPeru, MeGovernment</t>
  </si>
  <si>
    <t>AButkevicius, Brivibas36, DutchMFA, EUCouncilPress, EstonianGovt, GovernmentRF, Israel, IsraelMFA, MFAIceland, Maroc_eGov, MeGovernment, Palazzo_Chigi, RepSouthSudan, SpainMFA, SweMFA, TaaviRoivas, Utenriksdept, VladaRH, foreignoffice, pressslujba, valismin, vladaRS</t>
  </si>
  <si>
    <t>APUkraine, AzerbaijanMFA, BgPresidency, CanadaPE, ChileMFA, CommsUnitSL, CyprusMFA, DOImalta, FijiPM, FilipeNyusi, ForeignStrategy, GeoffreyOnyeama, HannaTetteh, IgnacioYbanez, Itamaraty_ES, LT_MFA_Stratcom, MAECgob, MFABulgaria, MFASriLanka, MFA_KZ, MFA_Mongolia, MFA_Ukraine, MFA_analysis, MID_RF, MIREXRD, MNEGOVPT, MOFAUAE, MOFAVietNam, MVEP_hr, Maroc_eGov, MfaEgypt, MinCanadaAE, MinexGt, MinisterMOFA, MofaNepal, NikolaPoposki, PMOComms, PSCU_Digital, PakDiplomacy, Petrit, RepSouthSudan, Republic_Nauru, SRECIHonduras, SalahRabbani, SalamTammam, Sekhoutoureya, SeychellesMFA, SkerritR, TheBankova, TheVillaSomalia, UM_dk, USAdarFarsi, Utenriksdept, Utrikesdep, VladaRH, ZaoralekL, avucic, cancilleriacrc, cancilleriasv, foreignaffairng, foreigntanzania, francediplo_AR, govSlovenia, marianorajoy, merrionstreet, mfagovtt, pressslujba, samoagovt, skngov, somaligov_, vladaOCDrs, vladaRS</t>
  </si>
  <si>
    <t>CancilleriaPeru, VladaRH, marianorajoy</t>
  </si>
  <si>
    <t>ADO__Solutions, AbdoulayeDiop8, CancilleriaPma, ChileMFA, GouvGabon, GouvMali, Gouvci, GovMonaco, HannaTetteh, IKasoulides, IgnacioYbanez, IsabelStMalo, Itamaraty_EN, Itamaraty_ES, JocelermeP, LT_MFA_Stratcom, MAE_Haiti, MEAIndia, MKOfficiel, MNEGOVPT, Mapon_Matata, MinCanadaAE, MinCanadaFA, MofaNepal, NikolaPoposki, PRIMATURERCA, PresidenceHT, PresidenceMada, PresidenciaRD, PrimatureRDC, Sekhoutoureya, SpainMFA, TPKanslia, VladaCG, avucic, djiboutidiplo, edgarsrinkevics, mfagovtt, pcmperu, prensapalacio, pressslujba</t>
  </si>
  <si>
    <t>CanadaFP, CancilleriaPeru, ItamaratyGovBr, MEAIndia, MFAIceland</t>
  </si>
  <si>
    <t>CanadaFP, DutchMFA, ItamaratyGovBr, Itamaraty_EN, Itamaraty_ES, Latvian_MFA, LithuaniaMFA, MEAIndia, MFAIceland, MFA_Austria, MFA_KZ, MinexGt, PHammondMP, SpainMFA, cancilleriasv, manuelvalls, pcmperu, prensapalacio, pressslujba</t>
  </si>
  <si>
    <t>AuswaertigesAmt, CancilleriaPeru, GermanyDiplo, GovMonaco, Israel, IsraelMFA, MeGovernment, PresidentKE, foreignoffice, merrionstreet</t>
  </si>
  <si>
    <t>AnastasiadesCY, CancilleriaEc, CancilleriaPeru, GreeceMFA, Itamaraty_EN, Itamaraty_ES, MFAIceland, MID_RF, MinCanadaAE, MinCanadaFA, NasserJudeh, SpainMFA, SusanaMalcorra, Utenriksdept, Utrikesdep, VladaRH, edgarsrinkevics, francediplo, margotwallstrom, sebastiankurz</t>
  </si>
  <si>
    <t>ABZayed, AMB_A_Mohammed, APUkraine, AbdoulayeDiop8, BelarusMID, CanadaPE, CancilleriaARG, CancilleriaEc, CancilleriaPeru, CancilleriaPma, ChileMFA, DiploPubliqueTR, DrZvizdic, Gebran_Bassil, GeoffreyOnyeama, GovernmentGeo, HannaTetteh, HashimThaciRKS, IKasoulides, IgnacioYbanez, IlvesToomas, Itamaraty_ES, JanelidzeMkh, KolindaGK, Kristian_Jensen, LT_MFA_Stratcom, MFA_LI, MFA_Mongolia, MID_RF, MOFAUAE, MOFAVietNam, MSZ_RP, Mapon_Matata, MargvelashviliG, MeGovernment, MfaEgypt, MinexGt, MinisterMOFA, MofaNepal, OFMUAE, Palazzo_Chigi, Petrit, RwandaMFA, SRE_mx, SalamTammam, SerbianGov, SeychellesMFA, SusanaMalcorra, TROfficeofPD, TheBankova, TunisieDiplo, Utrikesdep, VladaCG, ZaoralekL, avucic, cancilleriasv, filip_pavel, foreigntanzania, francediplo_AR, govSlovenia, govpt, manuelvalls, mincombolivia, skngov, vladaOCDrs, vladaRS</t>
  </si>
  <si>
    <t>CanadaFP, CancilleriaPeru, EUCouncil, ItamaratyGovBr, JuanManSantos, PHammondMP, SRE_mx, SweMFA, VladaRH, govkorea, johnkeypm</t>
  </si>
  <si>
    <t>CRcancilleria, CanadaFP, CancilleriaEc, CancilleriaPeru, ChileMFA, Elysee, Israel, IsraelMFA, ItamaratyGovBr, Itamaraty_EN, Itamaraty_ES, JC_Varela, JapanGov, JuanManSantos, MIREXRD, MZZRS, MinexGt, MiroCerar, PHammondMP, Palazzo_Chigi, PolandMFA, Prensa_Palacio, PresidenciaPy, Presidencia_HN, PresidenteCV, RepSouthSudan, SRECIHonduras, SpainMFA, SweMFA, VladaRH, cancilleriacrc, cancilleriasv, francediplo_ES, luisguillermosr, marianorajoy, mincombolivia, pcmperu, presidenciacr</t>
  </si>
  <si>
    <t>CRcancilleria, CanadaFP, CancilleriaEc, CancilleriaPeru, Elysee, Israel, IsraelMFA, ItamaratyGovBr, Itamaraty_EN, Itamaraty_ES, JC_Varela, JuanManSantos, MFAEcuador, MIREXRD, Minrel_Chile, PHammondMP, Palazzo_Chigi, PresidenciaPy, PresidenteCV, SRECIHonduras, SpainMFA, SweMFA, VladaRH, marianorajoy, pcmperu, prensapalacio, presidenciacr</t>
  </si>
  <si>
    <t>CancilleriaPeru, EUCouncilTVNews, Israel, MFA_Ukraine, MeGovernment, SpainMFA, TPKanslia, VladaCG, edgarsrinkevics, eu_eeas, vladaRS</t>
  </si>
  <si>
    <t>BdiPresidence, CancilleriaPeru, CancilleriaPma, CathySambaPanza, EUCouncilTVNews, GermanyDiplo, GovMonaco, GreeceMFA, GvtMonaco, IgnacioYbanez, JocelermeP, Latvian_MFA, MAEHaiti, MFAgovge, MeGovernment, PHammondMP, PresidenceMali, PresidenceNiger, Presidenceci, PresidencySrb, PrimatureHT, PrimatureRDC, PrimeministerGR, SalamTammam, SweMFA, USAenFrancais, VladaCG, VladaRH, djiboutidiplo, foreignoffice, francediplo_ES, gouv_lu, govSlovenia, govpt, marianorajoy, merrionstreet, valismin, vladaRS</t>
  </si>
  <si>
    <t>AbdoulayeDiop8, CancilleriaPeru, MeGovernment, PresidenceMali</t>
  </si>
  <si>
    <t>Arlietas, CancilleriaPeru, MZZRS, MiroCerar, SweMFA, cancilleriasv, govpt</t>
  </si>
  <si>
    <t>AButkevicius, APUkraine, BgPresidency, CanadaFP, CancilleriaPeru, JanelidzeMkh, MargvelashviliG, VladaRH, francediplo</t>
  </si>
  <si>
    <t>APUkraine, AuswaertigesAmt, BelgiumMFA, Brivibas36, BurundiForeign, CYpresidency, CancilleriaPeru, CancilleriaPma, CyprusMFA, EUCouncil, GovernmentZA, Israel, IsraelMFA, JuanManSantos, JulieBishopMP, LinkeviciusL, MAECgob, MFAFiji, MFAKOSOVO, MFA_Austria, MFA_Ukraine, Malaysia_Gov, Maroc_eGov, MeGovernment, MichelTemer, MiroCerar, MofaNepal, NorwayMFA, PHammondMP, Palazzo_Chigi, Petrit, PresidencySrb, PresidenteCV, PrimeministerGR, RepSouthSudan, RwandaMFA, SRE_mx, SerbianGov, SeychellesMFA, SpainMFA, StateHouseSey, SusanaMalcorra, SweMFA, VladaCG, VladaRH, avucic, cancilleriasv, edgarsrinkevics, francediplo_EN, govpt, mfaethiopia, pcmperu, predsednikrs, pressslujba, samoagovt</t>
  </si>
  <si>
    <t>AuswaertigesAmt, CancilleriaEc, CancilleriaPeru, CasaCivilPRA, ChileMFA, DutchMFA, IndianDiplomacy, ItamaratyGovBr, Itamaraty_EN, Itamaraty_ES, MAERomania, MEAIndia, MFAIceland, MID_RF, MIREXRD, MichelTemer, Minrel_Chile, PresidenceMali, PresidenciaRD, PresidenteCV, SpainMFA, SweMFA, VladaRH, govSlovenia, marianorajoy, mfa_russia</t>
  </si>
  <si>
    <t>AMB_A_Mohammed, APUkraine, Arlietas, AuswaertigesAmt, Brivibas36, CanadaFP, CancilleriaPeru, CiolosDacian, CyprusMFA, DutchMFA, GreeceMFA, HildaHeine, IKasoulides, Israel, IsraelMFA, JanelidzeMkh, JuanManSantos, KolindaGK, KvirikashviliGi, LT_MFA_Stratcom, Latvian_MFA, Lithuania, MAECgob, MFA_Ukraine, MFAgovge, MVEP_hr, MargvelashviliG, MarinaKaljurand, MeGovernment, Minrel_Chile, MiroCerar, MiroslavLajcak, NorwayMFA, PHammondMP, Palazzo_Chigi, PavloKlimkin, PresidencySrb, RwandaMFA, SweMFA, TaaviRoivas, TheBankova, Vejonis, VladaCG, VladaRH, avucic, edgarsrinkevics, marianorajoy, pressslujba, prezydentpl, valismin</t>
  </si>
  <si>
    <t>CRcancilleria, CancilleriaPeru, IsraelMFA, MIREXRD, PHammondMP, PresidenciaPma, PresidenciaPy, Presidencia_HN, SweMFA, VladaRH, marianorajoy</t>
  </si>
  <si>
    <t>CancilleriaPeru, GuvernulRMD, IsraelMFA, MeGovernment, VladaRH, eucopresident, marianorajoy</t>
  </si>
  <si>
    <t>BorutPahor, CancilleriaPeru, Israel, IsraelMFA, MFAIceland, MeGovernment, MiroCerar, PHammondMP, PresidencySrb, SweMFA, VladaRH, dreynders, mfa_russia</t>
  </si>
  <si>
    <t>CancilleriaPeru, GouvGabon, ItamaratyGovBr, MFAIceland, PakDiplomacy, RepSouthSudan, SweMFA, VladaRH</t>
  </si>
  <si>
    <t>CancilleriaPeru, ItamaratyGovBr, Itamaraty_EN, Kristian_Jensen, MFAgovge, MID_RF, Utrikesdep, mfarighana</t>
  </si>
  <si>
    <t>CancilleriaEc, CancilleriaPeru, GobiernodeChile, Itamaraty_EN, Itamaraty_ES, LithuaniaMFA, MFAIceland, MFA_Ukraine, MID_RF, MinCanadaAE, Prensa_Palacio, Presidencia_Ec, SpainMFA, SusanaMalcorra, Utrikesdep, VladaRH, cancilleriasv, eu_eeas, margotwallstrom, mfa_russia, mincombolivia, mreparaguay, presidencia_cl</t>
  </si>
  <si>
    <t>CanadaFP, CanadaPE, CancilleriaEc, CancilleriaPeru, CancilleriaPma, ChileMFA, GuillaumeLong, Itamaraty_EN, Itamaraty_ES, JC_Varela, Minrel_Chile, PHammondMP, PresidenciaPma, SusanaMalcorra, SweMFA, VladaRH, marianorajoy, mreparaguay, pcmperu</t>
  </si>
  <si>
    <t>AMB_A_Mohammed, AuswaertigesAmt, CancilleriaPeru, ForeignMinistry, HashimThaciRKS, Israel, ItamaratyGovBr, Itamaraty_EN, Itamaraty_ES, Kristian_Jensen, MID_RF, MeGovernment, MinCanadaAE, MinCanadaFA, NasserJudeh, SpainMFA, SusanaMalcorra, Utrikesdep, VladaRH, borgebrende, govSlovenia, presidencia_cl</t>
  </si>
  <si>
    <t>CancilleriaEc, CancilleriaPeru, ChileMFA, IsraelMFA, ItamaratyGovBr, Itamaraty_EN, Itamaraty_ES, MIREXRD, Minrel_Chile, PresidenciaPy, PrimeministerGR, RepSouthSudan, SweMFA, VladaRH, cancilleriacrc, manuelvalls, marianorajoy, mgonzalezsanz, pcmperu, prensapalacio, presidenciacr</t>
  </si>
  <si>
    <t>CancilleriaCol, CancilleriaEc, CancilleriaPeru, ChileMFA, ItamaratyGovBr, Itamaraty_EN, Itamaraty_ES, LithuaniaMFA, MAECgob, MFAIceland, MID_RF, MinCanadaAE, MinexGt, Minrel_Chile, SRECIHonduras, SpainMFA, SusanaMalcorra, Utrikesdep, andresnavarrog, eu_eeas, foreignoffice, mgonzalezsanz</t>
  </si>
  <si>
    <t>Israel, IsraelArabic, IsraelMFA, PHammondMP, PresidentRuvi, SweMFA, VladaRH</t>
  </si>
  <si>
    <t>APUkraine, CharlesMichel, ChileMFA, GeoffreyOnyeama, IgnacioYbanez, JulieBishopMP, MOFAVietNam, MinCanadaAE, NikolaPoposki, TheBankova, Utrikesdep, ZaoralekL, avucic, francediplo_AR, govSlovenia, togodiplomatie</t>
  </si>
  <si>
    <t>CancilleriaPma, ChileMFA, EUCouncilTVNews, Gebran_Bassil, HashimThaciRKS, IgnacioYbanez, Itamaraty_EN, Itamaraty_ES, LT_MFA_Stratcom, LinkeviciusL, MEAIndia, MID_RF, MOFAVietNam, MVEP_hr, MeGovernment, MinCanadaAE, MinCanadaFA, Petrit, SeychellesMFA, SpainMFA, VladaRH, avucic, cancilleriasv, francediplo_EN, govpt, marianorajoy, presidentMT, pressslujba</t>
  </si>
  <si>
    <t>APUkraine, CancilleriaPma, CharlesMichel, Israel, IsraelMFA, ItamaratyGovBr, Itamaraty_EN, Itamaraty_ES, JocelermeP, MFASriLanka, MFA_Mongolia, MinexGt, PHammondMP, SpainMFA, TheBankova, foreignoffice, japan</t>
  </si>
  <si>
    <t>CancilleriaEc, CancilleriaPeru, DutchMFA, GuatemalaGob, HildaHeine, ItamaratyGovBr, MiroCerar, PHammondMP, Presidencia_HN, SRECIHonduras, SRE_mx, SusanaMalcorra, VladaRH, andresnavarrog, cancilleriasv, fhollande</t>
  </si>
  <si>
    <t>AMB_A_Mohammed, AbdoulayeDiop8, CancilleriaPeru, DrTedros, GouvGabon, HildaHeine, IsraelMFA, Issoufoumhm, ItalyMFA, MeGovernment, NorwayMFA, PHammondMP, PSCU_Digital, PresidenceMali, PresidentKE, PrimatureRDC, RepSouthSudan, RwandaMFA, SweMFA, TROfficeofPD, UKenyatta, UrugwiroVillage, VladaRH, fhollande, gouvbenin, hagegeingob, macky_sall, marianorajoy, mfarighana, namibia_mfa</t>
  </si>
  <si>
    <t>ABZayed, AButkevicius, AMB_A_Mohammed, APUkraine, AbdoulayeDiop8, Arlietas, BarackObama, BeataSzydlo, BelarusMID, BgPresidency, BorutPahor, CanadaPE, CancilleriaCol, CancilleriaPeru, CancilleriaPma, CharlesMichel, CiolosDacian, CzechMFA, DrTedros, EU_Commission, ForeignStrategy, Gebran_Bassil, GeoffreyOnyeama, GouvGabon, GovMonaco, Grybauskaite_LT, GuillaumeLong, GvtMonaco, HannaTetteh, HashimThaciRKS, HonStephaneDion, IgnacioYbanez, IsabelStMalo, IsraelMFA, IsraelRussian, ItamaratyGovBr, Itamaraty_EN, Itamaraty_ES, JanelidzeMkh, JocelermeP, JuanManSantos, JustinTrudeau, Kristian_Jensen, LT_MFA_Stratcom, MAERomania, MBuhari, MEAIndia, MFAFiji, MFASriLanka, MFA_analysis, MFAofArmenia, MID_RF, MNEGOVPT, Mapon_Matata, MargvelashviliG, MarinaKaljurand, MeGovernment, MfaEgypt, MinCanadaAE, MinCanadaFA, MinisterMOFA, Minrel_Chile, MofaNepal, NikolaPoposki, OFMUAE, PMNawazSharif, PMOIndia, PSCU_Digital, PakDiplomacy, Palazzo_Chigi, PaulKagame, PresDGranger, PresidenceMali, Presidencia_HN, PresidenteCV, PrimatureHT, PurevsurenL, RW_UNP, RepSouthSudan, RwandaMFA, SRECIHonduras, SalahRabbani, SalamTammam, SeychellesMFA, SkerritR, StateHouseSey, SusanaMalcorra, TaaviRoivas, TheBankova, UKUrdu, UM_dk, USApoRusski, Utenriksdept, Utrikesdep, Vejonis, VladaCG, VladaRH, WhiteHouse, ZaoralekL, avucic, cabinetofficeuk, cancilleriasv, dfat, dfatirl, djiboutidiplo, ediramaal, elbegdorj, filip_pavel, fortalezapr, francediplo_AR, francediplo_ES, infopresidencia, jeanmarcayrault, khalidalkhalifa, lacasablanca, luisguillermosr, marianorajoy, mfa_russia, mfaethiopia, mgonzalezsanz, mofa_kr, pcmperu, poroshenko, prensapalacio, pressslujba, sanchezceren</t>
  </si>
  <si>
    <t>AButkevicius, BWGovernment, CancilleriaPeru, CharlesMichel, EUCouncilTVNews, EndaKennyTD, FedericaMog, HildaHeine, JuanManSantos, JunckerEU, MaithripalaS, MeGovernment, MiroCerar, PHammondMP, Palazzo_Chigi, PrimeministerGR, SlavekSobotka, SweMFA, VladaCG, VladaRH, avucic, ditmirbushati, eu_eeas, eucopresident, gouv_lu, infopresidencia, marianorajoy, valismin</t>
  </si>
  <si>
    <t>MichelTemer, PresidenteCV, cancilleriacrc</t>
  </si>
  <si>
    <t>CRcancilleria, CanadaFP, CancilleriaEc, CancilleriaPeru, CancilleriaPma, DaniloMedina, DrodriguezVen, DutchMFA, FedericaMog, GuatemalaGob, GuillaumeLong, HildaHeine, IsabelStMalo, Israel, IsraelMFA, ItamaratyGovBr, Itamaraty_EN, Itamaraty_ES, JC_Varela, JocelermeP, JuanOrlandoH, MFAEcuador, MIREXRD, MindeGobierno, MinexGt, Minrel_Chile, NorwayMFA, NoticiaCR, PHammondMP, PMOMalaysia, Palazzo_Chigi, PrensaHC, Prensa_Palacio, PresidenciaPma, PresidenciaPy, PresidenciaRD, Presidencia_HN, PresidenteCV, SRECIHonduras, SRE_mx, SpainMFA, SusanaMalcorra, SweMFA, Utenriksdept, VladaRH, borgebrende, cancilleriacrc, eu_eeas, francediplo_ES, jimmymoralesgt, luisguillermosr, mauriciomacri, mgonzalezsanz, mincombolivia, mreparaguay, pcmperu, prensapalacio, presidencia_cl, presidencia_sv, sanchezceren</t>
  </si>
  <si>
    <t>ABZayed, APUkraine, BelarusMFA, CRcancilleria, CancilleriaPeru, DrTedros, DutchMFA, FijiGovernment, FijiPM, GeoffreyOnyeama, GermanyDiplo, HildaHeine, IgnacioYbanez, IndianDiplomacy, ItamaratyGovBr, Itamaraty_EN, Itamaraty_ES, LinkeviciusL, LithuaniaMFA, MAERomania, MFAFiji, MFAIceland, MFA_Austria, MFA_Mongolia, MFA_Ukraine, MID_RF, MOFAVietNam, MinCanadaAE, MinCanadaFA, MofaNepal, NorwayMFA, PM_GOV_PG, Petrit, RwandaMFA, SpainMFA, SusanaMalcorra, TheBankova, Utrikesdep, VladaRH, eu_eeas, francediplo, francediplo_EN, marianorajoy, mfa_russia, samoagovt</t>
  </si>
  <si>
    <t>AButkevicius, APUkraine, AlbanianMFA, Andrej_Kiska, BelgiumMFA, BgPresidency, BorutPahor, BoykoBorissov, Brivibas36, ByegmENG, CYpresidency, CanadaFP, CancilleriaPeru, CancilleriaPma, CharlesMichel, ChileMFA, CiolosDacian, CyprusMFA, CzechMFA, DanielMitov, DrZvizdic, DutchMFA, EndaKennyTD, ForeignStrategy, GermanyDiplo, GreeceMFA, Grybauskaite_LT, GuillaumeLong, HashimThaciRKS, HildaHeine, IKasoulides, I_Luksic, IgnacioYbanez, IsraelMFA, ItalyMFA, Itamaraty_EN, Itamaraty_ES, JanelidzeMkh, Kabmin_UA, KolindaGK, Kristian_Jensen, KvirikashviliGi, Latvian_MFA, LinkeviciusL, MAECgob, MAERomania, MFAIceland, MFAKOSOVO, MFA_Austria, MFA_Ukraine, MFAgovge, MOFAVietNam, MVEP_hr, MZZRS, MargvelashviliG, MeGovernment, MinisterMOFA, MiroCerar, MiroslavLajcak, NikolaPoposki, NorwayMFA, PHammondMP, Palazzo_Chigi, Petrit, PremierRP, PresidenceMali, SalamTammam, SigurdurIngiJ, SlavekSobotka, SpainMFA, TaaviRoivas, TheBankova, Utrikesdep, VladaCG, VladaRH, ZaoralekL, avucic, borgebrende, dfatirl, ditmirbushati, elbegdorj, foreignoffice, francediplo, gisbarbados, gouv_lu, gouvernementFR, manuelvalls, margotwallstrom, merrionstreet, mfa_russia, namibia_mfa, niinisto, presedinte_md, presidentMT, pressslujba, sebastiankurz, strakovka, valismin, vladaRS</t>
  </si>
  <si>
    <t>AMB_A_Mohammed, Ahmet_Davutoglu, Arlietas, AuswaertigesAmt, BelarusMFA, BelarusMID, CanadaFP, CancilleriaPeru, DrTedros, DutchMFA, FCOArabic, HannaTetteh, HeraldoMunoz, IgnacioYbanez, IranMFA, IsraelArabic, ItalyMFA, ItamaratyGovBr, Itamaraty_EN, Itamaraty_ES, Kristian_Jensen, LithuaniaMFA, MAERomania, MFAIceland, MFA_Austria, MFA_analysis, MFAofArmenia, MID_RF, MZZRS, MeGovernment, MinCanadaAE, MinCanadaFA, MinisterMOFA, MiroslavLajcak, NikosKotzias, NorwayMFA, PHammondMP, Portal_Kemlu_RI, Rouhani_ir, SpainMFA, StateDept, USAdarFarsi, VladaRH, borgebrende, edgarsrinkevics, eu_eeas, foreignoffice, francediplo, francediplo_EN, govSlovenia, khalidalkhalifa, margotwallstrom, mfa_russia, narendramodi, sebastiankurz</t>
  </si>
  <si>
    <t>LT_MFA_Stratcom, LithuaniaMFA, MFA_Ukraine, MZZRS, MeGovernment, PHammondMP, PresidencySrb, SweMFA, VladaRH, eu_eeas, govSlovenia, guv_ro</t>
  </si>
  <si>
    <t>BurundiForeign, CancilleriaPeru, DrTedros, GouvGabon, GovernmentZA, HailemariamD, MFAKOSOVO, MIREXRD, MinisterMOFA, OPMUganda, PHammondMP, PSCU_Digital, PresidenceMali, PresidenciaRD, PresidentKE, PrimatureRwanda, RepSouthSudan, RuhakanaR, RwandaGov, RwandaMFA, SeychellesMFA, StateHouseKenya, SusanaMalcorra, SweMFA, TheVillaSomalia, UgandaMFA, UgandaMediaCent, Utenriksdept, VladaRH, amurekezi, foreigntanzania, gouvbenin, macky_sall, mfa_russia, mfaethiopia</t>
  </si>
  <si>
    <t>Andrej_Kiska, CancilleriaPeru, CiolosDacian, MAERomania, MeGovernment, MiroslavLajcak, Petrit, VladaRH, avucic, marianorajoy</t>
  </si>
  <si>
    <t>CancilleriaPeru, CasaReal, CourGrandDucale, MeGovernment, MinBZ, PHammondMP, RoyalFamily, SweMFA, VladaRH</t>
  </si>
  <si>
    <t>AlbanianMFA, AnastasiadesCY, AuswaertigesAmt, BelgiumMFA, BgPresidency, BorutPahor, BurundiForeign, CYpresidency, CanadaFP, CancilleriaEc, CancilleriaPeru, CancilleriaPma, CharlesMichel, ChileMFA, CzechMFA, DutchMFA, EUCouncil, EU_Commission, Elysee, GermanyDiplo, GovMonaco, GreeceMFA, Grybauskaite_LT, HannaTetteh, IndianDiplomacy, Israel, IsraelMFA, IsraeliPM, Itamaraty_EN, Itamaraty_ES, JocelermeP, JuanManSantos, LinkeviciusL, MFABulgaria, MFAFiji, MFA_Austria, MFA_KZ, MFA_Mongolia, MFA_Ukraine, MID_RF, MOFAVietNam, MVEP_hr, MZZRS, MeGovernment, MinisterMOFA, Minrel_Chile, MiroCerar, MofaNepal, NorwayMFA, PHammondMP, PMOIndia, Palazzo_Chigi, Petrit, PolandMFA, PresidenceMali, PresidencySrb, PresidenteCV, PrimeministerGR, RegSprecher, RepSouthSudan, SalamTammam, SerbianGov, SeychellesMFA, SpainMFA, StateHouseSey, SusanaMalcorra, SweMFA, TPKanslia, TaaviRoivas, TurnbullMalcolm, Utenriksdept, Vejonis, VladaRH, avucic, borgebrende, cancilleriasv, elbegdorj, eu_eeas, eucopresident, govSlovenia, narendramodi, niinisto, predsednikrs, presidencia_cl, prezydentpl, ts_elbegdorj</t>
  </si>
  <si>
    <t>Arlietas, CancilleriaPeru, GeoffreyOnyeama, HashimThaciRKS, LithuaniaMFA, MAERomania, MFA_Ukraine, MID_RF, MinCanadaAE, MinCanadaFA, MinisterMOFA, MiroCerar, Petrit, SRE_mx, SusanaMalcorra, Utenriksdept, VladaRH</t>
  </si>
  <si>
    <t>CancilleriaPeru, CasaReal, CourGrandDucale, Grybauskaite_LT, MeGovernment, PHammondMP, PresidencySrb, SRECIHonduras, SweMFA, VladaRH, palaismonaco</t>
  </si>
  <si>
    <t>CancilleriaPeru, MFAgovge, MarinaKaljurand, edgarsrinkevics, govgeoabkhaz, infopresidencia, valismin</t>
  </si>
  <si>
    <t>CancilleriaPeru, CancilleriaPma, DutchMFA, JuanManSantos, Minrel_Chile, PHammondMP, PresidenciaRD, Presidencia_HN, SRECIHonduras, SRE_mx, SweMFA, USAUrdu, USAemPortugues, VladaRH, agarciapadilla, cancilleriasv, fortalezapr, francediplo_ES, infopresidencia, luisguillermosr, pcmperu, prensapalacio, presidenciacr, sanchezceren</t>
  </si>
  <si>
    <t>APUkraine, AlbanianMFA, CanadaFP, CancilleriaPeru, HashimThaciRKS, IndianDiplomacy, Israel, IsraelMFA, IsraeliPM, ItamaratyGovBr, JulieBishopMP, Kristian_Jensen, MFAThai, MFAsg, Malaysia_Gov, MiroslavLajcak, PHammondMP, PMOMalaysia, PresidentYameen, SusanaMalcorra, SweMFA, TheBankova, VladaRH, eu_eeas, foreignoffice, govsingapore, marianorajoy, tsheringtobgay</t>
  </si>
  <si>
    <t>AMB_A_Mohammed, AlbanianMFA, Arlietas, BelarusMID, CanadaFP, CancilleriaPeru, CiolosDacian, CyprusMFA, CzechMFA, DanielMitov, Diplomacy_RM, DrTedros, GreeceMFA, ItamaratyGovBr, Itamaraty_EN, Itamaraty_ES, Lithuania, MAECgob, MAERomania, MFA_Austria, MFA_Mongolia, MID_RF, MeGovernment, MinCanadaAE, MinCanadaFA, NikolaPoposki, NikosKotzias, PHammondMP, Palazzo_Chigi, SpainMFA, SusanaMalcorra, TheBankova, VladaRH, eu_eeas, govSlovenia, liljaalfreds, marianorajoy, pressslujba</t>
  </si>
  <si>
    <t>CancilleriaEc, CancilleriaPeru, CancilleriaPma, Israel, IsraelMFA, MIREXRD, PHammondMP, PresidenciaPy, SCpresidenciauy, SRECIHonduras, VladaRH, andresnavarrog, marianorajoy, prensapalacio, vencancilleria</t>
  </si>
  <si>
    <t>AuswaertigesAmt, ChileMFA, IKasoulides, Israel, LT_MFA_Stratcom, MFAKOSOVO, MID_RF, mfa_russia, sebastiankurz</t>
  </si>
  <si>
    <t>CancilleriaPeru, GermanyDiplo, Israel, IsraelMFA, ItamaratyGovBr, MEAIndia, MFASriLanka, MFA_SriLanka, MangalaLK, PMDNewsGov, infopresidencia</t>
  </si>
  <si>
    <t>CanadaFP, CancilleriaPeru, ItamaratyGovBr, Itamaraty_EN, Itamaraty_ES, LithuaniaMFA, MFAIceland, MFA_Austria, MID_RF, MinCanadaAE, SpainMFA, Utrikesdep, VladaRH, macky_sall, mfa_russia</t>
  </si>
  <si>
    <t>CancilleriaPeru, JanelidzeMkh, MiroCerar, borgebrende</t>
  </si>
  <si>
    <t>BelarusMFA, Brivibas36, HashimThaciRKS, JanelidzeMkh, Latvian_MFA, LithuaniaMFA, MAERomania, MFAIceland, MFA_Ukraine, MFAgovge, MID_RF, MVEP_hr, MinCanadaAE, MinCanadaFA, MiroCerar, SpainMFA, borgebrende, foreignoffice, liljaalfreds, luisguillermosr, mfa_russia</t>
  </si>
  <si>
    <t>BelarusMFA, CanadaFP, CancilleriaCol, CancilleriaEc, CancilleriaPeru, CancilleriaPma, ChileMFA, DrodriguezVen, EPN, EPP_Nicaragua, GuatemalaGob, GuillaumeLong, HildaHeine, Israel, IsraelMFA, ItamaratyGovBr, Itamaraty_EN, Itamaraty_ES, JC_Varela, JocelermeP, JuanOrlandoH, MFAEcuador, MIREXRD, MindeGobierno, Minrel_Chile, Ollanta_HumalaT, PHammondMP, Palazzo_Chigi, Prensa_Palacio, PresidenciaPma, PresidenciaPy, PresidenciaRD, Presidencia_Ec, Presidencia_HN, PresidencialVen, PresidenteCV, PrimeministerGR, RaulCastroR, SRECIHonduras, SRE_mx, SkerritR, SusanaMalcorra, SweMFA, VladaRH, cancilleriacrc, eucopresident, evoespueblo, fhollande, francediplo_ES, infopresidencia, luisguillermosr, marianorajoy, mincombolivia, pcmperu, prensapalacio, presidencia_cl, presidencia_sv, presidenciacr, sanchezceren, vencancilleria</t>
  </si>
  <si>
    <t>AlbanianMFA, AuswaertigesAmt, BgPresidency, CanadaFP, CancilleriaPeru, CancilleriaPma, CharlesMichel, CostaPS2015, DutchMFA, EUCouncil, EUCouncilPress, EUCouncilTVNews, EU_Commission, Elysee, EndaKennyTD, FedericaMog, HildaHeine, IsraeliPM, ItalyMFA, JC_Varela, JocelermeP, JosephMuscat_JM, JunckerEU, MFAgovge, MVEP_hr, MeGovernment, Minrel_Chile, MiroCerar, NasserJudeh, PHammondMP, PaulKagame, PresidentKE, PrimeministerGR, SRE_mx, SalamTammam, SerbianPM, SlavekSobotka, SusanaMalcorra, VladaRH, avucic, borgebrende, ditmirbushati, edgarsrinkevics, ediramaal, eu_eeas, eucopresident, fhollande, francediplo, jeanmarcayrault, manuelvalls, marianorajoy, merrionstreet, pressslujba, prezydentpl, ugolini_massimo</t>
  </si>
  <si>
    <t>AbdoulayeDiop8, AsoRock, CancilleriaPeru, DIRCO_ZA, GeoffreyOnyeama, Israel, IsraelMFA, Issoufoumhm, Mapon_Matata, PMOIndia, PSCU_Digital, PresidenceMali, PresidentKE, RwandaMFA, StateHouseKenya, UKenyatta, borgebrende, foreignaffairng, francediplo, hagegeingob, infopresidencia, macky_sall, namibia_mfa, sebastiankurz</t>
  </si>
  <si>
    <t>ABZayed, AuswaertigesAmt, CanadaFP, CancilleriaPeru, ForeignMinistry, KBZayed, KhaledBahah, MOFAUAE, OFMUAE, PHammondMP, PMOIndia, Petrit, UAEmGov, USAbilAraby, VladaRH, djiboutidiplo, francediplo_AR, khalidalkhalifa, narendramodi</t>
  </si>
  <si>
    <t>BorutPahor, CanadaFP, CancilleriaPeru, MFAgovge, MeGovernment, SalamTammam, SweMFA, VladaRH</t>
  </si>
  <si>
    <t>ChileMFA, HannaTetteh, Itamaraty_EN, KTnepal, MOFAVietNam, MinCanadaAE, MofaNepal, PresidenceMali, SpainMFA, StateHouseSey, SusanaMalcorra, khalidalkhalifa</t>
  </si>
  <si>
    <t>BelarusMID, CanadaFP, CancilleriaPeru, CancilleriaPma, ChileMFA, GreeceMFA, Israel, ItamaratyGovBr, Itamaraty_ES, Kristian_Jensen, MEAIndia, MFAEcuador, MFAIraq, MID_RF, MeGovernment, MinCanadaAE, MinexGt, Minrel_Chile, TheBankova, UgandaMFA, Utrikesdep, mfa_russia, mfaethiopia, pressslujba</t>
  </si>
  <si>
    <t>BasbakanlikKDK, CanadaFP, CancilleriaPeru, DutchMFA, ItamaratyGovBr, MFAEcuador, MFAIceland, MFAIraq, MFA_KZ, PHammondMP, SpainMFA, USAbilAraby, eu_eeas, francediplo_AR, mfa_russia</t>
  </si>
  <si>
    <t>BasbakanlikKDK, CanadaFP, CanadaPE, CancilleriaPeru, DutchMFA, ItamaratyGovBr, Itamaraty_EN, Itamaraty_ES, LithuaniaMFA, MFAEcuador, MFAIceland, MinCanadaAE, MinCanadaFA, NorwayMFA, PresidenceMali, RwandaMFA, SpainMFA, TROfficeofPD, eu_eeas, francediplo, mfa_russia</t>
  </si>
  <si>
    <t>CanadaFP, CancilleriaPeru, CancilleriaPma, ItamaratyGovBr, Itamaraty_EN, Itamaraty_ES, LithuaniaMFA, MAECgob, MFAEcuador, MID_RF, Minrel_Chile, SpainMFA, Utrikesdep, eu_eeas, marianorajoy, mfa_russia</t>
  </si>
  <si>
    <t>CancilleriaPeru, Itamaraty_EN, Itamaraty_ES, casacivilbr</t>
  </si>
  <si>
    <t>ChileMFA, ItamaratyGovBr, MEAIndia, MID_RF, Utenriksdept, VladaRH, andresnavarrog, eu_eeas, mgonzalezsanz, pressslujba</t>
  </si>
  <si>
    <t>CanadaFP, CancilleriaPeru, DutchMFA, ItamaratyGovBr, Itamaraty_EN, Itamaraty_ES, LithuaniaMFA, MFAIceland, MID_RF, MinCanadaAE, MinCanadaFA, NorwayMFA, SpainMFA</t>
  </si>
  <si>
    <t>GreeceMFA, GuatemalaGob, MFAEcuador, MID_RF, MOFAVietNam, MVEP_hr, MeGovernment, MinexGt, RwandaMFA, SpainMFA, VladaRH, eu_eeas, mincombolivia</t>
  </si>
  <si>
    <t>BorutPahor, CancilleriaPeru, CiolosDacian, DrZvizdic, EUCouncilTVNews, GreeceMFA, HashimThaciRKS, ItamaratyGovBr, Itamaraty_EN, Itamaraty_ES, Kristian_Jensen, LT_MFA_Stratcom, MFAMalta, MFA_Mongolia, MID_RF, MargvelashviliG, MinCanadaAE, MinCanadaFA, MinisterMOFA, PurevsurenL, RwandaMFA, SpainMFA, SusanaMalcorra, VladaCG, margotwallstrom, marianorajoy, pressslujba</t>
  </si>
  <si>
    <t>AuswaertigesAmt, BelgiumMFA, BgPresidency, CancilleriaPeru, CasaReal, CharlesMichel, ChileMFA, CourGrandDucale, GermanyDiplo, Israel, IsraelMFA, MeGovernment, MiroCerar, PHammondMP, PresidencySrb, RoyalFamily, VladaRH, dreynders, eu_eeas, manuelvalls, marianorajoy, prensapalacio, vladaRS</t>
  </si>
  <si>
    <t>BelarusMID, ChileMFA, DutchMFA, IsraelMFA, ItalyMFA, LithuaniaMFA, MAECgob, MEAIndia, MFAIceland, MFAKOSOVO, MFA_Austria, MFA_KZ, MFA_Ukraine, MID_RF, MinExterioresUY, NorwayMFA, SpainMFA, Utenriksdept, Utrikesdep, VladaRH, andresnavarrog, eu_eeas, foreignoffice, francediplo, francediplo_ES, mfa_russia, pcmperu, pressslujba</t>
  </si>
  <si>
    <t>AuswaertigesAmt, BelarusMFA, BelarusMID, CancilleriaPeru, DutchMFA, GermanyDiplo, IsraelMFA, ItamaratyGovBr, Itamaraty_EN, Itamaraty_ES, LithuaniaMFA, MAERomania, MFABulgaria, MFA_Ukraine, MFAgovge, MVEP_hr, MiroslavLajcak, SlovakiaMFA, SpainMFA, VladaRH, eu_eeas, francediplo, mfa_russia</t>
  </si>
  <si>
    <t>ABZayed, AMB_A_Mohammed, AuswaertigesAmt, BelarusMFA, BhutanGov, BorutPahor, CanadaFP, CancilleriaPeru, CancilleriaPma, CharlieFlanagan, DrTedros, DutchMFA, EmomaliRahmon, FijiMFA, GermanyDiplo, GuillaumeLong, Habib_essid, HildaHeine, IgnacioYbanez, InokeRatu, Israel, IsraelMFA, ItamaratyGovBr, Itamaraty_EN, Itamaraty_ES, JocelermeP, KTnepal, KeithRowleyPNM, Latvian_MFA, MAECgob, MDVForeign, MFAFiji, MFAIceland, MFAKOSOVO, MFASriLanka, MFA_Austria, MFA_Mongolia, MFA_Ukraine, MFAofArmenia, MID_RF, MOFAVietNam, MeGovernment, MinBZ, MiroCerar, MiroslavLajcak, MofaNepal, PHammondMP, PMBhutan, PMNawazSharif, PMOBhutan, PSCU_Digital, PresidenceMali, PresidentKE, PresidentYameen, PutinRF_Eng, SpainMFA, StateHouseKenya, StateHouseSey, SusanaMalcorra, TaaviRoivas, UKenyatta, VladaRH, borgebrende, dfatirl, erna_solberg, eu_eeas, foreignoffice, francediplo_EN, kpsharmaoli, merrionstreet, mfa_russia, prensapalacio, pressslujba, sebastiankurz, vencancilleria</t>
  </si>
  <si>
    <t>AButkevicius, AlbanianMFA, Arlietas, BgPresidency, CanadaFP, CanadaPE, CancilleriaPeru, CancilleriaPma, CyprusMFA, DutchMFA, ForeignMinistry, GeoffreyOnyeama, GermanyDiplo, GreeceMFA, Grybauskaite_LT, GuvernulRMD, HashimThaciRKS, HildaHeine, IKasoulides, IgnacioYbanez, InokeRatu, IsabelStMalo, IsraelRussian, ItamaratyGovBr, JulieBishopMP, Latvian_MFA, MFABulgaria, MFA_Ukraine, MZZRS, MargvelashviliG, MeGovernment, MiroCerar, NorwayMFA, PHammondMP, Palazzo_Chigi, Petrit, PresidenceMali, PresidenciaRD, PresidentKE, PresidenteCV, SusanaMalcorra, SweMFA, TheBankova, VladaRH, avucic, borgebrende, cancilleriacrc, edgarsrinkevics, eu_eeas, fhollande, foreignoffice, francediplo_AR, govSlovenia, mauriciomacri, pressslujba, rubirivlin</t>
  </si>
  <si>
    <t>CancilleriaPeru, GeoffreyOnyeama, JocelermeP, PresidenceMali, PresidentKE, foreignaffairng, foreignoffice, macky_sall</t>
  </si>
  <si>
    <t>CancilleriaPeru, Itamaraty_EN, Latvian_MFA, MFAgovge, MeGovernment, SweMFA, TaaviRoivas, VladaRH, filip_pavel, valtioneuvosto</t>
  </si>
  <si>
    <t>AlbanianMFA, AuswaertigesAmt, BelarusMFA, CancilleriaPeru, GreeceMFA, ItamaratyGovBr, Itamaraty_EN, Itamaraty_ES, Kristian_Jensen, MFAKOSOVO, MFAgovge, MID_RF, MVEP_hr, MZZRS, MeGovernment, MinCanadaAE, MinCanadaFA, SpainMFA, SusanaMalcorra, SweMFA, Utrikesdep, VladaRH, govSlovenia, marianorajoy</t>
  </si>
  <si>
    <t>BelarusMFA, CanadaFP, CancilleriaPeru, HashimThaciRKS, IsraelMFA, MFABulgaria, MFAIceland, MFA_Austria, MFA_Ukraine, MID_RF, NasserJudeh, Petrit, Utrikesdep, eu_eeas, mfa_russia</t>
  </si>
  <si>
    <t>AMB_A_Mohammed, CancilleriaPma, ChileMFA, HannaTetteh, IKasoulides, IgnacioYbanez, Itamaraty_ES, LT_MFA_Stratcom, MEAIndia, MOFAVietNam, MinCanadaAE, VladaCG, filip_pavel, pressslujba, vladaRS</t>
  </si>
  <si>
    <t>APUkraine, CanadaFP, CancilleriaPeru, EPN, EUCouncilPress, GovPH_PCOO, HildaHeine, ItamaratyGovBr, JuanManSantos, NorwayMFA, PHammondMP, Palazzo_Chigi, PresidenteCV, SusanaMalcorra, SweMFA, TheBankova, VladaRH, eucopresident, fhollande, johnkeypm, marianorajoy, mfa_russia</t>
  </si>
  <si>
    <t>ABLPGastonbrown, AButkevicius, AMB_A_Mohammed, APUkraine, AlbanianMFA, AnastasiadesCY, Arlietas, BWGovernment, BgPresidency, BhutanGov, BorutPahor, Brivibas36, CYpresidency, CanadaFP, CanadaPE, CancilleriaPeru, CancilleriaPma, CharlesMichel, CharlieFlanagan, ChileMFA, CommsUnitSL, CyprusMFA, Diplomacy_RM, DrTedros, DutchMFA, EPN, EUCouncil, EUCouncilPress, EUCouncilTVNews, EU_Commission, EndaKennyTD, FCOArabic, FilipeNyusi, ForeignMinistry, GMICafghanistan, Gebran_Bassil, GeoffreyOnyeama, GovMonaco, GreeceMFA, Grybauskaite_LT, GuvernulRMD, Habib_essid, HannaTetteh, HashimThaciRKS, HildaHeine, IKasoulides, IakobaItaleli, IgnacioYbanez, IndianDiplomacy, InokeRatu, Israel, IsraelMFA, IsraeliPM, ItamaratyGovBr, Itamaraty_EN, Itamaraty_ES, JC_Varela, JocelermeP, JuanManSantos, JulieBishopMP, JunckerEU, KarimMassimov, KarimMassimov_E, KeithRowleyPNM, KremlinRussia_E, Kristian_Jensen, Latvian_MFA, LinkeviciusL, LithuaniaMFA, MFABulgaria, MFAIceland, MFAKOSOVO, MFASriLanka, MFA_Austria, MFA_KZ, MFA_Mongolia, MFA_Ukraine, MFAgovge, MFAupdate, MID_RF, MIREXRD, MNEGOVPT, MVEP_hr, MZZRS, MaithripalaS, Malaysia_Gov, Mapon_Matata, MargvelashviliG, MeGovernment, MichelTemer, MinisterMOFA, Minrel_Chile, MiroCerar, NikolaPoposki, NorwayMFA, OAAInformation, OFMUAE, PMOBhutan, PMOIndia, PMOMalaysia, PSCU_Digital, PakDiplomacy, Palazzo_Chigi, PaoloGentiloni, Petrit, PolandMFA, Portal_Kemlu_RI, PresidenceMali, Presidence_gn, PresidenciaRD, PresidencyGhana, PresidencySrb, PresidenteCV, PrimatureRwanda, PrimeMinistry, PrimeministerGR, RegSprecher, RepSouthSudan, RobertFico, RwandaMFA, SRE_mx, SalamTammam, SeychellesMFA, SigurdurIngiJ, SkerritR, SpainMFA, StateDeptLive, StateHouseSey, Statsmin_kontor, SusanaMalcorra, SweMFA, TPKanslia, TaaviRoivas, TheBankova, TheVillaSomalia, UKUrdu, UM_dk, Ulkoministerio, UrugwiroVillage, Utenriksdept, Utrikesdep, VladaCG, VladaRH, Vyriausybe, avucic, borgebrende, cancilleriacrc, ditmirbushati, djiboutidiplo, dreynders, edgarsrinkevics, ediramaal, erna_solberg, eu_eeas, foreignMV, foreignaffairng, foreigntanzania, francediplo_EN, govSlovenia, infopresidencia, khalidalkhalifa, manuelvalls, mauriciomacri, md_higgins, mfagovtt, narendramodi, niinisto, osucastle, pmoffice_mn, presidencia_cl, presidenciacr, presidentMT, pressslujba, rdussey, samoagovt, strakovka, ts_elbegdorj, vladaOCDrs, vladaRS</t>
  </si>
  <si>
    <t>CanadaFP, CanadaPE, CancilleriaCol, CancilleriaEc, CancilleriaPma, Israel, IsraelMFA, ItamaratyGovBr, Itamaraty_EN, Itamaraty_ES, JC_Varela, JocelermeP, JuanOrlandoH, MFAEcuador, MIREXRD, MOFAVietNam, Minrel_Chile, PHammondMP, Palazzo_Chigi, Prensa_Palacio, PresidenciaPma, PresidenciaPy, PresidenciaRD, SRECIHonduras, SRE_mx, SusanaMalcorra, SweMFA, VladaRH, eucopresident, johnkeypm, luisguillermosr, marianorajoy, mauriciomacri, presidencia_cl, presidenciacr, ruizmassieu, sanchezceren</t>
  </si>
  <si>
    <t>CancilleriaPeru, CourGrandDucale, GovMonaco, PHammondMP, PresidenceMali, SweMFA, VladaRH, mfa_russia</t>
  </si>
  <si>
    <t>CancilleriaPeru, MAE_Haiti, SkerritR, StateHouseSey, SweMFA, VladaRH</t>
  </si>
  <si>
    <t>ABZayed, AlbanianMFA, AuswaertigesAmt, BelarusMFA, BelarusMID, CanadaFP, CancilleriaPeru, CancilleriaPma, DutchMFA, EUCouncilTVNews, GermanyDiplo, GreeceMFA, HashimThaciRKS, ItamaratyGovBr, Itamaraty_EN, Itamaraty_ES, Kristian_Jensen, LithuaniaMFA, MAERomania, MFAIceland, MFA_Austria, MFA_Ukraine, MFAgovge, MID_RF, MVEP_hr, MZZRS, MeGovernment, MinCanadaAE, MinCanadaFA, MinisterMOFA, NasserJudeh, NorwayMFA, RwandaMFA, SalamTammam, SpainMFA, SusanaMalcorra, TROfficeofPD, Utrikesdep, VladaRH, avucic, eu_eeas, foreignoffice, francediplo, jeanmarcayrault, mfa_russia, mzvcr, presidentMT</t>
  </si>
  <si>
    <t>AMB_A_Mohammed, AbdoulayeDiop8, BurundiForeign, CanadaFP, CancilleriaPeru, CommsUnitSL, DIRCO_ZA, GouvGabon, GovernmentZA, HailemariamD, HannaTetteh, IndianDiplomacy, IsmailOguelleh, ItamaratyGovBr, Itamaraty_EN, Itamaraty_ES, LMushikiwabo, MFAKOSOVO, MFA_Mongolia, MIREXRD, MZZRS, MeGovernment, MinisterMOFA, NorwayMFA, OPMUganda, PSCU_Digital, PakDiplomacy, PatriceTrovoada, Petrit, PresidenciaRD, PresidentKE, PrimatureRwanda, RepSouthSudan, RwandaMFA, Sekhoutoureya, SeychellesMFA, StateHouseKenya, StateHouseUg, SusanaMalcorra, SweMFA, UgandaMediaCent, UrugwiroVillage, Utenriksdept, Utrikesdep, VladaRH, aguribfakim, amurekezi, djiboutidiplo, foreignaffairng, foreignoffice, gouvbenin, johnkeypm, mfaethiopia, pressslujba, somaligov_</t>
  </si>
  <si>
    <t>APUkraine, Arlietas, AuswaertigesAmt, BelarusMFA, BelarusMID, CancilleriaPeru, DanielMitov, Diplomacy_RM, DutchMFA, GermanyDiplo, GreeceMFA, IgnacioYbanez, ItamaratyGovBr, Itamaraty_EN, Itamaraty_ES, JohnKerry, Kabmin_UA, Kristian_Jensen, LT_MFA_Stratcom, Latvian_MFA, MAERomania, MFABulgaria, MFAIceland, MFA_Austria, MFAgovge, MIREXRD, MVEP_hr, MargvelashviliG, MeGovernment, MinCanadaAE, MinCanadaFA, NorwayMFA, SpainMFA, TheBankova, Utrikesdep, VladaRH, francediplo, francediplo_EN, liljaalfreds, margotwallstrom, mofa_kr, pressslujba, prezydentpl, sebastiankurz</t>
  </si>
  <si>
    <t>MFAgovge, MVEP_hr, SpainMFA</t>
  </si>
  <si>
    <t>CancilleriaPeru, MeGovernment, PMOBhutan</t>
  </si>
  <si>
    <t>CancilleriaPeru, PrimatureRwanda, gouvbenin, mfa_russia</t>
  </si>
  <si>
    <t>AButkevicius, APUkraine, AlbanianMFA, BelarusMFA, BgPresidency, BorutPahor, CanadaFP, CancilleriaPeru, CostaPS2015, DrTedros, DutchMFA, EPN, Elysee, FCOArabic, ForeignMinistry, Gebran_Bassil, GovMonaco, GreeceMFA, Grybauskaite_LT, GvtMonaco, HannaTetteh, HashimThaciRKS, HildaHeine, IgnacioYbanez, Israel, IsraelMFA, IsraeliPM, ItamaratyGovBr, Itamaraty_EN, JocelermeP, JulieBishopMP, KagutaMuseveni, KolindaGK, Kronprinsparet, LinkeviciusL, LithuaniaMFA, MAE_Haiti, MFABulgaria, MFAKOSOVO, MFASriLanka, MFA_Ukraine, MFAgovge, MFAofArmenia, MZZRS, MargvelashviliG, MeGovernment, MichelTemer, Minrel_Chile, MiroCerar, NikolaPoposki, NoticiaCR, PHammondMP, PMOMalaysia, PSCU_Digital, Petrit, Prensa_Palacio, PresidenceMali, PresidentKE, PresidenteCV, PrimatureHT, PrimatureRwanda, PrimeministerGR, RegSprecher, RoyalFamily, SRECIHonduras, SalamTammam, SeychellesMFA, SlovakiaMFA, SpainMFA, StateHouseKenya, StateHouseSey, StateHouseUg, SweMFA, TerzaLoggia, TheBankova, TurnbullMalcolm, UKUrdu, VladaRH, aguribfakim, edgarsrinkevics, ediramaal, eu_eeas, eucopresident, foreignoffice, govSlovenia, lacasablanca, margotwallstrom, marianorajoy, mfaethiopia, mreparaguay, noynoyaquino, ortcomkz, pressslujba, samoagovt</t>
  </si>
  <si>
    <t>CanadaFP, CharlesMichel, Elysee, GvtMonaco, JocelermeP, MAE_Haiti, PHammondMP, SweMFA, TerzaLoggia, VladaRH, ediramaal</t>
  </si>
  <si>
    <t>CanadaFP, CostaPS2015, ItalyMFA, JunckerEU, PHammondMP, Palazzo_Chigi, SweMFA, TerzaLoggia, VladaRH, ditmirbushati, eu_eeas, matteorenzi, mfaethiopia, pressslujba, ugolini_massimo</t>
  </si>
  <si>
    <t>AButkevicius, CancilleriaPeru, JocelermeP, PHammondMP, TerzaLoggia, VladaRH</t>
  </si>
  <si>
    <t>AlbanianMFA, CanadaFP, CancilleriaPeru, ItamaratyGovBr, MNEGOVPT, MichelTemer, PHammondMP, PresidencySrb, SweMFA, TerzaLoggia, USAemPortugues, VladaRH, luisguillermosr, mgonzalezsanz</t>
  </si>
  <si>
    <t>AButkevicius, AnastasiadesCY, Arlietas, AuswaertigesAmt, CanadaFP, CancilleriaPeru, CharlesMichel, DanielMitov, Diplomacy_RM, HashimThaciRKS, HildaHeine, Israel, IsraelMFA, JanelidzeMkh, KvirikashviliGi, LT_MFA_Stratcom, Latvian_MFA, LithuaniaMFA, MFAIceland, MFAgovge, MargvelashviliG, MeGovernment, MiroCerar, MiroslavLajcak, NorwayMFA, PHammondMP, SlovakiaMFA, TaaviRoivas, TheBankova, VladaRH, ZaoralekL, borgebrende, edgarsrinkevics, eu_eeas, fhollande, foreignoffice, infopresidencia, prezydentpl, sebastiankurz</t>
  </si>
  <si>
    <t>AlbanianMFA, BelarusMFA, CancilleriaPeru, ChileMFA, Diplomacy_RM, DutchMFA, GreeceMFA, HashimThaciRKS, IsraelMFA, IstanaRakyat, ItamaratyGovBr, Itamaraty_EN, Itamaraty_ES, JulieBishopMP, LithuaniaMFA, MAERomania, MEAIndia, MFAIceland, MFA_KZ, MFA_Ukraine, MID_RF, MOFAVietNam, MinCanadaFA, NorwayMFA, SpainMFA, VladaRH, borgebrende, cancilleriasv, eu_eeas, francediplo</t>
  </si>
  <si>
    <t>APUkraine, AbeShinzo, AlbanianMFA, AuswaertigesAmt, BR_Sprecher, BgPresidency, Brivibas36, CancilleriaPeru, CharlesMichel, ChileMFA, CiolosDacian, CostaPS2015, Diplomacy_RM, DutchMFA, EPN, EconEngage, EndaKennyTD, FijiPM, ForeignMinistry, ForeignStrategy, French_Gov, GeoffreyOnyeama, GermanyDiplo, GreeceMFA, Grybauskaite_LT, GuillaumeLong, HannaTetteh, IgnacioYbanez, IsabelStMalo, Israel, IsraelMFA, IsraeliPM, ItamaratyGovBr, Itamaraty_EN, Itamaraty_ES, JC_Varela, JanelidzeMkh, JocelermeP, JosephMuscat_JM, JulieBishopMP, KolindaGK, Kristian_Jensen, Kronprinsparet, LinkeviciusL, LithuaniaMFA, MFAEcuador, MFAFiji, MFAIceland, MFASriLanka, MFA_Austria, MFA_KZ, MFA_Ukraine, MFAofArmenia, MIREXRD, MOFAVietNam, MOTPGuyana, MaithripalaS, MargvelashviliG, MeGovernment, MichelTemer, MinBZ, MinCanadaFA, Minrel_Chile, MiroCerar, NajibRazak, NikolaPoposki, NorwayMFA, OPMJamaica, PHammondMP, PMNawazSharif, PaoloGentiloni, PaulKagame, Petrit, Portal_Kemlu_RI, Prensa_Palacio, PresAlphaConde, PresDGranger, PresidenciaPy, Presidencia_HN, PresidentKE, PresidentYameen, PrimatureHT, PrimeministerGR, RW_UNP, RegSprecher, Rigas_pils, RoyalFamily, SRE_mx, SalamTammam, SeychellesMFA, SkerritR, SlavekSobotka, SpainMFA, StateHouseKenya, StateHouseSey, SusanaMalcorra, SweMFA, TaaviRoivas, TheBankova, TheVillaSomalia, UKenyatta, UM_dk, USAUrdu, USAbilAraby, USAdarFarsi, USAemPortugues, USAenEspanol, USAenFrancais, USApoRusski, UgandaMFA, Utrikesdep, VladaRH, agarciapadilla, ashrafghani, borgebrende, cancilleriasv, dfatirl, ditmirbushati, erna_solberg, eu_eeas, filip_pavel, foreignoffice, francediplo, francediplo_EN, gouvernementFR, infopresidencia, macky_sall, manuelvalls, marianorajoy, mauriciomacri, merrionstreet, mfaethiopia, namibia_mfa, niinisto, poroshenko, prensapalacio, presidentMT, prezydentpl, samoagovt, tsheringtobgay</t>
  </si>
  <si>
    <t>CancilleriaPeru, GouvGabon, ItamaratyGovBr, PresidenceMali, StateHouseSey, SweMFA, VladaRH</t>
  </si>
  <si>
    <t>BorutPahor, CancilleriaPeru, DutchMFA, MFAofArmenia, MeGovernment, MiroCerar, SerbianPM, SweMFA, VladaCG, VladaRH, govSlovenia, vladaRS</t>
  </si>
  <si>
    <t>CRcancilleria, HeraldoMunoz, IsraelMFA, ItamaratyGovBr, Itamaraty_EN, Itamaraty_ES, JocelermeP, MFAEcuador, MIREXRD, MeGovernment, MinexGt, Minrel_Chile, PHammondMP, Palazzo_Chigi, PresidenciaPy, PresidenciaRD, Presidencia_HN, PrimeministerGR, SpainMFA, SusanaMalcorra, SweMFA, TROfficeofPD, VladaRH, marianorajoy, mgonzalezsanz, presidenciacr</t>
  </si>
  <si>
    <t>BurundiForeign, CancilleriaPeru, DiploPubliqueTR, GouvGabon, HannaTetteh, Mapon_Matata, PresidenceTg, PrimatureRDC, RepSouthSudan, SweMFA, TROfficeofPD, USAenFrancais, VladaRH, francediplo, macky_sall</t>
  </si>
  <si>
    <t>CancilleriaPeru, CharlesMichel, DiploPubliqueTR, GouvGabon, Israel, IsraelMFA, ItamaratyGovBr, PresidenceMali, VladaRH</t>
  </si>
  <si>
    <t>AuswaertigesAmt, BurundiForeign, CancilleriaPeru, CharlesMichel, GouvGabon, IsraelMFA, ItamaratyGovBr, JocelermeP, MFAKOSOVO, MIREXRD, PHammondMP, PresidenceNiger, RwandaMFA, SpainMFA, VladaRH, namibia_mfa, presidenciacr</t>
  </si>
  <si>
    <t>MeGovernment, togoprimature</t>
  </si>
  <si>
    <t>CancilleriaEc, CancilleriaPeru, GuatemalaGob, GuillaumeLong, ItamaratyGovBr, JC_Varela, MFAThai, MOFAVietNam, MinexGt, PHammondMP, PresidenciaPma, PresidenciaPy, PresidenciaRD, Presidencia_HN, SRECIHonduras, Utrikesdep, VladaRH, luisguillermosr, pcmperu, prensapalacio</t>
  </si>
  <si>
    <t>Brivibas36, CanadaFP, CasaCivilPRA, ChileMFA, EPN, GuatemalaGob, GuillaumeLong, Israel, IsraelMFA, Itamaraty_EN, Itamaraty_ES, MAECgob, MFAEcuador, MIREXRD, MeGovernment, MinexGt, Minrel_Chile, PHammondMP, PMOMalaysia, Palazzo_Chigi, Prensa_Palacio, PresidenciaPma, PresidenciaPy, Presidencia_HN, PrimeministerGR, SRECIHonduras, SRE_mx, SpainMFA, SweMFA, VladaRH, cancilleriacrc, cancilleriasv, eucopresident, foreignoffice, luisguillermosr, marianorajoy, mincombolivia, pcmperu, prensapalacio, presidenciacr, sanchezceren</t>
  </si>
  <si>
    <t>CancilleriaEc, CancilleriaPeru, ItamaratyGovBr, MIREXRD, MeGovernment, MinexGt, Minrel_Chile, PresidenciaPy, Presidencia_HN, SRECIHonduras, SweMFA, VladaRH, cancilleriacrc, infopresidencia, luisguillermosr, marianorajoy</t>
  </si>
  <si>
    <t>CancilleriaEc, CancilleriaPeru, CancilleriaPma, ItamaratyGovBr, Itamaraty_EN, Itamaraty_ES, JocelermeP, MFA_KZ, MIREXRD, MinexGt, PHammondMP, PMOMalaysia, Palazzo_Chigi, PresidenciaPma, PresidenciaPy, Presidencia_HN, PresidenteCV, SRECIHonduras, SweMFA, VladaRH, cancilleriasv, eucopresident, francediplo_ES, mincombolivia</t>
  </si>
  <si>
    <t>CanadaFP, CanadaPE, ChileMFA, IsraelMFA, ItamaratyGovBr, MID_RF, MinexGt, PHammondMP, PrensaHC, Presidencia_HN, SRECIHonduras, SweMFA, VladaRH, cancilleriasv, foreignoffice, mfa_russia, pcmperu</t>
  </si>
  <si>
    <t>CRcancilleria, CancilleriaPeru, CancilleriaPma, DeptEstadoPR, IsraelMFA, Itamaraty_EN, Itamaraty_ES, JocelermeP, PHammondMP, PrimatureHT, SRECIHonduras, SRE_mx, SweMFA, VladaRH, vencancilleria</t>
  </si>
  <si>
    <t>GreeceMFA, MiroCerar, PrimeministerGR</t>
  </si>
  <si>
    <t>CancilleriaPeru, ChileMFA, EndaKennyTD, JocelermeP, MeGovernment, Minrel_Chile, PrimeministerGR, dfatirl, foreignoffice, govdotie</t>
  </si>
  <si>
    <t>CancilleriaPeru, EUCouncilPress, HildaHeine, JunckerEU, MargvelashviliG, MeGovernment, PrimeministerGR, SweMFA, TPKanslia, VladaRH, govpt, marianorajoy</t>
  </si>
  <si>
    <t>BorutPahor, CancilleriaPeru, EmomaliRahmon, GOVuz, IsraelRussian, MFABulgaria, PresidenceMali, StateHouseSey, SweMFA, VladaRH, edgarsrinkevics, ortcomkz, predsednikrs, pressslujba</t>
  </si>
  <si>
    <t>AbdoulayeDiop8, AlbanianMFA, AnastasiadesCY, AuswaertigesAmt, BgPresidency, CancilleriaPeru, DIRCO_ZA, EUCouncil, EUCouncilPress, EmomaliRahmon, GovernmentZA, GuillaumeLong, HannaTetteh, Israel, IsraelMFA, ItamaratyGovBr, LinkeviciusL, MFABulgaria, MFASriLanka, MFA_KZ, MFA_Mongolia, MFA_analysis, Malaysia_Gov, MeGovernment, MinisterMOFA, MiroCerar, NorwayMFA, Palazzo_Chigi, Prensa_Palacio, PresidencySrb, PrimeministerGR, SeychellesMFA, StateHouseSey, SusanaMalcorra, SweMFA, VladaRH, eucopresident, pcmperu, predsednikrs, prensapalacio, pressslujba</t>
  </si>
  <si>
    <t>CanadaFP, CancilleriaPeru, CharlesMichel, DutchMFA, FCOArabic, ForeignMinistry, IakobaItaleli, Israel, IsraelMFA, ItamaratyGovBr, JuanManSantos, KeithRowleyPNM, Kronprinsparet, MFAKOSOVO, MFASriLanka, MVEP_hr, MeGovernment, NasserJudeh, NorwayMFA, PHammondMP, PMOBhutan, PMOMalaysia, PresidenciaRD, PrimeMinistry, RepSouthSudan, RobertFico, RwandaMFA, SweMFA, UKUrdu, USAbilAraby, UrugwiroVillage, VladaRH, dreynders, ediramaal, eucopresident, foreignoffice, francediplo_AR, khalidalkhalifa, macky_sall, manuelvalls, marianorajoy, mauriciomacri, palaismonaco</t>
  </si>
  <si>
    <t>CancilleriaEc, CancilleriaPeru, DrodriguezVen, DutchMFA, EPP_Nicaragua, GuillaumeLong, JocelermeP, JuanManSantos, MIREXRD, Prensa_Palacio, PresidenciaPy, PresidenciaRD, SeychellesMFA, SkerritR, StateHouseSey, SweMFA, VladaRH, mfa_russia, presidencia_cl, sanchezceren, vencancilleria</t>
  </si>
  <si>
    <t>CancilleriaPeru, MeGovernment, rdussey</t>
  </si>
  <si>
    <t>APUkraine, AuswaertigesAmt, CancilleriaPeru, CharlesMichel, DutchMFA, FCOArabic, ForeignMinistry, Habib_essid, IndianDiplomacy, Israel, IsraelMFA, JC_Varela, MOFAUAE, NasserJudeh, NorwayMFA, PHammondMP, PrimeMinistry, QueenRania, SweMFA, VladaRH, borgebrende, ditmirbushati, eu_eeas, manuelvalls, marianorajoy, presidentMT</t>
  </si>
  <si>
    <t>ABLPGastonbrown, Arlietas, BWGovernment, Brivibas36, CanadaFP, CanadaPE, CancilleriaPeru, CourGrandDucale, David_Cameron, Diplomacy_RM, FCOArabic, GovMonaco, Grybauskaite_LT, GvtMonaco, Israel, IsraelMFA, JocelermeP, JuanManSantos, JulieBishopMP, KeithRowleyPNM, Latvian_MFA, LithuaniaMFA, MFAFiji, MFASriLanka, MFA_Ukraine, MFAgovge, MVEP_hr, MeGovernment, Palazzo_Chigi, PresidencySrb, PresidenteCV, RobertFico, SweMFA, UKUrdu, VladaCG, VladaRH, dfat, dfatirl, edgarsrinkevics, foreignoffice, francediplo, merrionstreet, narendramodi, palaismonaco, presidencia_cl, rdussey, ruizmassieu, samoagovt</t>
  </si>
  <si>
    <t>APUkraine, AbdoulayeDiop8, Ahmet_Davutoglu, BasbakanlikKDK, BelarusMID, BorutPahor, Byegm, ByegmENG, ByegmRU, CanadaFP, CancilleriaEc, CancilleriaPeru, CancilleriaPma, ChileMFA, DiploPubliqueTR, Diplomacy_RM, EPN, EconEngage, EmomaliRahmon, HashimThaciRKS, HildaHeine, Israel, IsraelMFA, JuanManSantos, Kristian_Jensen, MFAKOSOVO, MFAgovge, MID_RF, MargvelashviliG, MeGovernment, MevlutCavusoglu, MinisterMOFA, Minrel_Chile, MiroCerar, MiroslavLajcak, NorwayMFA, Number10gov, PDTurkeyArabic, PMOMalaysia, Petrit, SalahRabbani, SusanaMalcorra, SweMFA, TC_Disisleri, TROfficeofPD, VladaRH, djiboutidiplo, edgarsrinkevics, eucopresident, fhollande, filip_pavel, foreignoffice, macky_sall, marianorajoy, mfa_russia, poroshenko, presidencia_cl, prezydentpl, rterdogan_ar</t>
  </si>
  <si>
    <t>CancilleriaCol, CancilleriaEc, CancilleriaPeru, ChileMFA, GeoffreyOnyeama, IsabelStMalo, Itamaraty_ES, JohnKerry, JulieBishopMP, LithuaniaMFA, MAECgob, MEAIndia, MID_RF, MinCanadaAE, MinCanadaFA, MinexGt, Minrel_Chile, SRECIHonduras, SusanaMalcorra, borgebrende, cancilleriasv, eu_eeas, foreignoffice</t>
  </si>
  <si>
    <t>MeGovernment, mfa_russia</t>
  </si>
  <si>
    <t>CancilleriaPeru, SkerritR, StateHouseSey, SweMFA, VladaRH, cancilleriasv, gisbarbados, pdhnisbett, skngov</t>
  </si>
  <si>
    <t>CancilleriaPeru, MFAFiji, NorwayMFA, StateHouseSey, SweMFA, VladaRH</t>
  </si>
  <si>
    <t>CancilleriaPeru, GuillaumeLong, MIREXRD, MinexGt, Minrel_Chile, PresidenciaPma, VladaRH, foreignoffice, infopresidencia, marianorajoy, mgonzalezsanz</t>
  </si>
  <si>
    <t>AMB_A_Mohammed, BdiPresidence, BorutPahor, CancilleriaPeru, CasaCivilPRA, CommsUnitSL, DIRCO_ZA, GeoffreyOnyeama, GouvGabon, GovernmentZA, GuillaumeLong, HannaTetteh, HildaHeine, IsraelMFA, ItamaratyGovBr, JuanManSantos, KeithRowleyPNM, MBuhari, MFAKOSOVO, MID_RF, NorwayMFA, PHammondMP, PMOIndia, PR_Paul_Biya, Palazzo_Chigi, PresidenceMali, PresidenteCV, PrimatureRDC, PrimatureRwanda, PrimeministerGR, PutinRF_Eng, RwandaMFA, SeychellesMFA, StateHouseKenya, StateHouseSey, SweMFA, UKenyatta, UrugwiroVillage, VladaRH, eucopresident, fhollande, foreignoffice, francediplo, gouvbenin, hagegeingob, macky_sall, mfa_russia, namibia_mfa</t>
  </si>
  <si>
    <t>BelarusMFA, BelarusMID, CanadaFP, CancilleriaPeru, CzechMFA, DrTedros, DrZvizdic, DutchMFA, GreeceMFA, IgnacioYbanez, ItamaratyGovBr, Itamaraty_EN, Itamaraty_ES, Kristian_Jensen, LT_MFA_Stratcom, LithuaniaMFA, MAERomania, MFASriLanka, MFAofArmenia, MID_RF, MeGovernment, MinCanadaAE, MinCanadaFA, Petrit, RwandaMFA, Utrikesdep, VladaCG, VladaRH, adrian_hasler, filip_pavel, liljaalfreds, margotwallstrom, mfa_russia, pressslujba</t>
  </si>
  <si>
    <t>CancilleriaPeru, DiploPubliqueTR, ItamaratyGovBr, PrimatureRDC, SweMFA, VladaRH</t>
  </si>
  <si>
    <t>CancilleriaPeru, JocelermeP, MFAgovge, SweMFA, govSlovenia, predsednikrs, vladaOCDrs</t>
  </si>
  <si>
    <t>CancilleriaPeru, KvirikashviliGi, MVEP_hr, MeGovernment, MiroCerar, PremierRP, avucic, filip_pavel, prezydentpl</t>
  </si>
  <si>
    <t>AuswaertigesAmt, BelarusMFA, CancilleriaARG, CancilleriaPA, ChileMFA, Itamaraty_EN, Itamaraty_ES, LithuaniaMFA, MEAIndia, MFA_KZ, MFA_Ukraine, MID_RF, NorwayMFA, Presidencia_HN, SRECIHonduras, SpainMFA, VladaRH, cancilleriacrc, eu_eeas, foreignoffice, francediplo, francediplo_ES, merrionstreet, pcmperu, prensapalacio, sanchezceren</t>
  </si>
  <si>
    <t>APUkraine, AbdoulayeDiop8, AlbanianMFA, Arlietas, AuswaertigesAmt, AzerbaijanMFA, BWGovernment, BarackObama, BelarusMID, BgPresidency, BorutPahor, CanadaPE, CancilleriaARG, CancilleriaEc, CancilleriaPeru, CharlesMichel, ChileMFA, CommsUnitSL, CyprusMFA, CzechMFA, DanielMitov, Diplomacy_RM, DrTedros, DutchMFA, EUCouncil, EUCouncilPress, EUCouncilTVNews, EU_Commission, FedericaMog, FijiPM, ForeignOfficePk, ForeignStrategy, GeoffreyOnyeama, GouvGabon, GuillaumeLong, HannaTetteh, HashimThaciRKS, IKasoulides, IgnacioYbanez, Israel, IsraelArabic, IsraelHebrew, IsraelRussian, IsraeliPM, Itamaraty_EN, Itamaraty_ES, JC_Varela, JanelidzeMkh, JocelermeP, JuanManSantos, JulieBishopMP, KhaledBahah, Kristian_Jensen, KvirikashviliGi, LMushikiwabo, LT_MFA_Stratcom, LinkeviciusL, MAECgob, MAERomania, MAE_Haiti, MDVForeign, MEAIndia, MFAFiji, MFAKOSOVO, MFASriLanka, MFA_KZ, MFA_Mongolia, MFA_Tajikistan, MFA_analysis, MFAgovge, MFAofArmenia, MFAupdate, MID_RF, MIREXRD, MNEGOVPT, MOFAVietNam, MOTPGuyana, MPMCTweeter, MVEP_hr, MaithripalaS, MargvelashviliG, MarinaKaljurand, MeGovernment, MfaEgypt, MinCanadaAE, MinCanadaFA, MinexGt, MinisterMOFA, MiroslavLajcak, MofaNepal, NikolaPoposki, OAAInformation, OFMUAE, PMOMalaysia, PakDiplomacy, Palazzo_Chigi, PatriceTrovoada, PavloKlimkin, Petrit, Portal_Kemlu_RI, PremierRP, PresidenceMada, PresidenceMali, PresidenciaRD, PresidenteCV, PrimatureHT, RW_UNP, RepSouthSudan, RwandaMFA, SRECIHonduras, SalamTammam, SeychellesMFA, SkerritR, SlovakiaMFA, SomaliPM, StateHouseSey, TPKanslia, TaaviRoivas, TheBankova, UKUrdu, UM_dk, USApoRusski, Utenriksdept, Utrikesdep, VladaRH, ZaoralekL, aguribfakim, avucic, borgebrende, cancilleriasv, ditmirbushati, djiboutidiplo, eGovMalta, edgarsrinkevics, ediramaal, francediplo_AR, francediplo_ES, govSlovenia, govtofgeorgia, infopresidencia, jeanmarcayrault, khalidalkhalifa, lacasablanca, luisguillermosr, marianorajoy, mfa_russia, mfagovtt, mreparaguay, pcmperu, poroshenko, prensapalacio, presidenciacr, pressslujba, samoagovt, sanchezceren, sebastiankurz, skngov</t>
  </si>
  <si>
    <t>AMB_A_Mohammed, CancilleriaPeru, GouvGabon, OPMUganda, PresidenceMali, RepSouthSudan, SeychellesMFA, StateHouseSey, SweMFA, UgandaMFA, VladaRH</t>
  </si>
  <si>
    <t>CancilleriaEc, IgnacioYbanez, Itamaraty_EN, Itamaraty_ES, MinCanadaAE, Minrel_Chile, NasserJudeh, SpainMFA, eu_eeas, foreignoffice, infopresidencia, mincombolivia, presidencia_cl</t>
  </si>
  <si>
    <t>APUkraine, Arlietas, CancilleriaARG, CancilleriaPma, ChileMFA, HannaTetteh, IKasoulides, ItalyMFA, Itamaraty_EN, Itamaraty_ES, LT_MFA_Stratcom, MEAIndia, MFAEcuador, MFA_analysis, MOFAUAE, MOFAVietNam, MinCanadaAE, MinCanadaFA, MinexGt, Minrel_Chile, MiroslavLajcak, MofaNepal, PakDiplomacy, SRECIHonduras, SRE_mx, SpainMFA, avucic, cancilleriasv, govSlovenia, presidencia_cl, pressslujba, sebastiankurz, vladaOCDrs</t>
  </si>
  <si>
    <t>AuswaertigesAmt, CancilleriaPeru, MeGovernment</t>
  </si>
  <si>
    <t>BorutPahor, CancilleriaPeru, Itamaraty_EN, Kronprinsparet, MFAgovge, MeGovernment, MiroCerar, NorwayMFA, VladaRH, eu_eeas, predsednikrs, valismin</t>
  </si>
  <si>
    <t>Byegm, ByegmENG, ByegmRU, CancilleriaPeru, CancilleriaPma, DiploPubliqueTR, Elysee, GermanyDiplo, HassanalBolkia2, ItamaratyGovBr, Itamaraty_EN, Itamaraty_ES, JocelermeP, MFAKOSOVO, MFATurkey, MFA_KZ, MargvelashviliG, MeGovernment, MofaNepal, NorwayMFA, PHammondMP, Palazzo_Chigi, PresidenceMali, PresidencySrb, PresidenteCV, PrimeministerGR, SeychellesMFA, StateHouseSey, SusanaMalcorra, SweMFA, TROfficeofPD, VladaRH, edgarsrinkevics, foreignoffice, presidencia_cl, rterdogan_ar</t>
  </si>
  <si>
    <t>AnastasiadesCY, AuswaertigesAmt, BelarusMFA, CancilleriaPeru, CharlesMichel, Diplomacy_RM, DrodriguezVen, DutchMFA, GreeceMFA, GuillaumeLong, HashimThaciRKS, Israel, IsraeliPM, MFA_Austria, MeGovernment, MiroCerar, SpainMFA, TaaviRoivas, edgarsrinkevics, eu_eeas, filip_pavel, foreignoffice, manuelvalls, presidencia_cl, vencancilleria</t>
  </si>
  <si>
    <t>AlbanianMFA, AuswaertigesAmt, AzerbaijanMFA, BelarusMID, CancilleriaARG, CancilleriaPeru, ChileMFA, DiploPubliqueTR, DutchMFA, GreeceMFA, ItalyMFA, ItamaratyGovBr, Itamaraty_EN, Itamaraty_ES, LithuaniaMFA, MAECgob, MEAIndia, MFAIceland, MFAKOSOVO, MFA_Austria, MFA_KZ, MFA_Mongolia, MFA_Ukraine, MID_RF, MVEP_hr, MinCanadaAE, MinCanadaFA, NorwayMFA, PolandMFA, RwandaMFA, SpainMFA, Utenriksdept, Utrikesdep, VladaRH, djiboutidiplo, eu_eeas, francediplo, mfa_russia, mfaethiopia, presidenceTN, pressslujba</t>
  </si>
  <si>
    <t>CancilleriaARG, CancilleriaCol, CancilleriaEc, CancilleriaPeru, CancilleriaPma, ItamaratyGovBr, Itamaraty_EN, Itamaraty_ES, MAECgob, MIREXRD, MinexGt, PHammondMP, PresidenciaRD, Presidencia_HN, SRECIHonduras, SpainMFA, USAUrdu, USApoRusski, cancilleriasv, francediplo_ES, infopresidencia, luisguillermosr, pcmperu, prensapalacio, presidencia_sv</t>
  </si>
  <si>
    <t>Brivibas36, CancilleriaPeru, GermanyDiplo, Itamaraty_EN, MFAgovge, MeGovernment, PrimeministerGR, SweMFA, TaaviRoivas, VladaRH</t>
  </si>
  <si>
    <t>AuswaertigesAmt, BelarusMFA, CancilleriaPma, ChileMFA, DutchMFA, IsraelMFA, Itamaraty_EN, Itamaraty_ES, LithuaniaMFA, MEAIndia, MFAIceland, MFA_KZ, MFA_Ukraine, MID_RF, Minrel_Chile, SkerritR, SpainMFA, cancilleriasv, eu_eeas, francediplo, francediplo_ES, mincombolivia, mreparaguay, pressslujba</t>
  </si>
  <si>
    <t>CancilleriaPeru, MFAgovge, MeGovernment, PolandMFA, SerbianGov, SweMFA, VladaCG, VladaRH, avucic, vladaRS</t>
  </si>
  <si>
    <t>Brivibas36, CancilleriaPeru, EUCouncilTVNews, IsraelMFA, Lithuania, MeGovernment, PrimeministerGR, SweMFA, VladaRH, govSlovenia</t>
  </si>
  <si>
    <t>ABLPGastonbrown, AButkevicius, ADO__Solutions, APUkraine, AbdoulayeDiop8, AbeShinzo, AlbanianMFA, AnastasiadesCY, Arlietas, AuswaertigesAmt, BWGovernment, BarackObama, BelarusMFA, BgPresidency, BorutPahor, Brivibas36, CYpresidency, CanadaFP, CanadaPE, CancilleriaEc, CancilleriaPeru, CasaCivilPRA, CharlesMichel, ChileMFA, CiolosDacian, CommsUnitSL, CzechMFA, DanielMitov, David_Cameron, DeptEstadoPR, DutchMFA, EUCouncil, EUCouncilPress, EUCouncilTVNews, EU_Commission, EconEngage, Elysee, FCOArabic, FedericaMog, FijiPM, ForeignMinistry, ForeignStrategy, GeoffreyOnyeama, GermanyDiplo, GouvGabon, Gouvrdcongo, GovMonaco, GovernAndorra, GreeceMFA, Grybauskaite_LT, GuvernulRMD, HannaTetteh, Horacio_Cartes, I_Luksic, IakobaItaleli, IgnacioYbanez, IndianDiplomacy, Israel, IsraelArabic, IsraelMFA, IsraelRussian, IsraeliPM, IsraeliPM_heb, ItalyMFA, ItamaratyGovBr, Itamaraty_EN, Itamaraty_ES, JocelermeP, JuanManSantos, JulieBishopMP, JunckerEU, KarimMassimov, KarimMassimov_E, KeithRowleyPNM, KhaledBahah, KolindaGK, KremlinRussia, KremlinRussia_E, Kronprinsparet, LT_MFA_Stratcom, Latvian_MFA, LinkeviciusL, LithuaniaMFA, MAECgob, MAE_Haiti, MEAIndia, MFAEcuador, MFAFiji, MFAIceland, MFAKOSOVO, MFASriLanka, MFA_Austria, MFA_Mongolia, MFA_Ukraine, MFA_analysis, MFAgovge, MFAofArmenia, MFAupdate, MNEGOVPT, MOFAkr_eng, MVEP_hr, MZZRS, Malaysia_Gov, Mapon_Matata, MargvelashviliG, MarinaKaljurand, MeGovernment, MedvedevRussia, MichelTemer, MinCanadaFA, MinexGt, MinisterMOFA, MiroslavLajcak, MofaNepal, NikolaPoposki, NorwayMFA, NoticiaCR, OAAInformation, OPMJamaica, OPMUganda, PHammondMP, PMOBhutan, PMOIndia, PMOMalaysia, PSCU_Digital, Palazzo_Chigi, Petrit, PolandMFA, PremierRP, PresDGranger, PresidenceMali, Presidenceci, PresidenciaPma, PresidenciaPy, PresidenciaRD, Presidencia_HN, PresidencyGhana, PresidentKE, PresidentYameen, PresidenteCV, PrimatureHT, PrimatureRwanda, PrimeMinisterKR, PrimeministerGR, RW_UNP, RepSouthSudan, RoyalFamily, RwandaGov, RwandaMFA, SRECIHonduras, SRE_mx, SalamTammam, Sekhoutoureya, SerbianGov, SeychellesMFA, SkerritR, SlovakiaMFA, SomaliPM, SpainMFA, StateDeptLive, StateHouseSey, Statsmin_kontor, SweMFA, TPKanslia, TaaviRoivas, TheBankova, TheVillaSomalia, TurnbullMalcolm, UKUrdu, USAUrdu, USAbilAraby, USAdarFarsi, USAemPortugues, USAenEspanol, USAenFrancais, USApoRusski, UgandaMFA, UgandaMediaCent, Ulkoministerio, UrugwiroVillage, Utenriksdept, Utrikesdep, VladaCG, VladaRH, agarciapadilla, aguribfakim, borgebrende, cancilleriacrc, cancilleriasv, ditmirbushati, djiboutidiplo, dreynders, eGovMalta, edgarsrinkevics, ediramaal, egyptgovportal, emansionliberia, eu_eeas, eucopresident, filip_pavel, foreignoffice, fortalezapr, francediplo, francediplo_AR, govSlovenia, imprensaPR, infopresidencia, johnkeypm, juhasipila, khalidalkhalifa, luisguillermosr, margotwallstrom, marianorajoy, mauriciomacri, md_higgins, merrionstreet, mfagovtt, mreparaguay, niinisto, ortcomkzE, osucastle, palaismonaco, pcmperu, poroshenko, presidenciacr, presidentMT, pressslujba, prezydentpl, samoagovt, sanchezceren, sebastiankurz, skngov, valismin, vladaRS</t>
  </si>
  <si>
    <t>CanadaFP, CancilleriaPeru, DutchMFA, EUCouncilTVNews, EU_Commission, EndaKennyTD, Habib_essid, HashimThaciRKS, JosephMuscat_JM, JuanManSantos, MeGovernment, MiroCerar, Number10gov, PHammondMP, PrimeministerGR, StenbockiMaja, VladaRH, adrian_hasler, avucic, edgarsrinkevics, eu_eeas, foreignoffice, marianorajoy, prezydentpl, tsheringtobgay, valismin, vladaRS</t>
  </si>
  <si>
    <t>AButkevicius, Arlietas, AuswaertigesAmt, CancilleriaPeru, Diplomacy_RM, EUCouncilTVNews, GermanyDiplo, LT_MFA_Stratcom, Latvian_MFA, LinkeviciusL, LithuaniaMFA, MFA_Ukraine, MFAgovge, MZZRS, MargvelashviliG, MeGovernment, MiroCerar, SweMFA, TaaviRoivas, VladaRH, edgarsrinkevics, eu_eeas, francediplo, prezydentpl</t>
  </si>
  <si>
    <t>AuswaertigesAmt, BelarusMFA, BelarusMID, CancilleriaPeru, DutchMFA, GreeceMFA, HashimThaciRKS, ItamaratyGovBr, Itamaraty_EN, Itamaraty_ES, Kristian_Jensen, LT_MFA_Stratcom, MAERomania, MFAIceland, MFAKOSOVO, MFA_Austria, MFA_Ukraine, MFAgovge, MID_RF, MVEP_hr, NorwayMFA, Petrit, SpainMFA, Utrikesdep, VladaRH, borgebrende, francediplo, francediplo_EN, liljaalfreds, valismin</t>
  </si>
  <si>
    <t>https://twitter.com/StateDept/lists/united-states-missions1</t>
  </si>
  <si>
    <t>https://twitter.com/MAECgob/lists/emb-cg-espa-a-extranjero/members</t>
  </si>
  <si>
    <t>https://twitter.com/LithuaniaMFA/lists/lithuanian-diplomacy/members</t>
  </si>
  <si>
    <t>https://twitter.com/Utenriksdept/lists/ambassad%C3%B8rer/members</t>
  </si>
  <si>
    <t>https://twitter.com/VladaRH/lists/croatian-embassies</t>
  </si>
  <si>
    <t>https://twitter.com/MFAIceland/lists/icelandic-missions/members</t>
  </si>
  <si>
    <t>https://twitter.com/BelarusMFA/lists/belarus-diplomacy/members</t>
  </si>
  <si>
    <t>https://twitter.com/AlbanianMFA/lists/albanian-diplomacy/members</t>
  </si>
  <si>
    <t>https://twitter.com/Minrel_Chile/lists/cl-en-el-exterior/members</t>
  </si>
  <si>
    <t>https://twitter.com/RwandaMFA/lists/rwanda-embassies-abroad/members</t>
  </si>
  <si>
    <t>https://twitter.com/MinexGt/lists/guatemala-en-el-exterior1/members</t>
  </si>
  <si>
    <t>https://twitter.com/RoyalFamily/lists</t>
  </si>
  <si>
    <t>http://twiplomacy.com/info/asia/Jordan</t>
  </si>
  <si>
    <t>https://twitter.com/MBA_AlThani_</t>
  </si>
  <si>
    <t>https://twitter.com/MBA_AlThani_/status/715146303697731584</t>
  </si>
  <si>
    <t>MBA_AlThani_</t>
  </si>
  <si>
    <t>https://twitter.com/MBA_AlThani_/statuses/724657367707717632</t>
  </si>
  <si>
    <t>https://twitter.com/MBA_AlThani_/lists</t>
  </si>
  <si>
    <r>
      <t>Twiplomacy Stats</t>
    </r>
    <r>
      <rPr>
        <sz val="16"/>
        <color theme="1"/>
        <rFont val="Arial"/>
        <family val="2"/>
      </rPr>
      <t xml:space="preserve"> (1 May 2016)</t>
    </r>
  </si>
  <si>
    <t>Verified (True/False)</t>
  </si>
  <si>
    <r>
      <t>Who Follows Who</t>
    </r>
    <r>
      <rPr>
        <sz val="14"/>
        <color rgb="FF000000"/>
        <rFont val="Calibri"/>
        <family val="2"/>
      </rPr>
      <t xml:space="preserve"> (13.05.2016)</t>
    </r>
  </si>
  <si>
    <t>Tweets per Day (Between the Oldest and Newest Tweets)</t>
  </si>
  <si>
    <t>MOFAKuwait , MofaOman , MOFAUAE , KSAMOFA , AdelAljubeir , MofaQatar_EN , MinCanadaFA , MofaQatar_AR</t>
  </si>
  <si>
    <t>KhaledBahah , borgebrende , CancilleriaPeru</t>
  </si>
  <si>
    <t>ABZayed , khalidalkhalifa , JohnKerry</t>
  </si>
  <si>
    <t>AbeShinzo, AlbanianMFA, AuswaertigesAmt, BelarusMFA, BelgiumMFA, Cabinet, CanadaFP, CyprusMFA, DanielMitov, David_Cameron, Diplomacy_RM, DutchMFA, EconEngage, Elysee, FedericaMog, ForeignMinistry, GermanyDiplo, GreeceMFA, IKasoulides, ItalyMFA, JulieBishopMP, Latvian_MFA, LinkeviciusL, LithuaniaMFA, MFABulgaria, MFAIceland, MFA_Austria, MFA_Ukraine, MFAgovge, MOFAkr_eng, MZZRS, MangalaLK, MBA_AlThani_, MevlutCavusoglu, MiroslavLajcak, NasserJudeh, NikosKotzias, NorwayMFA, Number10gov, PHammondMP, POTUS, PaoloGentiloni, PolandMFA, SRE_mx, SpainMFA, StateDept, StateDeptLive, SweMFA, USAUrdu, USA_Zhongwen, USAbilAraby, USAdarFarsi, USAemPortugues, USAenEspanol, USAenFrancais, borgebrende, ditmirbushati, dreynders, edgarsrinkevics, eu_eeas, eucopresident, foreignoffice, francediplo, francediplo_EN, margotwallstrom, narendramodi, sebastiankurz, valismin</t>
  </si>
  <si>
    <t>ABZayed, AdelAljubeir, BarackObama, HHShkMohd, MBA_AlThani_, MBZNews, MOFAUAE, MofaQatar_AR, StateDept, UAEmGov, WhiteHouse</t>
  </si>
  <si>
    <t>ABZayed, AuswaertigesAmt, AzerbaijanMFA, BelarusMFA, CancilleriaPeru, CyprusMFA, FCOArabic, ForeignMinistry, GreeceMFA, IsraelMFA, ItalyMFA, ItamaratyGovBr, Itamaraty_EN, Itamaraty_ES, LithuaniaMFA, MBA_AlThani_, MEAIndia, MFAIceland, MFAKOSOVO, MFA_Austria, MFA_Mongolia, MFA_Ukraine, MID_RF, MfaEgypt, NorwayMFA, PHammondMP, SpainMFA, SweMFA, VladaRH, cancilleriasv, eu_eeas, francediplo, francediplo_AR, mfa_russia, pressslujba</t>
  </si>
  <si>
    <t>ABZayed, BelarusMFA, CanadaPE, CancilleriaPeru, DutchMFA, IsraelMFA, ItamaratyGovBr, Itamaraty_EN, Itamaraty_ES, LithuaniaMFA, MAECgob, MBA_AlThani_, MFAIceland, MFA_Austria, MFA_KZ, MinCanadaAE, PHammondMP, SpainMFA, VladaRH, eu_eeas, foreignoffice, francediplo, francediplo_EN, mfa_russia</t>
  </si>
  <si>
    <t>AlbanianMFA, CanadaPE, CancilleriaARG, CancilleriaPeru, CommsUnitSL, ForeignMinistry, IgnacioYbanez, ItamaratyGovBr, KhaledBahah, MBA_AlThani_, MEAIndia, MFAIceland, MFA_Austria, MID_RF, MfaEgypt, MinCanadaAE, MinisterMOFA, NorwayMFA, PHammondMP, Petrit, RwandaMFA, SpainMFA, cancilleriasv, francediplo, francediplo_AR, mgonzalezsanz</t>
  </si>
  <si>
    <t>ABZayed, AlbanianMFA, BelarusMFA, CancilleriaPeru, CancilleriaPma, ChileMFA, DutchMFA, FCOArabic, ForeignMinistry, GeoffreyOnyeama, IndianDiplomacy, IsraelMFA, ItamaratyGovBr, Itamaraty_EN, Itamaraty_ES, LithuaniaMFA, MAECgob, MBA_AlThani_, MDVForeign, MEAIndia, MFAIceland, MFA_KZ, MFA_Ukraine, MID_RF, MfaEgypt, MinCanadaAE, MinCanadaFA, NorwayMFA, PDTurkeyArabic, PHammondMP, Saudiegov, SpainMFA, StateDept, cancilleriasv, eu_eeas, francediplo, francediplo_AR, mfa_russia</t>
  </si>
  <si>
    <t>AuswaertigesAmt, CancilleriaPeru, FCOArabic, ForeignMinistry, KhaledBahah, LithuaniaMFA, MBA_AlThani_, MEAIndia, MID_RF, MinCanadaFA, NasserJudeh, PDTurkeyArabic, Saudiegov, SpainMFA, borgebrende, eu_eeas, foreignoffice, manuelvalls, mfa_russia</t>
  </si>
  <si>
    <t>CancilleriaPeru, HonStephaneDion, MBA_AlThani_, PMcanadien</t>
  </si>
  <si>
    <t>ABZayed, ForeignMinistry, MBA_AlThani_, MinCanadaFA, NasserJudeh, PHammondMP, bahdiplomatic, foreignoffice</t>
  </si>
  <si>
    <t>AdelAljubeir, David_Cameron, DrEnsour, FedericaMog, IKasoulides, IsraeliPM, JPN_PMO, KSAMOFA, MBZNews, MOFAKuwait, MOFAUAE, MevlutCavusoglu, MofaQatar_AR, Number10gov, POTUS, Pontifex, QueenRania, RHCJO, StateDeptLive, USAbilAraby, WhiteHouse, bahdiplomatic, ediramaal, fhollande, netanyahu</t>
  </si>
  <si>
    <t>CancilleriaPeru, ForeignMinistry, HukoomiQatar, ItamaratyGovBr, KhaledBahah, MBA_AlThani_, MFAIceland, MID_RF, MofaNepal, PHammondMP, SpainMFA, USAbilAraby, VladaRH, francediplo, francediplo_AR, francediplo_EN, mfa_russia</t>
  </si>
  <si>
    <t>ABZayed, AMB_A_Mohammed, AlbanianMFA, AzerbaijanMFA, BelarusMFA, CancilleriaARG, CancilleriaEc, CancilleriaPeru, CancilleriaPma, CubaMINREX, CyprusMFA, Diplomacy_RM, DutchMFA, GermanyDiplo, GreeceMFA, HannaTetteh, HukoomiQatar, IKasoulides, IgnacioYbanez, IndianDiplomacy, ItalyMFA, ItamaratyGovBr, Itamaraty_EN, Itamaraty_ES, Latvian_MFA, LithuaniaMFA, MAECgob, MAERomania, MBA_AlThani_, MEAIndia, MFABulgaria, MFAEcuador, MFAIceland, MFAKOSOVO, MFA_Austria, MFA_KZ, MFA_Mongolia, MFA_Ukraine, MFAgovge, MFAofArmenia, MID_RF, MOFAVietNam, MVEP_hr, MZZRS, MangalaLK, MeGovernment, MinCanadaAE, MinCanadaFA, MinisterMOFA, MofaNepal, NorwayMFA, PHammondMP, PresidenceMali, RwandaMFA, SlovakiaMFA, SpainMFA, SweMFA, VladaRH, cancilleriasv, eu_eeas, foreignoffice, foreigntanzania, francediplo, francediplo_EN, mfa_russia, mfaethiopia, pressslujba</t>
  </si>
  <si>
    <t>ABZayed, KSAMOFA</t>
  </si>
  <si>
    <t>AdelAljubeir, FCOArabic, HHShkMohd, MBA_AlThani_, MOFAUAE, NasserJudeh, OFMUAE, PHammondMP, UAEmGov, USAbilAraby, khalidalkhalifa, mfa_russia, sebastiankurz</t>
  </si>
  <si>
    <t>ABZayed, AButkevicius, ADO__Solutions, AMB_A_Mohammed, ARG_AFG, A_Davutoglu_ar, A_Davutoglu_eng, AbdoulayeDiop8, AbeShinzo, Ahmet_Davutoglu, AkordaPress, Al_Kasbah, AlsisiOfficial, AnastasiadesCY, Andrej_Kiska, Anifah_myg, Arlietas, AuswaertigesAmt, AzerbaijanMFA, AzerbaijanPA, BR_Sprecher, BWGovernment, B_Izetbegovic, BarackObama, BarrowDean, BasbakanlikKDK, BdiPresidence, BelarusMFA, BelgiumMFA, BrazilGovNews, Brivibas36, BurundiGov, CYpresidency, Cabinet, CabinetSL, CanadaPE, CancilleriaARG, CancilleriaCol, CancilleriaEc, CancilleriaPA, CancilleriaPma, CasaCivilPRA, CasaReal, CharlesMichel, CharlieFlanagan, ChefGov_ma, CommsUnitSL, ComunicadosHN, CourGrandDucale, CzechMFA, DOImalta, DacicIvica, Daniel_k_Duncan, DaniloMedina, David_Cameron, DiploPubliqueTR, Diplomacy_RM, DrEnsour, DrTedros, EPN, EgyPresidency, EmomaliRahmon, EndaKennyTD, EstonianGovt, FedericaMog, FijiGovernment, FijiMFA, FijiPM, FijiRepublic, FinGovernment, ForeignMinistry, ForeignOfficeKE, GH_PARK, GMICafghanistan, GOVuz, Gebran_Bassil, GeorgianGovernm, GjorgeIvanov, GobiernodeChile, GouvGabon, Gouvci, GovMonaco, GovPH_PCOO, GovernmentGeo, GovernmentLY, GovernmentMN, GovernmentRF, GovernmentZA, GreeceMFA, Grybauskaite_LT, GuatemalaGob, GuvernulRM, GvtMonaco, HHShkMohd, HadiPresident, HailemariamD, HassanRouhani, HassanalBolkia2, HeraldoMunoz, Hilaaleege, Horacio_Cartes, IBK_2013, IEmbassy, IKasoulides, IlvesToomas, IndianDiplomacy, InokeRatu, IraqMFA, IsraeliPM, IsraeliPM_heb, Israelipm_ar, IstanaRakyat, ItalyMFA, JC_Varela, JDMahama, JPN_PMO, JZarif, JohnKerry, Jorgecfonseca, JosephMuscat_JM, JuanManSantos, JuanOrlandoH, JulieBishopMP, JunckerEU, KBZayed, Kabmin_UA, Kabmin_UA_e, Kabmin_UA_r, KagutaMuseveni, Kantei_Saigai, KarimMassimov, KarimMassimov_E, KenyaGov, KhaledBahah, KingSalman, KlausIohannis, KremlinRussia, KremlinRussia_E, Kristian_Jensen, Kronprinsparet, LMushikiwabo, Latvian_MFA, LinkeviciusL, Lithuania, MAERomania, MAE_Haiti, MBZNews, MFABulgaria, MFAIraq, MFAThai_PR_EN, MFAThai_Pol, MFATurkey, MFA_Afghanistan, MFA_Austria, MFA_KZ, MFA_LI, MFA_Mongolia, MFA_SriLanka, MFA_Ukraine, MFAofArmenia, MFAsg, MFAupdate, MID_RF, MIREXRD, MNEGOVPT, MOFAEGYPT, MOFAIC, MOFAKuwait, MOFAkr_eng, MPMCTweeter, MSZ_RP, MZemanOficialni, Malaysia_Gov, MaldivesPO, MankeurNdiaye, Mapon_Matata, MarocDiplomatie, Maroc_eGov, MashiRafael, Matignon, MedvedevRussia, MedvedevRussiaE, MevlutCavusoglu, MinBZ, MinPres, MinexGt, Minrel_Chile, MoFA_Indonesia, MofaJapan_en, MofaOman, MofaQatar_AR, MofaQatar_EN, MofaSomalia, MonarchieBe, NajibRazak, NasserJudeh, Nicolae_Timofti, NicolasMaduro, NikolaPoposki, NoticiaCR, Number10gov, OAAInformation, OFMUAE, OPMJamaica, Ollanta_HumalaT, PDTurkeyArabic, PMNawazSharif, PMOComms, PMOIndia, PMOMalaysia, PMTCHAD, POTUS, PR_Paul_Biya, PRepublicaTL, PSCU_Digital, PakDiplomacy, PalestinianGov, PaoloGentiloni, PaulKagame, PavloKlimkin, Pontifex, Pontifex_ar, Pontifex_de, Pontifex_es, Pontifex_fr, Pontifex_it, Pontifex_ln, Pontifex_pl, Pontifex_pt, Portal_Kemlu_RI, Pr_Alpha_Conde, Pravitelstvo_RF, PremierRP, PrensaHC, PresidenceMada, PresidenceMali, Presidenceci, PresidenciaMX, PresidenciaPy, PresidenciaRD, Presidencia_Ec, Presidencia_HN, PresidenciadeHN, PresidencialVen, PresidencyGhana, PresidencyZA, Presidency_Sy, PresidentAM_arm, PresidentAM_eng, PresidentAM_rus, PresidentFuad, PresidentNoy, PresidentRuvi, PresidentUA, PresidenteCV, PrimatureGabon, PrimatureRDC, PrimatureRwanda, PrimeMinistry, PutinRF, PutinRF_Eng, QaTaR_, QueenRania, Quirinale, RHCJO, RT_Erdogan, RashtrapatiBhvn, RaulCastroR, RegSprecher, Regering, RepSouthSudan, Rigas_pils, Rijksoverheid, RobertFico, Rouhani_ir, RoyalFamily, Russia, RwandaGov, RwandaMFA, SAPresident, SCpresidenciauy, SRECIHonduras, SRE_mx, SaintLuciaGov, SalamTammam, SassouCG, Saudiegov, Sekhoutoureya, SkerritR, SomaliPM, StateDept, StateDeptLive, StateHouseKenya, StateHousePress, StateHouseSL, StateHouseSey, StateHouseUg, Statsmin_kontor, StenbockiMaja, SushmaSwaraj, TC_Disisleri, TPKanslia, TROfficeofPD, TaaviRoivas, TaurMatanRuak, TerzaLoggia, TheVillaSomalia, TommyRemengesau, TunisieDiplo, UAEGover, UAEmGov, UKenyatta, UM_dk, UgandaMFA, UgandaMediaCent, Ulkoministerio, UrugwiroVillage, Utrikesdep, Vejonis, Viktor_Orban, VladaMK, Vyriausybe, WhiteHouse, Xavier_Bettel, Yatsenyuk_AP, ZaoralekL, adosolutions, adrian_hasler, agarciapadilla, amurekezi, andresnavarrog, anifah_aman, antiguagov, ashrafghani, atsipras, azpresident, bahdiplomatic, belizegov, borgebrende, brunei_pmo, cabinetofficeuk, cancilleriacrc, cancilleriasv, casacivilbr, deplu, desdelamoncloa, dfaspokesperson, dfat, dfatirl, ditmirbushati, donaldtusk, dreynders, ebkoroma, edgarsrinkevics, ediramaal, egyptgovportal, elbegdorj, emansionliberia, eng_pm_kz, erna_solberg, fhollande, fico2014, foreignMV, foreignoffice, foreigntanzania, forsaetisradun, fortalezapr, francediplo_EN, gobmx, gouvernementFR, govgd, govgeoabkhaz, govgr, govofvanuatu, govpt, govsingapore, govtofgeorgia, guv_ro, hagegeingob, imprensaPR, infopresidencia, jammehofficial, jeanmarcayrault, johnkeypm, jokowi, kantei, kaz_pm_kz, khalidalkhalifa, khamenei_ir, koninklijkhuis, kormany_hu, kyrgyzpresident, lacasablanca, leehsienloong, luisguillermosr, macky_sall, maduro_ar, maduro_be, maduro_cmn, maduro_cn, maduro_de, maduro_en, maduro_fr, maduro_hi, maduro_it, maduro_ja, maduro_pl, maduro_pt, maduro_ru, maduro_zh, margotwallstrom, matteorenzi, md_higgins, merrionstreet, mfaethiopia, mfagovtt, mincombolivia, mofa_uae, mreparaguay, murray_mccully, myGovPortal, mzvcr, narendramodi, netanyahu, niinisto, noynoyaquino, ortcomkz, ortcomkzE, osucastle, palaismonaco, palaisnational, pcmperu, pdhnisbett, pgchristie, pmoffice_mn, poroshenko, prdthailand, predsednikrs, prensapalacio, presedinte_md, presidenceTN, presidencia_cl, presidencia_sv, presidenciacr, presidencymv, presidentMT, presidentaz, press_president, presstj, prezydentpl, primatureci, primeministerkz, regierung_fl, rplevneliev, rterdogan_ar, samoagovt, sanchezceren, sebastiankurz, setkabgoid, skngov, somaligov_, statsradet, strakovka, tcbestepe, teamkanzler, theDIRCO, trpresidency, ts_elbegdorj, tsheringtobgay, uredprh, valismin, valtioneuvosto, zasagmn</t>
  </si>
  <si>
    <t>A_Davutoglu_eng, AbeShinzo, Arlietas, BarackObama, BdiPresidence, BgPresidency, BorutPahor, BoykoBorissov, CancilleriaCol, CancilleriaEc, CancilleriaPA, CzechMFA, David_Cameron, EPN, FijiMFA, ForeignMinistry, ForeignOfficeKE, ForeignStrategy, Gebran_Bassil, GovernmentGeo, HaiderAlAbadi, HassanRouhani, JZarif, JulieBishopMP, JunckerEU, KSAMOFA, LMushikiwabo, MBuhari, MFAThai, MFAThai_PR_EN, MFATurkey, MFATurkeyFrench, MFA_Afghanistan, MFA_SriLanka, MFAsg, MOFAEGYPT, MOFAIC, MOFAKuwait, MOFAUAE, MOFAkr_eng, MSZ_RP, MarocDiplomatie, MevlutCavusoglu, MinBZ, MoFA_Indonesia, MofaJapan_en, MofaJapan_jp, MofaOman, MofaQatar_AR, MofaQatar_EN, MofaSomalia, MongolDiplomacy, NasserJudeh, OFMUAE, PMOIndia, POTUS, PakDiplomacy, PaoloGentiloni, PavloKlimkin, Portal_Kemlu_RI, Presidenceci, PresidenciaMX, PresidencyZA, PrimeministerGR, RoyalFamily, SAPresident, SRE_mx, SlovakiaMFA, SomaliPM, SushmaSwaraj, TC_Disisleri, TROfficeofPD, TerzaLoggia, TunisieDiplo, WhiteHouse, Yatsenyuk_AP, ZaoralekL, adosolutions, bahdiplomatic, borgebrende, cabinetofficeuk, dfat, dfatirl, donaldtusk, dreynders, foreignMV, margotwallstrom, matteorenzi, mfaethiopia, mofa_kr, mreparaguay, mzvcr, vencancilleria</t>
  </si>
  <si>
    <t>ABZayed, A_Davutoglu_ar, A_Davutoglu_eng, AbdoulayeDiop8, Ahmet_Davutoglu, Anifah_myg, Arlietas, AzerbaijanMFA, BarackObama, BasbakanlikKDK, BelarusMID, BelgiumMFA, CanadaPE, CancilleriaARG, CancilleriaCol, CancilleriaEc, CancilleriaPA, CharlieFlanagan, DacicIvica, DanielMitov, DrTedros, DrodriguezVen, EUCouncilPress, EconEngage, FedericaMog, FijiMFA, FinGovernment, ForeignMinistry, ForeignOfficeKE, ForeignOfficePk, ForeignStrategy, Gebran_Bassil, GvtMonaco, HailemariamD, HeraldoMunoz, IlvesToomas, InokeRatu, IsabelStMalo, JZarif, JulieBishopMP, JunckerEU, KSAMOFA, LMushikiwabo, LankaMFA, MAE_Haiti, MDVForeign, MFAFiji, MFAThai, MFAThai_PR_EN, MFAThai_Pol, MFATurkeyArabic, MFATurkeyFrench, MFA_Afghanistan, MFA_SriLanka, MFAsg, MFAupdate, MIREXRD, MNEGOVPT, MOFAEGYPT, MOFAIC, MOFAKuwait, MOFAUAE, MOFAkr_eng, MSZ_RP, MangalaLK, MankeurNdiaye, MarinaKaljurand, MarocDiplomatie, MedvedevRussiaE, MevlutCavusoglu, MinBZ, MinisterMOFA, MoFA_Indonesia, MofaJapan_en, MofaJapan_jp, MofaOman, MofaQatar_AR, MofaQatar_EN, MofaSomalia, MongolDiplomacy, NasserJudeh, NikosKotzias, Number10gov, OFMUAE, PDTurkeyArabic, POTUS, PakDiplomacy, PaoloGentiloni, PavloKlimkin, Portal_Kemlu_RI, PurevsurenL, RepSouthSudan, SRECIHonduras, SalahRabbani, StateDeptLive, SushmaSwaraj, TC_Disisleri, TROfficeofPD, TaaviRoivas, TerzaLoggia, TunisieDiplo, UKUrdu, USAHindiMein, USAUrdu, USAemPortugues, USApoRusski, Vejonis, WhiteHouse, ZaoralekL, andresnavarrog, anifah_aman, bahdiplomatic, borgebrende, cancilleriacrc, deplu, dfaspokesperson, dfat, ditmirbushati, djiboutidiplo, dreynders, erna_solberg, eucopresident, fhollande, foreignMV, foreigntanzania, forsaetisradun, francediplo_AR, francediplo_ES, govpt, govsingapore, khalidalkhalifa, margotwallstrom, mfaethiopia, mfagovtt, mreparaguay, narendramodi, pdhnisbett, poroshenko, th_mfa, vencancilleria</t>
  </si>
  <si>
    <t>AdelAljubeir, BarackObama, BelgiumMFA, BurundiForeign, CRcancilleria, CanadaPE, CancilleriaARG, CancilleriaCol, CancilleriaEc, CancilleriaPA, CubaMINREX, DIRCO_ZA, DanielMitov, David_Cameron, DrTedros, DrodriguezVen, EconEngage, FijiMFA, ForeignMinistry, ForeignOfficeKE, ForeignOfficePk, ForeignStrategy, HeraldoMunoz, IranMFA, IraqMFA, IsabelStMalo, JZarif, JulieBishopMP, KSAMOFA, KTnepal, Kabmin_UA_e, KingSalman, Kristian_Jensen, LMushikiwabo, LankaMFA, MAEHaiti, MAE_Haiti, MDVForeign, MFAIraq, MFAMalta, MFASriLanka, MFAThai_PR_EN, MFATurkeyFrench, MFA_Afghanistan, MFA_SriLanka, MFAsg, MFAupdate, MID_Tajikistan, MIREXRD, MNEGOVPT, MOFAEGYPT, MOFAIC, MOFAKuwait, MOFAKuwait_en, MOFAkr_eng, MSZ_RP, MangalaLK, MankeurNdiaye, MarinaKaljurand, MarocDiplomatie, MevlutCavusoglu, MfaEgypt, MinBZ, MinExterioresUY, MinisterMOFA, MoFA_Indonesia, MofaJapan_en, MofaJapan_jp, MofaNepal, MofaOman, MofaQatar_EN, MofaSomalia, MongolDiplomacy, Number10gov, POTUS, PakDiplomacy, PaoloGentiloni, Pontifex, Portal_Kemlu_RI, PurevsurenL, RegSprecher, RoyalFamily, SRECIHonduras, SRE_mx, StateDeptLive, SushmaSwaraj, TROfficeofPD, TaaviRoivas, TerzaLoggia, TunisieDiplo, UM_dk, UgandaMFA, Ulkoministerio, Utenriksdept, WhiteHouse, Yatsenyuk_AP, bahdiplomatic, borgebrende, cancilleriacrc, deplu, dfaspokesperson, dfat, ditmirbushati, djiboutidiplo, dreynders, fhollande, foreignMV, foreignaffairng, foreigntanzania, francediplo_ES, khalidalkhalifa, kormany_hu, liljaalfreds, margotwallstrom, mfaethiopia, mfagovtt, mfarighana, mgonzalezsanz, mofa_kr, mofa_uae, mofasudan, mreparaguay, mzvcr, namibia_mfa, pmofa, poroshenko, ruizmassieu, sebastiankurz, vencancilleria</t>
  </si>
  <si>
    <t>AMB_A_Mohammed, A_Davutoglu_eng, AdelAljubeir, BarackObama, David_Cameron, EU_Commission, Elysee, HaiderAlAbadi, HonStephaneDion, IKasoulides, IsraeliPM, JZarif, JuanManSantos, JunckerEU, JustinTrudeau, KremlinRussia_E, MBA_AlThani_, MBuhari, MargvelashviliG, MarinaKaljurand, MedvedevRussia, MedvedevRussiaE, MevlutCavusoglu, Number10gov, PHammondMP, PMOIndia, POTUS, PolandMFA, Portal_Kemlu_RI, RHCJO, RW_UNP, RuhakanaR, StateDept, SushmaSwaraj, WhiteHouse, ZaoralekL, ashrafghani, dreynders, eucopresident, fhollande, jeanmarcayrault, matteorenzi, mauriciomacri, narendramodi, netanyahu, poroshenko, ruizmassieu</t>
  </si>
  <si>
    <t>ABZayed, AMB_A_Mohammed, AbdoulayeDiop8, AdelAljubeir, AndrzejDuda, Anifah_myg, AuswaertigesAmt, AzerbaijanMFA, BarackObama, BelgiumMFA, CRcancilleria, CanadaFP, CanadaPE, CancilleriaARG, CancilleriaCol, CancilleriaPA, CasaReal, CasaRosada, CharlesMichel, CharlieFlanagan, DanielMitov, Diplomacy_RM, DrTedros, DrodriguezVen, EUCouncil, EUCouncilTVNews, EU_Commission, Elysee, FCOArabic, FedericaMog, FijiMFA, FijiRepublic, FinGovernment, ForeignMinistry, ForeignOfficeKE, ForeignOfficePk, ForeignStrategy, Gebran_Bassil, GobiernodeChile, GovernmentRF, HassanRouhani, HeraldoMunoz, IKasoulides, IndianDiplomacy, InokeRatu, IranMFA, IraqMFA, IsabelStMalo, ItalyMFA, JZarif, JapanGov, JuanManSantos, JulieBishopMP, JunckerEU, JustinTrudeau, KSAMOFA, KremlinRussia_E, LMushikiwabo, LT_MFA_Stratcom, LinkeviciusL, MDVForeign, MEAIndia, MFAFiji, MFAIraq, MFAKOSOVO, MFAMalta, MFASriLanka, MFAThai, MFAThai_PR_EN, MFATurkeyArabic, MFATurkeyFrench, MFA_Afghanistan, MFA_KZ, MFA_SriLanka, MFA_Tajikistan, MFAsg, MIREXRD, MOFAEGYPT, MOFAIC, MOFAKuwait, MOFAKuwait_en, MOFAUAE, MOFAkr_eng, MSZ_RP, MangalaLK, MankeurNdiaye, MarinaKaljurand, MarocDiplomatie, MevlutCavusoglu, MinBZ, MinExterioresUY, MinisterMOFA, Minrel_Chile, MiroCerar, MiroslavLajcak, MoFA_Indonesia, MofaJapan_en, MofaJapan_jp, MofaNepal, MofaOman, MofaQatar_AR, MofaQatar_EN, MofaSomalia, NasserJudeh, NikolaPoposki, Number10gov, OFMUAE, PHammondMP, PMOIndia, POTUS, PakDiplomacy, Palazzo_Chigi, PaoloGentiloni, PavloKlimkin, Petrit, PolandMFA, Pontifex, Portal_Kemlu_RI, PresidenceMali, Presidencia_Ec, PresidencyZA, PrimeMinistry, RepSouthSudan, RwandaGov, RwandaMFA, SRECIHonduras, SRE_mx, StateDeptLive, SusanaMalcorra, SushmaSwaraj, SweMFA, TerzaLoggia, TheVillaSomalia, TunisieDiplo, TurnbullMalcolm, UM_dk, USAenEspanol, UgandaMFA, Ulkoministerio, Utenriksdept, Utrikesdep, VladaRH, WhiteHouse, ZaoralekL, andresnavarrog, bahdiplomatic, borgebrende, cabinetofficeuk, cancilleriacrc, cancilleriasv, deplu, desdelamoncloa, dfaspokesperson, dfat, dfatirl, ditmirbushati, dreynders, edgarsrinkevics, elbegdorj, eucopresident, fhollande, foreigntanzania, francediplo, francediplo_EN, francediplo_ES, gobmx, gouv_lu, govpt, jeanmarcayrault, johnkeypm, khalidalkhalifa, macky_sall, manuelvalls, margotwallstrom, mfagovtt, mfarighana, mgonzalezsanz, mreparaguay, mzvcr, narendramodi, prensapalacio, strakovka, tsipras_eu, valismin, vencancilleria</t>
  </si>
  <si>
    <t>AdelAljubeir, AlsisiOfficial, BahrainCPnews, BarackObama, BejiCEOfficial, David_Cameron, HHShkMohd, HaiderAlAbadi, HassanRouhani, JZarif, KSAMOFA, KingSalman, MOFAKuwait, NasserJudeh, Number10gov, Pontifex, Presidency_Sy, PrimeMinistry, QueenRania, RHCJO, RoyalFamily, SalamTammam, WhiteHouse, bahdiplomatic, khalidalkhalifa, mfa_russia, presidenceTN</t>
  </si>
  <si>
    <t>ABZayed, AMB_A_Mohammed, AbeShinzo, Ahmet_Davutoglu, BarackObama, BejiCEOfficial, BelgiumMFA, CRcancilleria, CancilleriaPA, CasaReal, CharlieFlanagan, David_Cameron, DrodriguezVen, EPN, EUCouncil, EUCouncilPress, EU_Commission, Elysee, FedericaMog, ForeignOfficeKE, ForeignOfficePk, ForeignStrategy, GH_PARK, GobiernodeChile, GovernmentGeo, Grybauskaite_LT, HHShkMohd, Horacio_Cartes, IlvesToomas, IraqMFA, IsraeliPM, IsraeliPM_heb, JPN_PMO, JZarif, JuanManSantos, JuanOrlandoH, JunckerEU, Kantei_Saigai, KingSalman, KremlinRussia_E, LMushikiwabo, LinkeviciusL, MBZNews, MFABulgaria, MFATurkey, MFATurkeyArabic, MFATurkeyFrench, MFA_Austria, MFAgovge, MFAofArmenia, MFAsg, MFAupdate, MVEP_hr, MankeurNdiaye, MarocDiplomatie, MashiRafael, MedvedevRussiaE, MinisterMOFA, MofaJapan_en, MofaSomalia, NajibRazak, NasserJudeh, NicolasMaduro, NikosKotzias, Number10gov, Ollanta_HumalaT, PMOIndia, PaoloGentiloni, PaulKagame, Pontifex, Pontifex_ar, Pontifex_es, Pontifex_fr, Pontifex_it, Pontifex_pt, PresidenciaMX, PresidenciaPy, Presidencia_Ec, Presidencia_HN, PresidencialVen, QueenRania, RT_Erdogan, RW_UNP, RashtrapatiBhvn, Rijksoverheid, RoyalFamily, SCpresidenciauy, SlovakiaMFA, StateDeptLive, SushmaSwaraj, TC_Disisleri, UKenyatta, UgandaMFA, UgandaMediaCent, WhiteHouse, Xavier_Bettel, amurekezi, bahdiplomatic, cabinetofficeuk, donaldtusk, dreynders, ediramaal, elbegdorj, erna_solberg, eucopresident, fhollande, francediplo_AR, francediplo_ES, gobmx, govsingapore, hagegeingob, johnkeypm, khalidalkhalifa, leehsienloong, manuelvalls, matteorenzi, md_higgins, mgonzalezsanz, narendramodi, netanyahu, noynoyaquino, pcmperu, poroshenko, primeministerkz, rterdogan_ar, sebastiankurz, tcbestepe, tsheringtobgay, vladaRS</t>
  </si>
  <si>
    <t>AMB_A_Mohammed, ARG_AFG, A_Davutoglu_eng, AbeShinzo, AzerbaijanMFA, AzerbaijanPA, BWGovernment, BarackObama, BasbakanlikKDK, BelgiumMFA, BurundiForeign, CanadaPE, CasaRosada, CharlieFlanagan, CzechMFA, DanielMitov, DaniloMedina, David_Cameron, DiploPubliqueTR, DrEnsour, DrTedros, EPN, EUCouncil, EUCouncilPress, EU_Commission, EconEngage, Elysee, FedericaMog, FijiMFA, ForeignMinistry, ForeignOfficeKE, ForeignOfficePk, ForeignStrategy, GH_PARK, GOVuz, GobiernodeChile, GovPH_PCOO, HHShkMohd, HailemariamD, HannaTetteh, HassanRouhani, IBK_2013, IKasoulides, IlvesToomas, IndianDiplomacy, InokeRatu, IranMFA, IraqMFA, IsabelStMalo, IstanaRakyat, JC_Varela, JZarif, JapanGov, JohnKerry, JuanManSantos, JulieBishopMP, JustinTrudeau, KSAMOFA, KingSalman, LMushikiwabo, LankaMFA, Latvian_MFA, LinkeviciusL, MAERomania, MDVForeign, MFAFiji, MFAThai_PR_EN, MFATurkey, MFATurkeyArabic, MFATurkeyFrench, MFA_Afghanistan, MFA_LI, MFA_Mongolia, MFA_SriLanka, MFAgovge, MFAsg, MFAupdate, MNEGOVPT, MOFAEGYPT, MOFAIC, MOFAKuwait, MOFAUAE, MOFAkr_eng, MSZ_RP, MaithripalaS, MangalaLK, MankeurNdiaye, MarocDiplomatie, MashiRafael, MevlutCavusoglu, MfaEgypt, MinBZ, MinexGt, MinisterMOFA, MiroslavLajcak, MoFA_Indonesia, MofaJapan_en, MofaJapan_jp, MofaOman, MofaQatar_AR, MofaQatar_EN, MofaSomalia, NajibRazak, NasserJudeh, NicolasMaduro, NikolaPoposki, Number10gov, OFMUAE, Ollanta_HumalaT, PDTurkeyArabic, PMNawazSharif, PMOIndia, POTUS, PakDiplomacy, PalestinianGov, PaoloGentiloni, PaulKagame, PavloKlimkin, Pontifex, Pontifex_pt, Portal_Kemlu_RI, Pr_Alpha_Conde, PresidenceMada, PresidenceMali, PresidenciaPma, PresidenciaPy, PresidencialVen, PresidencyGhana, PresidencyZA, PrimeMinistry, PurevsurenL, PutinRF_Eng, QueenRania, RashtrapatiBhvn, RepSouthSudan, RwandaGov, RwandaMFA, SAPresident, SRECIHonduras, SalahRabbani, SalamTammam, Sekhoutoureya, SeychellesMFA, SlovakiaMFA, SomaliPM, StateDeptLive, SushmaSwaraj, TC_Disisleri, TROfficeofPD, TerzaLoggia, TunisieDiplo, UKenyatta, UM_dk, USAUrdu, USA_Zhongwen, USAenEspanol, USAenFrancais, USApoRusski, UgandaMFA, Ulkoministerio, UrugwiroVillage, Utenriksdept, WhiteHouse, ZaoralekL, andresnavarrog, ashrafghani, bahdiplomatic, borgebrende, dfaspokesperson, dfat, dfatirl, ditmirbushati, djiboutidiplo, donaldtusk, dreynders, edgarsrinkevics, eucopresident, fhollande, foreignMV, foreigntanzania, francediplo_AR, francediplo_ES, gobmx, govpt, govsingapore, infopresidencia, khalidalkhalifa, leehsienloong, manuelvalls, margotwallstrom, mauriciomacri, mfagovtt, mgonzalezsanz, mofa_kr, mofasudan, mzvcr, narendramodi, netanyahu, noynoyaquino, pdhnisbett, prdthailand, prensapalacio, presidencia_cl, presidencia_sv, presidenciacr, presidencymv, presidentaz, rdussey, sebastiankurz, trpresidency, ts_elbegdorj, valismin</t>
  </si>
  <si>
    <t>ABZayed, AMB_A_Mohammed, A_Davutoglu_eng, AbdoulayeDiop8, AzerbaijanMFA, AzerbaijanPA, BarackObama, BasbakanlikKDK, BelgiumMFA, BurundiForeign, CanadaFP, CanadaPE, CancilleriaARG, CancilleriaCol, CasaRosada, CharlieFlanagan, CyprusMFA, DanielMitov, DaniloMedina, David_Cameron, DiploPubliqueTR, Diplomacy_RM, DrTedros, DrodriguezVen, EPN, EUCouncil, EUCouncilPress, EU_Commission, EconEngage, FedericaMog, FijiMFA, ForeignMinistry, ForeignOfficeKE, ForeignOfficePk, ForeignStrategy, Gebran_Bassil, GobiernodeChile, GovernmentZA, GreeceMFA, HHShkMohd, HannaTetteh, HassanRouhani, HeraldoMunoz, Horacio_Cartes, IKasoulides, InokeRatu, IranMFA, IraqMFA, IsabelStMalo, Israel, ItalyMFA, JZarif, JapanGov, JohnKerry, JuanManSantos, JulieBishopMP, JunckerEU, JustinTrudeau, KSAMOFA, KremlinRussia_E, LMushikiwabo, LankaMFA, Latvian_MFA, LinkeviciusL, MDVForeign, MEAIndia, MFABulgaria, MFAFiji, MFAThai_PR_EN, MFATurkey, MFATurkeyFrench, MFA_Afghanistan, MFA_Austria, MFA_KZ, MFA_LI, MFA_Mongolia, MFA_SriLanka, MFA_Ukraine, MFAsg, MFAupdate, MIREXRD, MNEGOVPT, MOFAEGYPT, MOFAIC, MOFAKuwait, MOFAkr_eng, MVEP_hr, MangalaLK, MankeurNdiaye, MarocDiplomatie, MashiRafael, MevlutCavusoglu, MfaEgypt, MichelTemer, MinBZ, MinisterMOFA, MiroslavLajcak, MoFA_Indonesia, MofaJapan_en, MofaOman, MofaQatar_EN, MofaSomalia, NajibRazak, NasserJudeh, NicolasMaduro, NikolaPoposki, Number10gov, OFMUAE, Ollanta_HumalaT, PHammondMP, PMOIndia, POTUS, PakDiplomacy, PaoloGentiloni, PaulKagame, PavloKlimkin, PolandMFA, Pontifex, Portal_Kemlu_RI, PresidenciaMX, PresidenciaPma, PresidenciaRD, Presidencia_Ec, PrimeMinistry, PurevsurenL, RwandaMFA, SCpresidenciauy, SRECIHonduras, SRE_mx, SalahRabbani, SeychellesMFA, SlovakiaMFA, StateDept, StateDeptLive, SusanaMalcorra, SushmaSwaraj, SweMFA, TC_Disisleri, TPKanslia, TROfficeofPD, TerzaLoggia, TunisieDiplo, UM_dk, USAenEspanol, USAenFrancais, UgandaMFA, Ulkoministerio, Utenriksdept, Utrikesdep, WhiteHouse, ZaoralekL, andresnavarrog, bahdiplomatic, borgebrende, casacivilbr, dfaspokesperson, dfat, dfatirl, ditmirbushati, djiboutidiplo, dreynders, eucopresident, francediplo, francediplo_EN, francediplo_ES, gobmx, govpt, imprensaPR, infopresidencia, juhasipila, khalidalkhalifa, margotwallstrom, mfaethiopia, mfagovtt, mgonzalezsanz, mzvcr, narendramodi, niinisto, prensapalacio, presidenciacr, presidentaz, sebastiankurz, trpresidency, valismin, valtioneuvosto, vencancilleria</t>
  </si>
  <si>
    <t>ABZayed, AMB_A_Mohammed, A_Davutoglu_eng, AbdoulayeDiop8, AlbanianMFA, AuswaertigesAmt, AzerbaijanMFA, AzerbaijanPA, BarackObama, BasbakanlikKDK, BelarusMFA, BelgiumMFA, BrazilGovNews, BurundiForeign, CRcancilleria, CanadaFP, CanadaPE, CancilleriaCol, CancilleriaEc, CasaRosada, CharlieFlanagan, CyprusMFA, CzechMFA, DanielMitov, DaniloMedina, David_Cameron, DiploPubliqueTR, Diplomacy_RM, DrTedros, DrodriguezVen, DutchMFA, EPN, EUCouncil, EU_Commission, EconEngage, FedericaMog, ForeignMinistry, ForeignOfficeKE, ForeignOfficePk, ForeignStrategy, Gebran_Bassil, GermanyDiplo, GobiernodeChile, GovernmentZA, GreeceMFA, HHShkMohd, HassanRouhani, HeraldoMunoz, Horacio_Cartes, IKasoulides, InokeRatu, IranMFA, IraqMFA, IsabelStMalo, IsraeliPM, ItalyMFA, JZarif, JapanGov, JohnKerry, JuanManSantos, JulieBishopMP, JunckerEU, JustinTrudeau, KSAMOFA, KremlinRussia_E, LMushikiwabo, LT_MFA_Stratcom, LankaMFA, Latvian_MFA, LinkeviciusL, MAERomania, MDVForeign, MFABulgaria, MFAEcuador, MFAFiji, MFAThai_PR_EN, MFATurkey, MFATurkeyFrench, MFA_Afghanistan, MFA_Austria, MFA_KZ, MFA_LI, MFA_Mongolia, MFA_SriLanka, MFA_Ukraine, MFAgovge, MFAsg, MFAupdate, MID_RF, MIREXRD, MNEGOVPT, MOFAEGYPT, MOFAIC, MOFAKuwait, MOFAkr_eng, MVEP_hr, MZZRS, MangalaLK, MankeurNdiaye, MarocDiplomatie, MashiRafael, MevlutCavusoglu, MfaEgypt, MichelTemer, MinBZ, MindeGobierno, MinisterMOFA, MiroslavLajcak, MoFA_Indonesia, MofaJapan_en, MofaOman, MofaQatar_EN, MofaSomalia, NajibRazak, NasserJudeh, NicolasMaduro, NikolaPoposki, NorwayMFA, Number10gov, OFMUAE, Ollanta_HumalaT, PHammondMP, PMOIndia, POTUS, PakDiplomacy, PaoloGentiloni, PaulKagame, PavloKlimkin, PolandMFA, Portal_Kemlu_RI, PresidenciaMX, PresidenciaPma, PresidenciaRD, Presidencia_Ec, PrimeMinistry, PurevsurenL, RwandaMFA, SCpresidenciauy, SRECIHonduras, SRE_mx, SalahRabbani, SeychellesMFA, SlovakiaMFA, StateDept, StateDeptLive, SusanaMalcorra, SushmaSwaraj, SweMFA, TC_Disisleri, TROfficeofPD, TerzaLoggia, TunisieDiplo, UM_dk, USAemPortugues, USAenEspanol, USAenFrancais, UgandaMFA, Utenriksdept, Utrikesdep, VladaRH, WhiteHouse, ZaoralekL, andresnavarrog, bahdiplomatic, borgebrende, casacivilbr, dfaspokesperson, dfat, dfatirl, ditmirbushati, djiboutidiplo, dreynders, edgarsrinkevics, eucopresident, foreignoffice, foreigntanzania, francediplo, francediplo_EN, francediplo_ES, gobmx, govpt, imprensaPR, infopresidencia, khalidalkhalifa, margotwallstrom, marianorajoy, mauriciomacri, mfa_russia, mfaethiopia, mfagovtt, mgonzalezsanz, mzvcr, narendramodi, prensapalacio, presidenciacr, presidentaz, rdussey, ruizmassieu, sebastiankurz, trpresidency, valismin, vencancilleria</t>
  </si>
  <si>
    <t>ABZayed, AButkevicius, ADO__Solutions, AMB_A_Mohammed, APMutharika, APUkraine, ARG_AFG, A_Davutoglu_eng, AbdoulayeDiop8, AbeShinzo, AdelAljubeir, Ahmet_Davutoglu, AkordaPress, Al_Kasbah, AlsisiOfficial, AmSellal, AnastasiadesCY, Andrej_Kiska, AndrzejDuda, Arlietas, AsoRock, AuswaertigesAmt, AzerbaijanPA, BR_Sprecher, BWGovernment, B_Izetbegovic, BahrainCPnews, BarackObama, BarrowDean, BdiPresidence, BejiCEOfficial, BelarusMID, BelgiumMFA, BgPresidency, BorutPahor, BoykoBorissov, BrazilGovNews, Brivibas36, BurundiForeign, BurundiGov, CRcancilleria, CYpresidency, Cabinet, CanadianPM, CasaCivilPRA, CasaReal, CasaRosada, CharlesMichel, CharlieFlanagan, ChefGov_ma, CommsUnitSL, ComunicadosHN, CourGrandDucale, CyprusMFA, CzechMFA, DGRAVELONARIVO, DanielMitov, Daniel_k_Duncan, DaniloMedina, David_Cameron, DeptEstadoPR, Diplomacy_RM, DrEnsour, DrTedros, DrodriguezVen, EPN, EUCouncil, EUCouncilPress, EUCouncilTVNews, EU_Commission, EgyPresidency, Elysee, Elysee_Com, EmomaliRahmon, EndaKennyTD, FEGnassingbe, FNyusi, FedericaMog, FijiMFA, FijiPM, FijiRepublic, ForeignMinistry, ForeignOfficeKE, ForeignOfficePk, French_Gov, GH_PARK, GMICafghanistan, GOVuz, Gebran_Bassil, GeoffreyOnyeama, GermanyDiplo, GjorgeIvanov, Gobierno_CR, GobiernodeChile, GouvGN, GouvGabon, GouvMali, Gouvci, GovCyprus, GovMonaco, GovPH_PCOO, GovernAndorra, GovernmentGeo, GovernmentLY, GovernmentRF, GovernmentZA, Grybauskaite_LT, GuatemalaGob, GuillaumeLong, GuvernulRMD, GvtMonaco, HHShkMohd, Habib_essid, HadiPresident, HaiderAlAbadi, HailemariamD, HannaTetteh, HashimThaciRKS, HassanRouhani, HassanalBolkia2, HeraldoMunoz, HonEdgarCLungu, HonStephaneDion, Horacio_Cartes, HukoomiQatar, IBK_2013, ID_Itno, IKasoulides, IlvesToomas, IndianDiplomacy, InokeRatu, IranMFA, IraqMFA, IraqiPMO, IsabelStMalo, IsmailOguelleh, IsraelArabic, IsraeliPM, Issoufoumhm, IstanaRakyat, JC_Varela, JDMahama, JPN_PMO, JZarif, JocelermePriver, JohnKerry, Jorgecfonseca, JosephMuscat_JM, JuanManSantos, JuanOrlandoH, JulieBishopMP, JunckerEU, JustinTrudeau, KSAMOFA, Kabmin_UA, KagutaMuseveni, Kantei_Saigai, KarimMassimov, KarimMassimov_E, KhaledBahah, KingSalman, KlausIohannis, KolindaGK, KremlinRussia, KremlinRussia_E, Kristian_Jensen, Kronprinsparet, KvirikashviliGi, LMushikiwabo, LankaMFA, Latvian_MFA, LinkeviciusL, MAEHaiti, MAERomania, MAE_Haiti, MBA_AlThani_, MBZNews, MBuhari, MDVForeign, MFABulgaria, MFAFiji, MFAThai_PR_EN, MFATurkey, MFATurkeyArabic, MFATurkeyFrench, MFA_Afghanistan, MFA_Austria, MFA_Mongolia, MFA_SriLanka, MFA_Tajikistan, MFAgovge, MFAsg, MFAupdate, MID_Tajikistan, MKOfficiel, MNEGOVPT, MOFAEGYPT, MOFAIC, MOFAKuwait, MOFAKuwait_en, MOFAUAE, MOFAkr_eng, MOTPGuyana, MSZ_RP, MZemanOficialni, MagufuliJP, MaithripalaS, MaltaGov, MangalaLK, MankeurNdiaye, Mapon_Matata, MargvelashviliG, MarocDiplomatie, MashiRafael, Matignon, MedvedevRussia, MedvedevRussiaE, MevlutCavusoglu, MfaEgypt, MichelTemer, MinBZ, MinCanadaFA, MinExterioresUY, MinPres, MindeGobierno, MinisterMOFA, MiroCerar, MiroslavLajcak, MoFA_Indonesia, MofaJapan_ITPR, MofaJapan_en, MofaJapan_jp, MofaNepal, MofaOman, MofaQatar_AR, MofaQatar_EN, MofaSomalia, MonarchieBe, MongolDiplomacy, NGRPresident, NajibRazak, NasserJudeh, Nicolae_Timofti, NicolasMaduro, NikolaPoposki, NikosKotzias, NoticiaCR, Number10gov, OAAInformation, OFMUAE, OPMJamaica, OkmotKG, PHammondMP, PMBhutan, PMDNewsGov, PMNawazSharif, PMOComms, PMOIndia, PMOMalaysia, PMTCHAD, PM_GOV_PG, PMcanadien, POTUS, PR_Paul_Biya, PRepublicaTL, PakDiplomacy, Palazzo_Chigi, PalestinianGov, PaoloGentiloni, PaulKagame, PavloKlimkin, Pontifex, Pontifex_ar, Pontifex_es, Pontifex_ln, Pontifex_pt, Portal_Kemlu_RI, Pr_Alpha_Conde, Pravitelstvo_RF, PremierRP, PrensaHC, Prensa_Palacio, PresidenceGA, PresidenceHT, PresidenceMada, PresidenceMali, PresidenceNiger, Presidence_gn, Presidenceci, PresidenciaMX, PresidenciaPma, PresidenciaRD, Presidencia_HN, PresidenciadeHN, PresidencialVen, PresidencyGhana, PresidencyZA, Presidency_Sy, PresidentABO, PresidentAM_arm, PresidentFuad, PresidentIRL, PresidentKE, PresidentRuvi, PresidentYameen, PresidenteCV, PrimatureHT, PrimatureRDC, PrimatureRwanda, PrimeMinistry, PrimeministerGR, PurevsurenL, PutinRF, PutinRF_Eng, QaTaR_, QueenRania, Quirinale, RHCJO, RT_Erdogan, RW_UNP, RashtrapatiBhvn, RaulCastroR, RegSprecher, RepSouthSudan, Republic_Nauru, Rigas_pils, Rijksoverheid, RoyalFamily, Russia, RwandaGov, RwandaMFA, SAPresident, SCpresidenciauy, SaintLuciaGov, SalahRabbani, SalamTammam, SassouCG, Saudiegov, Sekhoutoureya, SerbianGov, SeychellesMFA, SlavekSobotka, SlovakiaMFA, SomaliPM, StateDept, StateDeptLive, StateHouseKenya, StateHousePress, StateHouseSL, StateHouseSey, StateHouseUg, Statsmin_kontor, StenbockiMaja, SushmaSwaraj, TC_Disisleri, TPKanslia, TaaviRoivas, TaurMatanRuak, TerzaLoggia, ThaiKhuFah, TheBankova, TheVillaSomalia, TommyRemengesau, TunisieDiplo, TurnbullMalcolm, UKenyatta, UM_dk, USAenEspanol, UgandaMFA, UgandaMediaCent, Ulkoministerio, UrugwiroVillage, Utenriksdept, Utrikesdep, Viktor_Orban, VladaCG, VladaMK, Vyriausybe, WhiteHouse, Xavier_Bettel, Yatsenyuk_AP, ZaoralekL, adosolutions, adrian_hasler, afgexecutive, agarciapadilla, amurekezi, antiguagov, ashrafghani, atsipras, avucic, azpresident, bahdiplomatic, belizegov, borgebrende, brunei_pmo, cabinetofficeuk, cancilleriacrc, casacivilbr, desdelamoncloa, dfaspokesperson, dfat, dfatirl, ditmirbushati, djiboutidiplo, donaldtusk, dreynders, ebkoroma, ediramaal, elbegdorj, emansionliberia, erna_solberg, eucopresident, evoespueblo, fhollande, fico2014, filip_pavel, foreignMV, foreigntanzania, forsaetisradun, fortalezapr, francediplo_AR, gastonbrowne, gobmx, gouv_lu, gouvernementFR, govgd, govofvanuatu, govpt, govsingapore, govsuriname, guv_ro, hagegeingob, imprensaPR, infopresidencia, isaacyzida, jammehofficial, jimmymoralesgt, johnkeypm, jokowi, kantei, khalidalkhalifa, khamenei_ir, koninklijkhuis, kormany_hu, kyrgyzpresident, lacasablanca, leehsienloong, liljaalfreds, luisguillermosr, macky_sall, majaliwa_kassim, manuelvalls, margotwallstrom, matteorenzi, mauriciomacri, md_higgins, merrionstreet, mfaethiopia, mfagovtt, mgonzalezsanz, mincombolivia, mofasudan, mzvcr, namibia_mfa, narendramodi, netanyahu, niinisto, noynoyaquino, palaismonaco, palaisnational, pdhnisbett, pgchristie, pmoffice_mn, pnkurunziza, poroshenko, prdthailand, predsednikrs, presedinte_md, presidenceTN, presidencia_cl, presidencia_sv, presidenciacr, presidencymv, presidentMT, presstj, prezydentpl, primeministerkz, rdussey, regierung_fl, republicoftogo, rplevneliev, ruizmassieu, samoagovt, sanchezceren, sebastiankurz, setkabgoid, skngov, strakovka, tcbestepe, teamkanzler, togodiplomatie, trpresidency, ts_elbegdorj, tsheringtobgay, tsipras_eu, valismin, valtioneuvosto, vladaRS</t>
  </si>
  <si>
    <t>محمد بن عبدالرحمن</t>
  </si>
  <si>
    <t>وزير خارجية دولة قطر Foreign Minister of Qatar</t>
  </si>
  <si>
    <t>Tue Mar 22 10:02:53 +0000 2016</t>
  </si>
  <si>
    <t xml:space="preserve">Sou senador eleito por São Paulo e ministro das Relações Exteriores. http://facebook.com/JoseSerraOficial … http://Instagram.com/_joseserra </t>
  </si>
  <si>
    <t>José Serra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</si>
</sst>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2" x14ac:knownFonts="1">
    <font>
      <sz val="12"/>
      <color rgb="FF000000"/>
      <name val="Calibri"/>
    </font>
    <font>
      <b/>
      <sz val="14"/>
      <color rgb="FF000000"/>
      <name val="Calibri"/>
      <family val="2"/>
    </font>
    <font>
      <sz val="12"/>
      <name val="Calibri"/>
      <family val="2"/>
    </font>
    <font>
      <sz val="12"/>
      <color rgb="FF000000"/>
      <name val="Calibri"/>
      <family val="2"/>
    </font>
    <font>
      <u/>
      <sz val="12"/>
      <color rgb="FF000000"/>
      <name val="Calibri"/>
      <family val="2"/>
    </font>
    <font>
      <sz val="12"/>
      <color rgb="FF000000"/>
      <name val="Arial"/>
      <family val="2"/>
    </font>
    <font>
      <u/>
      <sz val="12"/>
      <color rgb="FF0000FF"/>
      <name val="Calibri"/>
      <family val="2"/>
    </font>
    <font>
      <u/>
      <sz val="12"/>
      <name val="Calibri"/>
      <family val="2"/>
    </font>
    <font>
      <sz val="14"/>
      <color rgb="FF000000"/>
      <name val="Calibri"/>
      <family val="2"/>
    </font>
    <font>
      <u/>
      <sz val="12"/>
      <color theme="11"/>
      <name val="Calibri"/>
      <family val="2"/>
    </font>
    <font>
      <u/>
      <sz val="12"/>
      <color theme="10"/>
      <name val="Calibri"/>
      <family val="2"/>
    </font>
    <font>
      <sz val="12"/>
      <color rgb="FF000000"/>
      <name val="Calibri"/>
      <family val="2"/>
    </font>
    <font>
      <u/>
      <sz val="12"/>
      <color rgb="FF0000FF"/>
      <name val="Calibri"/>
      <family val="2"/>
    </font>
    <font>
      <b/>
      <sz val="14"/>
      <color theme="1"/>
      <name val="Calibri"/>
      <family val="2"/>
      <scheme val="minor"/>
    </font>
    <font>
      <b/>
      <sz val="14"/>
      <color indexed="8"/>
      <name val="Calibri"/>
      <family val="2"/>
      <scheme val="minor"/>
    </font>
    <font>
      <b/>
      <sz val="16"/>
      <color theme="1"/>
      <name val="Arial"/>
      <family val="2"/>
    </font>
    <font>
      <sz val="16"/>
      <color theme="1"/>
      <name val="Arial"/>
      <family val="2"/>
    </font>
    <font>
      <b/>
      <sz val="12"/>
      <color theme="1"/>
      <name val="Arial"/>
      <family val="2"/>
    </font>
    <font>
      <b/>
      <sz val="14"/>
      <color theme="1"/>
      <name val="Arial"/>
      <family val="2"/>
    </font>
    <font>
      <b/>
      <sz val="10"/>
      <color theme="1"/>
      <name val="Arial"/>
      <family val="2"/>
    </font>
    <font>
      <sz val="12"/>
      <color theme="1"/>
      <name val="Arial"/>
      <family val="2"/>
    </font>
    <font>
      <sz val="11"/>
      <color indexed="8"/>
      <name val="Calibri"/>
      <family val="2"/>
    </font>
  </fonts>
  <fills count="3">
    <fill>
      <patternFill patternType="none"/>
    </fill>
    <fill>
      <patternFill patternType="gray125"/>
    </fill>
    <fill>
      <patternFill patternType="solid">
        <fgColor rgb="FFFFFFFF"/>
        <bgColor rgb="FFFFFFFF"/>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auto="1"/>
      </right>
      <top/>
      <bottom/>
      <diagonal/>
    </border>
  </borders>
  <cellStyleXfs count="8">
    <xf numFmtId="0" fontId="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21" fillId="0" borderId="0" applyFill="0" applyProtection="0"/>
  </cellStyleXfs>
  <cellXfs count="133">
    <xf numFmtId="0" fontId="0" fillId="0" borderId="0" xfId="0" applyFont="1" applyAlignment="1"/>
    <xf numFmtId="0" fontId="0" fillId="0" borderId="0" xfId="0" applyFont="1" applyAlignment="1"/>
    <xf numFmtId="1" fontId="0" fillId="0" borderId="0" xfId="0" applyNumberFormat="1" applyFont="1" applyAlignment="1"/>
    <xf numFmtId="0" fontId="5" fillId="0" borderId="0" xfId="0" applyFont="1" applyAlignment="1"/>
    <xf numFmtId="0" fontId="2" fillId="0" borderId="0" xfId="0" applyFont="1" applyAlignment="1"/>
    <xf numFmtId="0" fontId="5" fillId="2" borderId="0" xfId="0" applyFont="1" applyFill="1" applyBorder="1" applyAlignment="1"/>
    <xf numFmtId="0" fontId="0" fillId="0" borderId="0" xfId="0" applyFont="1" applyAlignment="1"/>
    <xf numFmtId="0" fontId="11" fillId="0" borderId="0" xfId="0" applyFont="1" applyAlignment="1"/>
    <xf numFmtId="0" fontId="12" fillId="0" borderId="0" xfId="0" applyFont="1" applyAlignment="1"/>
    <xf numFmtId="0" fontId="11" fillId="2" borderId="0" xfId="0" applyFont="1" applyFill="1" applyBorder="1" applyAlignment="1"/>
    <xf numFmtId="0" fontId="2" fillId="0" borderId="1" xfId="0" applyFont="1" applyFill="1" applyBorder="1" applyAlignment="1">
      <alignment vertical="center"/>
    </xf>
    <xf numFmtId="0" fontId="10" fillId="0" borderId="1" xfId="5" applyFill="1" applyBorder="1"/>
    <xf numFmtId="0" fontId="10" fillId="0" borderId="1" xfId="5" applyFill="1" applyBorder="1" applyAlignment="1">
      <alignment vertical="center"/>
    </xf>
    <xf numFmtId="0" fontId="0" fillId="0" borderId="1" xfId="0" applyFont="1" applyFill="1" applyBorder="1" applyAlignment="1"/>
    <xf numFmtId="0" fontId="2" fillId="0" borderId="1" xfId="0" applyFont="1" applyFill="1" applyBorder="1" applyAlignment="1"/>
    <xf numFmtId="0" fontId="2" fillId="0" borderId="1" xfId="0" applyFont="1" applyFill="1" applyBorder="1" applyAlignment="1">
      <alignment horizontal="left" vertical="center"/>
    </xf>
    <xf numFmtId="0" fontId="0" fillId="0" borderId="0" xfId="0" applyFont="1" applyFill="1" applyAlignment="1"/>
    <xf numFmtId="0" fontId="5" fillId="0" borderId="0" xfId="0" applyFont="1" applyFill="1" applyBorder="1" applyAlignment="1"/>
    <xf numFmtId="0" fontId="0" fillId="0" borderId="0" xfId="0" applyFont="1" applyAlignment="1"/>
    <xf numFmtId="0" fontId="10" fillId="0" borderId="1" xfId="5" applyFill="1" applyBorder="1" applyAlignment="1"/>
    <xf numFmtId="0" fontId="3" fillId="0" borderId="1" xfId="0" applyFont="1" applyFill="1" applyBorder="1" applyAlignment="1">
      <alignment vertical="center"/>
    </xf>
    <xf numFmtId="0" fontId="0" fillId="0" borderId="0" xfId="0" applyFont="1" applyAlignment="1"/>
    <xf numFmtId="0" fontId="2" fillId="0" borderId="0" xfId="0" applyFont="1" applyFill="1" applyBorder="1" applyAlignment="1">
      <alignment vertical="center"/>
    </xf>
    <xf numFmtId="0" fontId="12" fillId="0" borderId="0" xfId="0" applyFont="1" applyBorder="1" applyAlignment="1">
      <alignment vertical="center"/>
    </xf>
    <xf numFmtId="0" fontId="0" fillId="0" borderId="0" xfId="0" applyFont="1" applyAlignment="1"/>
    <xf numFmtId="0" fontId="2" fillId="0" borderId="0" xfId="0" applyFont="1" applyBorder="1" applyAlignment="1">
      <alignment vertical="center"/>
    </xf>
    <xf numFmtId="0" fontId="6" fillId="0" borderId="0" xfId="0" applyFont="1" applyBorder="1" applyAlignment="1">
      <alignment vertical="center"/>
    </xf>
    <xf numFmtId="0" fontId="0" fillId="0" borderId="1" xfId="0" applyFill="1" applyBorder="1"/>
    <xf numFmtId="0" fontId="0" fillId="0" borderId="1" xfId="0" applyFont="1" applyFill="1" applyBorder="1"/>
    <xf numFmtId="0" fontId="0" fillId="0" borderId="0" xfId="0" applyFont="1" applyAlignment="1"/>
    <xf numFmtId="0" fontId="6" fillId="0" borderId="1" xfId="0" applyFont="1" applyFill="1" applyBorder="1" applyAlignment="1">
      <alignment vertical="center"/>
    </xf>
    <xf numFmtId="0" fontId="10" fillId="0" borderId="1" xfId="5" applyFont="1" applyFill="1" applyBorder="1" applyAlignment="1">
      <alignment vertical="center"/>
    </xf>
    <xf numFmtId="49" fontId="6" fillId="0" borderId="1" xfId="0" applyNumberFormat="1" applyFont="1" applyFill="1" applyBorder="1" applyAlignment="1">
      <alignment vertical="center"/>
    </xf>
    <xf numFmtId="0" fontId="10" fillId="0" borderId="1" xfId="5" applyFont="1" applyFill="1" applyBorder="1" applyAlignment="1"/>
    <xf numFmtId="0" fontId="4" fillId="0" borderId="1" xfId="0" applyFont="1" applyFill="1" applyBorder="1" applyAlignment="1"/>
    <xf numFmtId="3" fontId="2" fillId="0" borderId="1" xfId="0" applyNumberFormat="1" applyFont="1" applyFill="1" applyBorder="1" applyAlignment="1">
      <alignment vertical="center"/>
    </xf>
    <xf numFmtId="0" fontId="0" fillId="0" borderId="0" xfId="0" applyFont="1" applyAlignment="1"/>
    <xf numFmtId="0" fontId="0" fillId="0" borderId="0" xfId="0" applyFont="1" applyAlignment="1"/>
    <xf numFmtId="0" fontId="3" fillId="0" borderId="1" xfId="0" applyFont="1" applyFill="1" applyBorder="1" applyAlignment="1"/>
    <xf numFmtId="0" fontId="3" fillId="0" borderId="1" xfId="0" applyFont="1" applyFill="1" applyBorder="1"/>
    <xf numFmtId="0" fontId="0" fillId="0" borderId="0" xfId="0" applyFont="1" applyAlignment="1"/>
    <xf numFmtId="0" fontId="0" fillId="0" borderId="0" xfId="0" applyFont="1" applyAlignment="1"/>
    <xf numFmtId="1" fontId="3" fillId="0" borderId="1" xfId="0" applyNumberFormat="1" applyFont="1" applyFill="1" applyBorder="1" applyAlignment="1"/>
    <xf numFmtId="0" fontId="0" fillId="0" borderId="0" xfId="0" applyFont="1" applyAlignment="1"/>
    <xf numFmtId="3" fontId="3" fillId="0" borderId="1" xfId="0" applyNumberFormat="1" applyFont="1" applyFill="1" applyBorder="1" applyAlignment="1"/>
    <xf numFmtId="0" fontId="3" fillId="0" borderId="1" xfId="0" applyFont="1" applyFill="1" applyBorder="1" applyAlignment="1">
      <alignment horizontal="right" vertical="center"/>
    </xf>
    <xf numFmtId="3" fontId="3" fillId="0" borderId="1" xfId="0" applyNumberFormat="1" applyFont="1" applyFill="1" applyBorder="1" applyAlignment="1">
      <alignment vertical="center"/>
    </xf>
    <xf numFmtId="0" fontId="3" fillId="0" borderId="1" xfId="0" applyFont="1" applyFill="1" applyBorder="1" applyAlignment="1">
      <alignment horizontal="left" vertical="center"/>
    </xf>
    <xf numFmtId="3" fontId="4" fillId="0" borderId="1" xfId="0" applyNumberFormat="1" applyFont="1" applyFill="1" applyBorder="1" applyAlignment="1"/>
    <xf numFmtId="0" fontId="0" fillId="0" borderId="0" xfId="0" applyFont="1" applyAlignment="1"/>
    <xf numFmtId="0" fontId="6" fillId="0" borderId="6" xfId="0" applyFont="1" applyFill="1" applyBorder="1" applyAlignment="1">
      <alignment vertical="center"/>
    </xf>
    <xf numFmtId="0" fontId="10" fillId="0" borderId="1" xfId="5" applyFill="1" applyBorder="1" applyAlignment="1">
      <alignment horizontal="left" vertical="center"/>
    </xf>
    <xf numFmtId="0" fontId="0" fillId="0" borderId="2" xfId="0" applyFill="1" applyBorder="1"/>
    <xf numFmtId="0" fontId="0" fillId="0" borderId="6" xfId="0" applyFill="1" applyBorder="1"/>
    <xf numFmtId="0" fontId="6" fillId="0" borderId="2" xfId="0" applyFont="1" applyFill="1" applyBorder="1" applyAlignment="1">
      <alignment vertical="center"/>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6" fillId="0" borderId="1" xfId="0" applyFont="1" applyFill="1" applyBorder="1" applyAlignment="1">
      <alignment horizontal="left" vertical="center"/>
    </xf>
    <xf numFmtId="0" fontId="7" fillId="0" borderId="1" xfId="0" applyFont="1" applyFill="1" applyBorder="1" applyAlignment="1">
      <alignment vertical="center"/>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2" fillId="0" borderId="6" xfId="0" applyFont="1" applyFill="1" applyBorder="1" applyAlignment="1">
      <alignment vertical="center"/>
    </xf>
    <xf numFmtId="2" fontId="0" fillId="0" borderId="1" xfId="0" applyNumberFormat="1" applyFill="1" applyBorder="1"/>
    <xf numFmtId="3" fontId="0" fillId="0" borderId="1" xfId="0" applyNumberFormat="1" applyFill="1" applyBorder="1"/>
    <xf numFmtId="3" fontId="0" fillId="0" borderId="1" xfId="0" applyNumberFormat="1" applyFont="1" applyFill="1" applyBorder="1" applyAlignment="1"/>
    <xf numFmtId="0" fontId="5" fillId="0" borderId="0" xfId="0" applyFont="1" applyFill="1" applyAlignment="1"/>
    <xf numFmtId="1" fontId="0" fillId="0" borderId="1" xfId="0" applyNumberFormat="1" applyFill="1" applyBorder="1"/>
    <xf numFmtId="0" fontId="0" fillId="0" borderId="4" xfId="0" applyFill="1" applyBorder="1"/>
    <xf numFmtId="0" fontId="3" fillId="0" borderId="1" xfId="0" applyFont="1" applyFill="1" applyBorder="1" applyAlignment="1">
      <alignment horizontal="left"/>
    </xf>
    <xf numFmtId="1" fontId="10" fillId="0" borderId="1" xfId="5" applyNumberFormat="1" applyFill="1" applyBorder="1" applyAlignment="1"/>
    <xf numFmtId="2" fontId="0" fillId="0" borderId="6" xfId="0" applyNumberFormat="1" applyFill="1" applyBorder="1"/>
    <xf numFmtId="0" fontId="15" fillId="0" borderId="10" xfId="0" applyFont="1" applyFill="1" applyBorder="1"/>
    <xf numFmtId="0" fontId="18" fillId="0" borderId="11" xfId="0" applyFont="1" applyFill="1" applyBorder="1"/>
    <xf numFmtId="0" fontId="19" fillId="0" borderId="11" xfId="0" applyFont="1" applyFill="1" applyBorder="1"/>
    <xf numFmtId="0" fontId="20" fillId="0" borderId="11" xfId="0" applyFont="1" applyFill="1" applyBorder="1"/>
    <xf numFmtId="0" fontId="17" fillId="0" borderId="11" xfId="0" applyFont="1" applyFill="1" applyBorder="1"/>
    <xf numFmtId="14" fontId="13" fillId="0" borderId="0" xfId="0" applyNumberFormat="1" applyFont="1" applyFill="1" applyBorder="1"/>
    <xf numFmtId="0" fontId="13" fillId="0" borderId="0" xfId="0" applyFont="1" applyFill="1" applyBorder="1" applyAlignment="1">
      <alignment vertical="center"/>
    </xf>
    <xf numFmtId="0" fontId="14" fillId="0" borderId="0" xfId="0" applyFont="1" applyFill="1" applyBorder="1" applyProtection="1"/>
    <xf numFmtId="0" fontId="0" fillId="0" borderId="1" xfId="0" applyNumberFormat="1" applyFill="1" applyBorder="1"/>
    <xf numFmtId="9" fontId="0" fillId="0" borderId="1" xfId="0" applyNumberFormat="1" applyFill="1" applyBorder="1"/>
    <xf numFmtId="0" fontId="2" fillId="0" borderId="1" xfId="0" applyFont="1" applyFill="1" applyBorder="1" applyAlignment="1">
      <alignment horizontal="left"/>
    </xf>
    <xf numFmtId="10" fontId="0" fillId="0" borderId="1" xfId="0" applyNumberFormat="1" applyFill="1" applyBorder="1"/>
    <xf numFmtId="0" fontId="6" fillId="0" borderId="1" xfId="0" applyFont="1" applyFill="1" applyBorder="1" applyAlignment="1"/>
    <xf numFmtId="1" fontId="4" fillId="0" borderId="1" xfId="0" applyNumberFormat="1" applyFont="1" applyFill="1" applyBorder="1" applyAlignment="1"/>
    <xf numFmtId="0" fontId="7" fillId="0" borderId="1" xfId="0" applyFont="1" applyFill="1" applyBorder="1" applyAlignment="1"/>
    <xf numFmtId="164" fontId="2" fillId="0" borderId="1" xfId="0" applyNumberFormat="1" applyFont="1" applyFill="1" applyBorder="1" applyAlignment="1">
      <alignment horizontal="left" vertical="center"/>
    </xf>
    <xf numFmtId="0" fontId="10" fillId="0" borderId="1" xfId="5" applyFill="1" applyBorder="1" applyAlignment="1">
      <alignment horizontal="left" vertical="center" wrapText="1"/>
    </xf>
    <xf numFmtId="0" fontId="13" fillId="0" borderId="0" xfId="0" applyFont="1" applyFill="1" applyBorder="1" applyAlignment="1">
      <alignment horizontal="left"/>
    </xf>
    <xf numFmtId="0" fontId="13" fillId="0" borderId="0" xfId="0" applyFont="1" applyFill="1" applyBorder="1"/>
    <xf numFmtId="0" fontId="1" fillId="0" borderId="0" xfId="0" applyFont="1" applyFill="1" applyBorder="1"/>
    <xf numFmtId="0" fontId="1" fillId="0" borderId="0" xfId="0" applyFont="1" applyFill="1" applyBorder="1" applyAlignment="1"/>
    <xf numFmtId="0" fontId="20" fillId="0" borderId="12" xfId="0" applyFont="1" applyFill="1" applyBorder="1"/>
    <xf numFmtId="14" fontId="13" fillId="0" borderId="13" xfId="0" applyNumberFormat="1" applyFont="1" applyFill="1" applyBorder="1"/>
    <xf numFmtId="0" fontId="1" fillId="0" borderId="14" xfId="0" applyFont="1" applyFill="1" applyBorder="1" applyAlignment="1"/>
    <xf numFmtId="0" fontId="0" fillId="0" borderId="8" xfId="0" applyFill="1" applyBorder="1"/>
    <xf numFmtId="0" fontId="2" fillId="0" borderId="2" xfId="0" applyFont="1" applyFill="1" applyBorder="1" applyAlignment="1">
      <alignment vertical="center"/>
    </xf>
    <xf numFmtId="3" fontId="0" fillId="0" borderId="2" xfId="0" applyNumberFormat="1" applyFill="1" applyBorder="1"/>
    <xf numFmtId="2" fontId="0" fillId="0" borderId="2" xfId="0" applyNumberFormat="1" applyFill="1" applyBorder="1"/>
    <xf numFmtId="1" fontId="0" fillId="0" borderId="2" xfId="0" applyNumberFormat="1" applyFill="1" applyBorder="1"/>
    <xf numFmtId="9" fontId="0" fillId="0" borderId="2" xfId="0" applyNumberFormat="1" applyFill="1" applyBorder="1"/>
    <xf numFmtId="0" fontId="0" fillId="0" borderId="9" xfId="0" applyFill="1" applyBorder="1"/>
    <xf numFmtId="0" fontId="0" fillId="0" borderId="3" xfId="0" applyFill="1" applyBorder="1"/>
    <xf numFmtId="0" fontId="3" fillId="0" borderId="4" xfId="0" applyFont="1" applyFill="1" applyBorder="1"/>
    <xf numFmtId="0" fontId="3" fillId="0" borderId="3" xfId="0" applyFont="1" applyFill="1" applyBorder="1"/>
    <xf numFmtId="0" fontId="0" fillId="0" borderId="5" xfId="0" applyFill="1" applyBorder="1"/>
    <xf numFmtId="3" fontId="0" fillId="0" borderId="6" xfId="0" applyNumberFormat="1" applyFill="1" applyBorder="1"/>
    <xf numFmtId="0" fontId="0" fillId="0" borderId="7" xfId="0" applyFill="1" applyBorder="1"/>
    <xf numFmtId="0" fontId="0" fillId="0" borderId="1" xfId="0" applyBorder="1"/>
    <xf numFmtId="1" fontId="0" fillId="0" borderId="1" xfId="0" applyNumberFormat="1" applyBorder="1"/>
    <xf numFmtId="2" fontId="0" fillId="0" borderId="1" xfId="0" applyNumberFormat="1" applyBorder="1"/>
    <xf numFmtId="0" fontId="2" fillId="0" borderId="2" xfId="0" applyFont="1" applyFill="1" applyBorder="1" applyAlignment="1">
      <alignment horizontal="left" vertical="center"/>
    </xf>
    <xf numFmtId="0" fontId="0" fillId="0" borderId="6" xfId="0" applyFont="1" applyFill="1" applyBorder="1" applyAlignment="1"/>
    <xf numFmtId="3" fontId="2" fillId="0" borderId="2" xfId="0" applyNumberFormat="1" applyFont="1" applyFill="1" applyBorder="1" applyAlignment="1">
      <alignment vertical="center"/>
    </xf>
    <xf numFmtId="3" fontId="0" fillId="0" borderId="6" xfId="0" applyNumberFormat="1" applyFont="1" applyFill="1" applyBorder="1" applyAlignment="1"/>
    <xf numFmtId="3" fontId="3" fillId="0" borderId="2" xfId="0" applyNumberFormat="1" applyFont="1" applyFill="1" applyBorder="1" applyAlignment="1">
      <alignment vertical="center"/>
    </xf>
  </cellXfs>
  <cellStyles count="8">
    <cellStyle name="Followed Hyperlink" xfId="1" builtinId="9" hidden="1"/>
    <cellStyle name="Followed Hyperlink" xfId="2" builtinId="9" hidden="1"/>
    <cellStyle name="Followed Hyperlink" xfId="3" builtinId="9" hidden="1"/>
    <cellStyle name="Followed Hyperlink" xfId="4" builtinId="9" hidden="1"/>
    <cellStyle name="Followed Hyperlink" xfId="6" builtinId="9" hidden="1"/>
    <cellStyle name="Hyperlink" xfId="5" builtinId="8"/>
    <cellStyle name="Normal" xfId="0" builtinId="0"/>
    <cellStyle name="Normal 2" xfId="7"/>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twiplomacy.com/info/north-america/United-States" TargetMode="External"/><Relationship Id="rId1827" Type="http://schemas.openxmlformats.org/officeDocument/2006/relationships/hyperlink" Target="http://twiplomacy.com/info/asia/East-Timor" TargetMode="External"/><Relationship Id="rId21" Type="http://schemas.openxmlformats.org/officeDocument/2006/relationships/hyperlink" Target="http://twiplomacy.com/info/africa/Burundi" TargetMode="External"/><Relationship Id="rId2089" Type="http://schemas.openxmlformats.org/officeDocument/2006/relationships/hyperlink" Target="https://twitter.com/PutinRF_Eng" TargetMode="External"/><Relationship Id="rId170" Type="http://schemas.openxmlformats.org/officeDocument/2006/relationships/hyperlink" Target="https://twitter.com/foreignaffairng/lists" TargetMode="External"/><Relationship Id="rId2296" Type="http://schemas.openxmlformats.org/officeDocument/2006/relationships/hyperlink" Target="https://twitter.com/myGovPortal" TargetMode="External"/><Relationship Id="rId268" Type="http://schemas.openxmlformats.org/officeDocument/2006/relationships/hyperlink" Target="https://twitter.com/TunisieDiplo/statuses/155256427924037633" TargetMode="External"/><Relationship Id="rId475" Type="http://schemas.openxmlformats.org/officeDocument/2006/relationships/hyperlink" Target="http://twiplomacy.com/info/asia/Kazakhstan" TargetMode="External"/><Relationship Id="rId682" Type="http://schemas.openxmlformats.org/officeDocument/2006/relationships/hyperlink" Target="https://twitter.com/OFMUAE/statuses/312467619833856001" TargetMode="External"/><Relationship Id="rId2156" Type="http://schemas.openxmlformats.org/officeDocument/2006/relationships/hyperlink" Target="https://twitter.com/Govdotie" TargetMode="External"/><Relationship Id="rId2363" Type="http://schemas.openxmlformats.org/officeDocument/2006/relationships/hyperlink" Target="https://twitter.com/brunei_pmo" TargetMode="External"/><Relationship Id="rId2570" Type="http://schemas.openxmlformats.org/officeDocument/2006/relationships/hyperlink" Target="http://twiplomacy.com/info/europe/Latvia" TargetMode="External"/><Relationship Id="rId128" Type="http://schemas.openxmlformats.org/officeDocument/2006/relationships/hyperlink" Target="http://twiplomacy.com/info/africa/Madagascar" TargetMode="External"/><Relationship Id="rId335" Type="http://schemas.openxmlformats.org/officeDocument/2006/relationships/hyperlink" Target="https://twitter.com/GOV_BN/lists" TargetMode="External"/><Relationship Id="rId542" Type="http://schemas.openxmlformats.org/officeDocument/2006/relationships/hyperlink" Target="https://twitter.com/kpsharmaoli/lists" TargetMode="External"/><Relationship Id="rId987" Type="http://schemas.openxmlformats.org/officeDocument/2006/relationships/hyperlink" Target="https://twitter.com/regierung_fl/statuses/15111347587" TargetMode="External"/><Relationship Id="rId1172" Type="http://schemas.openxmlformats.org/officeDocument/2006/relationships/hyperlink" Target="https://twitter.com/MZZRS/slovenia-abroad/members" TargetMode="External"/><Relationship Id="rId2016" Type="http://schemas.openxmlformats.org/officeDocument/2006/relationships/hyperlink" Target="https://twitter.com/JustinTrudeau" TargetMode="External"/><Relationship Id="rId2223" Type="http://schemas.openxmlformats.org/officeDocument/2006/relationships/hyperlink" Target="https://twitter.com/BelarusMFA" TargetMode="External"/><Relationship Id="rId2430" Type="http://schemas.openxmlformats.org/officeDocument/2006/relationships/hyperlink" Target="https://twitter.com/UrugwiroVillage" TargetMode="External"/><Relationship Id="rId2668" Type="http://schemas.openxmlformats.org/officeDocument/2006/relationships/hyperlink" Target="http://twiplomacy.com/info/asia/Brunei" TargetMode="External"/><Relationship Id="rId402" Type="http://schemas.openxmlformats.org/officeDocument/2006/relationships/hyperlink" Target="http://twiplomacy.com/info/asia/Iraq" TargetMode="External"/><Relationship Id="rId847" Type="http://schemas.openxmlformats.org/officeDocument/2006/relationships/hyperlink" Target="https://twitter.com/alexstubb/lists" TargetMode="External"/><Relationship Id="rId1032" Type="http://schemas.openxmlformats.org/officeDocument/2006/relationships/hyperlink" Target="http://twiplomacy.com/info/europe/Monaco" TargetMode="External"/><Relationship Id="rId1477" Type="http://schemas.openxmlformats.org/officeDocument/2006/relationships/hyperlink" Target="http://twiplomacy.com/info/north-america/Trinidad-and-Tobago" TargetMode="External"/><Relationship Id="rId1684" Type="http://schemas.openxmlformats.org/officeDocument/2006/relationships/hyperlink" Target="http://twiplomacy.com/info/south-america/Venezuela" TargetMode="External"/><Relationship Id="rId1891" Type="http://schemas.openxmlformats.org/officeDocument/2006/relationships/hyperlink" Target="https://twitter.com/CathySambaPanza" TargetMode="External"/><Relationship Id="rId2528" Type="http://schemas.openxmlformats.org/officeDocument/2006/relationships/hyperlink" Target="https://twitter.com/VivianBala" TargetMode="External"/><Relationship Id="rId2735" Type="http://schemas.openxmlformats.org/officeDocument/2006/relationships/hyperlink" Target="https://twitter.com/HashimThaciRKS/lists" TargetMode="External"/><Relationship Id="rId707" Type="http://schemas.openxmlformats.org/officeDocument/2006/relationships/hyperlink" Target="https://twitter.com/sebastiankurz/statuses/2342312120" TargetMode="External"/><Relationship Id="rId914" Type="http://schemas.openxmlformats.org/officeDocument/2006/relationships/hyperlink" Target="http://twiplomacy.com/info/europe/Hungary" TargetMode="External"/><Relationship Id="rId1337" Type="http://schemas.openxmlformats.org/officeDocument/2006/relationships/hyperlink" Target="https://twitter.com/PMcanadien/lists" TargetMode="External"/><Relationship Id="rId1544" Type="http://schemas.openxmlformats.org/officeDocument/2006/relationships/hyperlink" Target="https://twitter.com/johnkeypm/statuses/1542432530" TargetMode="External"/><Relationship Id="rId1751" Type="http://schemas.openxmlformats.org/officeDocument/2006/relationships/hyperlink" Target="https://twitter.com/DubaiPoliceHQ/statuses/127969080933224449" TargetMode="External"/><Relationship Id="rId1989" Type="http://schemas.openxmlformats.org/officeDocument/2006/relationships/hyperlink" Target="https://twitter.com/OPMJamaica" TargetMode="External"/><Relationship Id="rId43" Type="http://schemas.openxmlformats.org/officeDocument/2006/relationships/hyperlink" Target="http://twiplomacy.com/info/africa/Djibouti" TargetMode="External"/><Relationship Id="rId1404" Type="http://schemas.openxmlformats.org/officeDocument/2006/relationships/hyperlink" Target="https://twitter.com/PrimatureHT/status/476764212606164992" TargetMode="External"/><Relationship Id="rId1611" Type="http://schemas.openxmlformats.org/officeDocument/2006/relationships/hyperlink" Target="http://twiplomacy.com/info/south-america/Ecuador" TargetMode="External"/><Relationship Id="rId1849" Type="http://schemas.openxmlformats.org/officeDocument/2006/relationships/hyperlink" Target="https://twitter.com/FijiGovernment" TargetMode="External"/><Relationship Id="rId192" Type="http://schemas.openxmlformats.org/officeDocument/2006/relationships/hyperlink" Target="https://twitter.com/macky_sall/statuses/12530478317834241" TargetMode="External"/><Relationship Id="rId1709" Type="http://schemas.openxmlformats.org/officeDocument/2006/relationships/hyperlink" Target="https://twitter.com/RobertFico/statuses/6345893241" TargetMode="External"/><Relationship Id="rId1916" Type="http://schemas.openxmlformats.org/officeDocument/2006/relationships/hyperlink" Target="https://twitter.com/PresidenciaPy" TargetMode="External"/><Relationship Id="rId497" Type="http://schemas.openxmlformats.org/officeDocument/2006/relationships/hyperlink" Target="https://twitter.com/SalamTammam/lists" TargetMode="External"/><Relationship Id="rId2080" Type="http://schemas.openxmlformats.org/officeDocument/2006/relationships/hyperlink" Target="https://twitter.com/fico2014" TargetMode="External"/><Relationship Id="rId2178" Type="http://schemas.openxmlformats.org/officeDocument/2006/relationships/hyperlink" Target="https://twitter.com/valtioneuvosto" TargetMode="External"/><Relationship Id="rId2385" Type="http://schemas.openxmlformats.org/officeDocument/2006/relationships/hyperlink" Target="https://twitter.com/ashrafghani" TargetMode="External"/><Relationship Id="rId357" Type="http://schemas.openxmlformats.org/officeDocument/2006/relationships/hyperlink" Target="http://twiplomacy.com/info/asia/India" TargetMode="External"/><Relationship Id="rId1194" Type="http://schemas.openxmlformats.org/officeDocument/2006/relationships/hyperlink" Target="http://twiplomacy.com/info/europe/sweden/" TargetMode="External"/><Relationship Id="rId2038" Type="http://schemas.openxmlformats.org/officeDocument/2006/relationships/hyperlink" Target="https://twitter.com/TheBankova" TargetMode="External"/><Relationship Id="rId2592" Type="http://schemas.openxmlformats.org/officeDocument/2006/relationships/hyperlink" Target="https://twitter.com/zinsouofficiel" TargetMode="External"/><Relationship Id="rId217" Type="http://schemas.openxmlformats.org/officeDocument/2006/relationships/hyperlink" Target="https://twitter.com/MinisterMOFA/lists" TargetMode="External"/><Relationship Id="rId564" Type="http://schemas.openxmlformats.org/officeDocument/2006/relationships/hyperlink" Target="http://twiplomacy.com/info/asia/Palestine" TargetMode="External"/><Relationship Id="rId771" Type="http://schemas.openxmlformats.org/officeDocument/2006/relationships/hyperlink" Target="https://twitter.com/ZaoralekL/status/537985175091937280" TargetMode="External"/><Relationship Id="rId869" Type="http://schemas.openxmlformats.org/officeDocument/2006/relationships/hyperlink" Target="https://twitter.com/gouvernementFR/lists" TargetMode="External"/><Relationship Id="rId1499" Type="http://schemas.openxmlformats.org/officeDocument/2006/relationships/hyperlink" Target="https://twitter.com/EconEngage/status/9281087838625792" TargetMode="External"/><Relationship Id="rId2245" Type="http://schemas.openxmlformats.org/officeDocument/2006/relationships/hyperlink" Target="https://twitter.com/EmomaliRahmon" TargetMode="External"/><Relationship Id="rId2452" Type="http://schemas.openxmlformats.org/officeDocument/2006/relationships/hyperlink" Target="https://twitter.com/PresidenceMada" TargetMode="External"/><Relationship Id="rId424" Type="http://schemas.openxmlformats.org/officeDocument/2006/relationships/hyperlink" Target="http://twiplomacy.com/info/asia/Israel" TargetMode="External"/><Relationship Id="rId631" Type="http://schemas.openxmlformats.org/officeDocument/2006/relationships/hyperlink" Target="https://twitter.com/MOFAkr_eng/lists" TargetMode="External"/><Relationship Id="rId729" Type="http://schemas.openxmlformats.org/officeDocument/2006/relationships/hyperlink" Target="http://twiplomacy.com/info/europe/Bosnia-Herzegovina" TargetMode="External"/><Relationship Id="rId1054" Type="http://schemas.openxmlformats.org/officeDocument/2006/relationships/hyperlink" Target="https://twitter.com/DutchMFA/lists" TargetMode="External"/><Relationship Id="rId1261" Type="http://schemas.openxmlformats.org/officeDocument/2006/relationships/hyperlink" Target="http://twiplomacy.com/info/europe/Ukraine" TargetMode="External"/><Relationship Id="rId1359" Type="http://schemas.openxmlformats.org/officeDocument/2006/relationships/hyperlink" Target="https://twitter.com/NoticiaCR/statuses/1104605002" TargetMode="External"/><Relationship Id="rId2105" Type="http://schemas.openxmlformats.org/officeDocument/2006/relationships/hyperlink" Target="https://twitter.com/MSZ_RP" TargetMode="External"/><Relationship Id="rId2312" Type="http://schemas.openxmlformats.org/officeDocument/2006/relationships/hyperlink" Target="https://twitter.com/KarimMassimov" TargetMode="External"/><Relationship Id="rId936" Type="http://schemas.openxmlformats.org/officeDocument/2006/relationships/hyperlink" Target="https://twitter.com/CharlieFlanagan/lists" TargetMode="External"/><Relationship Id="rId1121" Type="http://schemas.openxmlformats.org/officeDocument/2006/relationships/hyperlink" Target="https://twitter.com/Russia/lists" TargetMode="External"/><Relationship Id="rId1219" Type="http://schemas.openxmlformats.org/officeDocument/2006/relationships/hyperlink" Target="https://twitter.com/MevlutCavusoglu/status/15914781566" TargetMode="External"/><Relationship Id="rId1566" Type="http://schemas.openxmlformats.org/officeDocument/2006/relationships/hyperlink" Target="https://twitter.com/MindeGobierno/lists" TargetMode="External"/><Relationship Id="rId1773" Type="http://schemas.openxmlformats.org/officeDocument/2006/relationships/hyperlink" Target="https://twitter.com/FijiMFA/statuses/38509569344933888" TargetMode="External"/><Relationship Id="rId1980" Type="http://schemas.openxmlformats.org/officeDocument/2006/relationships/hyperlink" Target="https://twitter.com/agarciapadilla" TargetMode="External"/><Relationship Id="rId2617" Type="http://schemas.openxmlformats.org/officeDocument/2006/relationships/hyperlink" Target="https://twitter.com/prensa_palacio" TargetMode="External"/><Relationship Id="rId65" Type="http://schemas.openxmlformats.org/officeDocument/2006/relationships/hyperlink" Target="https://twitter.com/DrTedros/statuses/486589117963468800" TargetMode="External"/><Relationship Id="rId1426" Type="http://schemas.openxmlformats.org/officeDocument/2006/relationships/hyperlink" Target="https://twitter.com/PresidenciaMX/lists" TargetMode="External"/><Relationship Id="rId1633" Type="http://schemas.openxmlformats.org/officeDocument/2006/relationships/hyperlink" Target="http://twiplomacy.com/info/south-america/Paraguay" TargetMode="External"/><Relationship Id="rId1840" Type="http://schemas.openxmlformats.org/officeDocument/2006/relationships/hyperlink" Target="https://twitter.com/MFAEcuador" TargetMode="External"/><Relationship Id="rId1700" Type="http://schemas.openxmlformats.org/officeDocument/2006/relationships/hyperlink" Target="https://twitter.com/aguribfakim/status/248444860326109185" TargetMode="External"/><Relationship Id="rId1938" Type="http://schemas.openxmlformats.org/officeDocument/2006/relationships/hyperlink" Target="https://twitter.com/CasaRosada" TargetMode="External"/><Relationship Id="rId281" Type="http://schemas.openxmlformats.org/officeDocument/2006/relationships/hyperlink" Target="http://twiplomacy.com/info/africa/Zambia" TargetMode="External"/><Relationship Id="rId141" Type="http://schemas.openxmlformats.org/officeDocument/2006/relationships/hyperlink" Target="https://twitter.com/AbdoulayeDiop8/lists" TargetMode="External"/><Relationship Id="rId379" Type="http://schemas.openxmlformats.org/officeDocument/2006/relationships/hyperlink" Target="https://twitter.com/Portal_Kemlu_RI/statuses/17319696171" TargetMode="External"/><Relationship Id="rId586" Type="http://schemas.openxmlformats.org/officeDocument/2006/relationships/hyperlink" Target="https://twitter.com/HukoomiQatar/lists" TargetMode="External"/><Relationship Id="rId793" Type="http://schemas.openxmlformats.org/officeDocument/2006/relationships/hyperlink" Target="https://twitter.com/StenbockiMaja/lists" TargetMode="External"/><Relationship Id="rId2267" Type="http://schemas.openxmlformats.org/officeDocument/2006/relationships/hyperlink" Target="https://twitter.com/MofaQatar_AR" TargetMode="External"/><Relationship Id="rId2474" Type="http://schemas.openxmlformats.org/officeDocument/2006/relationships/hyperlink" Target="https://twitter.com/GouvGabon" TargetMode="External"/><Relationship Id="rId2681" Type="http://schemas.openxmlformats.org/officeDocument/2006/relationships/hyperlink" Target="https://twitter.com/myGovPortal/statuses/91908401092771842" TargetMode="External"/><Relationship Id="rId7" Type="http://schemas.openxmlformats.org/officeDocument/2006/relationships/hyperlink" Target="https://twitter.com/beningouv/lists" TargetMode="External"/><Relationship Id="rId239" Type="http://schemas.openxmlformats.org/officeDocument/2006/relationships/hyperlink" Target="https://twitter.com/mofasudan/lists" TargetMode="External"/><Relationship Id="rId446" Type="http://schemas.openxmlformats.org/officeDocument/2006/relationships/hyperlink" Target="https://twitter.com/MofaJapan_en/statuses/75720881107763200" TargetMode="External"/><Relationship Id="rId653" Type="http://schemas.openxmlformats.org/officeDocument/2006/relationships/hyperlink" Target="https://twitter.com/MID_Tajikistan/status/624144831242067968" TargetMode="External"/><Relationship Id="rId1076" Type="http://schemas.openxmlformats.org/officeDocument/2006/relationships/hyperlink" Target="http://twiplomacy.com/info/europe/Poland" TargetMode="External"/><Relationship Id="rId1283" Type="http://schemas.openxmlformats.org/officeDocument/2006/relationships/hyperlink" Target="https://twitter.com/PHammondMP/status/514022843441770496" TargetMode="External"/><Relationship Id="rId1490" Type="http://schemas.openxmlformats.org/officeDocument/2006/relationships/hyperlink" Target="https://twitter.com/Cabinet/statuses/403593640519274497" TargetMode="External"/><Relationship Id="rId2127" Type="http://schemas.openxmlformats.org/officeDocument/2006/relationships/hyperlink" Target="https://twitter.com/Nicolae_Timofti" TargetMode="External"/><Relationship Id="rId2334" Type="http://schemas.openxmlformats.org/officeDocument/2006/relationships/hyperlink" Target="https://twitter.com/IraqiPMO" TargetMode="External"/><Relationship Id="rId306" Type="http://schemas.openxmlformats.org/officeDocument/2006/relationships/hyperlink" Target="http://twiplomacy.com/info/asia/Azerbaijan" TargetMode="External"/><Relationship Id="rId860" Type="http://schemas.openxmlformats.org/officeDocument/2006/relationships/hyperlink" Target="http://twiplomacy.com/info/europe/France" TargetMode="External"/><Relationship Id="rId958" Type="http://schemas.openxmlformats.org/officeDocument/2006/relationships/hyperlink" Target="http://twiplomacy.com/info/europe/Kosovo" TargetMode="External"/><Relationship Id="rId1143" Type="http://schemas.openxmlformats.org/officeDocument/2006/relationships/hyperlink" Target="https://twitter.com/SerbianGov/statuses/230079061022629888" TargetMode="External"/><Relationship Id="rId1588" Type="http://schemas.openxmlformats.org/officeDocument/2006/relationships/hyperlink" Target="http://twiplomacy.com/info/south-america/Chile" TargetMode="External"/><Relationship Id="rId1795" Type="http://schemas.openxmlformats.org/officeDocument/2006/relationships/hyperlink" Target="https://twitter.com/EndaKennyTD" TargetMode="External"/><Relationship Id="rId2541" Type="http://schemas.openxmlformats.org/officeDocument/2006/relationships/hyperlink" Target="https://twitter.com/MFA_analysis/lists" TargetMode="External"/><Relationship Id="rId2639" Type="http://schemas.openxmlformats.org/officeDocument/2006/relationships/hyperlink" Target="https://twitter.com/frankjosh156" TargetMode="External"/><Relationship Id="rId87" Type="http://schemas.openxmlformats.org/officeDocument/2006/relationships/hyperlink" Target="https://twitter.com/mfarighana/lists" TargetMode="External"/><Relationship Id="rId513" Type="http://schemas.openxmlformats.org/officeDocument/2006/relationships/hyperlink" Target="https://twitter.com/myGovPortal/statuses/11729108432" TargetMode="External"/><Relationship Id="rId720" Type="http://schemas.openxmlformats.org/officeDocument/2006/relationships/hyperlink" Target="https://twitter.com/CharlesMichel/lists" TargetMode="External"/><Relationship Id="rId818" Type="http://schemas.openxmlformats.org/officeDocument/2006/relationships/hyperlink" Target="https://twitter.com/EU_Commission/lists" TargetMode="External"/><Relationship Id="rId1350" Type="http://schemas.openxmlformats.org/officeDocument/2006/relationships/hyperlink" Target="http://twiplomacy.com/info/north-america/Costa-Rica" TargetMode="External"/><Relationship Id="rId1448" Type="http://schemas.openxmlformats.org/officeDocument/2006/relationships/hyperlink" Target="https://twitter.com/CancilleriaPma/lists" TargetMode="External"/><Relationship Id="rId1655" Type="http://schemas.openxmlformats.org/officeDocument/2006/relationships/hyperlink" Target="http://twiplomacy.com/info/south-america/Uruguay" TargetMode="External"/><Relationship Id="rId2401" Type="http://schemas.openxmlformats.org/officeDocument/2006/relationships/hyperlink" Target="https://twitter.com/rdussey" TargetMode="External"/><Relationship Id="rId2706" Type="http://schemas.openxmlformats.org/officeDocument/2006/relationships/hyperlink" Target="https://twitter.com/CasaReal/statuses/473383285486546944" TargetMode="External"/><Relationship Id="rId1003" Type="http://schemas.openxmlformats.org/officeDocument/2006/relationships/hyperlink" Target="https://twitter.com/Lithuania/lists" TargetMode="External"/><Relationship Id="rId1210" Type="http://schemas.openxmlformats.org/officeDocument/2006/relationships/hyperlink" Target="http://twiplomacy.com/info/europe/Turkey" TargetMode="External"/><Relationship Id="rId1308" Type="http://schemas.openxmlformats.org/officeDocument/2006/relationships/hyperlink" Target="http://twiplomacy.com/info/europe/Vatican" TargetMode="External"/><Relationship Id="rId1862" Type="http://schemas.openxmlformats.org/officeDocument/2006/relationships/hyperlink" Target="https://twitter.com/MFAThai_Pol" TargetMode="External"/><Relationship Id="rId1515" Type="http://schemas.openxmlformats.org/officeDocument/2006/relationships/hyperlink" Target="https://twitter.com/USAHindiMein/statuses/38198482007228417" TargetMode="External"/><Relationship Id="rId1722" Type="http://schemas.openxmlformats.org/officeDocument/2006/relationships/hyperlink" Target="https://twitter.com/gov_tunisie/status/545582285786214403" TargetMode="External"/><Relationship Id="rId14" Type="http://schemas.openxmlformats.org/officeDocument/2006/relationships/hyperlink" Target="https://twitter.com/isaacyzida/lists" TargetMode="External"/><Relationship Id="rId2191" Type="http://schemas.openxmlformats.org/officeDocument/2006/relationships/hyperlink" Target="https://twitter.com/valismin" TargetMode="External"/><Relationship Id="rId163" Type="http://schemas.openxmlformats.org/officeDocument/2006/relationships/hyperlink" Target="https://twitter.com/MBuhari/status/546991961958518784" TargetMode="External"/><Relationship Id="rId370" Type="http://schemas.openxmlformats.org/officeDocument/2006/relationships/hyperlink" Target="https://twitter.com/jokowi_do2/status/109890722416689152" TargetMode="External"/><Relationship Id="rId2051" Type="http://schemas.openxmlformats.org/officeDocument/2006/relationships/hyperlink" Target="https://twitter.com/TROfficeofPD" TargetMode="External"/><Relationship Id="rId2289" Type="http://schemas.openxmlformats.org/officeDocument/2006/relationships/hyperlink" Target="https://twitter.com/pmoffice_mn" TargetMode="External"/><Relationship Id="rId2496" Type="http://schemas.openxmlformats.org/officeDocument/2006/relationships/hyperlink" Target="https://twitter.com/presidenciaCV" TargetMode="External"/><Relationship Id="rId230" Type="http://schemas.openxmlformats.org/officeDocument/2006/relationships/hyperlink" Target="https://twitter.com/GovernmentZA/lists" TargetMode="External"/><Relationship Id="rId468" Type="http://schemas.openxmlformats.org/officeDocument/2006/relationships/hyperlink" Target="https://twitter.com/AkordaPress/statuses/250089525370576896" TargetMode="External"/><Relationship Id="rId675" Type="http://schemas.openxmlformats.org/officeDocument/2006/relationships/hyperlink" Target="https://twitter.com/hhshkmohd/statuses/2015590707" TargetMode="External"/><Relationship Id="rId882" Type="http://schemas.openxmlformats.org/officeDocument/2006/relationships/hyperlink" Target="https://twitter.com/francediplo_ES/lists" TargetMode="External"/><Relationship Id="rId1098" Type="http://schemas.openxmlformats.org/officeDocument/2006/relationships/hyperlink" Target="https://twitter.com/KlausIohannis/lists" TargetMode="External"/><Relationship Id="rId2149" Type="http://schemas.openxmlformats.org/officeDocument/2006/relationships/hyperlink" Target="https://twitter.com/MFAKOSOVO" TargetMode="External"/><Relationship Id="rId2356" Type="http://schemas.openxmlformats.org/officeDocument/2006/relationships/hyperlink" Target="https://twitter.com/MFAgovge" TargetMode="External"/><Relationship Id="rId2563" Type="http://schemas.openxmlformats.org/officeDocument/2006/relationships/hyperlink" Target="http://twiplomacy.com/info/asia/japan/" TargetMode="External"/><Relationship Id="rId328" Type="http://schemas.openxmlformats.org/officeDocument/2006/relationships/hyperlink" Target="https://twitter.com/PMBhutan/lists" TargetMode="External"/><Relationship Id="rId535" Type="http://schemas.openxmlformats.org/officeDocument/2006/relationships/hyperlink" Target="https://twitter.com/MFAMongolia_eng/statuses/390035651581603842" TargetMode="External"/><Relationship Id="rId742" Type="http://schemas.openxmlformats.org/officeDocument/2006/relationships/hyperlink" Target="http://twiplomacy.com/info/europe/Croatia" TargetMode="External"/><Relationship Id="rId1165" Type="http://schemas.openxmlformats.org/officeDocument/2006/relationships/hyperlink" Target="https://twitter.com/MiroCerar/status/473358362118471680" TargetMode="External"/><Relationship Id="rId1372" Type="http://schemas.openxmlformats.org/officeDocument/2006/relationships/hyperlink" Target="https://twitter.com/DaniloMedina/statuses/1629743784" TargetMode="External"/><Relationship Id="rId2009" Type="http://schemas.openxmlformats.org/officeDocument/2006/relationships/hyperlink" Target="https://twitter.com/Crcancilleria" TargetMode="External"/><Relationship Id="rId2216" Type="http://schemas.openxmlformats.org/officeDocument/2006/relationships/hyperlink" Target="https://twitter.com/BgPresidency" TargetMode="External"/><Relationship Id="rId2423" Type="http://schemas.openxmlformats.org/officeDocument/2006/relationships/hyperlink" Target="https://twitter.com/macky_sall" TargetMode="External"/><Relationship Id="rId2630" Type="http://schemas.openxmlformats.org/officeDocument/2006/relationships/hyperlink" Target="http://twiplomacy.com/info/south-america/Suriname" TargetMode="External"/><Relationship Id="rId602" Type="http://schemas.openxmlformats.org/officeDocument/2006/relationships/hyperlink" Target="http://twiplomacy.com/info/asia/Singapore" TargetMode="External"/><Relationship Id="rId1025" Type="http://schemas.openxmlformats.org/officeDocument/2006/relationships/hyperlink" Target="https://twitter.com/presedinte_md/statuses/342179312084078593" TargetMode="External"/><Relationship Id="rId1232" Type="http://schemas.openxmlformats.org/officeDocument/2006/relationships/hyperlink" Target="https://twitter.com/A_Davutoglu_eng/statuses/164311291165544450" TargetMode="External"/><Relationship Id="rId1677" Type="http://schemas.openxmlformats.org/officeDocument/2006/relationships/hyperlink" Target="http://twiplomacy.com/info/south-america/Venezuela" TargetMode="External"/><Relationship Id="rId1884" Type="http://schemas.openxmlformats.org/officeDocument/2006/relationships/hyperlink" Target="https://twitter.com/Gouvrdcongo" TargetMode="External"/><Relationship Id="rId2728" Type="http://schemas.openxmlformats.org/officeDocument/2006/relationships/hyperlink" Target="https://twitter.com/govSlovenia/lists" TargetMode="External"/><Relationship Id="rId907" Type="http://schemas.openxmlformats.org/officeDocument/2006/relationships/hyperlink" Target="http://twiplomacy.com/info/europe/Greece" TargetMode="External"/><Relationship Id="rId1537" Type="http://schemas.openxmlformats.org/officeDocument/2006/relationships/hyperlink" Target="http://twiplomacy.com/info/oceania/Fiji" TargetMode="External"/><Relationship Id="rId1744" Type="http://schemas.openxmlformats.org/officeDocument/2006/relationships/hyperlink" Target="https://twitter.com/QaTaR_/statuses/167619154386485248" TargetMode="External"/><Relationship Id="rId1951" Type="http://schemas.openxmlformats.org/officeDocument/2006/relationships/hyperlink" Target="https://twitter.com/FijiPM" TargetMode="External"/><Relationship Id="rId36" Type="http://schemas.openxmlformats.org/officeDocument/2006/relationships/hyperlink" Target="https://twitter.com/dhoinine/lists" TargetMode="External"/><Relationship Id="rId1604" Type="http://schemas.openxmlformats.org/officeDocument/2006/relationships/hyperlink" Target="http://twiplomacy.com/info/south-america/Colombia" TargetMode="External"/><Relationship Id="rId185" Type="http://schemas.openxmlformats.org/officeDocument/2006/relationships/hyperlink" Target="https://twitter.com/LMushikiwabo/statuses/37993946638598144" TargetMode="External"/><Relationship Id="rId1811" Type="http://schemas.openxmlformats.org/officeDocument/2006/relationships/hyperlink" Target="https://twitter.com/JC_Varela" TargetMode="External"/><Relationship Id="rId1909" Type="http://schemas.openxmlformats.org/officeDocument/2006/relationships/hyperlink" Target="https://twitter.com/TabareVazquez" TargetMode="External"/><Relationship Id="rId392" Type="http://schemas.openxmlformats.org/officeDocument/2006/relationships/hyperlink" Target="http://twiplomacy.com/info/asia/Iran" TargetMode="External"/><Relationship Id="rId697" Type="http://schemas.openxmlformats.org/officeDocument/2006/relationships/hyperlink" Target="http://twiplomacy.com/info/europe/Albania" TargetMode="External"/><Relationship Id="rId2073" Type="http://schemas.openxmlformats.org/officeDocument/2006/relationships/hyperlink" Target="https://twitter.com/govSlovenia" TargetMode="External"/><Relationship Id="rId2280" Type="http://schemas.openxmlformats.org/officeDocument/2006/relationships/hyperlink" Target="https://twitter.com/pid_gov" TargetMode="External"/><Relationship Id="rId2378" Type="http://schemas.openxmlformats.org/officeDocument/2006/relationships/hyperlink" Target="https://twitter.com/PresidentAM_arm" TargetMode="External"/><Relationship Id="rId252" Type="http://schemas.openxmlformats.org/officeDocument/2006/relationships/hyperlink" Target="https://twitter.com/togodiplomatie/status/493027662009729024" TargetMode="External"/><Relationship Id="rId1187" Type="http://schemas.openxmlformats.org/officeDocument/2006/relationships/hyperlink" Target="https://twitter.com/IgnacioYbanez/lists" TargetMode="External"/><Relationship Id="rId2140" Type="http://schemas.openxmlformats.org/officeDocument/2006/relationships/hyperlink" Target="https://twitter.com/MFA_LI" TargetMode="External"/><Relationship Id="rId2585" Type="http://schemas.openxmlformats.org/officeDocument/2006/relationships/hyperlink" Target="http://twiplomacy.com/info/africa/Togo" TargetMode="External"/><Relationship Id="rId112" Type="http://schemas.openxmlformats.org/officeDocument/2006/relationships/hyperlink" Target="http://twiplomacy.com/info/africa/Kenya" TargetMode="External"/><Relationship Id="rId557" Type="http://schemas.openxmlformats.org/officeDocument/2006/relationships/hyperlink" Target="https://twitter.com/PMNawazSharif/statuses/267381383079550976" TargetMode="External"/><Relationship Id="rId764" Type="http://schemas.openxmlformats.org/officeDocument/2006/relationships/hyperlink" Target="http://twiplomacy.com/info/europe/Czech-Republic" TargetMode="External"/><Relationship Id="rId971" Type="http://schemas.openxmlformats.org/officeDocument/2006/relationships/hyperlink" Target="https://twitter.com/Brivibas36/statuses/403833744600993792" TargetMode="External"/><Relationship Id="rId1394" Type="http://schemas.openxmlformats.org/officeDocument/2006/relationships/hyperlink" Target="http://twiplomacy.com/info/north-america/Grenada" TargetMode="External"/><Relationship Id="rId1699" Type="http://schemas.openxmlformats.org/officeDocument/2006/relationships/hyperlink" Target="http://twiplomacy.com/info/asia/Mauritius" TargetMode="External"/><Relationship Id="rId2000" Type="http://schemas.openxmlformats.org/officeDocument/2006/relationships/hyperlink" Target="https://twitter.com/cancilleriasv" TargetMode="External"/><Relationship Id="rId2238" Type="http://schemas.openxmlformats.org/officeDocument/2006/relationships/hyperlink" Target="https://twitter.com/MOFAUAE" TargetMode="External"/><Relationship Id="rId2445" Type="http://schemas.openxmlformats.org/officeDocument/2006/relationships/hyperlink" Target="https://twitter.com/OuldAbdelAziz" TargetMode="External"/><Relationship Id="rId2652" Type="http://schemas.openxmlformats.org/officeDocument/2006/relationships/hyperlink" Target="https://twitter.com/IsraelHebrew/lists" TargetMode="External"/><Relationship Id="rId417" Type="http://schemas.openxmlformats.org/officeDocument/2006/relationships/hyperlink" Target="https://twitter.com/netanyahu/statuses/981805657" TargetMode="External"/><Relationship Id="rId624" Type="http://schemas.openxmlformats.org/officeDocument/2006/relationships/hyperlink" Target="https://twitter.com/mofa_kr/lists" TargetMode="External"/><Relationship Id="rId831" Type="http://schemas.openxmlformats.org/officeDocument/2006/relationships/hyperlink" Target="http://twiplomacy.com/info/europe/Europe" TargetMode="External"/><Relationship Id="rId1047" Type="http://schemas.openxmlformats.org/officeDocument/2006/relationships/hyperlink" Target="https://twitter.com/Rijksoverheid/lists" TargetMode="External"/><Relationship Id="rId1254" Type="http://schemas.openxmlformats.org/officeDocument/2006/relationships/hyperlink" Target="https://twitter.com/APUkraine/lists" TargetMode="External"/><Relationship Id="rId1461" Type="http://schemas.openxmlformats.org/officeDocument/2006/relationships/hyperlink" Target="http://twiplomacy.com/info/north-america/Saint-Kitts-and-Nevis" TargetMode="External"/><Relationship Id="rId2305" Type="http://schemas.openxmlformats.org/officeDocument/2006/relationships/hyperlink" Target="https://twitter.com/kyrgyzpresident" TargetMode="External"/><Relationship Id="rId2512" Type="http://schemas.openxmlformats.org/officeDocument/2006/relationships/hyperlink" Target="http://twiplomacy.com/info/asia/United-Arab-Emirates" TargetMode="External"/><Relationship Id="rId929" Type="http://schemas.openxmlformats.org/officeDocument/2006/relationships/hyperlink" Target="http://twiplomacy.com/info/europe/Ireland" TargetMode="External"/><Relationship Id="rId1114" Type="http://schemas.openxmlformats.org/officeDocument/2006/relationships/hyperlink" Target="http://twiplomacy.com/info/europe/Russia" TargetMode="External"/><Relationship Id="rId1321" Type="http://schemas.openxmlformats.org/officeDocument/2006/relationships/hyperlink" Target="http://twiplomacy.com/info/north-america/Barbados" TargetMode="External"/><Relationship Id="rId1559" Type="http://schemas.openxmlformats.org/officeDocument/2006/relationships/hyperlink" Target="http://twiplomacy.com/info/south-america/Argentina" TargetMode="External"/><Relationship Id="rId1766" Type="http://schemas.openxmlformats.org/officeDocument/2006/relationships/hyperlink" Target="https://twitter.com/MAE_Haiti/lists/foreign-affairs-of-haiti" TargetMode="External"/><Relationship Id="rId1973" Type="http://schemas.openxmlformats.org/officeDocument/2006/relationships/hyperlink" Target="https://twitter.com/otptt" TargetMode="External"/><Relationship Id="rId58" Type="http://schemas.openxmlformats.org/officeDocument/2006/relationships/hyperlink" Target="https://twitter.com/MOFAEGYPT/statuses/268802344970493953" TargetMode="External"/><Relationship Id="rId1419" Type="http://schemas.openxmlformats.org/officeDocument/2006/relationships/hyperlink" Target="http://twiplomacy.com/info/north-america/Jamaica" TargetMode="External"/><Relationship Id="rId1626" Type="http://schemas.openxmlformats.org/officeDocument/2006/relationships/hyperlink" Target="http://twiplomacy.com/info/south-america/Guyana" TargetMode="External"/><Relationship Id="rId1833" Type="http://schemas.openxmlformats.org/officeDocument/2006/relationships/hyperlink" Target="https://twitter.com/CanadianPM" TargetMode="External"/><Relationship Id="rId1900" Type="http://schemas.openxmlformats.org/officeDocument/2006/relationships/hyperlink" Target="https://twitter.com/maduro_zh" TargetMode="External"/><Relationship Id="rId2095" Type="http://schemas.openxmlformats.org/officeDocument/2006/relationships/hyperlink" Target="https://twitter.com/Pravitelstvo_RF" TargetMode="External"/><Relationship Id="rId274" Type="http://schemas.openxmlformats.org/officeDocument/2006/relationships/hyperlink" Target="http://twiplomacy.com/info/africa/Uganda" TargetMode="External"/><Relationship Id="rId481" Type="http://schemas.openxmlformats.org/officeDocument/2006/relationships/hyperlink" Target="https://twitter.com/KarimMassimov_E/statuses/50905779481485313" TargetMode="External"/><Relationship Id="rId2162" Type="http://schemas.openxmlformats.org/officeDocument/2006/relationships/hyperlink" Target="https://twitter.com/kormany_hu" TargetMode="External"/><Relationship Id="rId134" Type="http://schemas.openxmlformats.org/officeDocument/2006/relationships/hyperlink" Target="http://twiplomacy.com/info/africa/Mali" TargetMode="External"/><Relationship Id="rId579" Type="http://schemas.openxmlformats.org/officeDocument/2006/relationships/hyperlink" Target="https://twitter.com/PresidentNoy/statuses/21135751204" TargetMode="External"/><Relationship Id="rId786" Type="http://schemas.openxmlformats.org/officeDocument/2006/relationships/hyperlink" Target="https://twitter.com/IlvesToomas/statuses/202478265955393536" TargetMode="External"/><Relationship Id="rId993" Type="http://schemas.openxmlformats.org/officeDocument/2006/relationships/hyperlink" Target="https://twitter.com/AButkevicius/statuses/56285233573675008" TargetMode="External"/><Relationship Id="rId2467" Type="http://schemas.openxmlformats.org/officeDocument/2006/relationships/hyperlink" Target="https://twitter.com/GouvGN" TargetMode="External"/><Relationship Id="rId2674" Type="http://schemas.openxmlformats.org/officeDocument/2006/relationships/hyperlink" Target="https://twitter.com/_BR_JSA" TargetMode="External"/><Relationship Id="rId341" Type="http://schemas.openxmlformats.org/officeDocument/2006/relationships/hyperlink" Target="https://twitter.com/MargvelashviliG/statuses/425156185755381760" TargetMode="External"/><Relationship Id="rId439" Type="http://schemas.openxmlformats.org/officeDocument/2006/relationships/hyperlink" Target="https://twitter.com/kantei/statuses/139872517979521024" TargetMode="External"/><Relationship Id="rId646" Type="http://schemas.openxmlformats.org/officeDocument/2006/relationships/hyperlink" Target="http://twiplomacy.com/info/asia/Sri-Lanka" TargetMode="External"/><Relationship Id="rId1069" Type="http://schemas.openxmlformats.org/officeDocument/2006/relationships/hyperlink" Target="https://twitter.com/Utenriksdept/statuses/6428202482" TargetMode="External"/><Relationship Id="rId1276" Type="http://schemas.openxmlformats.org/officeDocument/2006/relationships/hyperlink" Target="http://twiplomacy.com/info/europe/United-Kingdom" TargetMode="External"/><Relationship Id="rId1483" Type="http://schemas.openxmlformats.org/officeDocument/2006/relationships/hyperlink" Target="http://twiplomacy.com/info/north-america/United-States" TargetMode="External"/><Relationship Id="rId2022" Type="http://schemas.openxmlformats.org/officeDocument/2006/relationships/hyperlink" Target="https://twitter.com/antiguagov" TargetMode="External"/><Relationship Id="rId2327" Type="http://schemas.openxmlformats.org/officeDocument/2006/relationships/hyperlink" Target="https://twitter.com/rubirivlin" TargetMode="External"/><Relationship Id="rId201" Type="http://schemas.openxmlformats.org/officeDocument/2006/relationships/hyperlink" Target="https://twitter.com/ebkoroma/statuses/288508042776047617" TargetMode="External"/><Relationship Id="rId506" Type="http://schemas.openxmlformats.org/officeDocument/2006/relationships/hyperlink" Target="http://twiplomacy.com/info/asia/Malaysia" TargetMode="External"/><Relationship Id="rId853" Type="http://schemas.openxmlformats.org/officeDocument/2006/relationships/hyperlink" Target="https://twitter.com/Ulkoministerio/edustustot/members" TargetMode="External"/><Relationship Id="rId1136" Type="http://schemas.openxmlformats.org/officeDocument/2006/relationships/hyperlink" Target="https://twitter.com/predsednikrs/statuses/235338454488207361" TargetMode="External"/><Relationship Id="rId1690" Type="http://schemas.openxmlformats.org/officeDocument/2006/relationships/hyperlink" Target="http://twiplomacy.com/info/south-america/Venezuela" TargetMode="External"/><Relationship Id="rId1788" Type="http://schemas.openxmlformats.org/officeDocument/2006/relationships/hyperlink" Target="https://twitter.com/Elysee" TargetMode="External"/><Relationship Id="rId1995" Type="http://schemas.openxmlformats.org/officeDocument/2006/relationships/hyperlink" Target="https://twitter.com/PrimatureHT" TargetMode="External"/><Relationship Id="rId2534" Type="http://schemas.openxmlformats.org/officeDocument/2006/relationships/hyperlink" Target="https://twitter.com/AdelAljubeir/lists" TargetMode="External"/><Relationship Id="rId2741" Type="http://schemas.openxmlformats.org/officeDocument/2006/relationships/hyperlink" Target="https://twitter.com/MvPressCenter/status/239611053284134913" TargetMode="External"/><Relationship Id="rId713" Type="http://schemas.openxmlformats.org/officeDocument/2006/relationships/hyperlink" Target="https://twitter.com/BelarusMID/statuses/107001193972248576" TargetMode="External"/><Relationship Id="rId920" Type="http://schemas.openxmlformats.org/officeDocument/2006/relationships/hyperlink" Target="http://twiplomacy.com/info/europe/Iceland" TargetMode="External"/><Relationship Id="rId1343" Type="http://schemas.openxmlformats.org/officeDocument/2006/relationships/hyperlink" Target="https://twitter.com/CanadaFP/statuses/504381532287803392" TargetMode="External"/><Relationship Id="rId1550" Type="http://schemas.openxmlformats.org/officeDocument/2006/relationships/hyperlink" Target="http://twiplomacy.com/info/oceania/Samoa" TargetMode="External"/><Relationship Id="rId1648" Type="http://schemas.openxmlformats.org/officeDocument/2006/relationships/hyperlink" Target="https://twitter.com/CancilleriaPeru/lists" TargetMode="External"/><Relationship Id="rId2601" Type="http://schemas.openxmlformats.org/officeDocument/2006/relationships/hyperlink" Target="http://twiplomacy.com/info/europe/Switzerland" TargetMode="External"/><Relationship Id="rId1203" Type="http://schemas.openxmlformats.org/officeDocument/2006/relationships/hyperlink" Target="https://twitter.com/SweMFA/statuses/128491240290390017" TargetMode="External"/><Relationship Id="rId1410" Type="http://schemas.openxmlformats.org/officeDocument/2006/relationships/hyperlink" Target="https://twitter.com/JuanOrlandoH/lists" TargetMode="External"/><Relationship Id="rId1508" Type="http://schemas.openxmlformats.org/officeDocument/2006/relationships/hyperlink" Target="http://twiplomacy.com/info/north-america/United-States" TargetMode="External"/><Relationship Id="rId1855" Type="http://schemas.openxmlformats.org/officeDocument/2006/relationships/hyperlink" Target="https://twitter.com/cancilleriacrc" TargetMode="External"/><Relationship Id="rId1715" Type="http://schemas.openxmlformats.org/officeDocument/2006/relationships/hyperlink" Target="https://twitter.com/Secradjib/lists" TargetMode="External"/><Relationship Id="rId1922" Type="http://schemas.openxmlformats.org/officeDocument/2006/relationships/hyperlink" Target="https://twitter.com/MashiRafael" TargetMode="External"/><Relationship Id="rId296" Type="http://schemas.openxmlformats.org/officeDocument/2006/relationships/hyperlink" Target="http://twiplomacy.com/info/asia/Afghanistan" TargetMode="External"/><Relationship Id="rId2184" Type="http://schemas.openxmlformats.org/officeDocument/2006/relationships/hyperlink" Target="https://twitter.com/GjorgeIvanov" TargetMode="External"/><Relationship Id="rId2391" Type="http://schemas.openxmlformats.org/officeDocument/2006/relationships/hyperlink" Target="https://twitter.com/RuhakanaR" TargetMode="External"/><Relationship Id="rId156" Type="http://schemas.openxmlformats.org/officeDocument/2006/relationships/hyperlink" Target="https://twitter.com/hagegeingob/lists" TargetMode="External"/><Relationship Id="rId363" Type="http://schemas.openxmlformats.org/officeDocument/2006/relationships/hyperlink" Target="https://twitter.com/IndianDiplomacy/statuses/18022835035" TargetMode="External"/><Relationship Id="rId570" Type="http://schemas.openxmlformats.org/officeDocument/2006/relationships/hyperlink" Target="http://twiplomacy.com/info/asia/Philippines" TargetMode="External"/><Relationship Id="rId2044" Type="http://schemas.openxmlformats.org/officeDocument/2006/relationships/hyperlink" Target="https://twitter.com/poroshenko" TargetMode="External"/><Relationship Id="rId2251" Type="http://schemas.openxmlformats.org/officeDocument/2006/relationships/hyperlink" Target="https://twitter.com/PresRajapaksa" TargetMode="External"/><Relationship Id="rId2489" Type="http://schemas.openxmlformats.org/officeDocument/2006/relationships/hyperlink" Target="https://twitter.com/mapon_matata" TargetMode="External"/><Relationship Id="rId2696" Type="http://schemas.openxmlformats.org/officeDocument/2006/relationships/hyperlink" Target="https://twitter.com/RT_Erdogan/statuses/614536973529804800" TargetMode="External"/><Relationship Id="rId223" Type="http://schemas.openxmlformats.org/officeDocument/2006/relationships/hyperlink" Target="http://twiplomacy.com/info/africa/South-Africa" TargetMode="External"/><Relationship Id="rId430" Type="http://schemas.openxmlformats.org/officeDocument/2006/relationships/hyperlink" Target="http://twiplomacy.com/info/asia/Israel" TargetMode="External"/><Relationship Id="rId668" Type="http://schemas.openxmlformats.org/officeDocument/2006/relationships/hyperlink" Target="http://twiplomacy.com/info/asia/Thailand" TargetMode="External"/><Relationship Id="rId875" Type="http://schemas.openxmlformats.org/officeDocument/2006/relationships/hyperlink" Target="https://twitter.com/francediplo_EN/statuses/147687501673398272" TargetMode="External"/><Relationship Id="rId1060" Type="http://schemas.openxmlformats.org/officeDocument/2006/relationships/hyperlink" Target="http://twiplomacy.com/info/europe/Norway" TargetMode="External"/><Relationship Id="rId1298" Type="http://schemas.openxmlformats.org/officeDocument/2006/relationships/hyperlink" Target="http://twiplomacy.com/info/europe/Vatican" TargetMode="External"/><Relationship Id="rId2111" Type="http://schemas.openxmlformats.org/officeDocument/2006/relationships/hyperlink" Target="https://twitter.com/Utenriksdept" TargetMode="External"/><Relationship Id="rId2349" Type="http://schemas.openxmlformats.org/officeDocument/2006/relationships/hyperlink" Target="https://twitter.com/jokowi" TargetMode="External"/><Relationship Id="rId2556" Type="http://schemas.openxmlformats.org/officeDocument/2006/relationships/hyperlink" Target="https://twitter.com/pmofa/lists" TargetMode="External"/><Relationship Id="rId528" Type="http://schemas.openxmlformats.org/officeDocument/2006/relationships/hyperlink" Target="https://twitter.com/pmoffice_mn/statuses/291129539147464704" TargetMode="External"/><Relationship Id="rId735" Type="http://schemas.openxmlformats.org/officeDocument/2006/relationships/hyperlink" Target="https://twitter.com/BoykoBorissov/status/18072267942526976" TargetMode="External"/><Relationship Id="rId942" Type="http://schemas.openxmlformats.org/officeDocument/2006/relationships/hyperlink" Target="https://twitter.com/govdotie/status/171601265619501056" TargetMode="External"/><Relationship Id="rId1158" Type="http://schemas.openxmlformats.org/officeDocument/2006/relationships/hyperlink" Target="https://twitter.com/MiroslavLajcak/statuses/324185864773181441" TargetMode="External"/><Relationship Id="rId1365" Type="http://schemas.openxmlformats.org/officeDocument/2006/relationships/hyperlink" Target="http://twiplomacy.com/info/north-america/Cuba" TargetMode="External"/><Relationship Id="rId1572" Type="http://schemas.openxmlformats.org/officeDocument/2006/relationships/hyperlink" Target="https://twitter.com/CasaCivilBR/statuses/361935873446653953" TargetMode="External"/><Relationship Id="rId2209" Type="http://schemas.openxmlformats.org/officeDocument/2006/relationships/hyperlink" Target="https://twitter.com/AnastasiadesCY" TargetMode="External"/><Relationship Id="rId2416" Type="http://schemas.openxmlformats.org/officeDocument/2006/relationships/hyperlink" Target="https://twitter.com/TheVillaSomalia" TargetMode="External"/><Relationship Id="rId2623" Type="http://schemas.openxmlformats.org/officeDocument/2006/relationships/hyperlink" Target="http://twiplomacy.com/info/north-america/Haiti" TargetMode="External"/><Relationship Id="rId1018" Type="http://schemas.openxmlformats.org/officeDocument/2006/relationships/hyperlink" Target="https://twitter.com/MFAMalta/status/661236510474244096" TargetMode="External"/><Relationship Id="rId1225" Type="http://schemas.openxmlformats.org/officeDocument/2006/relationships/hyperlink" Target="http://twiplomacy.com/info/europe/Turkey" TargetMode="External"/><Relationship Id="rId1432" Type="http://schemas.openxmlformats.org/officeDocument/2006/relationships/hyperlink" Target="https://twitter.com/ruizmassieu/lists" TargetMode="External"/><Relationship Id="rId1877" Type="http://schemas.openxmlformats.org/officeDocument/2006/relationships/hyperlink" Target="https://twitter.com/gov_tunisie" TargetMode="External"/><Relationship Id="rId71" Type="http://schemas.openxmlformats.org/officeDocument/2006/relationships/hyperlink" Target="http://twiplomacy.com/info/africa/Gabon" TargetMode="External"/><Relationship Id="rId802" Type="http://schemas.openxmlformats.org/officeDocument/2006/relationships/hyperlink" Target="https://twitter.com/EstonianGovt/lists" TargetMode="External"/><Relationship Id="rId1737" Type="http://schemas.openxmlformats.org/officeDocument/2006/relationships/hyperlink" Target="https://twitter.com/Hilaaleege/statuses/11183823113" TargetMode="External"/><Relationship Id="rId1944" Type="http://schemas.openxmlformats.org/officeDocument/2006/relationships/hyperlink" Target="https://twitter.com/MPMCTweeter" TargetMode="External"/><Relationship Id="rId29" Type="http://schemas.openxmlformats.org/officeDocument/2006/relationships/hyperlink" Target="https://twitter.com/PRIMATURERCA/lists" TargetMode="External"/><Relationship Id="rId178" Type="http://schemas.openxmlformats.org/officeDocument/2006/relationships/hyperlink" Target="https://twitter.com/amurekezi/lists" TargetMode="External"/><Relationship Id="rId1804" Type="http://schemas.openxmlformats.org/officeDocument/2006/relationships/hyperlink" Target="https://twitter.com/David_Cameron" TargetMode="External"/><Relationship Id="rId385" Type="http://schemas.openxmlformats.org/officeDocument/2006/relationships/hyperlink" Target="http://twiplomacy.com/info/asia/Iran" TargetMode="External"/><Relationship Id="rId592" Type="http://schemas.openxmlformats.org/officeDocument/2006/relationships/hyperlink" Target="http://twiplomacy.com/info/asia/Saudi-Arabia" TargetMode="External"/><Relationship Id="rId2066" Type="http://schemas.openxmlformats.org/officeDocument/2006/relationships/hyperlink" Target="https://twitter.com/margotwallstrom" TargetMode="External"/><Relationship Id="rId2273" Type="http://schemas.openxmlformats.org/officeDocument/2006/relationships/hyperlink" Target="https://twitter.com/PM_GOV_PG" TargetMode="External"/><Relationship Id="rId2480" Type="http://schemas.openxmlformats.org/officeDocument/2006/relationships/hyperlink" Target="https://twitter.com/HailemariamD" TargetMode="External"/><Relationship Id="rId245" Type="http://schemas.openxmlformats.org/officeDocument/2006/relationships/hyperlink" Target="http://twiplomacy.com/info/africa/Togo" TargetMode="External"/><Relationship Id="rId452" Type="http://schemas.openxmlformats.org/officeDocument/2006/relationships/hyperlink" Target="http://twiplomacy.com/info/asia/Jordan" TargetMode="External"/><Relationship Id="rId897" Type="http://schemas.openxmlformats.org/officeDocument/2006/relationships/hyperlink" Target="https://twitter.com/GermanyDiplo/statuses/156413909077721088" TargetMode="External"/><Relationship Id="rId1082" Type="http://schemas.openxmlformats.org/officeDocument/2006/relationships/hyperlink" Target="http://twiplomacy.com/info/europe/Poland" TargetMode="External"/><Relationship Id="rId2133" Type="http://schemas.openxmlformats.org/officeDocument/2006/relationships/hyperlink" Target="https://twitter.com/CourGrandDucale" TargetMode="External"/><Relationship Id="rId2340" Type="http://schemas.openxmlformats.org/officeDocument/2006/relationships/hyperlink" Target="https://twitter.com/Jzarif" TargetMode="External"/><Relationship Id="rId2578" Type="http://schemas.openxmlformats.org/officeDocument/2006/relationships/hyperlink" Target="http://twiplomacy.com/info/asia/Georgia" TargetMode="External"/><Relationship Id="rId105" Type="http://schemas.openxmlformats.org/officeDocument/2006/relationships/hyperlink" Target="http://twiplomacy.com/info/africa/Kenya" TargetMode="External"/><Relationship Id="rId312" Type="http://schemas.openxmlformats.org/officeDocument/2006/relationships/hyperlink" Target="https://twitter.com/presidentaz/statuses/497364659322626048" TargetMode="External"/><Relationship Id="rId757" Type="http://schemas.openxmlformats.org/officeDocument/2006/relationships/hyperlink" Target="https://twitter.com/CYpresidency/statuses/307242246275735553" TargetMode="External"/><Relationship Id="rId964" Type="http://schemas.openxmlformats.org/officeDocument/2006/relationships/hyperlink" Target="http://twiplomacy.com/info/europe/Latvia" TargetMode="External"/><Relationship Id="rId1387" Type="http://schemas.openxmlformats.org/officeDocument/2006/relationships/hyperlink" Target="https://twitter.com/presidencia_sv/statuses/27148569964" TargetMode="External"/><Relationship Id="rId1594" Type="http://schemas.openxmlformats.org/officeDocument/2006/relationships/hyperlink" Target="http://twiplomacy.com/info/south-america/Chile" TargetMode="External"/><Relationship Id="rId2200" Type="http://schemas.openxmlformats.org/officeDocument/2006/relationships/hyperlink" Target="https://twitter.com/mzvcr" TargetMode="External"/><Relationship Id="rId2438" Type="http://schemas.openxmlformats.org/officeDocument/2006/relationships/hyperlink" Target="https://twitter.com/hagegeingob" TargetMode="External"/><Relationship Id="rId2645" Type="http://schemas.openxmlformats.org/officeDocument/2006/relationships/hyperlink" Target="https://twitter.com/ChileMFA/lists" TargetMode="External"/><Relationship Id="rId93" Type="http://schemas.openxmlformats.org/officeDocument/2006/relationships/hyperlink" Target="https://twitter.com/Sekhoutoureya/statuses/218068132651220993" TargetMode="External"/><Relationship Id="rId617" Type="http://schemas.openxmlformats.org/officeDocument/2006/relationships/hyperlink" Target="http://twiplomacy.com/info/asia/South-Korea" TargetMode="External"/><Relationship Id="rId824" Type="http://schemas.openxmlformats.org/officeDocument/2006/relationships/hyperlink" Target="https://twitter.com/eu_eeas/statuses/8239412582" TargetMode="External"/><Relationship Id="rId1247" Type="http://schemas.openxmlformats.org/officeDocument/2006/relationships/hyperlink" Target="https://twitter.com/TRDiplo_ARABIC/statuses/226070008751611904" TargetMode="External"/><Relationship Id="rId1454" Type="http://schemas.openxmlformats.org/officeDocument/2006/relationships/hyperlink" Target="http://twiplomacy.com/info/south-america/Puerto_Rico" TargetMode="External"/><Relationship Id="rId1661" Type="http://schemas.openxmlformats.org/officeDocument/2006/relationships/hyperlink" Target="http://twiplomacy.com/info/south-america/Venezuela" TargetMode="External"/><Relationship Id="rId1899" Type="http://schemas.openxmlformats.org/officeDocument/2006/relationships/hyperlink" Target="https://twitter.com/maduro_be" TargetMode="External"/><Relationship Id="rId2505" Type="http://schemas.openxmlformats.org/officeDocument/2006/relationships/hyperlink" Target="https://twitter.com/beningouv" TargetMode="External"/><Relationship Id="rId2712" Type="http://schemas.openxmlformats.org/officeDocument/2006/relationships/hyperlink" Target="https://twitter.com/MofaJapan_ITPR/lists/%E5%A4%96%E5%8B%99%E7%9C%81%E3%83%BB%E5%9C%A8%E5%A4%96%E5%85%AC%E9%A4%A8/members" TargetMode="External"/><Relationship Id="rId1107" Type="http://schemas.openxmlformats.org/officeDocument/2006/relationships/hyperlink" Target="https://twitter.com/PutinRF/statuses/162789651801833472" TargetMode="External"/><Relationship Id="rId1314" Type="http://schemas.openxmlformats.org/officeDocument/2006/relationships/hyperlink" Target="http://twiplomacy.com/info/north-america/Antigua-and-Barbuda" TargetMode="External"/><Relationship Id="rId1521" Type="http://schemas.openxmlformats.org/officeDocument/2006/relationships/hyperlink" Target="https://twitter.com/USAUrdu/statuses/48396822196125696" TargetMode="External"/><Relationship Id="rId1759" Type="http://schemas.openxmlformats.org/officeDocument/2006/relationships/hyperlink" Target="https://twitter.com/PresidentUA/statuses/39277072409038848" TargetMode="External"/><Relationship Id="rId1966" Type="http://schemas.openxmlformats.org/officeDocument/2006/relationships/hyperlink" Target="https://twitter.com/USAdarFarsi" TargetMode="External"/><Relationship Id="rId1619" Type="http://schemas.openxmlformats.org/officeDocument/2006/relationships/hyperlink" Target="https://twitter.com/MFAEcuador/lists" TargetMode="External"/><Relationship Id="rId1826" Type="http://schemas.openxmlformats.org/officeDocument/2006/relationships/hyperlink" Target="https://twitter.com/PMofTimorLeste/status/591044628826103808" TargetMode="External"/><Relationship Id="rId20" Type="http://schemas.openxmlformats.org/officeDocument/2006/relationships/hyperlink" Target="https://twitter.com/BurundiGov/statuses/21144762689" TargetMode="External"/><Relationship Id="rId2088" Type="http://schemas.openxmlformats.org/officeDocument/2006/relationships/hyperlink" Target="https://twitter.com/predsednikrs" TargetMode="External"/><Relationship Id="rId2295" Type="http://schemas.openxmlformats.org/officeDocument/2006/relationships/hyperlink" Target="https://twitter.com/PresidentYameen" TargetMode="External"/><Relationship Id="rId267" Type="http://schemas.openxmlformats.org/officeDocument/2006/relationships/hyperlink" Target="https://twitter.com/Al_Kasbah/lists" TargetMode="External"/><Relationship Id="rId474" Type="http://schemas.openxmlformats.org/officeDocument/2006/relationships/hyperlink" Target="https://twitter.com/MFA_KZ/statuses/142832018550554624" TargetMode="External"/><Relationship Id="rId2155" Type="http://schemas.openxmlformats.org/officeDocument/2006/relationships/hyperlink" Target="https://twitter.com/QuirinaleStampa" TargetMode="External"/><Relationship Id="rId127" Type="http://schemas.openxmlformats.org/officeDocument/2006/relationships/hyperlink" Target="https://twitter.com/PresidenceMada/statuses/447856671147442176" TargetMode="External"/><Relationship Id="rId681" Type="http://schemas.openxmlformats.org/officeDocument/2006/relationships/hyperlink" Target="http://twiplomacy.com/info/asia/United-Arab-Emirates" TargetMode="External"/><Relationship Id="rId779" Type="http://schemas.openxmlformats.org/officeDocument/2006/relationships/hyperlink" Target="http://twiplomacy.com/info/europe/Denmark" TargetMode="External"/><Relationship Id="rId986" Type="http://schemas.openxmlformats.org/officeDocument/2006/relationships/hyperlink" Target="http://twiplomacy.com/info/europe/Liechtenstein" TargetMode="External"/><Relationship Id="rId2362" Type="http://schemas.openxmlformats.org/officeDocument/2006/relationships/hyperlink" Target="https://twitter.com/GOV_BN" TargetMode="External"/><Relationship Id="rId2667" Type="http://schemas.openxmlformats.org/officeDocument/2006/relationships/hyperlink" Target="http://twiplomacy.com/info/asia/Israel" TargetMode="External"/><Relationship Id="rId334" Type="http://schemas.openxmlformats.org/officeDocument/2006/relationships/hyperlink" Target="https://twitter.com/GOV_BN/status/506732639340871681" TargetMode="External"/><Relationship Id="rId541" Type="http://schemas.openxmlformats.org/officeDocument/2006/relationships/hyperlink" Target="https://twitter.com/kpsharmaoli/status/516859217920016384" TargetMode="External"/><Relationship Id="rId639" Type="http://schemas.openxmlformats.org/officeDocument/2006/relationships/hyperlink" Target="https://twitter.com/MangalaLK/lists" TargetMode="External"/><Relationship Id="rId1171" Type="http://schemas.openxmlformats.org/officeDocument/2006/relationships/hyperlink" Target="https://twitter.com/MZZRS/lists" TargetMode="External"/><Relationship Id="rId1269" Type="http://schemas.openxmlformats.org/officeDocument/2006/relationships/hyperlink" Target="http://twiplomacy.com/info/europe/Ukraine" TargetMode="External"/><Relationship Id="rId1476" Type="http://schemas.openxmlformats.org/officeDocument/2006/relationships/hyperlink" Target="https://twitter.com/OPM_TT/lists" TargetMode="External"/><Relationship Id="rId2015" Type="http://schemas.openxmlformats.org/officeDocument/2006/relationships/hyperlink" Target="https://twitter.com/HonStephaneDion" TargetMode="External"/><Relationship Id="rId2222" Type="http://schemas.openxmlformats.org/officeDocument/2006/relationships/hyperlink" Target="https://twitter.com/MonarchieBe" TargetMode="External"/><Relationship Id="rId401" Type="http://schemas.openxmlformats.org/officeDocument/2006/relationships/hyperlink" Target="https://twitter.com/Rouhani_ir/statuses/326271261510619136" TargetMode="External"/><Relationship Id="rId846" Type="http://schemas.openxmlformats.org/officeDocument/2006/relationships/hyperlink" Target="https://twitter.com/alexstubb/statuses/4863774049701889" TargetMode="External"/><Relationship Id="rId1031" Type="http://schemas.openxmlformats.org/officeDocument/2006/relationships/hyperlink" Target="https://twitter.com/palaismonaco/statuses/139351973358075905" TargetMode="External"/><Relationship Id="rId1129" Type="http://schemas.openxmlformats.org/officeDocument/2006/relationships/hyperlink" Target="https://twitter.com/mfa_russia/lists" TargetMode="External"/><Relationship Id="rId1683" Type="http://schemas.openxmlformats.org/officeDocument/2006/relationships/hyperlink" Target="https://twitter.com/maduro_cmn/statuses/380047709597888512" TargetMode="External"/><Relationship Id="rId1890" Type="http://schemas.openxmlformats.org/officeDocument/2006/relationships/hyperlink" Target="https://twitter.com/AbeShinzo" TargetMode="External"/><Relationship Id="rId1988" Type="http://schemas.openxmlformats.org/officeDocument/2006/relationships/hyperlink" Target="https://twitter.com/EPN" TargetMode="External"/><Relationship Id="rId2527" Type="http://schemas.openxmlformats.org/officeDocument/2006/relationships/hyperlink" Target="https://twitter.com/MofaJapan_ITPR" TargetMode="External"/><Relationship Id="rId2734" Type="http://schemas.openxmlformats.org/officeDocument/2006/relationships/hyperlink" Target="https://twitter.com/MinexGt/lists" TargetMode="External"/><Relationship Id="rId706" Type="http://schemas.openxmlformats.org/officeDocument/2006/relationships/hyperlink" Target="http://twiplomacy.com/info/europe/Austria" TargetMode="External"/><Relationship Id="rId913" Type="http://schemas.openxmlformats.org/officeDocument/2006/relationships/hyperlink" Target="https://twitter.com/GreeceMFA/statuses/12702790754" TargetMode="External"/><Relationship Id="rId1336" Type="http://schemas.openxmlformats.org/officeDocument/2006/relationships/hyperlink" Target="https://twitter.com/PMcanadien/status/662031376393326594" TargetMode="External"/><Relationship Id="rId1543" Type="http://schemas.openxmlformats.org/officeDocument/2006/relationships/hyperlink" Target="http://twiplomacy.com/info/oceania/New-Zealand" TargetMode="External"/><Relationship Id="rId1750" Type="http://schemas.openxmlformats.org/officeDocument/2006/relationships/hyperlink" Target="http://twiplomacy.com/info/asia/United-Arab-Emirates" TargetMode="External"/><Relationship Id="rId42" Type="http://schemas.openxmlformats.org/officeDocument/2006/relationships/hyperlink" Target="https://twitter.com/PrimatureRDC/statuses/336881780265218048" TargetMode="External"/><Relationship Id="rId1403" Type="http://schemas.openxmlformats.org/officeDocument/2006/relationships/hyperlink" Target="http://twiplomacy.com/info/north-america/Haiti" TargetMode="External"/><Relationship Id="rId1610" Type="http://schemas.openxmlformats.org/officeDocument/2006/relationships/hyperlink" Target="https://twitter.com/mashirafael/statuses/97076030212288512" TargetMode="External"/><Relationship Id="rId1848" Type="http://schemas.openxmlformats.org/officeDocument/2006/relationships/hyperlink" Target="https://twitter.com/KvirikashviliGi" TargetMode="External"/><Relationship Id="rId191" Type="http://schemas.openxmlformats.org/officeDocument/2006/relationships/hyperlink" Target="http://twiplomacy.com/info/africa/Senegal" TargetMode="External"/><Relationship Id="rId1708" Type="http://schemas.openxmlformats.org/officeDocument/2006/relationships/hyperlink" Target="http://twiplomacy.com/info/europe/Slovakia" TargetMode="External"/><Relationship Id="rId1915" Type="http://schemas.openxmlformats.org/officeDocument/2006/relationships/hyperlink" Target="https://twitter.com/mreparaguay" TargetMode="External"/><Relationship Id="rId289" Type="http://schemas.openxmlformats.org/officeDocument/2006/relationships/hyperlink" Target="http://twiplomacy.com/info/asia/Afghanistan" TargetMode="External"/><Relationship Id="rId496" Type="http://schemas.openxmlformats.org/officeDocument/2006/relationships/hyperlink" Target="https://twitter.com/SalamTammam/statuses/228143274395856898" TargetMode="External"/><Relationship Id="rId2177" Type="http://schemas.openxmlformats.org/officeDocument/2006/relationships/hyperlink" Target="https://twitter.com/Ulkoministerio" TargetMode="External"/><Relationship Id="rId2384" Type="http://schemas.openxmlformats.org/officeDocument/2006/relationships/hyperlink" Target="https://twitter.com/ARG_AFG" TargetMode="External"/><Relationship Id="rId2591" Type="http://schemas.openxmlformats.org/officeDocument/2006/relationships/hyperlink" Target="https://twitter.com/zinsouofficiel/lists" TargetMode="External"/><Relationship Id="rId149" Type="http://schemas.openxmlformats.org/officeDocument/2006/relationships/hyperlink" Target="http://twiplomacy.com/info/africa/Morrocco" TargetMode="External"/><Relationship Id="rId356" Type="http://schemas.openxmlformats.org/officeDocument/2006/relationships/hyperlink" Target="https://twitter.com/narendramodi/statuses/467192528878329856" TargetMode="External"/><Relationship Id="rId563" Type="http://schemas.openxmlformats.org/officeDocument/2006/relationships/hyperlink" Target="https://twitter.com/RamiHamdalla/lists" TargetMode="External"/><Relationship Id="rId770" Type="http://schemas.openxmlformats.org/officeDocument/2006/relationships/hyperlink" Target="http://twiplomacy.com/info/europe/Czech-Republic" TargetMode="External"/><Relationship Id="rId1193" Type="http://schemas.openxmlformats.org/officeDocument/2006/relationships/hyperlink" Target="https://twitter.com/SpainMFA/lists" TargetMode="External"/><Relationship Id="rId2037" Type="http://schemas.openxmlformats.org/officeDocument/2006/relationships/hyperlink" Target="https://twitter.com/Kabmin_UA_r" TargetMode="External"/><Relationship Id="rId2244" Type="http://schemas.openxmlformats.org/officeDocument/2006/relationships/hyperlink" Target="https://twitter.com/ThaiKhuFah" TargetMode="External"/><Relationship Id="rId2451" Type="http://schemas.openxmlformats.org/officeDocument/2006/relationships/hyperlink" Target="https://twitter.com/DGRAVELONARIVO" TargetMode="External"/><Relationship Id="rId2689" Type="http://schemas.openxmlformats.org/officeDocument/2006/relationships/hyperlink" Target="https://twitter.com/POTUS/statuses/614435467120001024" TargetMode="External"/><Relationship Id="rId216" Type="http://schemas.openxmlformats.org/officeDocument/2006/relationships/hyperlink" Target="https://twitter.com/MinisterMOFA/status/564780729138413569" TargetMode="External"/><Relationship Id="rId423" Type="http://schemas.openxmlformats.org/officeDocument/2006/relationships/hyperlink" Target="https://twitter.com/IsraelMFA/mfa-missions-on-tw/members" TargetMode="External"/><Relationship Id="rId868" Type="http://schemas.openxmlformats.org/officeDocument/2006/relationships/hyperlink" Target="https://twitter.com/gouvernementFR/statuses/553609545076199426" TargetMode="External"/><Relationship Id="rId1053" Type="http://schemas.openxmlformats.org/officeDocument/2006/relationships/hyperlink" Target="https://twitter.com/DutchMFA/statuses/7479573388" TargetMode="External"/><Relationship Id="rId1260" Type="http://schemas.openxmlformats.org/officeDocument/2006/relationships/hyperlink" Target="https://twitter.com/Kabmin_UA_e/statuses/89256701420777472" TargetMode="External"/><Relationship Id="rId1498" Type="http://schemas.openxmlformats.org/officeDocument/2006/relationships/hyperlink" Target="http://twiplomacy.com/info/north-america/United-States" TargetMode="External"/><Relationship Id="rId2104" Type="http://schemas.openxmlformats.org/officeDocument/2006/relationships/hyperlink" Target="https://twitter.com/PolandMFA" TargetMode="External"/><Relationship Id="rId2549" Type="http://schemas.openxmlformats.org/officeDocument/2006/relationships/hyperlink" Target="https://twitter.com/votealpha2015/lists" TargetMode="External"/><Relationship Id="rId630" Type="http://schemas.openxmlformats.org/officeDocument/2006/relationships/hyperlink" Target="https://twitter.com/MOFAkr_eng/statuses/27720259914" TargetMode="External"/><Relationship Id="rId728" Type="http://schemas.openxmlformats.org/officeDocument/2006/relationships/hyperlink" Target="https://twitter.com/B_Izetbegovic/statuses/22000704570" TargetMode="External"/><Relationship Id="rId935" Type="http://schemas.openxmlformats.org/officeDocument/2006/relationships/hyperlink" Target="https://twitter.com/CharlieFlanagan/status/23132257472479232" TargetMode="External"/><Relationship Id="rId1358" Type="http://schemas.openxmlformats.org/officeDocument/2006/relationships/hyperlink" Target="http://twiplomacy.com/info/north-america/Costa-Rica" TargetMode="External"/><Relationship Id="rId1565" Type="http://schemas.openxmlformats.org/officeDocument/2006/relationships/hyperlink" Target="http://twiplomacy.com/info/south-america/Bolivia" TargetMode="External"/><Relationship Id="rId1772" Type="http://schemas.openxmlformats.org/officeDocument/2006/relationships/hyperlink" Target="http://twiplomacy.com/info/oceania/Fiji" TargetMode="External"/><Relationship Id="rId2311" Type="http://schemas.openxmlformats.org/officeDocument/2006/relationships/hyperlink" Target="https://twitter.com/primeministerkz" TargetMode="External"/><Relationship Id="rId2409" Type="http://schemas.openxmlformats.org/officeDocument/2006/relationships/hyperlink" Target="https://twitter.com/PresidencyZA" TargetMode="External"/><Relationship Id="rId2616" Type="http://schemas.openxmlformats.org/officeDocument/2006/relationships/hyperlink" Target="http://twiplomacy.com/info/south-america/Bolivia" TargetMode="External"/><Relationship Id="rId64" Type="http://schemas.openxmlformats.org/officeDocument/2006/relationships/hyperlink" Target="https://twitter.com/DrTedros/statuses/24760822141" TargetMode="External"/><Relationship Id="rId1120" Type="http://schemas.openxmlformats.org/officeDocument/2006/relationships/hyperlink" Target="https://twitter.com/Russia/status/537875224432484352" TargetMode="External"/><Relationship Id="rId1218" Type="http://schemas.openxmlformats.org/officeDocument/2006/relationships/hyperlink" Target="http://twiplomacy.com/info/europe/Turkey" TargetMode="External"/><Relationship Id="rId1425" Type="http://schemas.openxmlformats.org/officeDocument/2006/relationships/hyperlink" Target="https://twitter.com/PresidenciaMX/status/321847271379587073" TargetMode="External"/><Relationship Id="rId1632" Type="http://schemas.openxmlformats.org/officeDocument/2006/relationships/hyperlink" Target="https://twitter.com/PresidenciaPy/statuses/4962589016588288" TargetMode="External"/><Relationship Id="rId1937" Type="http://schemas.openxmlformats.org/officeDocument/2006/relationships/hyperlink" Target="https://twitter.com/MRECIC_ARG" TargetMode="External"/><Relationship Id="rId2199" Type="http://schemas.openxmlformats.org/officeDocument/2006/relationships/hyperlink" Target="https://twitter.com/CzechMFA" TargetMode="External"/><Relationship Id="rId280" Type="http://schemas.openxmlformats.org/officeDocument/2006/relationships/hyperlink" Target="https://twitter.com/HonEdgarCLungu/status/552830396850012161" TargetMode="External"/><Relationship Id="rId140" Type="http://schemas.openxmlformats.org/officeDocument/2006/relationships/hyperlink" Target="https://twitter.com/AbdoulayeDiop8/status/141991785420423168" TargetMode="External"/><Relationship Id="rId378" Type="http://schemas.openxmlformats.org/officeDocument/2006/relationships/hyperlink" Target="http://twiplomacy.com/info/asia/Indonesia" TargetMode="External"/><Relationship Id="rId585" Type="http://schemas.openxmlformats.org/officeDocument/2006/relationships/hyperlink" Target="https://twitter.com/HukoomiQatar/status/60314154413719552" TargetMode="External"/><Relationship Id="rId792" Type="http://schemas.openxmlformats.org/officeDocument/2006/relationships/hyperlink" Target="https://twitter.com/StenbockiMaja/statuses/1852714878" TargetMode="External"/><Relationship Id="rId2059" Type="http://schemas.openxmlformats.org/officeDocument/2006/relationships/hyperlink" Target="https://twitter.com/Byegm" TargetMode="External"/><Relationship Id="rId2266" Type="http://schemas.openxmlformats.org/officeDocument/2006/relationships/hyperlink" Target="https://twitter.com/MofaQatar_EN" TargetMode="External"/><Relationship Id="rId2473" Type="http://schemas.openxmlformats.org/officeDocument/2006/relationships/hyperlink" Target="https://twitter.com/jammehofficial" TargetMode="External"/><Relationship Id="rId2680" Type="http://schemas.openxmlformats.org/officeDocument/2006/relationships/hyperlink" Target="https://twitter.com/UKUrdu/statuses/21571420614" TargetMode="External"/><Relationship Id="rId6" Type="http://schemas.openxmlformats.org/officeDocument/2006/relationships/hyperlink" Target="http://twiplomacy.com/info/africa/Benin" TargetMode="External"/><Relationship Id="rId238" Type="http://schemas.openxmlformats.org/officeDocument/2006/relationships/hyperlink" Target="https://twitter.com/mofasudan/statuses/580440943469395971" TargetMode="External"/><Relationship Id="rId445" Type="http://schemas.openxmlformats.org/officeDocument/2006/relationships/hyperlink" Target="http://twiplomacy.com/info/asia/japan/" TargetMode="External"/><Relationship Id="rId652" Type="http://schemas.openxmlformats.org/officeDocument/2006/relationships/hyperlink" Target="http://twiplomacy.com/info/asia/Tajikistan" TargetMode="External"/><Relationship Id="rId1075" Type="http://schemas.openxmlformats.org/officeDocument/2006/relationships/hyperlink" Target="http://twiplomacy.com/info/europe/Poland" TargetMode="External"/><Relationship Id="rId1282" Type="http://schemas.openxmlformats.org/officeDocument/2006/relationships/hyperlink" Target="http://twiplomacy.com/info/europe/United-Kingdom" TargetMode="External"/><Relationship Id="rId2126" Type="http://schemas.openxmlformats.org/officeDocument/2006/relationships/hyperlink" Target="https://twitter.com/presedinte_md" TargetMode="External"/><Relationship Id="rId2333" Type="http://schemas.openxmlformats.org/officeDocument/2006/relationships/hyperlink" Target="https://twitter.com/al_jaffaary" TargetMode="External"/><Relationship Id="rId2540" Type="http://schemas.openxmlformats.org/officeDocument/2006/relationships/hyperlink" Target="https://twitter.com/larsloekke/lists" TargetMode="External"/><Relationship Id="rId305" Type="http://schemas.openxmlformats.org/officeDocument/2006/relationships/hyperlink" Target="https://twitter.com/azpresident/statuses/19631866340" TargetMode="External"/><Relationship Id="rId512" Type="http://schemas.openxmlformats.org/officeDocument/2006/relationships/hyperlink" Target="http://twiplomacy.com/info/asia/Malaysia" TargetMode="External"/><Relationship Id="rId957" Type="http://schemas.openxmlformats.org/officeDocument/2006/relationships/hyperlink" Target="https://twitter.com/ItalyMFA/lists/ambasciate" TargetMode="External"/><Relationship Id="rId1142" Type="http://schemas.openxmlformats.org/officeDocument/2006/relationships/hyperlink" Target="http://twiplomacy.com/info/europe/Serbia" TargetMode="External"/><Relationship Id="rId1587" Type="http://schemas.openxmlformats.org/officeDocument/2006/relationships/hyperlink" Target="https://twitter.com/Itamaraty_EN/lists" TargetMode="External"/><Relationship Id="rId1794" Type="http://schemas.openxmlformats.org/officeDocument/2006/relationships/hyperlink" Target="https://twitter.com/GermanyDiplo" TargetMode="External"/><Relationship Id="rId2400" Type="http://schemas.openxmlformats.org/officeDocument/2006/relationships/hyperlink" Target="https://twitter.com/togodiplomatie" TargetMode="External"/><Relationship Id="rId2638" Type="http://schemas.openxmlformats.org/officeDocument/2006/relationships/hyperlink" Target="https://twitter.com/ABZayed" TargetMode="External"/><Relationship Id="rId86" Type="http://schemas.openxmlformats.org/officeDocument/2006/relationships/hyperlink" Target="https://twitter.com/Mo_IbrahimFdn/status/667400093394452482" TargetMode="External"/><Relationship Id="rId817" Type="http://schemas.openxmlformats.org/officeDocument/2006/relationships/hyperlink" Target="https://twitter.com/EU_Commission/statuses/16849399954" TargetMode="External"/><Relationship Id="rId1002" Type="http://schemas.openxmlformats.org/officeDocument/2006/relationships/hyperlink" Target="https://twitter.com/Lithuania/status/571298494000058368" TargetMode="External"/><Relationship Id="rId1447" Type="http://schemas.openxmlformats.org/officeDocument/2006/relationships/hyperlink" Target="https://twitter.com/CancilleriaPma/statuses/435466377357295616" TargetMode="External"/><Relationship Id="rId1654" Type="http://schemas.openxmlformats.org/officeDocument/2006/relationships/hyperlink" Target="https://twitter.com/SCpresidenciauy/lists" TargetMode="External"/><Relationship Id="rId1861" Type="http://schemas.openxmlformats.org/officeDocument/2006/relationships/hyperlink" Target="https://twitter.com/th_mfa" TargetMode="External"/><Relationship Id="rId2705" Type="http://schemas.openxmlformats.org/officeDocument/2006/relationships/hyperlink" Target="https://twitter.com/ABZayed/statuses/493420290781634560" TargetMode="External"/><Relationship Id="rId1307" Type="http://schemas.openxmlformats.org/officeDocument/2006/relationships/hyperlink" Target="https://twitter.com/Pontifex_pl/statuses/313247631046488064" TargetMode="External"/><Relationship Id="rId1514" Type="http://schemas.openxmlformats.org/officeDocument/2006/relationships/hyperlink" Target="http://twiplomacy.com/info/north-america/United-States" TargetMode="External"/><Relationship Id="rId1721" Type="http://schemas.openxmlformats.org/officeDocument/2006/relationships/hyperlink" Target="http://twiplomacy.com/info/africa/South-Africa" TargetMode="External"/><Relationship Id="rId1959" Type="http://schemas.openxmlformats.org/officeDocument/2006/relationships/hyperlink" Target="https://twitter.com/USAHindiMein" TargetMode="External"/><Relationship Id="rId13" Type="http://schemas.openxmlformats.org/officeDocument/2006/relationships/hyperlink" Target="https://twitter.com/isaacyzida/status/528977435547533312" TargetMode="External"/><Relationship Id="rId1819" Type="http://schemas.openxmlformats.org/officeDocument/2006/relationships/hyperlink" Target="http://twiplomacy.com/info/asia/Georgia" TargetMode="External"/><Relationship Id="rId2190" Type="http://schemas.openxmlformats.org/officeDocument/2006/relationships/hyperlink" Target="https://twitter.com/EstonianGovt" TargetMode="External"/><Relationship Id="rId2288" Type="http://schemas.openxmlformats.org/officeDocument/2006/relationships/hyperlink" Target="https://twitter.com/PurevsurenL" TargetMode="External"/><Relationship Id="rId2495" Type="http://schemas.openxmlformats.org/officeDocument/2006/relationships/hyperlink" Target="https://twitter.com/MKOfficiel" TargetMode="External"/><Relationship Id="rId162" Type="http://schemas.openxmlformats.org/officeDocument/2006/relationships/hyperlink" Target="http://twiplomacy.com/info/africa/Nigeria" TargetMode="External"/><Relationship Id="rId467" Type="http://schemas.openxmlformats.org/officeDocument/2006/relationships/hyperlink" Target="https://twitter.com/AkordaPress/statuses/228148727389491201" TargetMode="External"/><Relationship Id="rId1097" Type="http://schemas.openxmlformats.org/officeDocument/2006/relationships/hyperlink" Target="https://twitter.com/KlausIohannis/status/506811288669155328" TargetMode="External"/><Relationship Id="rId2050" Type="http://schemas.openxmlformats.org/officeDocument/2006/relationships/hyperlink" Target="https://twitter.com/ByegmENG" TargetMode="External"/><Relationship Id="rId2148" Type="http://schemas.openxmlformats.org/officeDocument/2006/relationships/hyperlink" Target="https://twitter.com/Vejonis" TargetMode="External"/><Relationship Id="rId674" Type="http://schemas.openxmlformats.org/officeDocument/2006/relationships/hyperlink" Target="http://twiplomacy.com/info/asia/United-Arab-Emirates" TargetMode="External"/><Relationship Id="rId881" Type="http://schemas.openxmlformats.org/officeDocument/2006/relationships/hyperlink" Target="https://twitter.com/francediplo_ES/statuses/304626043896098816" TargetMode="External"/><Relationship Id="rId979" Type="http://schemas.openxmlformats.org/officeDocument/2006/relationships/hyperlink" Target="https://twitter.com/Arlietas/lists" TargetMode="External"/><Relationship Id="rId2355" Type="http://schemas.openxmlformats.org/officeDocument/2006/relationships/hyperlink" Target="https://twitter.com/govgeoabkhaz" TargetMode="External"/><Relationship Id="rId2562" Type="http://schemas.openxmlformats.org/officeDocument/2006/relationships/hyperlink" Target="http://twiplomacy.com/info/africa/Guinea" TargetMode="External"/><Relationship Id="rId327" Type="http://schemas.openxmlformats.org/officeDocument/2006/relationships/hyperlink" Target="https://twitter.com/PMBhutan/status/534268108567887874" TargetMode="External"/><Relationship Id="rId534" Type="http://schemas.openxmlformats.org/officeDocument/2006/relationships/hyperlink" Target="http://twiplomacy.com/info/asia/Mongolia" TargetMode="External"/><Relationship Id="rId741" Type="http://schemas.openxmlformats.org/officeDocument/2006/relationships/hyperlink" Target="https://twitter.com/MFABulgaria/statuses/12387053762" TargetMode="External"/><Relationship Id="rId839" Type="http://schemas.openxmlformats.org/officeDocument/2006/relationships/hyperlink" Target="https://twitter.com/VladaMK/statuses/130077672796733440" TargetMode="External"/><Relationship Id="rId1164" Type="http://schemas.openxmlformats.org/officeDocument/2006/relationships/hyperlink" Target="http://twiplomacy.com/info/europe/Slovenia" TargetMode="External"/><Relationship Id="rId1371" Type="http://schemas.openxmlformats.org/officeDocument/2006/relationships/hyperlink" Target="http://twiplomacy.com/info/north-america/Dominican-Republic" TargetMode="External"/><Relationship Id="rId1469" Type="http://schemas.openxmlformats.org/officeDocument/2006/relationships/hyperlink" Target="https://twitter.com/ComradeRalph/status/649002120956481536" TargetMode="External"/><Relationship Id="rId2008" Type="http://schemas.openxmlformats.org/officeDocument/2006/relationships/hyperlink" Target="https://twitter.com/RaulCastroR" TargetMode="External"/><Relationship Id="rId2215" Type="http://schemas.openxmlformats.org/officeDocument/2006/relationships/hyperlink" Target="https://twitter.com/BoykoBorissov" TargetMode="External"/><Relationship Id="rId2422" Type="http://schemas.openxmlformats.org/officeDocument/2006/relationships/hyperlink" Target="https://twitter.com/MankeurNdiaye" TargetMode="External"/><Relationship Id="rId601" Type="http://schemas.openxmlformats.org/officeDocument/2006/relationships/hyperlink" Target="https://twitter.com/leehsienloong/statuses/193234376484589568" TargetMode="External"/><Relationship Id="rId1024" Type="http://schemas.openxmlformats.org/officeDocument/2006/relationships/hyperlink" Target="http://twiplomacy.com/info/europe/Moldova" TargetMode="External"/><Relationship Id="rId1231" Type="http://schemas.openxmlformats.org/officeDocument/2006/relationships/hyperlink" Target="http://twiplomacy.com/info/europe/Turkey" TargetMode="External"/><Relationship Id="rId1676" Type="http://schemas.openxmlformats.org/officeDocument/2006/relationships/hyperlink" Target="https://twitter.com/maduro_pt/statuses/521476162816864258" TargetMode="External"/><Relationship Id="rId1883" Type="http://schemas.openxmlformats.org/officeDocument/2006/relationships/hyperlink" Target="https://twitter.com/RepdemCongo" TargetMode="External"/><Relationship Id="rId2727" Type="http://schemas.openxmlformats.org/officeDocument/2006/relationships/hyperlink" Target="https://twitter.com/MFA_Mongolia/lists" TargetMode="External"/><Relationship Id="rId906" Type="http://schemas.openxmlformats.org/officeDocument/2006/relationships/hyperlink" Target="https://twitter.com/PrimeministerGR/statuses/9179722616" TargetMode="External"/><Relationship Id="rId1329" Type="http://schemas.openxmlformats.org/officeDocument/2006/relationships/hyperlink" Target="http://twiplomacy.com/info/north-america/Canada" TargetMode="External"/><Relationship Id="rId1536" Type="http://schemas.openxmlformats.org/officeDocument/2006/relationships/hyperlink" Target="https://twitter.com/InokeRatu/statuses/444587425277284352" TargetMode="External"/><Relationship Id="rId1743" Type="http://schemas.openxmlformats.org/officeDocument/2006/relationships/hyperlink" Target="http://twiplomacy.com/info/asia/Qatar" TargetMode="External"/><Relationship Id="rId1950" Type="http://schemas.openxmlformats.org/officeDocument/2006/relationships/hyperlink" Target="https://twitter.com/FijiRepublic" TargetMode="External"/><Relationship Id="rId35" Type="http://schemas.openxmlformats.org/officeDocument/2006/relationships/hyperlink" Target="https://twitter.com/dhoinine/status/189757102783336448" TargetMode="External"/><Relationship Id="rId1603" Type="http://schemas.openxmlformats.org/officeDocument/2006/relationships/hyperlink" Target="https://twitter.com/JuanManSantos/lists" TargetMode="External"/><Relationship Id="rId1810" Type="http://schemas.openxmlformats.org/officeDocument/2006/relationships/hyperlink" Target="https://twitter.com/PresidenciaMX" TargetMode="External"/><Relationship Id="rId184" Type="http://schemas.openxmlformats.org/officeDocument/2006/relationships/hyperlink" Target="http://twiplomacy.com/info/africa/Rwanda" TargetMode="External"/><Relationship Id="rId391" Type="http://schemas.openxmlformats.org/officeDocument/2006/relationships/hyperlink" Target="https://twitter.com/HassanRouhani/statuses/330996375540080640" TargetMode="External"/><Relationship Id="rId1908" Type="http://schemas.openxmlformats.org/officeDocument/2006/relationships/hyperlink" Target="https://twitter.com/NicolasMaduro" TargetMode="External"/><Relationship Id="rId2072" Type="http://schemas.openxmlformats.org/officeDocument/2006/relationships/hyperlink" Target="https://twitter.com/marianorajoy" TargetMode="External"/><Relationship Id="rId251" Type="http://schemas.openxmlformats.org/officeDocument/2006/relationships/hyperlink" Target="http://twiplomacy.com/info/africa/Togo" TargetMode="External"/><Relationship Id="rId489" Type="http://schemas.openxmlformats.org/officeDocument/2006/relationships/hyperlink" Target="https://twitter.com/kyrgyzrepublic/lists" TargetMode="External"/><Relationship Id="rId696" Type="http://schemas.openxmlformats.org/officeDocument/2006/relationships/hyperlink" Target="https://twitter.com/BujarNishani/lists" TargetMode="External"/><Relationship Id="rId2377" Type="http://schemas.openxmlformats.org/officeDocument/2006/relationships/hyperlink" Target="https://twitter.com/MFAofArmenia" TargetMode="External"/><Relationship Id="rId2584" Type="http://schemas.openxmlformats.org/officeDocument/2006/relationships/hyperlink" Target="https://twitter.com/togoprimature/lists" TargetMode="External"/><Relationship Id="rId349" Type="http://schemas.openxmlformats.org/officeDocument/2006/relationships/hyperlink" Target="https://twitter.com/govgeoabkhaz/status/461437898454499328" TargetMode="External"/><Relationship Id="rId556" Type="http://schemas.openxmlformats.org/officeDocument/2006/relationships/hyperlink" Target="http://twiplomacy.com/info/asia/Pakistan" TargetMode="External"/><Relationship Id="rId763" Type="http://schemas.openxmlformats.org/officeDocument/2006/relationships/hyperlink" Target="https://twitter.com/CyprusMFA/statuses/336934266279702528" TargetMode="External"/><Relationship Id="rId1186" Type="http://schemas.openxmlformats.org/officeDocument/2006/relationships/hyperlink" Target="https://twitter.com/IgnacioYbanez/status/586107384076115968" TargetMode="External"/><Relationship Id="rId1393" Type="http://schemas.openxmlformats.org/officeDocument/2006/relationships/hyperlink" Target="https://twitter.com/VoteKeith2013/lists" TargetMode="External"/><Relationship Id="rId2237" Type="http://schemas.openxmlformats.org/officeDocument/2006/relationships/hyperlink" Target="https://twitter.com/OFMUAE" TargetMode="External"/><Relationship Id="rId2444" Type="http://schemas.openxmlformats.org/officeDocument/2006/relationships/hyperlink" Target="https://twitter.com/ChefGov_ma" TargetMode="External"/><Relationship Id="rId111" Type="http://schemas.openxmlformats.org/officeDocument/2006/relationships/hyperlink" Target="https://twitter.com/AMB_A_Mohammed/statuses/327384607131578368" TargetMode="External"/><Relationship Id="rId209" Type="http://schemas.openxmlformats.org/officeDocument/2006/relationships/hyperlink" Target="https://twitter.com/TheVillaSomalia/statuses/269171818710040576" TargetMode="External"/><Relationship Id="rId416" Type="http://schemas.openxmlformats.org/officeDocument/2006/relationships/hyperlink" Target="http://twiplomacy.com/info/asia/Israel" TargetMode="External"/><Relationship Id="rId970" Type="http://schemas.openxmlformats.org/officeDocument/2006/relationships/hyperlink" Target="https://twitter.com/Brivibas36/statuses/2074162215" TargetMode="External"/><Relationship Id="rId1046" Type="http://schemas.openxmlformats.org/officeDocument/2006/relationships/hyperlink" Target="https://twitter.com/Rijksoverheid/statuses/11250347702" TargetMode="External"/><Relationship Id="rId1253" Type="http://schemas.openxmlformats.org/officeDocument/2006/relationships/hyperlink" Target="https://twitter.com/APUkraine/statuses/503499422257250304" TargetMode="External"/><Relationship Id="rId1698" Type="http://schemas.openxmlformats.org/officeDocument/2006/relationships/hyperlink" Target="https://twitter.com/AbeShinzo/statuses/170454779317854208" TargetMode="External"/><Relationship Id="rId2651" Type="http://schemas.openxmlformats.org/officeDocument/2006/relationships/hyperlink" Target="https://twitter.com/IsraelArabic/lists" TargetMode="External"/><Relationship Id="rId623" Type="http://schemas.openxmlformats.org/officeDocument/2006/relationships/hyperlink" Target="https://twitter.com/mofa_kr/statuses/376169380683341824" TargetMode="External"/><Relationship Id="rId830" Type="http://schemas.openxmlformats.org/officeDocument/2006/relationships/hyperlink" Target="https://twitter.com/EUCouncilTVNews/lists" TargetMode="External"/><Relationship Id="rId928" Type="http://schemas.openxmlformats.org/officeDocument/2006/relationships/hyperlink" Target="https://twitter.com/PresidentIRL/lists" TargetMode="External"/><Relationship Id="rId1460" Type="http://schemas.openxmlformats.org/officeDocument/2006/relationships/hyperlink" Target="https://twitter.com/DeptEstadoPR/lists" TargetMode="External"/><Relationship Id="rId1558" Type="http://schemas.openxmlformats.org/officeDocument/2006/relationships/hyperlink" Target="https://twitter.com/govofvanuatu/statuses/6818767875084288" TargetMode="External"/><Relationship Id="rId1765" Type="http://schemas.openxmlformats.org/officeDocument/2006/relationships/hyperlink" Target="https://twitter.com/LaurentLamothe/statuses/434621843069485056" TargetMode="External"/><Relationship Id="rId2304" Type="http://schemas.openxmlformats.org/officeDocument/2006/relationships/hyperlink" Target="https://twitter.com/OkmotKG" TargetMode="External"/><Relationship Id="rId2511" Type="http://schemas.openxmlformats.org/officeDocument/2006/relationships/hyperlink" Target="http://twiplomacy.com/info/south-america/Argentina" TargetMode="External"/><Relationship Id="rId2609" Type="http://schemas.openxmlformats.org/officeDocument/2006/relationships/hyperlink" Target="https://twitter.com/PresidentKE/lists" TargetMode="External"/><Relationship Id="rId57" Type="http://schemas.openxmlformats.org/officeDocument/2006/relationships/hyperlink" Target="https://twitter.com/MOFAEGYPT/statuses/42600976846303232" TargetMode="External"/><Relationship Id="rId1113" Type="http://schemas.openxmlformats.org/officeDocument/2006/relationships/hyperlink" Target="https://twitter.com/Pravitelstvo_RF/statuses/228369121379762176" TargetMode="External"/><Relationship Id="rId1320" Type="http://schemas.openxmlformats.org/officeDocument/2006/relationships/hyperlink" Target="https://twitter.com/pgchristie/statuses/157543861240078336" TargetMode="External"/><Relationship Id="rId1418" Type="http://schemas.openxmlformats.org/officeDocument/2006/relationships/hyperlink" Target="https://twitter.com/SRECIHonduras/statuses/99616599119642624" TargetMode="External"/><Relationship Id="rId1972" Type="http://schemas.openxmlformats.org/officeDocument/2006/relationships/hyperlink" Target="https://twitter.com/KeithRowleyPNM" TargetMode="External"/><Relationship Id="rId1625" Type="http://schemas.openxmlformats.org/officeDocument/2006/relationships/hyperlink" Target="https://twitter.com/MOTPGuyana/lists" TargetMode="External"/><Relationship Id="rId1832" Type="http://schemas.openxmlformats.org/officeDocument/2006/relationships/hyperlink" Target="https://twitter.com/VoteKeith2013" TargetMode="External"/><Relationship Id="rId2094" Type="http://schemas.openxmlformats.org/officeDocument/2006/relationships/hyperlink" Target="https://twitter.com/MID_RF" TargetMode="External"/><Relationship Id="rId273" Type="http://schemas.openxmlformats.org/officeDocument/2006/relationships/hyperlink" Target="http://twiplomacy.com/info/africa/Uganda" TargetMode="External"/><Relationship Id="rId480" Type="http://schemas.openxmlformats.org/officeDocument/2006/relationships/hyperlink" Target="http://twiplomacy.com/info/asia/Kazakhstan" TargetMode="External"/><Relationship Id="rId2161" Type="http://schemas.openxmlformats.org/officeDocument/2006/relationships/hyperlink" Target="https://twitter.com/forsaetisradun" TargetMode="External"/><Relationship Id="rId2399" Type="http://schemas.openxmlformats.org/officeDocument/2006/relationships/hyperlink" Target="https://twitter.com/BejiCEOfficial" TargetMode="External"/><Relationship Id="rId133" Type="http://schemas.openxmlformats.org/officeDocument/2006/relationships/hyperlink" Target="https://twitter.com/ProfMutharika/lists" TargetMode="External"/><Relationship Id="rId340" Type="http://schemas.openxmlformats.org/officeDocument/2006/relationships/hyperlink" Target="http://twiplomacy.com/info/asia/Georgia" TargetMode="External"/><Relationship Id="rId578" Type="http://schemas.openxmlformats.org/officeDocument/2006/relationships/hyperlink" Target="http://twiplomacy.com/info/asia/Philippines" TargetMode="External"/><Relationship Id="rId785" Type="http://schemas.openxmlformats.org/officeDocument/2006/relationships/hyperlink" Target="http://twiplomacy.com/info/europe/Estonia" TargetMode="External"/><Relationship Id="rId992" Type="http://schemas.openxmlformats.org/officeDocument/2006/relationships/hyperlink" Target="http://twiplomacy.com/info/europe/Lithuania" TargetMode="External"/><Relationship Id="rId2021" Type="http://schemas.openxmlformats.org/officeDocument/2006/relationships/hyperlink" Target="https://twitter.com/ABLPGastonbrown" TargetMode="External"/><Relationship Id="rId2259" Type="http://schemas.openxmlformats.org/officeDocument/2006/relationships/hyperlink" Target="https://twitter.com/MFAsg" TargetMode="External"/><Relationship Id="rId2466" Type="http://schemas.openxmlformats.org/officeDocument/2006/relationships/hyperlink" Target="https://twitter.com/Sekhoutoureya" TargetMode="External"/><Relationship Id="rId2673" Type="http://schemas.openxmlformats.org/officeDocument/2006/relationships/hyperlink" Target="http://twiplomacy.com/info/oceania/Fiji" TargetMode="External"/><Relationship Id="rId200" Type="http://schemas.openxmlformats.org/officeDocument/2006/relationships/hyperlink" Target="http://twiplomacy.com/info/africa/Sierra-Leone" TargetMode="External"/><Relationship Id="rId438" Type="http://schemas.openxmlformats.org/officeDocument/2006/relationships/hyperlink" Target="http://twiplomacy.com/info/asia/japan/" TargetMode="External"/><Relationship Id="rId645" Type="http://schemas.openxmlformats.org/officeDocument/2006/relationships/hyperlink" Target="https://twitter.com/MFASriLanka/lists" TargetMode="External"/><Relationship Id="rId852" Type="http://schemas.openxmlformats.org/officeDocument/2006/relationships/hyperlink" Target="https://twitter.com/Ulkoministerio/lists" TargetMode="External"/><Relationship Id="rId1068" Type="http://schemas.openxmlformats.org/officeDocument/2006/relationships/hyperlink" Target="http://twiplomacy.com/info/europe/Norway" TargetMode="External"/><Relationship Id="rId1275" Type="http://schemas.openxmlformats.org/officeDocument/2006/relationships/hyperlink" Target="https://twitter.com/David_Cameron/statuses/254625004321386496" TargetMode="External"/><Relationship Id="rId1482" Type="http://schemas.openxmlformats.org/officeDocument/2006/relationships/hyperlink" Target="https://twitter.com/BarackObama/lists" TargetMode="External"/><Relationship Id="rId2119" Type="http://schemas.openxmlformats.org/officeDocument/2006/relationships/hyperlink" Target="https://twitter.com/Rijksoverheid" TargetMode="External"/><Relationship Id="rId2326" Type="http://schemas.openxmlformats.org/officeDocument/2006/relationships/hyperlink" Target="https://twitter.com/JapanGov" TargetMode="External"/><Relationship Id="rId2533" Type="http://schemas.openxmlformats.org/officeDocument/2006/relationships/hyperlink" Target="https://twitter.com/KBZayed" TargetMode="External"/><Relationship Id="rId2740" Type="http://schemas.openxmlformats.org/officeDocument/2006/relationships/hyperlink" Target="https://twitter.com/liljaalfreds/statuses/723099130306936832" TargetMode="External"/><Relationship Id="rId505" Type="http://schemas.openxmlformats.org/officeDocument/2006/relationships/hyperlink" Target="https://twitter.com/NajibRazak/lists" TargetMode="External"/><Relationship Id="rId712" Type="http://schemas.openxmlformats.org/officeDocument/2006/relationships/hyperlink" Target="http://twiplomacy.com/info/europe/Belarus" TargetMode="External"/><Relationship Id="rId1135" Type="http://schemas.openxmlformats.org/officeDocument/2006/relationships/hyperlink" Target="http://twiplomacy.com/info/europe/Serbia" TargetMode="External"/><Relationship Id="rId1342" Type="http://schemas.openxmlformats.org/officeDocument/2006/relationships/hyperlink" Target="https://twitter.com/CanadaFP/statuses/17432520570" TargetMode="External"/><Relationship Id="rId1787" Type="http://schemas.openxmlformats.org/officeDocument/2006/relationships/hyperlink" Target="https://twitter.com/fhollande" TargetMode="External"/><Relationship Id="rId1994" Type="http://schemas.openxmlformats.org/officeDocument/2006/relationships/hyperlink" Target="https://twitter.com/MAEHaiti" TargetMode="External"/><Relationship Id="rId79" Type="http://schemas.openxmlformats.org/officeDocument/2006/relationships/hyperlink" Target="http://twiplomacy.com/info/africa/Gambia" TargetMode="External"/><Relationship Id="rId1202" Type="http://schemas.openxmlformats.org/officeDocument/2006/relationships/hyperlink" Target="http://twiplomacy.com/info/europe/sweden/" TargetMode="External"/><Relationship Id="rId1647" Type="http://schemas.openxmlformats.org/officeDocument/2006/relationships/hyperlink" Target="https://twitter.com/CancilleriaPeru/statuses/427843615964946432" TargetMode="External"/><Relationship Id="rId1854" Type="http://schemas.openxmlformats.org/officeDocument/2006/relationships/hyperlink" Target="https://twitter.com/palaisnational" TargetMode="External"/><Relationship Id="rId2600" Type="http://schemas.openxmlformats.org/officeDocument/2006/relationships/hyperlink" Target="https://twitter.com/PresAlphaConde/lists" TargetMode="External"/><Relationship Id="rId1507" Type="http://schemas.openxmlformats.org/officeDocument/2006/relationships/hyperlink" Target="https://twitter.com/StateDeptLive/lists" TargetMode="External"/><Relationship Id="rId1714" Type="http://schemas.openxmlformats.org/officeDocument/2006/relationships/hyperlink" Target="http://twiplomacy.com/info/africa/Djibouti" TargetMode="External"/><Relationship Id="rId295" Type="http://schemas.openxmlformats.org/officeDocument/2006/relationships/hyperlink" Target="https://twitter.com/SalahRabbani/lists" TargetMode="External"/><Relationship Id="rId1921" Type="http://schemas.openxmlformats.org/officeDocument/2006/relationships/hyperlink" Target="https://twitter.com/Presidencia_Ec" TargetMode="External"/><Relationship Id="rId2183" Type="http://schemas.openxmlformats.org/officeDocument/2006/relationships/hyperlink" Target="https://twitter.com/VladaMK" TargetMode="External"/><Relationship Id="rId2390" Type="http://schemas.openxmlformats.org/officeDocument/2006/relationships/hyperlink" Target="https://twitter.com/OPMUganda" TargetMode="External"/><Relationship Id="rId2488" Type="http://schemas.openxmlformats.org/officeDocument/2006/relationships/hyperlink" Target="https://twitter.com/PrimatureRDC" TargetMode="External"/><Relationship Id="rId155" Type="http://schemas.openxmlformats.org/officeDocument/2006/relationships/hyperlink" Target="https://twitter.com/hagegeingob/status/479699859633864704" TargetMode="External"/><Relationship Id="rId362" Type="http://schemas.openxmlformats.org/officeDocument/2006/relationships/hyperlink" Target="http://twiplomacy.com/info/asia/India" TargetMode="External"/><Relationship Id="rId1297" Type="http://schemas.openxmlformats.org/officeDocument/2006/relationships/hyperlink" Target="https://twitter.com/Pontifex_it/statuses/313247631109398528" TargetMode="External"/><Relationship Id="rId2043" Type="http://schemas.openxmlformats.org/officeDocument/2006/relationships/hyperlink" Target="https://twitter.com/APUkraine" TargetMode="External"/><Relationship Id="rId2250" Type="http://schemas.openxmlformats.org/officeDocument/2006/relationships/hyperlink" Target="https://twitter.com/MangalaLK" TargetMode="External"/><Relationship Id="rId2695" Type="http://schemas.openxmlformats.org/officeDocument/2006/relationships/hyperlink" Target="https://twitter.com/fhollande/statuses/665308718335070212" TargetMode="External"/><Relationship Id="rId222" Type="http://schemas.openxmlformats.org/officeDocument/2006/relationships/hyperlink" Target="https://twitter.com/somaligov_/lists" TargetMode="External"/><Relationship Id="rId667" Type="http://schemas.openxmlformats.org/officeDocument/2006/relationships/hyperlink" Target="https://twitter.com/MFAThai/lists" TargetMode="External"/><Relationship Id="rId874" Type="http://schemas.openxmlformats.org/officeDocument/2006/relationships/hyperlink" Target="http://twiplomacy.com/info/europe/France" TargetMode="External"/><Relationship Id="rId2110" Type="http://schemas.openxmlformats.org/officeDocument/2006/relationships/hyperlink" Target="https://twitter.com/NorwayMFA" TargetMode="External"/><Relationship Id="rId2348" Type="http://schemas.openxmlformats.org/officeDocument/2006/relationships/hyperlink" Target="https://twitter.com/IstanaRakyat" TargetMode="External"/><Relationship Id="rId2555" Type="http://schemas.openxmlformats.org/officeDocument/2006/relationships/hyperlink" Target="https://twitter.com/MOFAVietNam/lists" TargetMode="External"/><Relationship Id="rId527" Type="http://schemas.openxmlformats.org/officeDocument/2006/relationships/hyperlink" Target="http://twiplomacy.com/info/asia/Mongolia" TargetMode="External"/><Relationship Id="rId734" Type="http://schemas.openxmlformats.org/officeDocument/2006/relationships/hyperlink" Target="http://twiplomacy.com/info/europe/Bulgaria" TargetMode="External"/><Relationship Id="rId941" Type="http://schemas.openxmlformats.org/officeDocument/2006/relationships/hyperlink" Target="http://twiplomacy.com/info/europe/Ireland" TargetMode="External"/><Relationship Id="rId1157" Type="http://schemas.openxmlformats.org/officeDocument/2006/relationships/hyperlink" Target="http://twiplomacy.com/info/europe/Slovakia" TargetMode="External"/><Relationship Id="rId1364" Type="http://schemas.openxmlformats.org/officeDocument/2006/relationships/hyperlink" Target="https://twitter.com/RaulCastroR/statuses/64750857589243905" TargetMode="External"/><Relationship Id="rId1571" Type="http://schemas.openxmlformats.org/officeDocument/2006/relationships/hyperlink" Target="http://twiplomacy.com/info/south-america/Brazil" TargetMode="External"/><Relationship Id="rId2208" Type="http://schemas.openxmlformats.org/officeDocument/2006/relationships/hyperlink" Target="https://twitter.com/Cypresidency" TargetMode="External"/><Relationship Id="rId2415" Type="http://schemas.openxmlformats.org/officeDocument/2006/relationships/hyperlink" Target="https://twitter.com/SomaliPM" TargetMode="External"/><Relationship Id="rId2622" Type="http://schemas.openxmlformats.org/officeDocument/2006/relationships/hyperlink" Target="https://twitter.com/JocelermePriver" TargetMode="External"/><Relationship Id="rId70" Type="http://schemas.openxmlformats.org/officeDocument/2006/relationships/hyperlink" Target="https://twitter.com/PresidentABO/lists" TargetMode="External"/><Relationship Id="rId801" Type="http://schemas.openxmlformats.org/officeDocument/2006/relationships/hyperlink" Target="https://twitter.com/EstonianGovt/statuses/1840782609" TargetMode="External"/><Relationship Id="rId1017" Type="http://schemas.openxmlformats.org/officeDocument/2006/relationships/hyperlink" Target="https://twitter.com/JosephMuscat_JM/statuses/1470076166" TargetMode="External"/><Relationship Id="rId1224" Type="http://schemas.openxmlformats.org/officeDocument/2006/relationships/hyperlink" Target="https://twitter.com/BasbakanlikKDK/statuses/22581452210184192" TargetMode="External"/><Relationship Id="rId1431" Type="http://schemas.openxmlformats.org/officeDocument/2006/relationships/hyperlink" Target="http://twiplomacy.com/info/north-america/Mexico" TargetMode="External"/><Relationship Id="rId1669" Type="http://schemas.openxmlformats.org/officeDocument/2006/relationships/hyperlink" Target="https://twitter.com/DrodriguezVen/lists" TargetMode="External"/><Relationship Id="rId1876" Type="http://schemas.openxmlformats.org/officeDocument/2006/relationships/hyperlink" Target="https://twitter.com/press_president" TargetMode="External"/><Relationship Id="rId1529" Type="http://schemas.openxmlformats.org/officeDocument/2006/relationships/hyperlink" Target="https://twitter.com/dfat/lists" TargetMode="External"/><Relationship Id="rId1736" Type="http://schemas.openxmlformats.org/officeDocument/2006/relationships/hyperlink" Target="http://twiplomacy.com/info/asia/Maldives" TargetMode="External"/><Relationship Id="rId1943" Type="http://schemas.openxmlformats.org/officeDocument/2006/relationships/hyperlink" Target="https://twitter.com/samoagovt" TargetMode="External"/><Relationship Id="rId28" Type="http://schemas.openxmlformats.org/officeDocument/2006/relationships/hyperlink" Target="https://twitter.com/PRIMATURERCA/status/522117815139311618" TargetMode="External"/><Relationship Id="rId1803" Type="http://schemas.openxmlformats.org/officeDocument/2006/relationships/hyperlink" Target="https://twitter.com/RoyalFamily" TargetMode="External"/><Relationship Id="rId177" Type="http://schemas.openxmlformats.org/officeDocument/2006/relationships/hyperlink" Target="https://twitter.com/amurekezi/status/105270760867758080" TargetMode="External"/><Relationship Id="rId384" Type="http://schemas.openxmlformats.org/officeDocument/2006/relationships/hyperlink" Target="https://twitter.com/deplu/statuses/2906629554" TargetMode="External"/><Relationship Id="rId591" Type="http://schemas.openxmlformats.org/officeDocument/2006/relationships/hyperlink" Target="https://twitter.com/MofaQatar_EN/statuses/85517878346002435" TargetMode="External"/><Relationship Id="rId2065" Type="http://schemas.openxmlformats.org/officeDocument/2006/relationships/hyperlink" Target="https://twitter.com/Utrikesdep" TargetMode="External"/><Relationship Id="rId2272" Type="http://schemas.openxmlformats.org/officeDocument/2006/relationships/hyperlink" Target="https://twitter.com/noynoyaquino" TargetMode="External"/><Relationship Id="rId244" Type="http://schemas.openxmlformats.org/officeDocument/2006/relationships/hyperlink" Target="https://twitter.com/FEGnassingbe/lists" TargetMode="External"/><Relationship Id="rId689" Type="http://schemas.openxmlformats.org/officeDocument/2006/relationships/hyperlink" Target="http://twiplomacy.com/info/asia/Vietnam" TargetMode="External"/><Relationship Id="rId896" Type="http://schemas.openxmlformats.org/officeDocument/2006/relationships/hyperlink" Target="http://twiplomacy.com/info/europe/Germany" TargetMode="External"/><Relationship Id="rId1081" Type="http://schemas.openxmlformats.org/officeDocument/2006/relationships/hyperlink" Target="https://twitter.com/PremierRP/statuses/436773503937687552" TargetMode="External"/><Relationship Id="rId2577" Type="http://schemas.openxmlformats.org/officeDocument/2006/relationships/hyperlink" Target="https://twitter.com/patrice_talon" TargetMode="External"/><Relationship Id="rId451" Type="http://schemas.openxmlformats.org/officeDocument/2006/relationships/hyperlink" Target="https://twitter.com/Kantei_Saigai/statuses/46823550736269313" TargetMode="External"/><Relationship Id="rId549" Type="http://schemas.openxmlformats.org/officeDocument/2006/relationships/hyperlink" Target="http://twiplomacy.com/info/asia/Nepal" TargetMode="External"/><Relationship Id="rId756" Type="http://schemas.openxmlformats.org/officeDocument/2006/relationships/hyperlink" Target="http://twiplomacy.com/info/europe/Cyprus" TargetMode="External"/><Relationship Id="rId1179" Type="http://schemas.openxmlformats.org/officeDocument/2006/relationships/hyperlink" Target="https://twitter.com/marianorajoy/statuses/114294925620817923" TargetMode="External"/><Relationship Id="rId1386" Type="http://schemas.openxmlformats.org/officeDocument/2006/relationships/hyperlink" Target="http://twiplomacy.com/info/north-america/El-Salvador" TargetMode="External"/><Relationship Id="rId1593" Type="http://schemas.openxmlformats.org/officeDocument/2006/relationships/hyperlink" Target="https://twitter.com/GobiernodeChile/lists" TargetMode="External"/><Relationship Id="rId2132" Type="http://schemas.openxmlformats.org/officeDocument/2006/relationships/hyperlink" Target="https://twitter.com/Xavier_Bettel" TargetMode="External"/><Relationship Id="rId2437" Type="http://schemas.openxmlformats.org/officeDocument/2006/relationships/hyperlink" Target="https://twitter.com/namibia_mfa" TargetMode="External"/><Relationship Id="rId104" Type="http://schemas.openxmlformats.org/officeDocument/2006/relationships/hyperlink" Target="https://twitter.com/Gouvci/statuses/100908637165322241" TargetMode="External"/><Relationship Id="rId311" Type="http://schemas.openxmlformats.org/officeDocument/2006/relationships/hyperlink" Target="https://twitter.com/presidentaz/statuses/17743747017" TargetMode="External"/><Relationship Id="rId409" Type="http://schemas.openxmlformats.org/officeDocument/2006/relationships/hyperlink" Target="https://twitter.com/IraqiPMO/lists" TargetMode="External"/><Relationship Id="rId963" Type="http://schemas.openxmlformats.org/officeDocument/2006/relationships/hyperlink" Target="https://twitter.com/MFAKOSOVO/lists/kosovo-diplomats" TargetMode="External"/><Relationship Id="rId1039" Type="http://schemas.openxmlformats.org/officeDocument/2006/relationships/hyperlink" Target="http://twiplomacy.com/info/europe/Montenegro" TargetMode="External"/><Relationship Id="rId1246" Type="http://schemas.openxmlformats.org/officeDocument/2006/relationships/hyperlink" Target="http://twiplomacy.com/info/europe/Turkey" TargetMode="External"/><Relationship Id="rId1898" Type="http://schemas.openxmlformats.org/officeDocument/2006/relationships/hyperlink" Target="https://twitter.com/maduro_hi" TargetMode="External"/><Relationship Id="rId2644" Type="http://schemas.openxmlformats.org/officeDocument/2006/relationships/hyperlink" Target="https://twitter.com/ByegmRU/lists" TargetMode="External"/><Relationship Id="rId92" Type="http://schemas.openxmlformats.org/officeDocument/2006/relationships/hyperlink" Target="https://twitter.com/GouvGN/lists" TargetMode="External"/><Relationship Id="rId616" Type="http://schemas.openxmlformats.org/officeDocument/2006/relationships/hyperlink" Target="https://twitter.com/bluehousekorea/lists" TargetMode="External"/><Relationship Id="rId823" Type="http://schemas.openxmlformats.org/officeDocument/2006/relationships/hyperlink" Target="http://twiplomacy.com/info/europe/Eu" TargetMode="External"/><Relationship Id="rId1453" Type="http://schemas.openxmlformats.org/officeDocument/2006/relationships/hyperlink" Target="https://twitter.com/agarciapadilla/statuses/482669609032491009" TargetMode="External"/><Relationship Id="rId1660" Type="http://schemas.openxmlformats.org/officeDocument/2006/relationships/hyperlink" Target="https://twitter.com/TabareVazquez/lists" TargetMode="External"/><Relationship Id="rId1758" Type="http://schemas.openxmlformats.org/officeDocument/2006/relationships/hyperlink" Target="http://twiplomacy.com/info/europe/Ukraine" TargetMode="External"/><Relationship Id="rId2504" Type="http://schemas.openxmlformats.org/officeDocument/2006/relationships/hyperlink" Target="https://twitter.com/BWGovernment" TargetMode="External"/><Relationship Id="rId2711" Type="http://schemas.openxmlformats.org/officeDocument/2006/relationships/hyperlink" Target="https://twitter.com/LithuaniaMFA/lists/lithuanian-diplomacy/members" TargetMode="External"/><Relationship Id="rId1106" Type="http://schemas.openxmlformats.org/officeDocument/2006/relationships/hyperlink" Target="http://twiplomacy.com/info/europe/Russia" TargetMode="External"/><Relationship Id="rId1313" Type="http://schemas.openxmlformats.org/officeDocument/2006/relationships/hyperlink" Target="https://twitter.com/gastonbrowne/lists" TargetMode="External"/><Relationship Id="rId1520" Type="http://schemas.openxmlformats.org/officeDocument/2006/relationships/hyperlink" Target="http://twiplomacy.com/info/north-america/United-States" TargetMode="External"/><Relationship Id="rId1965" Type="http://schemas.openxmlformats.org/officeDocument/2006/relationships/hyperlink" Target="https://twitter.com/EconEngage" TargetMode="External"/><Relationship Id="rId1618" Type="http://schemas.openxmlformats.org/officeDocument/2006/relationships/hyperlink" Target="https://twitter.com/MFAEcuador/status/593146299605745664" TargetMode="External"/><Relationship Id="rId1825" Type="http://schemas.openxmlformats.org/officeDocument/2006/relationships/hyperlink" Target="https://twitter.com/PMofTimorLeste/lists" TargetMode="External"/><Relationship Id="rId199" Type="http://schemas.openxmlformats.org/officeDocument/2006/relationships/hyperlink" Target="https://twitter.com/SeychellesMFA/statuses/392976402678423553" TargetMode="External"/><Relationship Id="rId2087" Type="http://schemas.openxmlformats.org/officeDocument/2006/relationships/hyperlink" Target="https://twitter.com/PresidencySrb" TargetMode="External"/><Relationship Id="rId2294" Type="http://schemas.openxmlformats.org/officeDocument/2006/relationships/hyperlink" Target="https://twitter.com/presidencymv" TargetMode="External"/><Relationship Id="rId266" Type="http://schemas.openxmlformats.org/officeDocument/2006/relationships/hyperlink" Target="https://twitter.com/Al_Kasbah/status/278455135506669568" TargetMode="External"/><Relationship Id="rId473" Type="http://schemas.openxmlformats.org/officeDocument/2006/relationships/hyperlink" Target="http://twiplomacy.com/info/asia/Kazakhstan" TargetMode="External"/><Relationship Id="rId680" Type="http://schemas.openxmlformats.org/officeDocument/2006/relationships/hyperlink" Target="https://twitter.com/MOFAUAE/statuses/482578577796255744" TargetMode="External"/><Relationship Id="rId2154" Type="http://schemas.openxmlformats.org/officeDocument/2006/relationships/hyperlink" Target="https://twitter.com/matteorenzi" TargetMode="External"/><Relationship Id="rId2361" Type="http://schemas.openxmlformats.org/officeDocument/2006/relationships/hyperlink" Target="https://twitter.com/TaurMatanRuak" TargetMode="External"/><Relationship Id="rId2599" Type="http://schemas.openxmlformats.org/officeDocument/2006/relationships/hyperlink" Target="https://twitter.com/Pr_Alpha_Conde" TargetMode="External"/><Relationship Id="rId126" Type="http://schemas.openxmlformats.org/officeDocument/2006/relationships/hyperlink" Target="http://twiplomacy.com/info/africa/Madagascar" TargetMode="External"/><Relationship Id="rId333" Type="http://schemas.openxmlformats.org/officeDocument/2006/relationships/hyperlink" Target="http://twiplomacy.com/info/asia/Brunei" TargetMode="External"/><Relationship Id="rId540" Type="http://schemas.openxmlformats.org/officeDocument/2006/relationships/hyperlink" Target="http://twiplomacy.com/info/asia/Nepal" TargetMode="External"/><Relationship Id="rId778" Type="http://schemas.openxmlformats.org/officeDocument/2006/relationships/hyperlink" Target="https://twitter.com/CzechMFA/lists" TargetMode="External"/><Relationship Id="rId985" Type="http://schemas.openxmlformats.org/officeDocument/2006/relationships/hyperlink" Target="https://twitter.com/adrian_hasler/lists" TargetMode="External"/><Relationship Id="rId1170" Type="http://schemas.openxmlformats.org/officeDocument/2006/relationships/hyperlink" Target="https://twitter.com/MZZRS/statuses/25043200085" TargetMode="External"/><Relationship Id="rId2014" Type="http://schemas.openxmlformats.org/officeDocument/2006/relationships/hyperlink" Target="https://twitter.com/CanadaFP" TargetMode="External"/><Relationship Id="rId2221" Type="http://schemas.openxmlformats.org/officeDocument/2006/relationships/hyperlink" Target="https://twitter.com/dreynders" TargetMode="External"/><Relationship Id="rId2459" Type="http://schemas.openxmlformats.org/officeDocument/2006/relationships/hyperlink" Target="https://twitter.com/KenyaGov" TargetMode="External"/><Relationship Id="rId2666" Type="http://schemas.openxmlformats.org/officeDocument/2006/relationships/hyperlink" Target="http://twiplomacy.com/info/asia/United-Arab-Emirates" TargetMode="External"/><Relationship Id="rId638" Type="http://schemas.openxmlformats.org/officeDocument/2006/relationships/hyperlink" Target="http://twiplomacy.com/info/asia/Sri-Lanka" TargetMode="External"/><Relationship Id="rId845" Type="http://schemas.openxmlformats.org/officeDocument/2006/relationships/hyperlink" Target="http://twiplomacy.com/info/europe/Finland" TargetMode="External"/><Relationship Id="rId1030" Type="http://schemas.openxmlformats.org/officeDocument/2006/relationships/hyperlink" Target="http://twiplomacy.com/info/europe/Monaco" TargetMode="External"/><Relationship Id="rId1268" Type="http://schemas.openxmlformats.org/officeDocument/2006/relationships/hyperlink" Target="https://twitter.com/TheBankova/lists" TargetMode="External"/><Relationship Id="rId1475" Type="http://schemas.openxmlformats.org/officeDocument/2006/relationships/hyperlink" Target="http://twiplomacy.com/info/north-america/Trinidad-and-Tobago" TargetMode="External"/><Relationship Id="rId1682" Type="http://schemas.openxmlformats.org/officeDocument/2006/relationships/hyperlink" Target="http://twiplomacy.com/info/south-america/Venezuela" TargetMode="External"/><Relationship Id="rId2319" Type="http://schemas.openxmlformats.org/officeDocument/2006/relationships/hyperlink" Target="https://twitter.com/QueenRania" TargetMode="External"/><Relationship Id="rId2526" Type="http://schemas.openxmlformats.org/officeDocument/2006/relationships/hyperlink" Target="https://twitter.com/majaliwa_kassim" TargetMode="External"/><Relationship Id="rId2733" Type="http://schemas.openxmlformats.org/officeDocument/2006/relationships/hyperlink" Target="https://twitter.com/BgPresidency/lists" TargetMode="External"/><Relationship Id="rId400" Type="http://schemas.openxmlformats.org/officeDocument/2006/relationships/hyperlink" Target="http://twiplomacy.com/info/asia/Iran" TargetMode="External"/><Relationship Id="rId705" Type="http://schemas.openxmlformats.org/officeDocument/2006/relationships/hyperlink" Target="https://twitter.com/GovernAndorra/statuses/227463082560086018" TargetMode="External"/><Relationship Id="rId1128" Type="http://schemas.openxmlformats.org/officeDocument/2006/relationships/hyperlink" Target="https://twitter.com/mfa_russia/statuses/444458229859225600" TargetMode="External"/><Relationship Id="rId1335" Type="http://schemas.openxmlformats.org/officeDocument/2006/relationships/hyperlink" Target="http://twiplomacy.com/info/north-america/Canada" TargetMode="External"/><Relationship Id="rId1542" Type="http://schemas.openxmlformats.org/officeDocument/2006/relationships/hyperlink" Target="https://twitter.com/Republic_Nauru/lists" TargetMode="External"/><Relationship Id="rId1987" Type="http://schemas.openxmlformats.org/officeDocument/2006/relationships/hyperlink" Target="https://twitter.com/gobmx" TargetMode="External"/><Relationship Id="rId912" Type="http://schemas.openxmlformats.org/officeDocument/2006/relationships/hyperlink" Target="http://twiplomacy.com/info/europe/Greece" TargetMode="External"/><Relationship Id="rId1847" Type="http://schemas.openxmlformats.org/officeDocument/2006/relationships/hyperlink" Target="https://twitter.com/PMofTimorLeste" TargetMode="External"/><Relationship Id="rId41" Type="http://schemas.openxmlformats.org/officeDocument/2006/relationships/hyperlink" Target="https://twitter.com/mapon_matata/lists" TargetMode="External"/><Relationship Id="rId1402" Type="http://schemas.openxmlformats.org/officeDocument/2006/relationships/hyperlink" Target="https://twitter.com/MinexGt/statuses/18539119896" TargetMode="External"/><Relationship Id="rId1707" Type="http://schemas.openxmlformats.org/officeDocument/2006/relationships/hyperlink" Target="https://twitter.com/gouvbenin/lists" TargetMode="External"/><Relationship Id="rId190" Type="http://schemas.openxmlformats.org/officeDocument/2006/relationships/hyperlink" Target="https://twitter.com/PatriceTrovoada/lists" TargetMode="External"/><Relationship Id="rId288" Type="http://schemas.openxmlformats.org/officeDocument/2006/relationships/hyperlink" Target="https://twitter.com/DrAAbdullah/lists" TargetMode="External"/><Relationship Id="rId1914" Type="http://schemas.openxmlformats.org/officeDocument/2006/relationships/hyperlink" Target="https://twitter.com/PrensaHC" TargetMode="External"/><Relationship Id="rId495" Type="http://schemas.openxmlformats.org/officeDocument/2006/relationships/hyperlink" Target="http://twiplomacy.com/info/asia/Lebanon" TargetMode="External"/><Relationship Id="rId2176" Type="http://schemas.openxmlformats.org/officeDocument/2006/relationships/hyperlink" Target="https://twitter.com/FinGovernment" TargetMode="External"/><Relationship Id="rId2383" Type="http://schemas.openxmlformats.org/officeDocument/2006/relationships/hyperlink" Target="https://twitter.com/afgexecutive" TargetMode="External"/><Relationship Id="rId2590" Type="http://schemas.openxmlformats.org/officeDocument/2006/relationships/hyperlink" Target="http://twiplomacy.com/info/africa/Benin" TargetMode="External"/><Relationship Id="rId148" Type="http://schemas.openxmlformats.org/officeDocument/2006/relationships/hyperlink" Target="https://twitter.com/MarocDiplomatie/statuses/464508079053492224" TargetMode="External"/><Relationship Id="rId355" Type="http://schemas.openxmlformats.org/officeDocument/2006/relationships/hyperlink" Target="https://twitter.com/narendramodi/statuses/1167296605" TargetMode="External"/><Relationship Id="rId562" Type="http://schemas.openxmlformats.org/officeDocument/2006/relationships/hyperlink" Target="http://twiplomacy.com/info/asia/Palestine" TargetMode="External"/><Relationship Id="rId1192" Type="http://schemas.openxmlformats.org/officeDocument/2006/relationships/hyperlink" Target="https://twitter.com/SpainMFA/status/514686112863117312" TargetMode="External"/><Relationship Id="rId2036" Type="http://schemas.openxmlformats.org/officeDocument/2006/relationships/hyperlink" Target="https://twitter.com/cabinetofficeuk" TargetMode="External"/><Relationship Id="rId2243" Type="http://schemas.openxmlformats.org/officeDocument/2006/relationships/hyperlink" Target="https://twitter.com/prdthailand" TargetMode="External"/><Relationship Id="rId2450" Type="http://schemas.openxmlformats.org/officeDocument/2006/relationships/hyperlink" Target="https://twitter.com/APMutharika" TargetMode="External"/><Relationship Id="rId2688" Type="http://schemas.openxmlformats.org/officeDocument/2006/relationships/hyperlink" Target="https://twitter.com/POTUS/status/600324682190053376" TargetMode="External"/><Relationship Id="rId215" Type="http://schemas.openxmlformats.org/officeDocument/2006/relationships/hyperlink" Target="http://twiplomacy.com/info/africa/Somalia" TargetMode="External"/><Relationship Id="rId422" Type="http://schemas.openxmlformats.org/officeDocument/2006/relationships/hyperlink" Target="https://twitter.com/IsraelMFA/lists" TargetMode="External"/><Relationship Id="rId867" Type="http://schemas.openxmlformats.org/officeDocument/2006/relationships/hyperlink" Target="https://twitter.com/gouvernementFR/statuses/287214093667024896" TargetMode="External"/><Relationship Id="rId1052" Type="http://schemas.openxmlformats.org/officeDocument/2006/relationships/hyperlink" Target="http://twiplomacy.com/info/europe/Netherlands" TargetMode="External"/><Relationship Id="rId1497" Type="http://schemas.openxmlformats.org/officeDocument/2006/relationships/hyperlink" Target="https://twitter.com/USAdarFarsi/statuses/36899553479364608" TargetMode="External"/><Relationship Id="rId2103" Type="http://schemas.openxmlformats.org/officeDocument/2006/relationships/hyperlink" Target="https://twitter.com/CostaPS2015" TargetMode="External"/><Relationship Id="rId2310" Type="http://schemas.openxmlformats.org/officeDocument/2006/relationships/hyperlink" Target="https://twitter.com/MFA_KZ" TargetMode="External"/><Relationship Id="rId2548" Type="http://schemas.openxmlformats.org/officeDocument/2006/relationships/hyperlink" Target="https://twitter.com/RuhakanaR/lists" TargetMode="External"/><Relationship Id="rId727" Type="http://schemas.openxmlformats.org/officeDocument/2006/relationships/hyperlink" Target="http://twiplomacy.com/info/europe/Bosnia-Herzegovina" TargetMode="External"/><Relationship Id="rId934" Type="http://schemas.openxmlformats.org/officeDocument/2006/relationships/hyperlink" Target="http://twiplomacy.com/info/europe/Ireland" TargetMode="External"/><Relationship Id="rId1357" Type="http://schemas.openxmlformats.org/officeDocument/2006/relationships/hyperlink" Target="https://twitter.com/Gobierno_CR/lists" TargetMode="External"/><Relationship Id="rId1564" Type="http://schemas.openxmlformats.org/officeDocument/2006/relationships/hyperlink" Target="https://twitter.com/CancilleriaARG/statuses/19944355522" TargetMode="External"/><Relationship Id="rId1771" Type="http://schemas.openxmlformats.org/officeDocument/2006/relationships/hyperlink" Target="https://twitter.com/EPP_Nicaragua/lists" TargetMode="External"/><Relationship Id="rId2408" Type="http://schemas.openxmlformats.org/officeDocument/2006/relationships/hyperlink" Target="https://twitter.com/GovernmentZA" TargetMode="External"/><Relationship Id="rId2615" Type="http://schemas.openxmlformats.org/officeDocument/2006/relationships/hyperlink" Target="http://twiplomacy.com/info/europe/Iceland" TargetMode="External"/><Relationship Id="rId63" Type="http://schemas.openxmlformats.org/officeDocument/2006/relationships/hyperlink" Target="http://twiplomacy.com/info/africa/Ethiopia" TargetMode="External"/><Relationship Id="rId1217" Type="http://schemas.openxmlformats.org/officeDocument/2006/relationships/hyperlink" Target="https://twitter.com/Byegm/lists" TargetMode="External"/><Relationship Id="rId1424" Type="http://schemas.openxmlformats.org/officeDocument/2006/relationships/hyperlink" Target="https://twitter.com/PresidenciaMX/statuses/1596800517" TargetMode="External"/><Relationship Id="rId1631" Type="http://schemas.openxmlformats.org/officeDocument/2006/relationships/hyperlink" Target="http://twiplomacy.com/info/south-america/Paraguay" TargetMode="External"/><Relationship Id="rId1869" Type="http://schemas.openxmlformats.org/officeDocument/2006/relationships/hyperlink" Target="https://twitter.com/Anifah_myg" TargetMode="External"/><Relationship Id="rId1729" Type="http://schemas.openxmlformats.org/officeDocument/2006/relationships/hyperlink" Target="http://twiplomacy.com/info/asia/Iraq" TargetMode="External"/><Relationship Id="rId1936" Type="http://schemas.openxmlformats.org/officeDocument/2006/relationships/hyperlink" Target="https://twitter.com/MindeGobierno" TargetMode="External"/><Relationship Id="rId2198" Type="http://schemas.openxmlformats.org/officeDocument/2006/relationships/hyperlink" Target="https://twitter.com/larsloekke" TargetMode="External"/><Relationship Id="rId377" Type="http://schemas.openxmlformats.org/officeDocument/2006/relationships/hyperlink" Target="https://twitter.com/setkabgoid/lists" TargetMode="External"/><Relationship Id="rId584" Type="http://schemas.openxmlformats.org/officeDocument/2006/relationships/hyperlink" Target="http://twiplomacy.com/info/asia/Qatar" TargetMode="External"/><Relationship Id="rId2058" Type="http://schemas.openxmlformats.org/officeDocument/2006/relationships/hyperlink" Target="https://twitter.com/MevlutCavusoglu" TargetMode="External"/><Relationship Id="rId2265" Type="http://schemas.openxmlformats.org/officeDocument/2006/relationships/hyperlink" Target="https://twitter.com/KingSalman" TargetMode="External"/><Relationship Id="rId5" Type="http://schemas.openxmlformats.org/officeDocument/2006/relationships/hyperlink" Target="https://twitter.com/CasaCivilPRA/statuses/139778197058371584" TargetMode="External"/><Relationship Id="rId237" Type="http://schemas.openxmlformats.org/officeDocument/2006/relationships/hyperlink" Target="https://twitter.com/mofasudan/status/449882897080909824" TargetMode="External"/><Relationship Id="rId791" Type="http://schemas.openxmlformats.org/officeDocument/2006/relationships/hyperlink" Target="http://twiplomacy.com/info/europe/Estonia" TargetMode="External"/><Relationship Id="rId889" Type="http://schemas.openxmlformats.org/officeDocument/2006/relationships/hyperlink" Target="https://twitter.com/francediplo_AR/lists" TargetMode="External"/><Relationship Id="rId1074" Type="http://schemas.openxmlformats.org/officeDocument/2006/relationships/hyperlink" Target="https://twitter.com/NorwayMFA/lists/norwegian-ambassadors" TargetMode="External"/><Relationship Id="rId2472" Type="http://schemas.openxmlformats.org/officeDocument/2006/relationships/hyperlink" Target="https://twitter.com/JDMahama" TargetMode="External"/><Relationship Id="rId444" Type="http://schemas.openxmlformats.org/officeDocument/2006/relationships/hyperlink" Target="https://twitter.com/MofaJapan_jp/statuses/75720393121464320" TargetMode="External"/><Relationship Id="rId651" Type="http://schemas.openxmlformats.org/officeDocument/2006/relationships/hyperlink" Target="https://twitter.com/presstj/statuses/201866567582105600" TargetMode="External"/><Relationship Id="rId749" Type="http://schemas.openxmlformats.org/officeDocument/2006/relationships/hyperlink" Target="https://twitter.com/VladaRH/lists" TargetMode="External"/><Relationship Id="rId1281" Type="http://schemas.openxmlformats.org/officeDocument/2006/relationships/hyperlink" Target="https://twitter.com/cabinetofficeuk/lists" TargetMode="External"/><Relationship Id="rId1379" Type="http://schemas.openxmlformats.org/officeDocument/2006/relationships/hyperlink" Target="https://twitter.com/andresnavarrog/status/14981487021" TargetMode="External"/><Relationship Id="rId1586" Type="http://schemas.openxmlformats.org/officeDocument/2006/relationships/hyperlink" Target="https://twitter.com/luiz_figueiredo/status/525630783881768960" TargetMode="External"/><Relationship Id="rId2125" Type="http://schemas.openxmlformats.org/officeDocument/2006/relationships/hyperlink" Target="https://twitter.com/GuvernulRM" TargetMode="External"/><Relationship Id="rId2332" Type="http://schemas.openxmlformats.org/officeDocument/2006/relationships/hyperlink" Target="https://twitter.com/IraqMFA" TargetMode="External"/><Relationship Id="rId304" Type="http://schemas.openxmlformats.org/officeDocument/2006/relationships/hyperlink" Target="http://twiplomacy.com/info/asia/Azerbaijan" TargetMode="External"/><Relationship Id="rId511" Type="http://schemas.openxmlformats.org/officeDocument/2006/relationships/hyperlink" Target="https://twitter.com/Malaysia_Gov/statuses/343251755955548160" TargetMode="External"/><Relationship Id="rId609" Type="http://schemas.openxmlformats.org/officeDocument/2006/relationships/hyperlink" Target="http://twiplomacy.com/info/asia/South-Korea" TargetMode="External"/><Relationship Id="rId956" Type="http://schemas.openxmlformats.org/officeDocument/2006/relationships/hyperlink" Target="https://twitter.com/ItalyMFA/lists" TargetMode="External"/><Relationship Id="rId1141" Type="http://schemas.openxmlformats.org/officeDocument/2006/relationships/hyperlink" Target="https://twitter.com/avucic/lists" TargetMode="External"/><Relationship Id="rId1239" Type="http://schemas.openxmlformats.org/officeDocument/2006/relationships/hyperlink" Target="https://twitter.com/MFATurkeyFrench/statuses/187824660812021760" TargetMode="External"/><Relationship Id="rId1793" Type="http://schemas.openxmlformats.org/officeDocument/2006/relationships/hyperlink" Target="https://twitter.com/AuswaertigesAmt" TargetMode="External"/><Relationship Id="rId2637" Type="http://schemas.openxmlformats.org/officeDocument/2006/relationships/hyperlink" Target="https://twitter.com/Khamenei_Fra" TargetMode="External"/><Relationship Id="rId85" Type="http://schemas.openxmlformats.org/officeDocument/2006/relationships/hyperlink" Target="http://twiplomacy.com/info/africa/Ghana" TargetMode="External"/><Relationship Id="rId816" Type="http://schemas.openxmlformats.org/officeDocument/2006/relationships/hyperlink" Target="http://twiplomacy.com/info/europe/Europe" TargetMode="External"/><Relationship Id="rId1001" Type="http://schemas.openxmlformats.org/officeDocument/2006/relationships/hyperlink" Target="http://twiplomacy.com/info/europe/Lithuania" TargetMode="External"/><Relationship Id="rId1446" Type="http://schemas.openxmlformats.org/officeDocument/2006/relationships/hyperlink" Target="http://twiplomacy.com/info/north-america/Panama" TargetMode="External"/><Relationship Id="rId1653" Type="http://schemas.openxmlformats.org/officeDocument/2006/relationships/hyperlink" Target="https://twitter.com/SCpresidenciauy/statuses/121180717467185152" TargetMode="External"/><Relationship Id="rId1860" Type="http://schemas.openxmlformats.org/officeDocument/2006/relationships/hyperlink" Target="https://twitter.com/UAEGover" TargetMode="External"/><Relationship Id="rId2704" Type="http://schemas.openxmlformats.org/officeDocument/2006/relationships/hyperlink" Target="https://twitter.com/Pontifex_pt/statuses/713976373623173121" TargetMode="External"/><Relationship Id="rId1306" Type="http://schemas.openxmlformats.org/officeDocument/2006/relationships/hyperlink" Target="http://twiplomacy.com/info/europe/Vatican" TargetMode="External"/><Relationship Id="rId1513" Type="http://schemas.openxmlformats.org/officeDocument/2006/relationships/hyperlink" Target="https://twitter.com/USAenFrancais/statuses/38526126905229312" TargetMode="External"/><Relationship Id="rId1720" Type="http://schemas.openxmlformats.org/officeDocument/2006/relationships/hyperlink" Target="http://twiplomacy.com/info/africa/Kenya" TargetMode="External"/><Relationship Id="rId1958" Type="http://schemas.openxmlformats.org/officeDocument/2006/relationships/hyperlink" Target="https://twitter.com/USA_Zhongwen" TargetMode="External"/><Relationship Id="rId12" Type="http://schemas.openxmlformats.org/officeDocument/2006/relationships/hyperlink" Target="http://twiplomacy.com/info/africa/Burkina-Faso" TargetMode="External"/><Relationship Id="rId1818" Type="http://schemas.openxmlformats.org/officeDocument/2006/relationships/hyperlink" Target="https://twitter.com/PresidencialVen" TargetMode="External"/><Relationship Id="rId161" Type="http://schemas.openxmlformats.org/officeDocument/2006/relationships/hyperlink" Target="https://twitter.com/presidenceNiger/lists" TargetMode="External"/><Relationship Id="rId399" Type="http://schemas.openxmlformats.org/officeDocument/2006/relationships/hyperlink" Target="https://twitter.com/Khamenei_es/lists" TargetMode="External"/><Relationship Id="rId2287" Type="http://schemas.openxmlformats.org/officeDocument/2006/relationships/hyperlink" Target="https://twitter.com/mforeignaffairs" TargetMode="External"/><Relationship Id="rId2494" Type="http://schemas.openxmlformats.org/officeDocument/2006/relationships/hyperlink" Target="https://twitter.com/PRIMATURERCA" TargetMode="External"/><Relationship Id="rId259" Type="http://schemas.openxmlformats.org/officeDocument/2006/relationships/hyperlink" Target="http://twiplomacy.com/info/africa/Tunisia" TargetMode="External"/><Relationship Id="rId466" Type="http://schemas.openxmlformats.org/officeDocument/2006/relationships/hyperlink" Target="http://twiplomacy.com/info/asia/Kazakhstan" TargetMode="External"/><Relationship Id="rId673" Type="http://schemas.openxmlformats.org/officeDocument/2006/relationships/hyperlink" Target="https://twitter.com/MFAThai_PR_EN/lists" TargetMode="External"/><Relationship Id="rId880" Type="http://schemas.openxmlformats.org/officeDocument/2006/relationships/hyperlink" Target="http://twiplomacy.com/info/europe/France" TargetMode="External"/><Relationship Id="rId1096" Type="http://schemas.openxmlformats.org/officeDocument/2006/relationships/hyperlink" Target="http://twiplomacy.com/info/europe/Romania" TargetMode="External"/><Relationship Id="rId2147" Type="http://schemas.openxmlformats.org/officeDocument/2006/relationships/hyperlink" Target="https://twitter.com/Rigas_pils" TargetMode="External"/><Relationship Id="rId2354" Type="http://schemas.openxmlformats.org/officeDocument/2006/relationships/hyperlink" Target="https://twitter.com/narendramodi" TargetMode="External"/><Relationship Id="rId2561" Type="http://schemas.openxmlformats.org/officeDocument/2006/relationships/hyperlink" Target="https://twitter.com/filip_pavelD/lists" TargetMode="External"/><Relationship Id="rId119" Type="http://schemas.openxmlformats.org/officeDocument/2006/relationships/hyperlink" Target="http://twiplomacy.com/info/africa/Lesotho" TargetMode="External"/><Relationship Id="rId326" Type="http://schemas.openxmlformats.org/officeDocument/2006/relationships/hyperlink" Target="https://twitter.com/tsheringtobgay/statuses/1703801764" TargetMode="External"/><Relationship Id="rId533" Type="http://schemas.openxmlformats.org/officeDocument/2006/relationships/hyperlink" Target="https://twitter.com/mforeignaffairs/statuses/14219310544" TargetMode="External"/><Relationship Id="rId978" Type="http://schemas.openxmlformats.org/officeDocument/2006/relationships/hyperlink" Target="https://twitter.com/Arlietas/statuses/26445465103" TargetMode="External"/><Relationship Id="rId1163" Type="http://schemas.openxmlformats.org/officeDocument/2006/relationships/hyperlink" Target="https://twitter.com/BorutPahor/lists" TargetMode="External"/><Relationship Id="rId1370" Type="http://schemas.openxmlformats.org/officeDocument/2006/relationships/hyperlink" Target="https://twitter.com/SkerritR/lists" TargetMode="External"/><Relationship Id="rId2007" Type="http://schemas.openxmlformats.org/officeDocument/2006/relationships/hyperlink" Target="https://twitter.com/CubaMINREX" TargetMode="External"/><Relationship Id="rId2214" Type="http://schemas.openxmlformats.org/officeDocument/2006/relationships/hyperlink" Target="https://twitter.com/DanielMitov" TargetMode="External"/><Relationship Id="rId2659" Type="http://schemas.openxmlformats.org/officeDocument/2006/relationships/hyperlink" Target="https://twitter.com/PresidenceHT/lists" TargetMode="External"/><Relationship Id="rId740" Type="http://schemas.openxmlformats.org/officeDocument/2006/relationships/hyperlink" Target="http://twiplomacy.com/info/europe/Bulgaria" TargetMode="External"/><Relationship Id="rId838" Type="http://schemas.openxmlformats.org/officeDocument/2006/relationships/hyperlink" Target="http://twiplomacy.com/info/europe/f-y-r-o-m/" TargetMode="External"/><Relationship Id="rId1023" Type="http://schemas.openxmlformats.org/officeDocument/2006/relationships/hyperlink" Target="https://twitter.com/Nicolae_Timofti/statuses/398023918516068352" TargetMode="External"/><Relationship Id="rId1468" Type="http://schemas.openxmlformats.org/officeDocument/2006/relationships/hyperlink" Target="http://twiplomacy.com/info/south-america/St-Vincent-and-the-Grenadines" TargetMode="External"/><Relationship Id="rId1675" Type="http://schemas.openxmlformats.org/officeDocument/2006/relationships/hyperlink" Target="https://twitter.com/maduro_pt/statuses/374563913800876032" TargetMode="External"/><Relationship Id="rId1882" Type="http://schemas.openxmlformats.org/officeDocument/2006/relationships/hyperlink" Target="https://twitter.com/Secradjib" TargetMode="External"/><Relationship Id="rId2421" Type="http://schemas.openxmlformats.org/officeDocument/2006/relationships/hyperlink" Target="https://twitter.com/StateHouseSey" TargetMode="External"/><Relationship Id="rId2519" Type="http://schemas.openxmlformats.org/officeDocument/2006/relationships/hyperlink" Target="http://twiplomacy.com/info/africa/Tanzania" TargetMode="External"/><Relationship Id="rId2726" Type="http://schemas.openxmlformats.org/officeDocument/2006/relationships/hyperlink" Target="https://twitter.com/cancilleriasv/lists" TargetMode="External"/><Relationship Id="rId600" Type="http://schemas.openxmlformats.org/officeDocument/2006/relationships/hyperlink" Target="http://twiplomacy.com/info/asia/Singapore" TargetMode="External"/><Relationship Id="rId1230" Type="http://schemas.openxmlformats.org/officeDocument/2006/relationships/hyperlink" Target="https://twitter.com/A_Davutoglu_ar/statuses/185814472642932738" TargetMode="External"/><Relationship Id="rId1328" Type="http://schemas.openxmlformats.org/officeDocument/2006/relationships/hyperlink" Target="https://twitter.com/belizegov/lists" TargetMode="External"/><Relationship Id="rId1535" Type="http://schemas.openxmlformats.org/officeDocument/2006/relationships/hyperlink" Target="http://twiplomacy.com/info/oceania/Fiji" TargetMode="External"/><Relationship Id="rId905" Type="http://schemas.openxmlformats.org/officeDocument/2006/relationships/hyperlink" Target="http://twiplomacy.com/info/europe/Greece" TargetMode="External"/><Relationship Id="rId1742" Type="http://schemas.openxmlformats.org/officeDocument/2006/relationships/hyperlink" Target="http://twiplomacy.com/info/asia/Maldives" TargetMode="External"/><Relationship Id="rId34" Type="http://schemas.openxmlformats.org/officeDocument/2006/relationships/hyperlink" Target="http://twiplomacy.com/info/africa/Comores" TargetMode="External"/><Relationship Id="rId1602" Type="http://schemas.openxmlformats.org/officeDocument/2006/relationships/hyperlink" Target="https://twitter.com/JuanManSantos/statuses/443892112082223104" TargetMode="External"/><Relationship Id="rId183" Type="http://schemas.openxmlformats.org/officeDocument/2006/relationships/hyperlink" Target="https://twitter.com/RwandaGov/statuses/5866991989" TargetMode="External"/><Relationship Id="rId390" Type="http://schemas.openxmlformats.org/officeDocument/2006/relationships/hyperlink" Target="http://twiplomacy.com/info/asia/Iran" TargetMode="External"/><Relationship Id="rId1907" Type="http://schemas.openxmlformats.org/officeDocument/2006/relationships/hyperlink" Target="https://twitter.com/DrodriguezVen" TargetMode="External"/><Relationship Id="rId2071" Type="http://schemas.openxmlformats.org/officeDocument/2006/relationships/hyperlink" Target="https://twitter.com/marianorajoy" TargetMode="External"/><Relationship Id="rId250" Type="http://schemas.openxmlformats.org/officeDocument/2006/relationships/hyperlink" Target="https://twitter.com/rdussey/lists" TargetMode="External"/><Relationship Id="rId488" Type="http://schemas.openxmlformats.org/officeDocument/2006/relationships/hyperlink" Target="https://twitter.com/kyrgyzrepublic/statuses/18611103614" TargetMode="External"/><Relationship Id="rId695" Type="http://schemas.openxmlformats.org/officeDocument/2006/relationships/hyperlink" Target="http://twiplomacy.com/info/europe/Albania" TargetMode="External"/><Relationship Id="rId2169" Type="http://schemas.openxmlformats.org/officeDocument/2006/relationships/hyperlink" Target="https://twitter.com/atsipras" TargetMode="External"/><Relationship Id="rId2376" Type="http://schemas.openxmlformats.org/officeDocument/2006/relationships/hyperlink" Target="https://twitter.com/PresidentAM_eng" TargetMode="External"/><Relationship Id="rId2583" Type="http://schemas.openxmlformats.org/officeDocument/2006/relationships/hyperlink" Target="http://twiplomacy.com/info/africa/Togo" TargetMode="External"/><Relationship Id="rId110" Type="http://schemas.openxmlformats.org/officeDocument/2006/relationships/hyperlink" Target="http://twiplomacy.com/info/africa/Kenya" TargetMode="External"/><Relationship Id="rId348" Type="http://schemas.openxmlformats.org/officeDocument/2006/relationships/hyperlink" Target="http://twiplomacy.com/info/asia/Georgia" TargetMode="External"/><Relationship Id="rId555" Type="http://schemas.openxmlformats.org/officeDocument/2006/relationships/hyperlink" Target="https://twitter.com/PIDPakistan/lists" TargetMode="External"/><Relationship Id="rId762" Type="http://schemas.openxmlformats.org/officeDocument/2006/relationships/hyperlink" Target="http://twiplomacy.com/info/europe/Cyprus" TargetMode="External"/><Relationship Id="rId1185" Type="http://schemas.openxmlformats.org/officeDocument/2006/relationships/hyperlink" Target="http://twiplomacy.com/info/europe/Spain" TargetMode="External"/><Relationship Id="rId1392" Type="http://schemas.openxmlformats.org/officeDocument/2006/relationships/hyperlink" Target="https://twitter.com/VoteKeith2013/status/281019222937698304" TargetMode="External"/><Relationship Id="rId2029" Type="http://schemas.openxmlformats.org/officeDocument/2006/relationships/hyperlink" Target="https://twitter.com/Pontifex_pt" TargetMode="External"/><Relationship Id="rId2236" Type="http://schemas.openxmlformats.org/officeDocument/2006/relationships/hyperlink" Target="https://twitter.com/MBZNews" TargetMode="External"/><Relationship Id="rId2443" Type="http://schemas.openxmlformats.org/officeDocument/2006/relationships/hyperlink" Target="https://twitter.com/MarocDiplomatie" TargetMode="External"/><Relationship Id="rId2650" Type="http://schemas.openxmlformats.org/officeDocument/2006/relationships/hyperlink" Target="https://twitter.com/HassanalBolkia2/lists" TargetMode="External"/><Relationship Id="rId208" Type="http://schemas.openxmlformats.org/officeDocument/2006/relationships/hyperlink" Target="http://twiplomacy.com/info/africa/Somalia" TargetMode="External"/><Relationship Id="rId415" Type="http://schemas.openxmlformats.org/officeDocument/2006/relationships/hyperlink" Target="https://twitter.com/PresidentRuvi/lists" TargetMode="External"/><Relationship Id="rId622" Type="http://schemas.openxmlformats.org/officeDocument/2006/relationships/hyperlink" Target="https://twitter.com/mofa_kr/statuses/19064563412" TargetMode="External"/><Relationship Id="rId1045" Type="http://schemas.openxmlformats.org/officeDocument/2006/relationships/hyperlink" Target="http://twiplomacy.com/info/europe/Netherlands" TargetMode="External"/><Relationship Id="rId1252" Type="http://schemas.openxmlformats.org/officeDocument/2006/relationships/hyperlink" Target="https://twitter.com/APUkraine/status/486921861176254464" TargetMode="External"/><Relationship Id="rId1697" Type="http://schemas.openxmlformats.org/officeDocument/2006/relationships/hyperlink" Target="http://twiplomacy.com/info/asia/japan/" TargetMode="External"/><Relationship Id="rId2303" Type="http://schemas.openxmlformats.org/officeDocument/2006/relationships/hyperlink" Target="https://twitter.com/pressslujba" TargetMode="External"/><Relationship Id="rId2510" Type="http://schemas.openxmlformats.org/officeDocument/2006/relationships/hyperlink" Target="http://twiplomacy.com/info/oceania/Samoa" TargetMode="External"/><Relationship Id="rId927" Type="http://schemas.openxmlformats.org/officeDocument/2006/relationships/hyperlink" Target="https://twitter.com/PresidentIRL/status/675599902118961152" TargetMode="External"/><Relationship Id="rId1112" Type="http://schemas.openxmlformats.org/officeDocument/2006/relationships/hyperlink" Target="http://twiplomacy.com/info/europe/Russia" TargetMode="External"/><Relationship Id="rId1557" Type="http://schemas.openxmlformats.org/officeDocument/2006/relationships/hyperlink" Target="http://twiplomacy.com/info/oceania/Vanuatu" TargetMode="External"/><Relationship Id="rId1764" Type="http://schemas.openxmlformats.org/officeDocument/2006/relationships/hyperlink" Target="http://twiplomacy.com/info/north-america/Haiti" TargetMode="External"/><Relationship Id="rId1971" Type="http://schemas.openxmlformats.org/officeDocument/2006/relationships/hyperlink" Target="https://twitter.com/mfagovtt" TargetMode="External"/><Relationship Id="rId2608" Type="http://schemas.openxmlformats.org/officeDocument/2006/relationships/hyperlink" Target="https://twitter.com/Elysee_Com/lists" TargetMode="External"/><Relationship Id="rId56" Type="http://schemas.openxmlformats.org/officeDocument/2006/relationships/hyperlink" Target="http://twiplomacy.com/info/africa/Egypt" TargetMode="External"/><Relationship Id="rId1417" Type="http://schemas.openxmlformats.org/officeDocument/2006/relationships/hyperlink" Target="http://twiplomacy.com/info/north-america/Honduras" TargetMode="External"/><Relationship Id="rId1624" Type="http://schemas.openxmlformats.org/officeDocument/2006/relationships/hyperlink" Target="https://twitter.com/MOTPGuyana/status/609444725838450688" TargetMode="External"/><Relationship Id="rId1831" Type="http://schemas.openxmlformats.org/officeDocument/2006/relationships/hyperlink" Target="https://twitter.com/Republic_Nauru" TargetMode="External"/><Relationship Id="rId1929" Type="http://schemas.openxmlformats.org/officeDocument/2006/relationships/hyperlink" Target="https://twitter.com/Itamaraty_EN" TargetMode="External"/><Relationship Id="rId2093" Type="http://schemas.openxmlformats.org/officeDocument/2006/relationships/hyperlink" Target="https://twitter.com/MedvedevRussiaE" TargetMode="External"/><Relationship Id="rId2398" Type="http://schemas.openxmlformats.org/officeDocument/2006/relationships/hyperlink" Target="https://twitter.com/presidenceTN" TargetMode="External"/><Relationship Id="rId272" Type="http://schemas.openxmlformats.org/officeDocument/2006/relationships/hyperlink" Target="https://twitter.com/StateHouseUg/statuses/75849861647437824" TargetMode="External"/><Relationship Id="rId577" Type="http://schemas.openxmlformats.org/officeDocument/2006/relationships/hyperlink" Target="https://twitter.com/dfaspokesperson/statuses/248716232650530817" TargetMode="External"/><Relationship Id="rId2160" Type="http://schemas.openxmlformats.org/officeDocument/2006/relationships/hyperlink" Target="https://twitter.com/MFAIceland" TargetMode="External"/><Relationship Id="rId2258" Type="http://schemas.openxmlformats.org/officeDocument/2006/relationships/hyperlink" Target="https://twitter.com/GH_PARK" TargetMode="External"/><Relationship Id="rId132" Type="http://schemas.openxmlformats.org/officeDocument/2006/relationships/hyperlink" Target="https://twitter.com/ProfMutharika/statuses/466254593916420096" TargetMode="External"/><Relationship Id="rId784" Type="http://schemas.openxmlformats.org/officeDocument/2006/relationships/hyperlink" Target="https://twitter.com/UM_dk/lists/um-p%C3%A5-twitter/members" TargetMode="External"/><Relationship Id="rId991" Type="http://schemas.openxmlformats.org/officeDocument/2006/relationships/hyperlink" Target="https://twitter.com/Grybauskaite_LT/statuses/271628265108668416" TargetMode="External"/><Relationship Id="rId1067" Type="http://schemas.openxmlformats.org/officeDocument/2006/relationships/hyperlink" Target="https://twitter.com/borgebrende/lists" TargetMode="External"/><Relationship Id="rId2020" Type="http://schemas.openxmlformats.org/officeDocument/2006/relationships/hyperlink" Target="https://twitter.com/pgchristie" TargetMode="External"/><Relationship Id="rId2465" Type="http://schemas.openxmlformats.org/officeDocument/2006/relationships/hyperlink" Target="https://twitter.com/ADO__Solutions" TargetMode="External"/><Relationship Id="rId2672" Type="http://schemas.openxmlformats.org/officeDocument/2006/relationships/hyperlink" Target="http://twiplomacy.com/info/south-america/Chile" TargetMode="External"/><Relationship Id="rId437" Type="http://schemas.openxmlformats.org/officeDocument/2006/relationships/hyperlink" Target="https://twitter.com/JapanGov/lists" TargetMode="External"/><Relationship Id="rId644" Type="http://schemas.openxmlformats.org/officeDocument/2006/relationships/hyperlink" Target="https://twitter.com/MFASriLanka/status/604938171827154944" TargetMode="External"/><Relationship Id="rId851" Type="http://schemas.openxmlformats.org/officeDocument/2006/relationships/hyperlink" Target="https://twitter.com/Ulkoministerio/statuses/53021081644183552" TargetMode="External"/><Relationship Id="rId1274" Type="http://schemas.openxmlformats.org/officeDocument/2006/relationships/hyperlink" Target="http://twiplomacy.com/info/europe/United-Kingdom" TargetMode="External"/><Relationship Id="rId1481" Type="http://schemas.openxmlformats.org/officeDocument/2006/relationships/hyperlink" Target="https://twitter.com/BarackObama/status/266031293945503744" TargetMode="External"/><Relationship Id="rId1579" Type="http://schemas.openxmlformats.org/officeDocument/2006/relationships/hyperlink" Target="https://twitter.com/ItamaratyGovBr/lists" TargetMode="External"/><Relationship Id="rId2118" Type="http://schemas.openxmlformats.org/officeDocument/2006/relationships/hyperlink" Target="https://twitter.com/MinBZ" TargetMode="External"/><Relationship Id="rId2325" Type="http://schemas.openxmlformats.org/officeDocument/2006/relationships/hyperlink" Target="https://twitter.com/kantei" TargetMode="External"/><Relationship Id="rId2532" Type="http://schemas.openxmlformats.org/officeDocument/2006/relationships/hyperlink" Target="https://twitter.com/president_nepal" TargetMode="External"/><Relationship Id="rId504" Type="http://schemas.openxmlformats.org/officeDocument/2006/relationships/hyperlink" Target="https://twitter.com/NajibRazak/statuses/448097839541784577" TargetMode="External"/><Relationship Id="rId711" Type="http://schemas.openxmlformats.org/officeDocument/2006/relationships/hyperlink" Target="https://twitter.com/MFA_Austria/mitarbeiterinnen-bmeia/members" TargetMode="External"/><Relationship Id="rId949" Type="http://schemas.openxmlformats.org/officeDocument/2006/relationships/hyperlink" Target="http://twiplomacy.com/info/europe/Italy" TargetMode="External"/><Relationship Id="rId1134" Type="http://schemas.openxmlformats.org/officeDocument/2006/relationships/hyperlink" Target="https://twitter.com/PutinRF_Eng/statuses/266415140201701376" TargetMode="External"/><Relationship Id="rId1341" Type="http://schemas.openxmlformats.org/officeDocument/2006/relationships/hyperlink" Target="http://twiplomacy.com/info/north-america/Canada" TargetMode="External"/><Relationship Id="rId1786" Type="http://schemas.openxmlformats.org/officeDocument/2006/relationships/hyperlink" Target="https://twitter.com/eu_eeas" TargetMode="External"/><Relationship Id="rId1993" Type="http://schemas.openxmlformats.org/officeDocument/2006/relationships/hyperlink" Target="https://twitter.com/JuanOrlandoH" TargetMode="External"/><Relationship Id="rId78" Type="http://schemas.openxmlformats.org/officeDocument/2006/relationships/hyperlink" Target="https://twitter.com/GouvGabon/lists" TargetMode="External"/><Relationship Id="rId809" Type="http://schemas.openxmlformats.org/officeDocument/2006/relationships/hyperlink" Target="http://twiplomacy.com/info/europe/Europe" TargetMode="External"/><Relationship Id="rId1201" Type="http://schemas.openxmlformats.org/officeDocument/2006/relationships/hyperlink" Target="https://twitter.com/Utrikesdep/lists/eu/members" TargetMode="External"/><Relationship Id="rId1439" Type="http://schemas.openxmlformats.org/officeDocument/2006/relationships/hyperlink" Target="https://twitter.com/JC_Varela/statuses/25999173916561408" TargetMode="External"/><Relationship Id="rId1646" Type="http://schemas.openxmlformats.org/officeDocument/2006/relationships/hyperlink" Target="https://twitter.com/CancilleriaPeru/statuses/11674423529" TargetMode="External"/><Relationship Id="rId1853" Type="http://schemas.openxmlformats.org/officeDocument/2006/relationships/hyperlink" Target="https://twitter.com/MAE_Haiti" TargetMode="External"/><Relationship Id="rId1506" Type="http://schemas.openxmlformats.org/officeDocument/2006/relationships/hyperlink" Target="https://twitter.com/StateDeptLive/status/273864296105123842" TargetMode="External"/><Relationship Id="rId1713" Type="http://schemas.openxmlformats.org/officeDocument/2006/relationships/hyperlink" Target="https://twitter.com/RepdemCongo/lists" TargetMode="External"/><Relationship Id="rId1920" Type="http://schemas.openxmlformats.org/officeDocument/2006/relationships/hyperlink" Target="https://twitter.com/PresDGranger" TargetMode="External"/><Relationship Id="rId294" Type="http://schemas.openxmlformats.org/officeDocument/2006/relationships/hyperlink" Target="https://twitter.com/SalahRabbani/status/119822082078027777" TargetMode="External"/><Relationship Id="rId2182" Type="http://schemas.openxmlformats.org/officeDocument/2006/relationships/hyperlink" Target="https://twitter.com/NikolaPoposki" TargetMode="External"/><Relationship Id="rId154" Type="http://schemas.openxmlformats.org/officeDocument/2006/relationships/hyperlink" Target="http://twiplomacy.com/info/africa/Ivory-Coast" TargetMode="External"/><Relationship Id="rId361" Type="http://schemas.openxmlformats.org/officeDocument/2006/relationships/hyperlink" Target="https://twitter.com/SushmaSwaraj/lists" TargetMode="External"/><Relationship Id="rId599" Type="http://schemas.openxmlformats.org/officeDocument/2006/relationships/hyperlink" Target="https://twitter.com/KSAMOFA/statuses/39779254346584064" TargetMode="External"/><Relationship Id="rId2042" Type="http://schemas.openxmlformats.org/officeDocument/2006/relationships/hyperlink" Target="https://twitter.com/Yatsenyuk_AP" TargetMode="External"/><Relationship Id="rId2487" Type="http://schemas.openxmlformats.org/officeDocument/2006/relationships/hyperlink" Target="https://twitter.com/djiboutidiplo" TargetMode="External"/><Relationship Id="rId2694" Type="http://schemas.openxmlformats.org/officeDocument/2006/relationships/hyperlink" Target="https://twitter.com/Pontifex_es/statuses/713976379428052992" TargetMode="External"/><Relationship Id="rId459" Type="http://schemas.openxmlformats.org/officeDocument/2006/relationships/hyperlink" Target="http://twiplomacy.com/info/asia/Jordan" TargetMode="External"/><Relationship Id="rId666" Type="http://schemas.openxmlformats.org/officeDocument/2006/relationships/hyperlink" Target="https://twitter.com/MFAThai_PR_TH/statuses/12634350859" TargetMode="External"/><Relationship Id="rId873" Type="http://schemas.openxmlformats.org/officeDocument/2006/relationships/hyperlink" Target="https://twitter.com/francediplo/ambassades-et-consulats/members" TargetMode="External"/><Relationship Id="rId1089" Type="http://schemas.openxmlformats.org/officeDocument/2006/relationships/hyperlink" Target="https://twitter.com/PolandMFA/pl-diplomatic-missions/members" TargetMode="External"/><Relationship Id="rId1296" Type="http://schemas.openxmlformats.org/officeDocument/2006/relationships/hyperlink" Target="http://twiplomacy.com/info/europe/Vatican" TargetMode="External"/><Relationship Id="rId2347" Type="http://schemas.openxmlformats.org/officeDocument/2006/relationships/hyperlink" Target="https://twitter.com/setkabgoid" TargetMode="External"/><Relationship Id="rId2554" Type="http://schemas.openxmlformats.org/officeDocument/2006/relationships/hyperlink" Target="https://twitter.com/MFAEGYPT/lists" TargetMode="External"/><Relationship Id="rId221" Type="http://schemas.openxmlformats.org/officeDocument/2006/relationships/hyperlink" Target="https://twitter.com/somaligov_/statuses/269192675935260672" TargetMode="External"/><Relationship Id="rId319" Type="http://schemas.openxmlformats.org/officeDocument/2006/relationships/hyperlink" Target="https://twitter.com/bahdiplomatic/statuses/6269617237" TargetMode="External"/><Relationship Id="rId526" Type="http://schemas.openxmlformats.org/officeDocument/2006/relationships/hyperlink" Target="https://twitter.com/SaikhanbilegPM/lists" TargetMode="External"/><Relationship Id="rId1156" Type="http://schemas.openxmlformats.org/officeDocument/2006/relationships/hyperlink" Target="https://twitter.com/fico2014/statuses/1754797934" TargetMode="External"/><Relationship Id="rId1363" Type="http://schemas.openxmlformats.org/officeDocument/2006/relationships/hyperlink" Target="http://twiplomacy.com/info/north-america/Cuba" TargetMode="External"/><Relationship Id="rId2207" Type="http://schemas.openxmlformats.org/officeDocument/2006/relationships/hyperlink" Target="https://twitter.com/GovCyprus" TargetMode="External"/><Relationship Id="rId733" Type="http://schemas.openxmlformats.org/officeDocument/2006/relationships/hyperlink" Target="https://twitter.com/BgPresidency/statuses/233163621495099392" TargetMode="External"/><Relationship Id="rId940" Type="http://schemas.openxmlformats.org/officeDocument/2006/relationships/hyperlink" Target="https://twitter.com/dfatirl/dfat-twitter-accounts/members" TargetMode="External"/><Relationship Id="rId1016" Type="http://schemas.openxmlformats.org/officeDocument/2006/relationships/hyperlink" Target="https://twitter.com/presidentMT/lists" TargetMode="External"/><Relationship Id="rId1570" Type="http://schemas.openxmlformats.org/officeDocument/2006/relationships/hyperlink" Target="https://twitter.com/mincombolivia/lists/embajadas-y-consulados/members" TargetMode="External"/><Relationship Id="rId1668" Type="http://schemas.openxmlformats.org/officeDocument/2006/relationships/hyperlink" Target="https://twitter.com/DrodriguezVen/statuses/518853139597103104" TargetMode="External"/><Relationship Id="rId1875" Type="http://schemas.openxmlformats.org/officeDocument/2006/relationships/hyperlink" Target="https://twitter.com/govtofgeorgia" TargetMode="External"/><Relationship Id="rId2414" Type="http://schemas.openxmlformats.org/officeDocument/2006/relationships/hyperlink" Target="https://twitter.com/PMOComms" TargetMode="External"/><Relationship Id="rId2621" Type="http://schemas.openxmlformats.org/officeDocument/2006/relationships/hyperlink" Target="https://twitter.com/AndrewHolnessJM/lists" TargetMode="External"/><Relationship Id="rId2719" Type="http://schemas.openxmlformats.org/officeDocument/2006/relationships/hyperlink" Target="https://twitter.com/MFAgovge/lists" TargetMode="External"/><Relationship Id="rId800" Type="http://schemas.openxmlformats.org/officeDocument/2006/relationships/hyperlink" Target="http://twiplomacy.com/info/europe/Estonia" TargetMode="External"/><Relationship Id="rId1223" Type="http://schemas.openxmlformats.org/officeDocument/2006/relationships/hyperlink" Target="http://twiplomacy.com/info/europe/Turkey" TargetMode="External"/><Relationship Id="rId1430" Type="http://schemas.openxmlformats.org/officeDocument/2006/relationships/hyperlink" Target="https://twitter.com/gobrep/lists" TargetMode="External"/><Relationship Id="rId1528" Type="http://schemas.openxmlformats.org/officeDocument/2006/relationships/hyperlink" Target="https://twitter.com/dfat/statuses/55800679633129472" TargetMode="External"/><Relationship Id="rId1735" Type="http://schemas.openxmlformats.org/officeDocument/2006/relationships/hyperlink" Target="http://twiplomacy.com/info/asia/Malaysia" TargetMode="External"/><Relationship Id="rId1942" Type="http://schemas.openxmlformats.org/officeDocument/2006/relationships/hyperlink" Target="https://twitter.com/micwebTonga" TargetMode="External"/><Relationship Id="rId27" Type="http://schemas.openxmlformats.org/officeDocument/2006/relationships/hyperlink" Target="https://twitter.com/MKOfficiel/lists" TargetMode="External"/><Relationship Id="rId1802" Type="http://schemas.openxmlformats.org/officeDocument/2006/relationships/hyperlink" Target="https://twitter.com/MFA_Ukraine" TargetMode="External"/><Relationship Id="rId176" Type="http://schemas.openxmlformats.org/officeDocument/2006/relationships/hyperlink" Target="http://twiplomacy.com/info/africa/Rwanda" TargetMode="External"/><Relationship Id="rId383" Type="http://schemas.openxmlformats.org/officeDocument/2006/relationships/hyperlink" Target="http://twiplomacy.com/info/asia/Indonesia" TargetMode="External"/><Relationship Id="rId590" Type="http://schemas.openxmlformats.org/officeDocument/2006/relationships/hyperlink" Target="http://twiplomacy.com/info/asia/Qatar" TargetMode="External"/><Relationship Id="rId2064" Type="http://schemas.openxmlformats.org/officeDocument/2006/relationships/hyperlink" Target="https://twitter.com/SweMFA" TargetMode="External"/><Relationship Id="rId2271" Type="http://schemas.openxmlformats.org/officeDocument/2006/relationships/hyperlink" Target="https://twitter.com/GovPH_PCOO" TargetMode="External"/><Relationship Id="rId243" Type="http://schemas.openxmlformats.org/officeDocument/2006/relationships/hyperlink" Target="https://twitter.com/FEGnassingbe/status/517587222640750592" TargetMode="External"/><Relationship Id="rId450" Type="http://schemas.openxmlformats.org/officeDocument/2006/relationships/hyperlink" Target="http://twiplomacy.com/info/asia/japan/" TargetMode="External"/><Relationship Id="rId688" Type="http://schemas.openxmlformats.org/officeDocument/2006/relationships/hyperlink" Target="https://twitter.com/GOVuz/statuses/4322380307" TargetMode="External"/><Relationship Id="rId895" Type="http://schemas.openxmlformats.org/officeDocument/2006/relationships/hyperlink" Target="https://twitter.com/AuswaertigesAmt/deutsche-vertretungen/members" TargetMode="External"/><Relationship Id="rId1080" Type="http://schemas.openxmlformats.org/officeDocument/2006/relationships/hyperlink" Target="https://twitter.com/PremierRP/statuses/6722040413" TargetMode="External"/><Relationship Id="rId2131" Type="http://schemas.openxmlformats.org/officeDocument/2006/relationships/hyperlink" Target="https://twitter.com/gouv_lu" TargetMode="External"/><Relationship Id="rId2369" Type="http://schemas.openxmlformats.org/officeDocument/2006/relationships/hyperlink" Target="https://twitter.com/khalidalkhalifa" TargetMode="External"/><Relationship Id="rId2576" Type="http://schemas.openxmlformats.org/officeDocument/2006/relationships/hyperlink" Target="https://twitter.com/patrice_talon/lists" TargetMode="External"/><Relationship Id="rId103" Type="http://schemas.openxmlformats.org/officeDocument/2006/relationships/hyperlink" Target="http://twiplomacy.com/info/africa/Ivory-Coast" TargetMode="External"/><Relationship Id="rId310" Type="http://schemas.openxmlformats.org/officeDocument/2006/relationships/hyperlink" Target="http://twiplomacy.com/info/asia/Azerbaijan" TargetMode="External"/><Relationship Id="rId548" Type="http://schemas.openxmlformats.org/officeDocument/2006/relationships/hyperlink" Target="https://twitter.com/KTnepal/lists" TargetMode="External"/><Relationship Id="rId755" Type="http://schemas.openxmlformats.org/officeDocument/2006/relationships/hyperlink" Target="https://twitter.com/AnastasiadesCY/statuses/198411230317248513" TargetMode="External"/><Relationship Id="rId962" Type="http://schemas.openxmlformats.org/officeDocument/2006/relationships/hyperlink" Target="https://twitter.com/MFAKOSOVO/lists" TargetMode="External"/><Relationship Id="rId1178" Type="http://schemas.openxmlformats.org/officeDocument/2006/relationships/hyperlink" Target="http://twiplomacy.com/info/europe/Spain" TargetMode="External"/><Relationship Id="rId1385" Type="http://schemas.openxmlformats.org/officeDocument/2006/relationships/hyperlink" Target="https://twitter.com/sanchezceren/statuses/442898833769775104" TargetMode="External"/><Relationship Id="rId1592" Type="http://schemas.openxmlformats.org/officeDocument/2006/relationships/hyperlink" Target="https://twitter.com/GobiernodeChile/statuses/483373950513467392" TargetMode="External"/><Relationship Id="rId2229" Type="http://schemas.openxmlformats.org/officeDocument/2006/relationships/hyperlink" Target="https://twitter.com/ditmirbushati" TargetMode="External"/><Relationship Id="rId2436" Type="http://schemas.openxmlformats.org/officeDocument/2006/relationships/hyperlink" Target="https://twitter.com/presidenceNiger" TargetMode="External"/><Relationship Id="rId2643" Type="http://schemas.openxmlformats.org/officeDocument/2006/relationships/hyperlink" Target="https://twitter.com/MFA_analysis" TargetMode="External"/><Relationship Id="rId91" Type="http://schemas.openxmlformats.org/officeDocument/2006/relationships/hyperlink" Target="https://twitter.com/GouvGN/status/556057408045584384" TargetMode="External"/><Relationship Id="rId408" Type="http://schemas.openxmlformats.org/officeDocument/2006/relationships/hyperlink" Target="https://twitter.com/IraqiPMO/status/641643691350757377" TargetMode="External"/><Relationship Id="rId615" Type="http://schemas.openxmlformats.org/officeDocument/2006/relationships/hyperlink" Target="https://twitter.com/bluehousekorea/statuses/15595424901" TargetMode="External"/><Relationship Id="rId822" Type="http://schemas.openxmlformats.org/officeDocument/2006/relationships/hyperlink" Target="https://twitter.com/FedericaMog/lists" TargetMode="External"/><Relationship Id="rId1038" Type="http://schemas.openxmlformats.org/officeDocument/2006/relationships/hyperlink" Target="https://twitter.com/MeGovernment/statuses/75928192820576256" TargetMode="External"/><Relationship Id="rId1245" Type="http://schemas.openxmlformats.org/officeDocument/2006/relationships/hyperlink" Target="https://twitter.com/DiploPubliqueTR/statuses/331413324224925696" TargetMode="External"/><Relationship Id="rId1452" Type="http://schemas.openxmlformats.org/officeDocument/2006/relationships/hyperlink" Target="https://twitter.com/agarciapadilla/statuses/15296826413" TargetMode="External"/><Relationship Id="rId1897" Type="http://schemas.openxmlformats.org/officeDocument/2006/relationships/hyperlink" Target="https://twitter.com/maduro_de" TargetMode="External"/><Relationship Id="rId2503" Type="http://schemas.openxmlformats.org/officeDocument/2006/relationships/hyperlink" Target="https://twitter.com/MOFAIC" TargetMode="External"/><Relationship Id="rId1105" Type="http://schemas.openxmlformats.org/officeDocument/2006/relationships/hyperlink" Target="https://twitter.com/MAERomania/lists" TargetMode="External"/><Relationship Id="rId1312" Type="http://schemas.openxmlformats.org/officeDocument/2006/relationships/hyperlink" Target="http://twiplomacy.com/info/north-america/Antigua-and-Barbuda" TargetMode="External"/><Relationship Id="rId1757" Type="http://schemas.openxmlformats.org/officeDocument/2006/relationships/hyperlink" Target="https://twitter.com/Regering/statuses/867859246" TargetMode="External"/><Relationship Id="rId1964" Type="http://schemas.openxmlformats.org/officeDocument/2006/relationships/hyperlink" Target="https://twitter.com/lacasablanca" TargetMode="External"/><Relationship Id="rId2710" Type="http://schemas.openxmlformats.org/officeDocument/2006/relationships/hyperlink" Target="https://twitter.com/MFA_Ukraine/lists/ukrainian-missions/members" TargetMode="External"/><Relationship Id="rId49" Type="http://schemas.openxmlformats.org/officeDocument/2006/relationships/hyperlink" Target="http://twiplomacy.com/info/africa/Egypt" TargetMode="External"/><Relationship Id="rId1617" Type="http://schemas.openxmlformats.org/officeDocument/2006/relationships/hyperlink" Target="http://twiplomacy.com/info/south-america/Ecuador" TargetMode="External"/><Relationship Id="rId1824" Type="http://schemas.openxmlformats.org/officeDocument/2006/relationships/hyperlink" Target="https://twitter.com/KvirikashviliGiE/lists" TargetMode="External"/><Relationship Id="rId198" Type="http://schemas.openxmlformats.org/officeDocument/2006/relationships/hyperlink" Target="http://twiplomacy.com/info/africa/Seychelles" TargetMode="External"/><Relationship Id="rId2086" Type="http://schemas.openxmlformats.org/officeDocument/2006/relationships/hyperlink" Target="https://twitter.com/avucic" TargetMode="External"/><Relationship Id="rId2293" Type="http://schemas.openxmlformats.org/officeDocument/2006/relationships/hyperlink" Target="https://twitter.com/MDVForeign" TargetMode="External"/><Relationship Id="rId2598" Type="http://schemas.openxmlformats.org/officeDocument/2006/relationships/hyperlink" Target="https://twitter.com/Pr_Alpha_Conde/statuses/18153063631" TargetMode="External"/><Relationship Id="rId265" Type="http://schemas.openxmlformats.org/officeDocument/2006/relationships/hyperlink" Target="http://twiplomacy.com/info/africa/Tunisia" TargetMode="External"/><Relationship Id="rId472" Type="http://schemas.openxmlformats.org/officeDocument/2006/relationships/hyperlink" Target="https://twitter.com/primeministerkz/statuses/62877994938675200" TargetMode="External"/><Relationship Id="rId2153" Type="http://schemas.openxmlformats.org/officeDocument/2006/relationships/hyperlink" Target="https://twitter.com/Palazzo_Chigi" TargetMode="External"/><Relationship Id="rId2360" Type="http://schemas.openxmlformats.org/officeDocument/2006/relationships/hyperlink" Target="https://twitter.com/PRepublicaTL" TargetMode="External"/><Relationship Id="rId125" Type="http://schemas.openxmlformats.org/officeDocument/2006/relationships/hyperlink" Target="https://twitter.com/LibyaInterimGov/lists" TargetMode="External"/><Relationship Id="rId332" Type="http://schemas.openxmlformats.org/officeDocument/2006/relationships/hyperlink" Target="https://twitter.com/brunei_pmo/statuses/295030905167282176" TargetMode="External"/><Relationship Id="rId777" Type="http://schemas.openxmlformats.org/officeDocument/2006/relationships/hyperlink" Target="https://twitter.com/CzechMFA/status/504189820173041664" TargetMode="External"/><Relationship Id="rId984" Type="http://schemas.openxmlformats.org/officeDocument/2006/relationships/hyperlink" Target="https://twitter.com/MFA_LI/status/482178881580195840" TargetMode="External"/><Relationship Id="rId2013" Type="http://schemas.openxmlformats.org/officeDocument/2006/relationships/hyperlink" Target="https://twitter.com/CanadaPE" TargetMode="External"/><Relationship Id="rId2220" Type="http://schemas.openxmlformats.org/officeDocument/2006/relationships/hyperlink" Target="https://twitter.com/BelgiumMFA" TargetMode="External"/><Relationship Id="rId2458" Type="http://schemas.openxmlformats.org/officeDocument/2006/relationships/hyperlink" Target="https://twitter.com/AMB_A_Mohammed" TargetMode="External"/><Relationship Id="rId2665" Type="http://schemas.openxmlformats.org/officeDocument/2006/relationships/hyperlink" Target="http://twiplomacy.com/info/asia/Iran" TargetMode="External"/><Relationship Id="rId637" Type="http://schemas.openxmlformats.org/officeDocument/2006/relationships/hyperlink" Target="https://twitter.com/RW_UNP/lists" TargetMode="External"/><Relationship Id="rId844" Type="http://schemas.openxmlformats.org/officeDocument/2006/relationships/hyperlink" Target="https://twitter.com/TPKanslia/statuses/192182017209798656" TargetMode="External"/><Relationship Id="rId1267" Type="http://schemas.openxmlformats.org/officeDocument/2006/relationships/hyperlink" Target="http://twiplomacy.com/info/europe/Ukraine" TargetMode="External"/><Relationship Id="rId1474" Type="http://schemas.openxmlformats.org/officeDocument/2006/relationships/hyperlink" Target="https://twitter.com/Reuters/status/73397087944970240" TargetMode="External"/><Relationship Id="rId1681" Type="http://schemas.openxmlformats.org/officeDocument/2006/relationships/hyperlink" Target="https://twitter.com/maduro_ar/statuses/374557780956708864" TargetMode="External"/><Relationship Id="rId2318" Type="http://schemas.openxmlformats.org/officeDocument/2006/relationships/hyperlink" Target="https://twitter.com/RHCJO" TargetMode="External"/><Relationship Id="rId2525" Type="http://schemas.openxmlformats.org/officeDocument/2006/relationships/hyperlink" Target="https://twitter.com/PMDNewsGov" TargetMode="External"/><Relationship Id="rId2732" Type="http://schemas.openxmlformats.org/officeDocument/2006/relationships/hyperlink" Target="https://twitter.com/Minrel_Chile/lists/cl-en-el-exterior/members" TargetMode="External"/><Relationship Id="rId704" Type="http://schemas.openxmlformats.org/officeDocument/2006/relationships/hyperlink" Target="https://twitter.com/GovernAndorra/statuses/10387041921" TargetMode="External"/><Relationship Id="rId911" Type="http://schemas.openxmlformats.org/officeDocument/2006/relationships/hyperlink" Target="https://twitter.com/NikosKotzias/lists" TargetMode="External"/><Relationship Id="rId1127" Type="http://schemas.openxmlformats.org/officeDocument/2006/relationships/hyperlink" Target="https://twitter.com/mfa_russia/statuses/83789018361364480" TargetMode="External"/><Relationship Id="rId1334" Type="http://schemas.openxmlformats.org/officeDocument/2006/relationships/hyperlink" Target="https://twitter.com/CanadianPM/lists" TargetMode="External"/><Relationship Id="rId1541" Type="http://schemas.openxmlformats.org/officeDocument/2006/relationships/hyperlink" Target="https://twitter.com/Republic_Nauru/status/625555907246604288" TargetMode="External"/><Relationship Id="rId1779" Type="http://schemas.openxmlformats.org/officeDocument/2006/relationships/hyperlink" Target="https://twitter.com/IsraelMFA" TargetMode="External"/><Relationship Id="rId1986" Type="http://schemas.openxmlformats.org/officeDocument/2006/relationships/hyperlink" Target="https://twitter.com/ruizmassieu" TargetMode="External"/><Relationship Id="rId40" Type="http://schemas.openxmlformats.org/officeDocument/2006/relationships/hyperlink" Target="https://twitter.com/Mapon_Matata/statuses/435737696258883584" TargetMode="External"/><Relationship Id="rId1401" Type="http://schemas.openxmlformats.org/officeDocument/2006/relationships/hyperlink" Target="http://twiplomacy.com/info/north-america/Guatemala" TargetMode="External"/><Relationship Id="rId1639" Type="http://schemas.openxmlformats.org/officeDocument/2006/relationships/hyperlink" Target="https://twitter.com/prensapalacio/statuses/10386691825" TargetMode="External"/><Relationship Id="rId1846" Type="http://schemas.openxmlformats.org/officeDocument/2006/relationships/hyperlink" Target="https://twitter.com/A2IBangladesh" TargetMode="External"/><Relationship Id="rId1706" Type="http://schemas.openxmlformats.org/officeDocument/2006/relationships/hyperlink" Target="http://twiplomacy.com/info/africa/Benin" TargetMode="External"/><Relationship Id="rId1913" Type="http://schemas.openxmlformats.org/officeDocument/2006/relationships/hyperlink" Target="https://twitter.com/Ollanta_HumalaT" TargetMode="External"/><Relationship Id="rId287" Type="http://schemas.openxmlformats.org/officeDocument/2006/relationships/hyperlink" Target="http://twiplomacy.com/info/asia/Afghanistan" TargetMode="External"/><Relationship Id="rId494" Type="http://schemas.openxmlformats.org/officeDocument/2006/relationships/hyperlink" Target="https://twitter.com/pressslujba/lists" TargetMode="External"/><Relationship Id="rId2175" Type="http://schemas.openxmlformats.org/officeDocument/2006/relationships/hyperlink" Target="https://twitter.com/statsradet" TargetMode="External"/><Relationship Id="rId2382" Type="http://schemas.openxmlformats.org/officeDocument/2006/relationships/hyperlink" Target="https://twitter.com/GMICafghanistan" TargetMode="External"/><Relationship Id="rId147" Type="http://schemas.openxmlformats.org/officeDocument/2006/relationships/hyperlink" Target="http://twiplomacy.com/info/africa/Morrocco" TargetMode="External"/><Relationship Id="rId354" Type="http://schemas.openxmlformats.org/officeDocument/2006/relationships/hyperlink" Target="http://twiplomacy.com/info/asia/India" TargetMode="External"/><Relationship Id="rId799" Type="http://schemas.openxmlformats.org/officeDocument/2006/relationships/hyperlink" Target="https://twitter.com/valismin/lists" TargetMode="External"/><Relationship Id="rId1191" Type="http://schemas.openxmlformats.org/officeDocument/2006/relationships/hyperlink" Target="http://twiplomacy.com/info/europe/Spain" TargetMode="External"/><Relationship Id="rId2035" Type="http://schemas.openxmlformats.org/officeDocument/2006/relationships/hyperlink" Target="https://twitter.com/PHammondMP" TargetMode="External"/><Relationship Id="rId2687" Type="http://schemas.openxmlformats.org/officeDocument/2006/relationships/hyperlink" Target="https://twitter.com/MichelTemer/lists" TargetMode="External"/><Relationship Id="rId561" Type="http://schemas.openxmlformats.org/officeDocument/2006/relationships/hyperlink" Target="https://twitter.com/PakDiplomacy/statuses/206357041000890368" TargetMode="External"/><Relationship Id="rId659" Type="http://schemas.openxmlformats.org/officeDocument/2006/relationships/hyperlink" Target="https://twitter.com/EmomaliRahmon/statuses/54443397397745664" TargetMode="External"/><Relationship Id="rId866" Type="http://schemas.openxmlformats.org/officeDocument/2006/relationships/hyperlink" Target="http://twiplomacy.com/info/europe/France" TargetMode="External"/><Relationship Id="rId1289" Type="http://schemas.openxmlformats.org/officeDocument/2006/relationships/hyperlink" Target="https://twitter.com/UKUrdu/statuses/21571420614" TargetMode="External"/><Relationship Id="rId1496" Type="http://schemas.openxmlformats.org/officeDocument/2006/relationships/hyperlink" Target="http://twiplomacy.com/info/north-america/United-States" TargetMode="External"/><Relationship Id="rId2242" Type="http://schemas.openxmlformats.org/officeDocument/2006/relationships/hyperlink" Target="https://twitter.com/MFAThai" TargetMode="External"/><Relationship Id="rId2547" Type="http://schemas.openxmlformats.org/officeDocument/2006/relationships/hyperlink" Target="https://twitter.com/president_nepal/lists" TargetMode="External"/><Relationship Id="rId214" Type="http://schemas.openxmlformats.org/officeDocument/2006/relationships/hyperlink" Target="https://twitter.com/PMOComms/lists" TargetMode="External"/><Relationship Id="rId421" Type="http://schemas.openxmlformats.org/officeDocument/2006/relationships/hyperlink" Target="https://twitter.com/IsraelMFA/statuses/22590476037" TargetMode="External"/><Relationship Id="rId519" Type="http://schemas.openxmlformats.org/officeDocument/2006/relationships/hyperlink" Target="https://twitter.com/MDVForeign/lists" TargetMode="External"/><Relationship Id="rId1051" Type="http://schemas.openxmlformats.org/officeDocument/2006/relationships/hyperlink" Target="https://twitter.com/minbuza/lists" TargetMode="External"/><Relationship Id="rId1149" Type="http://schemas.openxmlformats.org/officeDocument/2006/relationships/hyperlink" Target="http://twiplomacy.com/info/europe/Serbia" TargetMode="External"/><Relationship Id="rId1356" Type="http://schemas.openxmlformats.org/officeDocument/2006/relationships/hyperlink" Target="https://twitter.com/presidenciacr/lists" TargetMode="External"/><Relationship Id="rId2102" Type="http://schemas.openxmlformats.org/officeDocument/2006/relationships/hyperlink" Target="https://twitter.com/govpt" TargetMode="External"/><Relationship Id="rId726" Type="http://schemas.openxmlformats.org/officeDocument/2006/relationships/hyperlink" Target="https://twitter.com/BelgiumMFA/lists" TargetMode="External"/><Relationship Id="rId933" Type="http://schemas.openxmlformats.org/officeDocument/2006/relationships/hyperlink" Target="https://twitter.com/merrionstreet/lists" TargetMode="External"/><Relationship Id="rId1009" Type="http://schemas.openxmlformats.org/officeDocument/2006/relationships/hyperlink" Target="http://twiplomacy.com/info/europe/Luxembourg" TargetMode="External"/><Relationship Id="rId1563" Type="http://schemas.openxmlformats.org/officeDocument/2006/relationships/hyperlink" Target="http://twiplomacy.com/info/south-america/Argentina" TargetMode="External"/><Relationship Id="rId1770" Type="http://schemas.openxmlformats.org/officeDocument/2006/relationships/hyperlink" Target="https://twitter.com/EPP_Nicaragua/status/381541200689246209" TargetMode="External"/><Relationship Id="rId1868" Type="http://schemas.openxmlformats.org/officeDocument/2006/relationships/hyperlink" Target="https://twitter.com/Hilaaleege" TargetMode="External"/><Relationship Id="rId2407" Type="http://schemas.openxmlformats.org/officeDocument/2006/relationships/hyperlink" Target="https://twitter.com/DIRCO_ZA" TargetMode="External"/><Relationship Id="rId2614" Type="http://schemas.openxmlformats.org/officeDocument/2006/relationships/hyperlink" Target="http://twiplomacy.com/info/africa/Nigeria" TargetMode="External"/><Relationship Id="rId62" Type="http://schemas.openxmlformats.org/officeDocument/2006/relationships/hyperlink" Target="https://twitter.com/HailemariamD/statuses/75191668583833600" TargetMode="External"/><Relationship Id="rId1216" Type="http://schemas.openxmlformats.org/officeDocument/2006/relationships/hyperlink" Target="https://twitter.com/Byegm/statuses/575941439521230848" TargetMode="External"/><Relationship Id="rId1423" Type="http://schemas.openxmlformats.org/officeDocument/2006/relationships/hyperlink" Target="http://twiplomacy.com/info/north-america/Mexico" TargetMode="External"/><Relationship Id="rId1630" Type="http://schemas.openxmlformats.org/officeDocument/2006/relationships/hyperlink" Target="https://twitter.com/Horacio_Cartes/statuses/106457364307259393" TargetMode="External"/><Relationship Id="rId1728" Type="http://schemas.openxmlformats.org/officeDocument/2006/relationships/hyperlink" Target="http://twiplomacy.com/info/asia/Iraq" TargetMode="External"/><Relationship Id="rId1935" Type="http://schemas.openxmlformats.org/officeDocument/2006/relationships/hyperlink" Target="https://twitter.com/mincombolivia" TargetMode="External"/><Relationship Id="rId2197" Type="http://schemas.openxmlformats.org/officeDocument/2006/relationships/hyperlink" Target="https://twitter.com/Kristian_Jensen" TargetMode="External"/><Relationship Id="rId169" Type="http://schemas.openxmlformats.org/officeDocument/2006/relationships/hyperlink" Target="http://twiplomacy.com/info/africa/Nigeria" TargetMode="External"/><Relationship Id="rId376" Type="http://schemas.openxmlformats.org/officeDocument/2006/relationships/hyperlink" Target="https://twitter.com/setkabgoid/statuses/43637617845207040" TargetMode="External"/><Relationship Id="rId583" Type="http://schemas.openxmlformats.org/officeDocument/2006/relationships/hyperlink" Target="https://twitter.com/TameemAlthani/lists" TargetMode="External"/><Relationship Id="rId790" Type="http://schemas.openxmlformats.org/officeDocument/2006/relationships/hyperlink" Target="https://twitter.com/TaaviRoivas/lists" TargetMode="External"/><Relationship Id="rId2057" Type="http://schemas.openxmlformats.org/officeDocument/2006/relationships/hyperlink" Target="https://twitter.com/TC_Disisleri" TargetMode="External"/><Relationship Id="rId2264" Type="http://schemas.openxmlformats.org/officeDocument/2006/relationships/hyperlink" Target="https://twitter.com/Saudiegov" TargetMode="External"/><Relationship Id="rId2471" Type="http://schemas.openxmlformats.org/officeDocument/2006/relationships/hyperlink" Target="https://twitter.com/PresidencyGhana" TargetMode="External"/><Relationship Id="rId4" Type="http://schemas.openxmlformats.org/officeDocument/2006/relationships/hyperlink" Target="http://twiplomacy.com/info/africa/Angola" TargetMode="External"/><Relationship Id="rId236" Type="http://schemas.openxmlformats.org/officeDocument/2006/relationships/hyperlink" Target="http://twiplomacy.com/info/africa/Sudan" TargetMode="External"/><Relationship Id="rId443" Type="http://schemas.openxmlformats.org/officeDocument/2006/relationships/hyperlink" Target="http://twiplomacy.com/info/asia/japan/" TargetMode="External"/><Relationship Id="rId650" Type="http://schemas.openxmlformats.org/officeDocument/2006/relationships/hyperlink" Target="http://twiplomacy.com/info/asia/Tajikistan" TargetMode="External"/><Relationship Id="rId888" Type="http://schemas.openxmlformats.org/officeDocument/2006/relationships/hyperlink" Target="https://twitter.com/francediplo_AR/statuses/174092858666651649" TargetMode="External"/><Relationship Id="rId1073" Type="http://schemas.openxmlformats.org/officeDocument/2006/relationships/hyperlink" Target="https://twitter.com/NorwayMFA/lists" TargetMode="External"/><Relationship Id="rId1280" Type="http://schemas.openxmlformats.org/officeDocument/2006/relationships/hyperlink" Target="https://twitter.com/cabinetofficeuk/statuses/13978769256" TargetMode="External"/><Relationship Id="rId2124" Type="http://schemas.openxmlformats.org/officeDocument/2006/relationships/hyperlink" Target="https://twitter.com/Diplomacy_RM" TargetMode="External"/><Relationship Id="rId2331" Type="http://schemas.openxmlformats.org/officeDocument/2006/relationships/hyperlink" Target="https://twitter.com/PresidentRuvi" TargetMode="External"/><Relationship Id="rId2569" Type="http://schemas.openxmlformats.org/officeDocument/2006/relationships/hyperlink" Target="http://twiplomacy.com/info/europe/Vatican" TargetMode="External"/><Relationship Id="rId303" Type="http://schemas.openxmlformats.org/officeDocument/2006/relationships/hyperlink" Target="http://twiplomacy.com/info/asia/Armenia" TargetMode="External"/><Relationship Id="rId748" Type="http://schemas.openxmlformats.org/officeDocument/2006/relationships/hyperlink" Target="https://twitter.com/VladaRH/statuses/468310753574125568" TargetMode="External"/><Relationship Id="rId955" Type="http://schemas.openxmlformats.org/officeDocument/2006/relationships/hyperlink" Target="https://twitter.com/ItalyMFA/statuses/209606798141964288" TargetMode="External"/><Relationship Id="rId1140" Type="http://schemas.openxmlformats.org/officeDocument/2006/relationships/hyperlink" Target="https://twitter.com/avucic/statuses/143981905023479808" TargetMode="External"/><Relationship Id="rId1378" Type="http://schemas.openxmlformats.org/officeDocument/2006/relationships/hyperlink" Target="http://twiplomacy.com/info/north-america/Dominican-Republic" TargetMode="External"/><Relationship Id="rId1585" Type="http://schemas.openxmlformats.org/officeDocument/2006/relationships/hyperlink" Target="http://twiplomacy.com/info/south-america/Brazil" TargetMode="External"/><Relationship Id="rId1792" Type="http://schemas.openxmlformats.org/officeDocument/2006/relationships/hyperlink" Target="https://twitter.com/Matignon" TargetMode="External"/><Relationship Id="rId2429" Type="http://schemas.openxmlformats.org/officeDocument/2006/relationships/hyperlink" Target="https://twitter.com/amurekezi" TargetMode="External"/><Relationship Id="rId2636" Type="http://schemas.openxmlformats.org/officeDocument/2006/relationships/hyperlink" Target="https://twitter.com/FCOArabic" TargetMode="External"/><Relationship Id="rId84" Type="http://schemas.openxmlformats.org/officeDocument/2006/relationships/hyperlink" Target="http://twiplomacy.com/info/africa/Ghana" TargetMode="External"/><Relationship Id="rId510" Type="http://schemas.openxmlformats.org/officeDocument/2006/relationships/hyperlink" Target="http://twiplomacy.com/info/asia/Malaysia" TargetMode="External"/><Relationship Id="rId608" Type="http://schemas.openxmlformats.org/officeDocument/2006/relationships/hyperlink" Target="https://twitter.com/MFAsg/mfa/members" TargetMode="External"/><Relationship Id="rId815" Type="http://schemas.openxmlformats.org/officeDocument/2006/relationships/hyperlink" Target="https://twitter.com/JunckerEU/lists" TargetMode="External"/><Relationship Id="rId1238" Type="http://schemas.openxmlformats.org/officeDocument/2006/relationships/hyperlink" Target="http://twiplomacy.com/info/europe/Turkey" TargetMode="External"/><Relationship Id="rId1445" Type="http://schemas.openxmlformats.org/officeDocument/2006/relationships/hyperlink" Target="https://twitter.com/IsabelStMalo/lists" TargetMode="External"/><Relationship Id="rId1652" Type="http://schemas.openxmlformats.org/officeDocument/2006/relationships/hyperlink" Target="http://twiplomacy.com/info/south-america/Uruguay" TargetMode="External"/><Relationship Id="rId1000" Type="http://schemas.openxmlformats.org/officeDocument/2006/relationships/hyperlink" Target="https://twitter.com/LithuaniaMFA/lists" TargetMode="External"/><Relationship Id="rId1305" Type="http://schemas.openxmlformats.org/officeDocument/2006/relationships/hyperlink" Target="https://twitter.com/Pontifex_fr/statuses/313247632451592192" TargetMode="External"/><Relationship Id="rId1957" Type="http://schemas.openxmlformats.org/officeDocument/2006/relationships/hyperlink" Target="https://twitter.com/USApoRusski" TargetMode="External"/><Relationship Id="rId2703" Type="http://schemas.openxmlformats.org/officeDocument/2006/relationships/hyperlink" Target="https://twitter.com/Pontifex_it/statuses/313247631109398528" TargetMode="External"/><Relationship Id="rId1512" Type="http://schemas.openxmlformats.org/officeDocument/2006/relationships/hyperlink" Target="http://twiplomacy.com/info/north-america/United-States" TargetMode="External"/><Relationship Id="rId1817" Type="http://schemas.openxmlformats.org/officeDocument/2006/relationships/hyperlink" Target="https://twitter.com/pcmperu" TargetMode="External"/><Relationship Id="rId11" Type="http://schemas.openxmlformats.org/officeDocument/2006/relationships/hyperlink" Target="https://twitter.com/MOFAIC/statuses/220084974257315840" TargetMode="External"/><Relationship Id="rId398" Type="http://schemas.openxmlformats.org/officeDocument/2006/relationships/hyperlink" Target="https://twitter.com/Khamenei_es/status/554259848544940032" TargetMode="External"/><Relationship Id="rId2079" Type="http://schemas.openxmlformats.org/officeDocument/2006/relationships/hyperlink" Target="https://twitter.com/MiroslavLajcak" TargetMode="External"/><Relationship Id="rId160" Type="http://schemas.openxmlformats.org/officeDocument/2006/relationships/hyperlink" Target="https://twitter.com/presidenceNiger/status/530552671149645824" TargetMode="External"/><Relationship Id="rId2286" Type="http://schemas.openxmlformats.org/officeDocument/2006/relationships/hyperlink" Target="https://twitter.com/zasagmn" TargetMode="External"/><Relationship Id="rId2493" Type="http://schemas.openxmlformats.org/officeDocument/2006/relationships/hyperlink" Target="https://twitter.com/ID_Itno" TargetMode="External"/><Relationship Id="rId258" Type="http://schemas.openxmlformats.org/officeDocument/2006/relationships/hyperlink" Target="https://twitter.com/presidenceTN/statuses/163937585566191616" TargetMode="External"/><Relationship Id="rId465" Type="http://schemas.openxmlformats.org/officeDocument/2006/relationships/hyperlink" Target="https://twitter.com/ForeignMinistry/statuses/18761753228" TargetMode="External"/><Relationship Id="rId672" Type="http://schemas.openxmlformats.org/officeDocument/2006/relationships/hyperlink" Target="https://twitter.com/MFAThai_PR_EN/statuses/12860496161" TargetMode="External"/><Relationship Id="rId1095" Type="http://schemas.openxmlformats.org/officeDocument/2006/relationships/hyperlink" Target="https://twitter.com/MNEGOVPT/lists" TargetMode="External"/><Relationship Id="rId2146" Type="http://schemas.openxmlformats.org/officeDocument/2006/relationships/hyperlink" Target="https://twitter.com/Brivibas36" TargetMode="External"/><Relationship Id="rId2353" Type="http://schemas.openxmlformats.org/officeDocument/2006/relationships/hyperlink" Target="https://twitter.com/PMOIndia" TargetMode="External"/><Relationship Id="rId2560" Type="http://schemas.openxmlformats.org/officeDocument/2006/relationships/hyperlink" Target="https://twitter.com/filip_pavel" TargetMode="External"/><Relationship Id="rId118" Type="http://schemas.openxmlformats.org/officeDocument/2006/relationships/hyperlink" Target="https://twitter.com/PSCU_Digital/lists" TargetMode="External"/><Relationship Id="rId325" Type="http://schemas.openxmlformats.org/officeDocument/2006/relationships/hyperlink" Target="http://twiplomacy.com/info/asia/Bhutan" TargetMode="External"/><Relationship Id="rId532" Type="http://schemas.openxmlformats.org/officeDocument/2006/relationships/hyperlink" Target="http://twiplomacy.com/info/asia/Mongolia" TargetMode="External"/><Relationship Id="rId977" Type="http://schemas.openxmlformats.org/officeDocument/2006/relationships/hyperlink" Target="http://twiplomacy.com/info/europe/Latvia" TargetMode="External"/><Relationship Id="rId1162" Type="http://schemas.openxmlformats.org/officeDocument/2006/relationships/hyperlink" Target="https://twitter.com/BorutPahor/statuses/223732634059149312" TargetMode="External"/><Relationship Id="rId2006" Type="http://schemas.openxmlformats.org/officeDocument/2006/relationships/hyperlink" Target="https://twitter.com/SkerritR" TargetMode="External"/><Relationship Id="rId2213" Type="http://schemas.openxmlformats.org/officeDocument/2006/relationships/hyperlink" Target="https://twitter.com/MFABulgaria" TargetMode="External"/><Relationship Id="rId2420" Type="http://schemas.openxmlformats.org/officeDocument/2006/relationships/hyperlink" Target="https://twitter.com/SeychellesMFA" TargetMode="External"/><Relationship Id="rId2658" Type="http://schemas.openxmlformats.org/officeDocument/2006/relationships/hyperlink" Target="https://twitter.com/JocelermePriver/lists" TargetMode="External"/><Relationship Id="rId837" Type="http://schemas.openxmlformats.org/officeDocument/2006/relationships/hyperlink" Target="https://twitter.com/GjorgeIvanov/lists" TargetMode="External"/><Relationship Id="rId1022" Type="http://schemas.openxmlformats.org/officeDocument/2006/relationships/hyperlink" Target="http://twiplomacy.com/info/europe/Moldova" TargetMode="External"/><Relationship Id="rId1467" Type="http://schemas.openxmlformats.org/officeDocument/2006/relationships/hyperlink" Target="https://twitter.com/SaintLuciaGov/statuses/424199279863795712" TargetMode="External"/><Relationship Id="rId1674" Type="http://schemas.openxmlformats.org/officeDocument/2006/relationships/hyperlink" Target="http://twiplomacy.com/info/south-america/Venezuela" TargetMode="External"/><Relationship Id="rId1881" Type="http://schemas.openxmlformats.org/officeDocument/2006/relationships/hyperlink" Target="https://twitter.com/osucastle" TargetMode="External"/><Relationship Id="rId2518" Type="http://schemas.openxmlformats.org/officeDocument/2006/relationships/hyperlink" Target="https://twitter.com/MagufuliJP" TargetMode="External"/><Relationship Id="rId2725" Type="http://schemas.openxmlformats.org/officeDocument/2006/relationships/hyperlink" Target="https://twitter.com/GreeceMFA/lists" TargetMode="External"/><Relationship Id="rId904" Type="http://schemas.openxmlformats.org/officeDocument/2006/relationships/hyperlink" Target="https://twitter.com/atsipras/status/91106508863053824" TargetMode="External"/><Relationship Id="rId1327" Type="http://schemas.openxmlformats.org/officeDocument/2006/relationships/hyperlink" Target="https://twitter.com/belizegov/statuses/16250314283" TargetMode="External"/><Relationship Id="rId1534" Type="http://schemas.openxmlformats.org/officeDocument/2006/relationships/hyperlink" Target="https://twitter.com/FijiRepublic/statuses/126528855040200705" TargetMode="External"/><Relationship Id="rId1741" Type="http://schemas.openxmlformats.org/officeDocument/2006/relationships/hyperlink" Target="https://twitter.com/MaldivesPO/statuses/207936076931805184" TargetMode="External"/><Relationship Id="rId1979" Type="http://schemas.openxmlformats.org/officeDocument/2006/relationships/hyperlink" Target="https://twitter.com/fortalezapr" TargetMode="External"/><Relationship Id="rId33" Type="http://schemas.openxmlformats.org/officeDocument/2006/relationships/hyperlink" Target="https://twitter.com/PMTCHAD/statuses/183359023490400256" TargetMode="External"/><Relationship Id="rId129" Type="http://schemas.openxmlformats.org/officeDocument/2006/relationships/hyperlink" Target="https://twitter.com/DGRAVELONARIVO/status/357857928646107136" TargetMode="External"/><Relationship Id="rId336" Type="http://schemas.openxmlformats.org/officeDocument/2006/relationships/hyperlink" Target="http://twiplomacy.com/info/asia/East-Timor" TargetMode="External"/><Relationship Id="rId543" Type="http://schemas.openxmlformats.org/officeDocument/2006/relationships/hyperlink" Target="http://twiplomacy.com/info/asia/Nepal" TargetMode="External"/><Relationship Id="rId988" Type="http://schemas.openxmlformats.org/officeDocument/2006/relationships/hyperlink" Target="http://twiplomacy.com/info/europe/Liechtenstein" TargetMode="External"/><Relationship Id="rId1173" Type="http://schemas.openxmlformats.org/officeDocument/2006/relationships/hyperlink" Target="http://twiplomacy.com/info/europe/Slovenia" TargetMode="External"/><Relationship Id="rId1380" Type="http://schemas.openxmlformats.org/officeDocument/2006/relationships/hyperlink" Target="https://twitter.com/Andresnavarrog/lists" TargetMode="External"/><Relationship Id="rId1601" Type="http://schemas.openxmlformats.org/officeDocument/2006/relationships/hyperlink" Target="https://twitter.com/JuanManSantos/statuses/3253473433" TargetMode="External"/><Relationship Id="rId1839" Type="http://schemas.openxmlformats.org/officeDocument/2006/relationships/hyperlink" Target="https://twitter.com/MofaNepal" TargetMode="External"/><Relationship Id="rId2017" Type="http://schemas.openxmlformats.org/officeDocument/2006/relationships/hyperlink" Target="https://twitter.com/belizegov" TargetMode="External"/><Relationship Id="rId2224" Type="http://schemas.openxmlformats.org/officeDocument/2006/relationships/hyperlink" Target="https://twitter.com/BelarusMID" TargetMode="External"/><Relationship Id="rId2669" Type="http://schemas.openxmlformats.org/officeDocument/2006/relationships/hyperlink" Target="http://twiplomacy.com/info/europe/Montenegro" TargetMode="External"/><Relationship Id="rId182" Type="http://schemas.openxmlformats.org/officeDocument/2006/relationships/hyperlink" Target="http://twiplomacy.com/info/africa/Rwanda" TargetMode="External"/><Relationship Id="rId403" Type="http://schemas.openxmlformats.org/officeDocument/2006/relationships/hyperlink" Target="https://twitter.com/PresidentFuad/lists" TargetMode="External"/><Relationship Id="rId750" Type="http://schemas.openxmlformats.org/officeDocument/2006/relationships/hyperlink" Target="http://twiplomacy.com/info/europe/Croatia" TargetMode="External"/><Relationship Id="rId848" Type="http://schemas.openxmlformats.org/officeDocument/2006/relationships/hyperlink" Target="http://twiplomacy.com/info/europe/Finland" TargetMode="External"/><Relationship Id="rId1033" Type="http://schemas.openxmlformats.org/officeDocument/2006/relationships/hyperlink" Target="https://twitter.com/GvtMonaco/statuses/161716389407760384" TargetMode="External"/><Relationship Id="rId1478" Type="http://schemas.openxmlformats.org/officeDocument/2006/relationships/hyperlink" Target="https://twitter.com/mfagovtt/statuses/16493684554" TargetMode="External"/><Relationship Id="rId1685" Type="http://schemas.openxmlformats.org/officeDocument/2006/relationships/hyperlink" Target="https://twitter.com/maduro_zh/statuses/380907083212021760" TargetMode="External"/><Relationship Id="rId1892" Type="http://schemas.openxmlformats.org/officeDocument/2006/relationships/hyperlink" Target="https://twitter.com/maduro_it" TargetMode="External"/><Relationship Id="rId1906" Type="http://schemas.openxmlformats.org/officeDocument/2006/relationships/hyperlink" Target="https://twitter.com/vencancilleria" TargetMode="External"/><Relationship Id="rId2431" Type="http://schemas.openxmlformats.org/officeDocument/2006/relationships/hyperlink" Target="https://twitter.com/PaulKagame" TargetMode="External"/><Relationship Id="rId2529" Type="http://schemas.openxmlformats.org/officeDocument/2006/relationships/hyperlink" Target="https://twitter.com/MinCanadaAE" TargetMode="External"/><Relationship Id="rId2736" Type="http://schemas.openxmlformats.org/officeDocument/2006/relationships/hyperlink" Target="https://twitter.com/MIREXRD/lists" TargetMode="External"/><Relationship Id="rId487" Type="http://schemas.openxmlformats.org/officeDocument/2006/relationships/hyperlink" Target="http://twiplomacy.com/info/asia/Kyrgyzstan" TargetMode="External"/><Relationship Id="rId610" Type="http://schemas.openxmlformats.org/officeDocument/2006/relationships/hyperlink" Target="https://twitter.com/GH_PARK/statuses/17479058027" TargetMode="External"/><Relationship Id="rId694" Type="http://schemas.openxmlformats.org/officeDocument/2006/relationships/hyperlink" Target="https://twitter.com/KhaledBahah/lists" TargetMode="External"/><Relationship Id="rId708" Type="http://schemas.openxmlformats.org/officeDocument/2006/relationships/hyperlink" Target="http://twiplomacy.com/info/europe/Austria" TargetMode="External"/><Relationship Id="rId915" Type="http://schemas.openxmlformats.org/officeDocument/2006/relationships/hyperlink" Target="https://twitter.com/Viktor_Orban/statuses/8464265910" TargetMode="External"/><Relationship Id="rId1240" Type="http://schemas.openxmlformats.org/officeDocument/2006/relationships/hyperlink" Target="http://twiplomacy.com/info/europe/Turkey" TargetMode="External"/><Relationship Id="rId1338" Type="http://schemas.openxmlformats.org/officeDocument/2006/relationships/hyperlink" Target="http://twiplomacy.com/info/north-america/Canada" TargetMode="External"/><Relationship Id="rId1545" Type="http://schemas.openxmlformats.org/officeDocument/2006/relationships/hyperlink" Target="http://twiplomacy.com/info/oceania/New-Zealand" TargetMode="External"/><Relationship Id="rId2070" Type="http://schemas.openxmlformats.org/officeDocument/2006/relationships/hyperlink" Target="https://twitter.com/desdelamoncloa" TargetMode="External"/><Relationship Id="rId2168" Type="http://schemas.openxmlformats.org/officeDocument/2006/relationships/hyperlink" Target="https://twitter.com/tsipras_eu" TargetMode="External"/><Relationship Id="rId2375" Type="http://schemas.openxmlformats.org/officeDocument/2006/relationships/hyperlink" Target="https://twitter.com/PresidentAM_rus" TargetMode="External"/><Relationship Id="rId347" Type="http://schemas.openxmlformats.org/officeDocument/2006/relationships/hyperlink" Target="https://twitter.com/MFAgovge/statuses/74960938494722048" TargetMode="External"/><Relationship Id="rId999" Type="http://schemas.openxmlformats.org/officeDocument/2006/relationships/hyperlink" Target="https://twitter.com/LithuaniaMFA/statuses/315369797217046528" TargetMode="External"/><Relationship Id="rId1100" Type="http://schemas.openxmlformats.org/officeDocument/2006/relationships/hyperlink" Target="https://twitter.com/CiolosDacian/lists" TargetMode="External"/><Relationship Id="rId1184" Type="http://schemas.openxmlformats.org/officeDocument/2006/relationships/hyperlink" Target="https://twitter.com/desdelamoncloa/instituciones-int/members" TargetMode="External"/><Relationship Id="rId1405" Type="http://schemas.openxmlformats.org/officeDocument/2006/relationships/hyperlink" Target="https://twitter.com/PrimatureHT/lists" TargetMode="External"/><Relationship Id="rId1752" Type="http://schemas.openxmlformats.org/officeDocument/2006/relationships/hyperlink" Target="https://twitter.com/UAEGover/statuses/171904082632638464" TargetMode="External"/><Relationship Id="rId2028" Type="http://schemas.openxmlformats.org/officeDocument/2006/relationships/hyperlink" Target="https://twitter.com/Pontifex_ln" TargetMode="External"/><Relationship Id="rId2582" Type="http://schemas.openxmlformats.org/officeDocument/2006/relationships/hyperlink" Target="https://twitter.com/rterdogan_ar/lists" TargetMode="External"/><Relationship Id="rId44" Type="http://schemas.openxmlformats.org/officeDocument/2006/relationships/hyperlink" Target="https://twitter.com/djiboutidiplo/status/472458637097455616" TargetMode="External"/><Relationship Id="rId554" Type="http://schemas.openxmlformats.org/officeDocument/2006/relationships/hyperlink" Target="http://twiplomacy.com/info/asia/Pakistan" TargetMode="External"/><Relationship Id="rId761" Type="http://schemas.openxmlformats.org/officeDocument/2006/relationships/hyperlink" Target="https://twitter.com/IKasoulides/statuses/172650242108424192" TargetMode="External"/><Relationship Id="rId859" Type="http://schemas.openxmlformats.org/officeDocument/2006/relationships/hyperlink" Target="https://twitter.com/fhollande/statuses/1107658871" TargetMode="External"/><Relationship Id="rId1391" Type="http://schemas.openxmlformats.org/officeDocument/2006/relationships/hyperlink" Target="https://twitter.com/cancilleriasv/statuses/13104746081" TargetMode="External"/><Relationship Id="rId1489" Type="http://schemas.openxmlformats.org/officeDocument/2006/relationships/hyperlink" Target="https://twitter.com/Cabinet/statuses/378166701130403840" TargetMode="External"/><Relationship Id="rId1612" Type="http://schemas.openxmlformats.org/officeDocument/2006/relationships/hyperlink" Target="https://twitter.com/Presidencia_Ec/statuses/7449530557" TargetMode="External"/><Relationship Id="rId1696" Type="http://schemas.openxmlformats.org/officeDocument/2006/relationships/hyperlink" Target="https://twitter.com/CathySambaPanza/lists" TargetMode="External"/><Relationship Id="rId1917" Type="http://schemas.openxmlformats.org/officeDocument/2006/relationships/hyperlink" Target="https://twitter.com/Horacio_Cartes" TargetMode="External"/><Relationship Id="rId2235" Type="http://schemas.openxmlformats.org/officeDocument/2006/relationships/hyperlink" Target="https://twitter.com/UAEmGov" TargetMode="External"/><Relationship Id="rId2442" Type="http://schemas.openxmlformats.org/officeDocument/2006/relationships/hyperlink" Target="https://twitter.com/Maroc_eGov" TargetMode="External"/><Relationship Id="rId193" Type="http://schemas.openxmlformats.org/officeDocument/2006/relationships/hyperlink" Target="https://twitter.com/macky_sall/lists" TargetMode="External"/><Relationship Id="rId207" Type="http://schemas.openxmlformats.org/officeDocument/2006/relationships/hyperlink" Target="https://twitter.com/CommsUnitSL/statehousefreetown" TargetMode="External"/><Relationship Id="rId414" Type="http://schemas.openxmlformats.org/officeDocument/2006/relationships/hyperlink" Target="https://twitter.com/PresidentRuvi/status/529568907355369472" TargetMode="External"/><Relationship Id="rId498" Type="http://schemas.openxmlformats.org/officeDocument/2006/relationships/hyperlink" Target="http://twiplomacy.com/info/asia/Lebanon" TargetMode="External"/><Relationship Id="rId621" Type="http://schemas.openxmlformats.org/officeDocument/2006/relationships/hyperlink" Target="http://twiplomacy.com/info/asia/South-Korea" TargetMode="External"/><Relationship Id="rId1044" Type="http://schemas.openxmlformats.org/officeDocument/2006/relationships/hyperlink" Target="https://twitter.com/minpres/statuses/28965629825" TargetMode="External"/><Relationship Id="rId1251" Type="http://schemas.openxmlformats.org/officeDocument/2006/relationships/hyperlink" Target="http://twiplomacy.com/info/europe/Ukraine" TargetMode="External"/><Relationship Id="rId1349" Type="http://schemas.openxmlformats.org/officeDocument/2006/relationships/hyperlink" Target="https://twitter.com/CanadaPE/lists/les-missions-%C3%A0-l-%C3%A9tranger" TargetMode="External"/><Relationship Id="rId2081" Type="http://schemas.openxmlformats.org/officeDocument/2006/relationships/hyperlink" Target="https://twitter.com/Andrej_Kiska" TargetMode="External"/><Relationship Id="rId2179" Type="http://schemas.openxmlformats.org/officeDocument/2006/relationships/hyperlink" Target="https://twitter.com/juhasipila" TargetMode="External"/><Relationship Id="rId2302" Type="http://schemas.openxmlformats.org/officeDocument/2006/relationships/hyperlink" Target="https://twitter.com/SalamTammam" TargetMode="External"/><Relationship Id="rId260" Type="http://schemas.openxmlformats.org/officeDocument/2006/relationships/hyperlink" Target="https://twitter.com/Habib_essid/status/568371536996012033" TargetMode="External"/><Relationship Id="rId719" Type="http://schemas.openxmlformats.org/officeDocument/2006/relationships/hyperlink" Target="https://twitter.com/CharlesMichel/status/9334367304" TargetMode="External"/><Relationship Id="rId926" Type="http://schemas.openxmlformats.org/officeDocument/2006/relationships/hyperlink" Target="http://twiplomacy.com/info/europe/Ireland" TargetMode="External"/><Relationship Id="rId1111" Type="http://schemas.openxmlformats.org/officeDocument/2006/relationships/hyperlink" Target="https://twitter.com/MedvedevRussia/statuses/16863556707" TargetMode="External"/><Relationship Id="rId1556" Type="http://schemas.openxmlformats.org/officeDocument/2006/relationships/hyperlink" Target="https://twitter.com/IakobaItaleli/lists" TargetMode="External"/><Relationship Id="rId1763" Type="http://schemas.openxmlformats.org/officeDocument/2006/relationships/hyperlink" Target="https://twitter.com/palaisnational/statuses/65774906880704512" TargetMode="External"/><Relationship Id="rId1970" Type="http://schemas.openxmlformats.org/officeDocument/2006/relationships/hyperlink" Target="https://twitter.com/BarackObama" TargetMode="External"/><Relationship Id="rId2386" Type="http://schemas.openxmlformats.org/officeDocument/2006/relationships/hyperlink" Target="https://twitter.com/StateHousePress" TargetMode="External"/><Relationship Id="rId2593" Type="http://schemas.openxmlformats.org/officeDocument/2006/relationships/hyperlink" Target="http://twiplomacy.com/info/africa/Benin" TargetMode="External"/><Relationship Id="rId2607" Type="http://schemas.openxmlformats.org/officeDocument/2006/relationships/hyperlink" Target="https://twitter.com/presidencia_cl/lists" TargetMode="External"/><Relationship Id="rId55" Type="http://schemas.openxmlformats.org/officeDocument/2006/relationships/hyperlink" Target="http://twiplomacy.com/info/africa/Egypt" TargetMode="External"/><Relationship Id="rId120" Type="http://schemas.openxmlformats.org/officeDocument/2006/relationships/hyperlink" Target="https://twitter.com/Pakalitha/lists" TargetMode="External"/><Relationship Id="rId358" Type="http://schemas.openxmlformats.org/officeDocument/2006/relationships/hyperlink" Target="https://twitter.com/PMOIndia/status/471292337973235712" TargetMode="External"/><Relationship Id="rId565" Type="http://schemas.openxmlformats.org/officeDocument/2006/relationships/hyperlink" Target="https://twitter.com/PalestinianGov/statuses/5198077756" TargetMode="External"/><Relationship Id="rId772" Type="http://schemas.openxmlformats.org/officeDocument/2006/relationships/hyperlink" Target="https://twitter.com/ZaoralekL/lists" TargetMode="External"/><Relationship Id="rId1195" Type="http://schemas.openxmlformats.org/officeDocument/2006/relationships/hyperlink" Target="http://twiplomacy.com/info/europe/sweden/" TargetMode="External"/><Relationship Id="rId1209" Type="http://schemas.openxmlformats.org/officeDocument/2006/relationships/hyperlink" Target="https://twitter.com/RT_Erdogan/statuses/7290092917886976" TargetMode="External"/><Relationship Id="rId1416" Type="http://schemas.openxmlformats.org/officeDocument/2006/relationships/hyperlink" Target="https://twitter.com/ComunicadosHN/statuses/54954656006287360" TargetMode="External"/><Relationship Id="rId1623" Type="http://schemas.openxmlformats.org/officeDocument/2006/relationships/hyperlink" Target="http://twiplomacy.com/info/south-america/Guyana" TargetMode="External"/><Relationship Id="rId1830" Type="http://schemas.openxmlformats.org/officeDocument/2006/relationships/hyperlink" Target="https://twitter.com/MinExterioresUY" TargetMode="External"/><Relationship Id="rId2039" Type="http://schemas.openxmlformats.org/officeDocument/2006/relationships/hyperlink" Target="https://twitter.com/PavloKlimkin" TargetMode="External"/><Relationship Id="rId2246" Type="http://schemas.openxmlformats.org/officeDocument/2006/relationships/hyperlink" Target="https://twitter.com/presstj" TargetMode="External"/><Relationship Id="rId2453" Type="http://schemas.openxmlformats.org/officeDocument/2006/relationships/hyperlink" Target="https://twitter.com/GovernmentLY" TargetMode="External"/><Relationship Id="rId2660" Type="http://schemas.openxmlformats.org/officeDocument/2006/relationships/hyperlink" Target="https://twitter.com/EnexJeanCharles/lists" TargetMode="External"/><Relationship Id="rId218" Type="http://schemas.openxmlformats.org/officeDocument/2006/relationships/hyperlink" Target="http://twiplomacy.com/info/africa/Somalia" TargetMode="External"/><Relationship Id="rId425" Type="http://schemas.openxmlformats.org/officeDocument/2006/relationships/hyperlink" Target="https://twitter.com/Israel/statuses/2417273993" TargetMode="External"/><Relationship Id="rId632" Type="http://schemas.openxmlformats.org/officeDocument/2006/relationships/hyperlink" Target="http://twiplomacy.com/info/asia/Sri-Lanka" TargetMode="External"/><Relationship Id="rId1055" Type="http://schemas.openxmlformats.org/officeDocument/2006/relationships/hyperlink" Target="http://twiplomacy.com/info/europe/Netherlands" TargetMode="External"/><Relationship Id="rId1262" Type="http://schemas.openxmlformats.org/officeDocument/2006/relationships/hyperlink" Target="https://twitter.com/PavloKlimkin/statuses/158890232949899264" TargetMode="External"/><Relationship Id="rId1928" Type="http://schemas.openxmlformats.org/officeDocument/2006/relationships/hyperlink" Target="https://twitter.com/PrensaMichelle" TargetMode="External"/><Relationship Id="rId2092" Type="http://schemas.openxmlformats.org/officeDocument/2006/relationships/hyperlink" Target="https://twitter.com/GovernmentRF" TargetMode="External"/><Relationship Id="rId2106" Type="http://schemas.openxmlformats.org/officeDocument/2006/relationships/hyperlink" Target="https://twitter.com/PremierRP" TargetMode="External"/><Relationship Id="rId2313" Type="http://schemas.openxmlformats.org/officeDocument/2006/relationships/hyperlink" Target="https://twitter.com/AkordaPress" TargetMode="External"/><Relationship Id="rId2520" Type="http://schemas.openxmlformats.org/officeDocument/2006/relationships/hyperlink" Target="http://twiplomacy.com/info/africa/Tanzania" TargetMode="External"/><Relationship Id="rId271" Type="http://schemas.openxmlformats.org/officeDocument/2006/relationships/hyperlink" Target="http://twiplomacy.com/info/africa/Uganda" TargetMode="External"/><Relationship Id="rId937" Type="http://schemas.openxmlformats.org/officeDocument/2006/relationships/hyperlink" Target="http://twiplomacy.com/info/europe/Ireland" TargetMode="External"/><Relationship Id="rId1122" Type="http://schemas.openxmlformats.org/officeDocument/2006/relationships/hyperlink" Target="http://twiplomacy.com/info/europe/Russia" TargetMode="External"/><Relationship Id="rId1567" Type="http://schemas.openxmlformats.org/officeDocument/2006/relationships/hyperlink" Target="http://twiplomacy.com/info/south-america/Bolivia" TargetMode="External"/><Relationship Id="rId1774" Type="http://schemas.openxmlformats.org/officeDocument/2006/relationships/hyperlink" Target="http://twiplomacy.com/info/oceania/Fiji" TargetMode="External"/><Relationship Id="rId1981" Type="http://schemas.openxmlformats.org/officeDocument/2006/relationships/hyperlink" Target="https://twitter.com/CancilleriaPA" TargetMode="External"/><Relationship Id="rId2397" Type="http://schemas.openxmlformats.org/officeDocument/2006/relationships/hyperlink" Target="https://twitter.com/Habib_essid" TargetMode="External"/><Relationship Id="rId2618" Type="http://schemas.openxmlformats.org/officeDocument/2006/relationships/hyperlink" Target="https://twitter.com/prensa_palacio/lists" TargetMode="External"/><Relationship Id="rId66" Type="http://schemas.openxmlformats.org/officeDocument/2006/relationships/hyperlink" Target="http://twiplomacy.com/info/africa/Ethiopia" TargetMode="External"/><Relationship Id="rId131" Type="http://schemas.openxmlformats.org/officeDocument/2006/relationships/hyperlink" Target="http://twiplomacy.com/info/africa/Malawi" TargetMode="External"/><Relationship Id="rId369" Type="http://schemas.openxmlformats.org/officeDocument/2006/relationships/hyperlink" Target="http://twiplomacy.com/info/asia/Indonesia" TargetMode="External"/><Relationship Id="rId576" Type="http://schemas.openxmlformats.org/officeDocument/2006/relationships/hyperlink" Target="http://twiplomacy.com/info/asia/Philippines" TargetMode="External"/><Relationship Id="rId783" Type="http://schemas.openxmlformats.org/officeDocument/2006/relationships/hyperlink" Target="https://twitter.com/UM_dk/lists" TargetMode="External"/><Relationship Id="rId990" Type="http://schemas.openxmlformats.org/officeDocument/2006/relationships/hyperlink" Target="http://twiplomacy.com/info/europe/Lithuania" TargetMode="External"/><Relationship Id="rId1427" Type="http://schemas.openxmlformats.org/officeDocument/2006/relationships/hyperlink" Target="http://twiplomacy.com/info/north-america/Mexico" TargetMode="External"/><Relationship Id="rId1634" Type="http://schemas.openxmlformats.org/officeDocument/2006/relationships/hyperlink" Target="https://twitter.com/mreparaguay/statuses/231402456947515392" TargetMode="External"/><Relationship Id="rId1841" Type="http://schemas.openxmlformats.org/officeDocument/2006/relationships/hyperlink" Target="https://twitter.com/Pmcanadien" TargetMode="External"/><Relationship Id="rId2257" Type="http://schemas.openxmlformats.org/officeDocument/2006/relationships/hyperlink" Target="https://twitter.com/bluehousekorea" TargetMode="External"/><Relationship Id="rId2464" Type="http://schemas.openxmlformats.org/officeDocument/2006/relationships/hyperlink" Target="https://twitter.com/adosolutions" TargetMode="External"/><Relationship Id="rId2671" Type="http://schemas.openxmlformats.org/officeDocument/2006/relationships/hyperlink" Target="http://twiplomacy.com/info/europe/United-Kingdom" TargetMode="External"/><Relationship Id="rId229" Type="http://schemas.openxmlformats.org/officeDocument/2006/relationships/hyperlink" Target="https://twitter.com/GovernmentZA/statuses/540127234380824576" TargetMode="External"/><Relationship Id="rId436" Type="http://schemas.openxmlformats.org/officeDocument/2006/relationships/hyperlink" Target="https://twitter.com/JapanGov/statuses/459637747490111488" TargetMode="External"/><Relationship Id="rId643" Type="http://schemas.openxmlformats.org/officeDocument/2006/relationships/hyperlink" Target="http://twiplomacy.com/info/asia/Sri-Lanka" TargetMode="External"/><Relationship Id="rId1066" Type="http://schemas.openxmlformats.org/officeDocument/2006/relationships/hyperlink" Target="https://twitter.com/borgebrende/statuses/2402118022" TargetMode="External"/><Relationship Id="rId1273" Type="http://schemas.openxmlformats.org/officeDocument/2006/relationships/hyperlink" Target="https://twitter.com/BritishMonarchy/statuses/525596327674400768" TargetMode="External"/><Relationship Id="rId1480" Type="http://schemas.openxmlformats.org/officeDocument/2006/relationships/hyperlink" Target="https://twitter.com/barackobama/statuses/44240662" TargetMode="External"/><Relationship Id="rId1939" Type="http://schemas.openxmlformats.org/officeDocument/2006/relationships/hyperlink" Target="https://twitter.com/mauriciomacri" TargetMode="External"/><Relationship Id="rId2117" Type="http://schemas.openxmlformats.org/officeDocument/2006/relationships/hyperlink" Target="https://twitter.com/MinBuZa_news" TargetMode="External"/><Relationship Id="rId2324" Type="http://schemas.openxmlformats.org/officeDocument/2006/relationships/hyperlink" Target="https://twitter.com/JPN_PMO" TargetMode="External"/><Relationship Id="rId850" Type="http://schemas.openxmlformats.org/officeDocument/2006/relationships/hyperlink" Target="http://twiplomacy.com/info/europe/Finland" TargetMode="External"/><Relationship Id="rId948" Type="http://schemas.openxmlformats.org/officeDocument/2006/relationships/hyperlink" Target="https://twitter.com/matteorenzi/statuses/1104303166" TargetMode="External"/><Relationship Id="rId1133" Type="http://schemas.openxmlformats.org/officeDocument/2006/relationships/hyperlink" Target="http://twiplomacy.com/info/europe/Russia" TargetMode="External"/><Relationship Id="rId1578" Type="http://schemas.openxmlformats.org/officeDocument/2006/relationships/hyperlink" Target="https://twitter.com/ItamaratyGovBr/statuses/2298675106" TargetMode="External"/><Relationship Id="rId1701" Type="http://schemas.openxmlformats.org/officeDocument/2006/relationships/hyperlink" Target="https://twitter.com/aguribfakim/lists" TargetMode="External"/><Relationship Id="rId1785" Type="http://schemas.openxmlformats.org/officeDocument/2006/relationships/hyperlink" Target="https://twitter.com/EU_Commission" TargetMode="External"/><Relationship Id="rId1992" Type="http://schemas.openxmlformats.org/officeDocument/2006/relationships/hyperlink" Target="https://twitter.com/Presidencia_HN" TargetMode="External"/><Relationship Id="rId2531" Type="http://schemas.openxmlformats.org/officeDocument/2006/relationships/hyperlink" Target="https://twitter.com/votealpha2015" TargetMode="External"/><Relationship Id="rId2629" Type="http://schemas.openxmlformats.org/officeDocument/2006/relationships/hyperlink" Target="http://twiplomacy.com/info/south-america/Suriname" TargetMode="External"/><Relationship Id="rId77" Type="http://schemas.openxmlformats.org/officeDocument/2006/relationships/hyperlink" Target="https://twitter.com/GouvGabon/status/496285935739625472" TargetMode="External"/><Relationship Id="rId282" Type="http://schemas.openxmlformats.org/officeDocument/2006/relationships/hyperlink" Target="https://twitter.com/StateHousePress/statuses/180316329025355777" TargetMode="External"/><Relationship Id="rId503" Type="http://schemas.openxmlformats.org/officeDocument/2006/relationships/hyperlink" Target="https://twitter.com/najibrazak/statuses/931653995" TargetMode="External"/><Relationship Id="rId587" Type="http://schemas.openxmlformats.org/officeDocument/2006/relationships/hyperlink" Target="http://twiplomacy.com/info/asia/Qatar" TargetMode="External"/><Relationship Id="rId710" Type="http://schemas.openxmlformats.org/officeDocument/2006/relationships/hyperlink" Target="https://twitter.com/MFA_Austria/lists" TargetMode="External"/><Relationship Id="rId808" Type="http://schemas.openxmlformats.org/officeDocument/2006/relationships/hyperlink" Target="https://twitter.com/eucopresident/lists" TargetMode="External"/><Relationship Id="rId1340" Type="http://schemas.openxmlformats.org/officeDocument/2006/relationships/hyperlink" Target="https://twitter.com/HonStephaneDion/lists" TargetMode="External"/><Relationship Id="rId1438" Type="http://schemas.openxmlformats.org/officeDocument/2006/relationships/hyperlink" Target="http://twiplomacy.com/info/north-america/Panama" TargetMode="External"/><Relationship Id="rId1645" Type="http://schemas.openxmlformats.org/officeDocument/2006/relationships/hyperlink" Target="http://twiplomacy.com/info/south-america/Peru" TargetMode="External"/><Relationship Id="rId2170" Type="http://schemas.openxmlformats.org/officeDocument/2006/relationships/hyperlink" Target="https://twitter.com/RegSprecher" TargetMode="External"/><Relationship Id="rId2268" Type="http://schemas.openxmlformats.org/officeDocument/2006/relationships/hyperlink" Target="https://twitter.com/HukoomiQatar" TargetMode="External"/><Relationship Id="rId8" Type="http://schemas.openxmlformats.org/officeDocument/2006/relationships/hyperlink" Target="http://twiplomacy.com/info/africa/Botswana" TargetMode="External"/><Relationship Id="rId142" Type="http://schemas.openxmlformats.org/officeDocument/2006/relationships/hyperlink" Target="http://twiplomacy.com/info/africa/Mauritania" TargetMode="External"/><Relationship Id="rId447" Type="http://schemas.openxmlformats.org/officeDocument/2006/relationships/hyperlink" Target="http://twiplomacy.com/info/asia/japan/" TargetMode="External"/><Relationship Id="rId794" Type="http://schemas.openxmlformats.org/officeDocument/2006/relationships/hyperlink" Target="http://twiplomacy.com/info/europe/Estonia" TargetMode="External"/><Relationship Id="rId1077" Type="http://schemas.openxmlformats.org/officeDocument/2006/relationships/hyperlink" Target="https://twitter.com/prezydentpl/statuses/99252699224215552" TargetMode="External"/><Relationship Id="rId1200" Type="http://schemas.openxmlformats.org/officeDocument/2006/relationships/hyperlink" Target="https://twitter.com/Utrikesdep/lists" TargetMode="External"/><Relationship Id="rId1852" Type="http://schemas.openxmlformats.org/officeDocument/2006/relationships/hyperlink" Target="https://twitter.com/PresidenciadeHN" TargetMode="External"/><Relationship Id="rId2030" Type="http://schemas.openxmlformats.org/officeDocument/2006/relationships/hyperlink" Target="https://twitter.com/Pontifex_es" TargetMode="External"/><Relationship Id="rId2128" Type="http://schemas.openxmlformats.org/officeDocument/2006/relationships/hyperlink" Target="https://twitter.com/DOImalta" TargetMode="External"/><Relationship Id="rId2475" Type="http://schemas.openxmlformats.org/officeDocument/2006/relationships/hyperlink" Target="https://twitter.com/PrimatureGabon" TargetMode="External"/><Relationship Id="rId2682" Type="http://schemas.openxmlformats.org/officeDocument/2006/relationships/hyperlink" Target="https://twitter.com/ortcomkzE/statuses/525135184371662848" TargetMode="External"/><Relationship Id="rId654" Type="http://schemas.openxmlformats.org/officeDocument/2006/relationships/hyperlink" Target="https://twitter.com/MID_Tajikistan/lists" TargetMode="External"/><Relationship Id="rId861" Type="http://schemas.openxmlformats.org/officeDocument/2006/relationships/hyperlink" Target="https://twitter.com/Elysee/statuses/11476186343" TargetMode="External"/><Relationship Id="rId959" Type="http://schemas.openxmlformats.org/officeDocument/2006/relationships/hyperlink" Target="https://twitter.com/pmkosovo/statuses/132028809905049601" TargetMode="External"/><Relationship Id="rId1284" Type="http://schemas.openxmlformats.org/officeDocument/2006/relationships/hyperlink" Target="https://twitter.com/PHammondMP/lists" TargetMode="External"/><Relationship Id="rId1491" Type="http://schemas.openxmlformats.org/officeDocument/2006/relationships/hyperlink" Target="http://twiplomacy.com/info/north-america/United-States" TargetMode="External"/><Relationship Id="rId1505" Type="http://schemas.openxmlformats.org/officeDocument/2006/relationships/hyperlink" Target="http://twiplomacy.com/info/north-america/United-States" TargetMode="External"/><Relationship Id="rId1589" Type="http://schemas.openxmlformats.org/officeDocument/2006/relationships/hyperlink" Target="https://twitter.com/PrensaMichelle/statuses/319918989033758720" TargetMode="External"/><Relationship Id="rId1712" Type="http://schemas.openxmlformats.org/officeDocument/2006/relationships/hyperlink" Target="https://twitter.com/RepdemCongo/status/241491536997662720" TargetMode="External"/><Relationship Id="rId2335" Type="http://schemas.openxmlformats.org/officeDocument/2006/relationships/hyperlink" Target="https://twitter.com/HaiderAlAbadi" TargetMode="External"/><Relationship Id="rId2542" Type="http://schemas.openxmlformats.org/officeDocument/2006/relationships/hyperlink" Target="https://twitter.com/MinCanadaAE/lists" TargetMode="External"/><Relationship Id="rId293" Type="http://schemas.openxmlformats.org/officeDocument/2006/relationships/hyperlink" Target="http://twiplomacy.com/info/asia/Afghanistan" TargetMode="External"/><Relationship Id="rId307" Type="http://schemas.openxmlformats.org/officeDocument/2006/relationships/hyperlink" Target="https://twitter.com/AzerbaijanPA/statuses/56323639892656129" TargetMode="External"/><Relationship Id="rId514" Type="http://schemas.openxmlformats.org/officeDocument/2006/relationships/hyperlink" Target="http://twiplomacy.com/info/asia/Maldives" TargetMode="External"/><Relationship Id="rId721" Type="http://schemas.openxmlformats.org/officeDocument/2006/relationships/hyperlink" Target="http://twiplomacy.com/info/europe/Belgium" TargetMode="External"/><Relationship Id="rId1144" Type="http://schemas.openxmlformats.org/officeDocument/2006/relationships/hyperlink" Target="http://twiplomacy.com/info/europe/Serbia" TargetMode="External"/><Relationship Id="rId1351" Type="http://schemas.openxmlformats.org/officeDocument/2006/relationships/hyperlink" Target="https://twitter.com/luisguillermosr/statuses/273420990778859521" TargetMode="External"/><Relationship Id="rId1449" Type="http://schemas.openxmlformats.org/officeDocument/2006/relationships/hyperlink" Target="http://twiplomacy.com/info/north-america/Panama" TargetMode="External"/><Relationship Id="rId1796" Type="http://schemas.openxmlformats.org/officeDocument/2006/relationships/hyperlink" Target="https://twitter.com/merrionstreet" TargetMode="External"/><Relationship Id="rId2181" Type="http://schemas.openxmlformats.org/officeDocument/2006/relationships/hyperlink" Target="https://twitter.com/niinisto" TargetMode="External"/><Relationship Id="rId2402" Type="http://schemas.openxmlformats.org/officeDocument/2006/relationships/hyperlink" Target="https://twitter.com/republicoftogo" TargetMode="External"/><Relationship Id="rId88" Type="http://schemas.openxmlformats.org/officeDocument/2006/relationships/hyperlink" Target="http://twiplomacy.com/info/africa/Guinea" TargetMode="External"/><Relationship Id="rId153" Type="http://schemas.openxmlformats.org/officeDocument/2006/relationships/hyperlink" Target="https://twitter.com/FilipeNyusi/lists" TargetMode="External"/><Relationship Id="rId360" Type="http://schemas.openxmlformats.org/officeDocument/2006/relationships/hyperlink" Target="https://twitter.com/SushmaSwaraj/statuses/7753830003380224" TargetMode="External"/><Relationship Id="rId598" Type="http://schemas.openxmlformats.org/officeDocument/2006/relationships/hyperlink" Target="http://twiplomacy.com/info/asia/Saudi-Arabia" TargetMode="External"/><Relationship Id="rId819" Type="http://schemas.openxmlformats.org/officeDocument/2006/relationships/hyperlink" Target="https://twitter.com/EU_Commission/lists/ec-representations" TargetMode="External"/><Relationship Id="rId1004" Type="http://schemas.openxmlformats.org/officeDocument/2006/relationships/hyperlink" Target="http://twiplomacy.com/info/europe/Lithuania" TargetMode="External"/><Relationship Id="rId1211" Type="http://schemas.openxmlformats.org/officeDocument/2006/relationships/hyperlink" Target="https://twitter.com/tcbestepe/statuses/52630947484549122" TargetMode="External"/><Relationship Id="rId1656" Type="http://schemas.openxmlformats.org/officeDocument/2006/relationships/hyperlink" Target="https://twitter.com/MinExterioresUY/status/642391249845141504" TargetMode="External"/><Relationship Id="rId1863" Type="http://schemas.openxmlformats.org/officeDocument/2006/relationships/hyperlink" Target="https://twitter.com/CabinetSL" TargetMode="External"/><Relationship Id="rId2041" Type="http://schemas.openxmlformats.org/officeDocument/2006/relationships/hyperlink" Target="https://twitter.com/Kabmin_UA" TargetMode="External"/><Relationship Id="rId2279" Type="http://schemas.openxmlformats.org/officeDocument/2006/relationships/hyperlink" Target="https://twitter.com/PMNawazSharif" TargetMode="External"/><Relationship Id="rId2486" Type="http://schemas.openxmlformats.org/officeDocument/2006/relationships/hyperlink" Target="https://twitter.com/DjibPrimature" TargetMode="External"/><Relationship Id="rId2693" Type="http://schemas.openxmlformats.org/officeDocument/2006/relationships/hyperlink" Target="https://twitter.com/WhiteHouse/statuses/726594477746429956" TargetMode="External"/><Relationship Id="rId2707" Type="http://schemas.openxmlformats.org/officeDocument/2006/relationships/hyperlink" Target="https://twitter.com/AdelAljubeir/statuses/683772019167653889" TargetMode="External"/><Relationship Id="rId220" Type="http://schemas.openxmlformats.org/officeDocument/2006/relationships/hyperlink" Target="http://twiplomacy.com/info/africa/Somalia" TargetMode="External"/><Relationship Id="rId458" Type="http://schemas.openxmlformats.org/officeDocument/2006/relationships/hyperlink" Target="https://twitter.com/DrEnsour/statuses/37197612717187072" TargetMode="External"/><Relationship Id="rId665" Type="http://schemas.openxmlformats.org/officeDocument/2006/relationships/hyperlink" Target="http://twiplomacy.com/info/asia/Thailand" TargetMode="External"/><Relationship Id="rId872" Type="http://schemas.openxmlformats.org/officeDocument/2006/relationships/hyperlink" Target="https://twitter.com/francediplo/lists" TargetMode="External"/><Relationship Id="rId1088" Type="http://schemas.openxmlformats.org/officeDocument/2006/relationships/hyperlink" Target="https://twitter.com/PolandMFA/lists" TargetMode="External"/><Relationship Id="rId1295" Type="http://schemas.openxmlformats.org/officeDocument/2006/relationships/hyperlink" Target="https://twitter.com/TerzaLoggia/statuses/309278436764045312" TargetMode="External"/><Relationship Id="rId1309" Type="http://schemas.openxmlformats.org/officeDocument/2006/relationships/hyperlink" Target="https://twitter.com/Pontifex_de/statuses/313247632405454848" TargetMode="External"/><Relationship Id="rId1516" Type="http://schemas.openxmlformats.org/officeDocument/2006/relationships/hyperlink" Target="http://twiplomacy.com/info/north-america/United-States" TargetMode="External"/><Relationship Id="rId1723" Type="http://schemas.openxmlformats.org/officeDocument/2006/relationships/hyperlink" Target="https://twitter.com/gov_tunisie/lists" TargetMode="External"/><Relationship Id="rId1930" Type="http://schemas.openxmlformats.org/officeDocument/2006/relationships/hyperlink" Target="https://twitter.com/Itamaraty_ES" TargetMode="External"/><Relationship Id="rId2139" Type="http://schemas.openxmlformats.org/officeDocument/2006/relationships/hyperlink" Target="https://twitter.com/Grybauskaite_LT" TargetMode="External"/><Relationship Id="rId2346" Type="http://schemas.openxmlformats.org/officeDocument/2006/relationships/hyperlink" Target="https://twitter.com/Portal_Kemlu_RI" TargetMode="External"/><Relationship Id="rId2553" Type="http://schemas.openxmlformats.org/officeDocument/2006/relationships/hyperlink" Target="https://twitter.com/jeanmarcayrault/lists" TargetMode="External"/><Relationship Id="rId15" Type="http://schemas.openxmlformats.org/officeDocument/2006/relationships/hyperlink" Target="http://twiplomacy.com/info/africa/Burundi" TargetMode="External"/><Relationship Id="rId318" Type="http://schemas.openxmlformats.org/officeDocument/2006/relationships/hyperlink" Target="http://twiplomacy.com/info/asia/Bahrain" TargetMode="External"/><Relationship Id="rId525" Type="http://schemas.openxmlformats.org/officeDocument/2006/relationships/hyperlink" Target="https://twitter.com/SaikhanbilegPM/status/652055339487985664" TargetMode="External"/><Relationship Id="rId732" Type="http://schemas.openxmlformats.org/officeDocument/2006/relationships/hyperlink" Target="http://twiplomacy.com/info/europe/Bulgaria" TargetMode="External"/><Relationship Id="rId1155" Type="http://schemas.openxmlformats.org/officeDocument/2006/relationships/hyperlink" Target="http://twiplomacy.com/info/europe/Slovakia" TargetMode="External"/><Relationship Id="rId1362" Type="http://schemas.openxmlformats.org/officeDocument/2006/relationships/hyperlink" Target="https://twitter.com/CRcancilleria/lists" TargetMode="External"/><Relationship Id="rId2192" Type="http://schemas.openxmlformats.org/officeDocument/2006/relationships/hyperlink" Target="https://twitter.com/MarinaKaljurand" TargetMode="External"/><Relationship Id="rId2206" Type="http://schemas.openxmlformats.org/officeDocument/2006/relationships/hyperlink" Target="https://twitter.com/Ikasoulides" TargetMode="External"/><Relationship Id="rId2413" Type="http://schemas.openxmlformats.org/officeDocument/2006/relationships/hyperlink" Target="https://twitter.com/MinisterMOFA" TargetMode="External"/><Relationship Id="rId2620" Type="http://schemas.openxmlformats.org/officeDocument/2006/relationships/hyperlink" Target="https://twitter.com/PSimpsonMiller" TargetMode="External"/><Relationship Id="rId99" Type="http://schemas.openxmlformats.org/officeDocument/2006/relationships/hyperlink" Target="http://twiplomacy.com/info/africa/Ivory-Coast" TargetMode="External"/><Relationship Id="rId164" Type="http://schemas.openxmlformats.org/officeDocument/2006/relationships/hyperlink" Target="https://twitter.com/MBuhari/lists" TargetMode="External"/><Relationship Id="rId371" Type="http://schemas.openxmlformats.org/officeDocument/2006/relationships/hyperlink" Target="https://twitter.com/jokowi_do2/statuses/491641006614269953" TargetMode="External"/><Relationship Id="rId1015" Type="http://schemas.openxmlformats.org/officeDocument/2006/relationships/hyperlink" Target="https://twitter.com/presidentMT/status/460734546951303168" TargetMode="External"/><Relationship Id="rId1222" Type="http://schemas.openxmlformats.org/officeDocument/2006/relationships/hyperlink" Target="https://twitter.com/TC_Disisleri/statuses/9677250817" TargetMode="External"/><Relationship Id="rId1667" Type="http://schemas.openxmlformats.org/officeDocument/2006/relationships/hyperlink" Target="https://twitter.com/DrodriguezVen/status/363889432094457857" TargetMode="External"/><Relationship Id="rId1874" Type="http://schemas.openxmlformats.org/officeDocument/2006/relationships/hyperlink" Target="https://twitter.com/GeorgianGovernm" TargetMode="External"/><Relationship Id="rId2052" Type="http://schemas.openxmlformats.org/officeDocument/2006/relationships/hyperlink" Target="https://twitter.com/A_Davutoglu_eng" TargetMode="External"/><Relationship Id="rId2497" Type="http://schemas.openxmlformats.org/officeDocument/2006/relationships/hyperlink" Target="https://twitter.com/PR_Paul_Biya" TargetMode="External"/><Relationship Id="rId2718" Type="http://schemas.openxmlformats.org/officeDocument/2006/relationships/hyperlink" Target="https://twitter.com/marianorajoy/lists" TargetMode="External"/><Relationship Id="rId469" Type="http://schemas.openxmlformats.org/officeDocument/2006/relationships/hyperlink" Target="http://twiplomacy.com/info/asia/Kazakhstan" TargetMode="External"/><Relationship Id="rId676" Type="http://schemas.openxmlformats.org/officeDocument/2006/relationships/hyperlink" Target="https://twitter.com/HHShkMohd/statuses/513704298841006081" TargetMode="External"/><Relationship Id="rId883" Type="http://schemas.openxmlformats.org/officeDocument/2006/relationships/hyperlink" Target="https://twitter.com/francediplo_ES/embajadas-y-consulados/members" TargetMode="External"/><Relationship Id="rId1099" Type="http://schemas.openxmlformats.org/officeDocument/2006/relationships/hyperlink" Target="https://twitter.com/CiolosDacian/status/666398082528071680" TargetMode="External"/><Relationship Id="rId1527" Type="http://schemas.openxmlformats.org/officeDocument/2006/relationships/hyperlink" Target="https://twitter.com/JulieBishopMP/statuses/5758734447" TargetMode="External"/><Relationship Id="rId1734" Type="http://schemas.openxmlformats.org/officeDocument/2006/relationships/hyperlink" Target="https://twitter.com/kaz_pm_kz/statuses/123972074975924224" TargetMode="External"/><Relationship Id="rId1941" Type="http://schemas.openxmlformats.org/officeDocument/2006/relationships/hyperlink" Target="https://twitter.com/IakobaItaleli" TargetMode="External"/><Relationship Id="rId2357" Type="http://schemas.openxmlformats.org/officeDocument/2006/relationships/hyperlink" Target="https://twitter.com/GovernmentGeo" TargetMode="External"/><Relationship Id="rId2564" Type="http://schemas.openxmlformats.org/officeDocument/2006/relationships/hyperlink" Target="http://twiplomacy.com/info/asia/Nepal" TargetMode="External"/><Relationship Id="rId26" Type="http://schemas.openxmlformats.org/officeDocument/2006/relationships/hyperlink" Target="https://twitter.com/MKOfficiel/status/535823667964690432" TargetMode="External"/><Relationship Id="rId231" Type="http://schemas.openxmlformats.org/officeDocument/2006/relationships/hyperlink" Target="http://twiplomacy.com/info/africa/South-Africa" TargetMode="External"/><Relationship Id="rId329" Type="http://schemas.openxmlformats.org/officeDocument/2006/relationships/hyperlink" Target="https://twitter.com/BhutanGov/lists" TargetMode="External"/><Relationship Id="rId536" Type="http://schemas.openxmlformats.org/officeDocument/2006/relationships/hyperlink" Target="http://twiplomacy.com/info/asia/Mongolia" TargetMode="External"/><Relationship Id="rId1166" Type="http://schemas.openxmlformats.org/officeDocument/2006/relationships/hyperlink" Target="https://twitter.com/MiroCerar/lists" TargetMode="External"/><Relationship Id="rId1373" Type="http://schemas.openxmlformats.org/officeDocument/2006/relationships/hyperlink" Target="https://twitter.com/DaniloMedina/lists" TargetMode="External"/><Relationship Id="rId2217" Type="http://schemas.openxmlformats.org/officeDocument/2006/relationships/hyperlink" Target="https://twitter.com/rplevneliev" TargetMode="External"/><Relationship Id="rId175" Type="http://schemas.openxmlformats.org/officeDocument/2006/relationships/hyperlink" Target="https://twitter.com/UrugwiroVillage/statuses/35686196453580800" TargetMode="External"/><Relationship Id="rId743" Type="http://schemas.openxmlformats.org/officeDocument/2006/relationships/hyperlink" Target="https://twitter.com/kolindagk/status/536185002829295616" TargetMode="External"/><Relationship Id="rId950" Type="http://schemas.openxmlformats.org/officeDocument/2006/relationships/hyperlink" Target="https://twitter.com/Palazzo_Chigi/statuses/271569532924092416" TargetMode="External"/><Relationship Id="rId1026" Type="http://schemas.openxmlformats.org/officeDocument/2006/relationships/hyperlink" Target="http://twiplomacy.com/info/europe/Moldova" TargetMode="External"/><Relationship Id="rId1580" Type="http://schemas.openxmlformats.org/officeDocument/2006/relationships/hyperlink" Target="http://twiplomacy.com/info/south-america/Brazil" TargetMode="External"/><Relationship Id="rId1678" Type="http://schemas.openxmlformats.org/officeDocument/2006/relationships/hyperlink" Target="https://twitter.com/maduro_fr/statuses/373188005177356288" TargetMode="External"/><Relationship Id="rId1801" Type="http://schemas.openxmlformats.org/officeDocument/2006/relationships/hyperlink" Target="https://twitter.com/MedvedevRussia" TargetMode="External"/><Relationship Id="rId1885" Type="http://schemas.openxmlformats.org/officeDocument/2006/relationships/hyperlink" Target="https://twitter.com/RobertFico" TargetMode="External"/><Relationship Id="rId2424" Type="http://schemas.openxmlformats.org/officeDocument/2006/relationships/hyperlink" Target="https://twitter.com/PatriceTrovoada" TargetMode="External"/><Relationship Id="rId2631" Type="http://schemas.openxmlformats.org/officeDocument/2006/relationships/hyperlink" Target="http://twiplomacy.com/info/south-america/Peru" TargetMode="External"/><Relationship Id="rId2729" Type="http://schemas.openxmlformats.org/officeDocument/2006/relationships/hyperlink" Target="https://twitter.com/PrimeministerGR/lists" TargetMode="External"/><Relationship Id="rId382" Type="http://schemas.openxmlformats.org/officeDocument/2006/relationships/hyperlink" Target="https://twitter.com/MoFA_Indonesia/statuses/18330079613" TargetMode="External"/><Relationship Id="rId603" Type="http://schemas.openxmlformats.org/officeDocument/2006/relationships/hyperlink" Target="https://twitter.com/govsingapore/statuses/2812220339" TargetMode="External"/><Relationship Id="rId687" Type="http://schemas.openxmlformats.org/officeDocument/2006/relationships/hyperlink" Target="http://twiplomacy.com/info/asia/Uzbekistan" TargetMode="External"/><Relationship Id="rId810" Type="http://schemas.openxmlformats.org/officeDocument/2006/relationships/hyperlink" Target="https://twitter.com/EUCouncil/status/275984563346485248" TargetMode="External"/><Relationship Id="rId908" Type="http://schemas.openxmlformats.org/officeDocument/2006/relationships/hyperlink" Target="https://twitter.com/govgr/statuses/28781425219" TargetMode="External"/><Relationship Id="rId1233" Type="http://schemas.openxmlformats.org/officeDocument/2006/relationships/hyperlink" Target="http://twiplomacy.com/info/europe/Turkey" TargetMode="External"/><Relationship Id="rId1440" Type="http://schemas.openxmlformats.org/officeDocument/2006/relationships/hyperlink" Target="http://twiplomacy.com/info/north-america/Panama" TargetMode="External"/><Relationship Id="rId1538" Type="http://schemas.openxmlformats.org/officeDocument/2006/relationships/hyperlink" Target="https://twitter.com/MFAFiji/status/560908480920317952" TargetMode="External"/><Relationship Id="rId2063" Type="http://schemas.openxmlformats.org/officeDocument/2006/relationships/hyperlink" Target="https://twitter.com/BR_Sprecher" TargetMode="External"/><Relationship Id="rId2270" Type="http://schemas.openxmlformats.org/officeDocument/2006/relationships/hyperlink" Target="https://twitter.com/dfaspokesperson" TargetMode="External"/><Relationship Id="rId2368" Type="http://schemas.openxmlformats.org/officeDocument/2006/relationships/hyperlink" Target="https://twitter.com/bahdiplomatic" TargetMode="External"/><Relationship Id="rId242" Type="http://schemas.openxmlformats.org/officeDocument/2006/relationships/hyperlink" Target="http://twiplomacy.com/info/africa/Togo" TargetMode="External"/><Relationship Id="rId894" Type="http://schemas.openxmlformats.org/officeDocument/2006/relationships/hyperlink" Target="https://twitter.com/AuswaertigesAmt/lists" TargetMode="External"/><Relationship Id="rId1177" Type="http://schemas.openxmlformats.org/officeDocument/2006/relationships/hyperlink" Target="https://twitter.com/CasaReal/lists" TargetMode="External"/><Relationship Id="rId1300" Type="http://schemas.openxmlformats.org/officeDocument/2006/relationships/hyperlink" Target="http://twiplomacy.com/info/europe/Vatican" TargetMode="External"/><Relationship Id="rId1745" Type="http://schemas.openxmlformats.org/officeDocument/2006/relationships/hyperlink" Target="http://twiplomacy.com/info/africa/Seychelles" TargetMode="External"/><Relationship Id="rId1952" Type="http://schemas.openxmlformats.org/officeDocument/2006/relationships/hyperlink" Target="https://twitter.com/dfat" TargetMode="External"/><Relationship Id="rId2130" Type="http://schemas.openxmlformats.org/officeDocument/2006/relationships/hyperlink" Target="https://twitter.com/presidentMT" TargetMode="External"/><Relationship Id="rId2575" Type="http://schemas.openxmlformats.org/officeDocument/2006/relationships/hyperlink" Target="http://twiplomacy.com/info/africa/Benin" TargetMode="External"/><Relationship Id="rId37" Type="http://schemas.openxmlformats.org/officeDocument/2006/relationships/hyperlink" Target="http://twiplomacy.com/info/africa/Congo" TargetMode="External"/><Relationship Id="rId102" Type="http://schemas.openxmlformats.org/officeDocument/2006/relationships/hyperlink" Target="https://twitter.com/Daniel_k_Duncan/statuses/271915708655472640" TargetMode="External"/><Relationship Id="rId547" Type="http://schemas.openxmlformats.org/officeDocument/2006/relationships/hyperlink" Target="https://twitter.com/KTnepal/status/304914985086251008" TargetMode="External"/><Relationship Id="rId754" Type="http://schemas.openxmlformats.org/officeDocument/2006/relationships/hyperlink" Target="http://twiplomacy.com/info/europe/Cyprus" TargetMode="External"/><Relationship Id="rId961" Type="http://schemas.openxmlformats.org/officeDocument/2006/relationships/hyperlink" Target="https://twitter.com/MFAKOSOVO/statuses/98775178368139264" TargetMode="External"/><Relationship Id="rId1384" Type="http://schemas.openxmlformats.org/officeDocument/2006/relationships/hyperlink" Target="https://twitter.com/sanchezceren/statuses/18615678565" TargetMode="External"/><Relationship Id="rId1591" Type="http://schemas.openxmlformats.org/officeDocument/2006/relationships/hyperlink" Target="https://twitter.com/GobiernodeChile/statuses/1898561246" TargetMode="External"/><Relationship Id="rId1605" Type="http://schemas.openxmlformats.org/officeDocument/2006/relationships/hyperlink" Target="https://twitter.com/infopresidencia/statuses/86940809328459776" TargetMode="External"/><Relationship Id="rId1689" Type="http://schemas.openxmlformats.org/officeDocument/2006/relationships/hyperlink" Target="http://twiplomacy.com/info/south-america/Venezuela" TargetMode="External"/><Relationship Id="rId1812" Type="http://schemas.openxmlformats.org/officeDocument/2006/relationships/hyperlink" Target="https://twitter.com/WhiteHouse" TargetMode="External"/><Relationship Id="rId2228" Type="http://schemas.openxmlformats.org/officeDocument/2006/relationships/hyperlink" Target="https://twitter.com/AlbanianMFA" TargetMode="External"/><Relationship Id="rId2435" Type="http://schemas.openxmlformats.org/officeDocument/2006/relationships/hyperlink" Target="https://twitter.com/Mbuhari" TargetMode="External"/><Relationship Id="rId2642" Type="http://schemas.openxmlformats.org/officeDocument/2006/relationships/hyperlink" Target="https://twitter.com/IsraelRussian" TargetMode="External"/><Relationship Id="rId90" Type="http://schemas.openxmlformats.org/officeDocument/2006/relationships/hyperlink" Target="https://twitter.com/Presidence_gn/lists" TargetMode="External"/><Relationship Id="rId186" Type="http://schemas.openxmlformats.org/officeDocument/2006/relationships/hyperlink" Target="http://twiplomacy.com/info/africa/Rwanda" TargetMode="External"/><Relationship Id="rId393" Type="http://schemas.openxmlformats.org/officeDocument/2006/relationships/hyperlink" Target="https://twitter.com/JZarif/statuses/375326214132494336" TargetMode="External"/><Relationship Id="rId407" Type="http://schemas.openxmlformats.org/officeDocument/2006/relationships/hyperlink" Target="http://twiplomacy.com/info/asia/Iraq" TargetMode="External"/><Relationship Id="rId614" Type="http://schemas.openxmlformats.org/officeDocument/2006/relationships/hyperlink" Target="http://twiplomacy.com/info/asia/South-Korea" TargetMode="External"/><Relationship Id="rId821" Type="http://schemas.openxmlformats.org/officeDocument/2006/relationships/hyperlink" Target="https://twitter.com/FedericaMog/statuses/156837127638876160" TargetMode="External"/><Relationship Id="rId1037" Type="http://schemas.openxmlformats.org/officeDocument/2006/relationships/hyperlink" Target="http://twiplomacy.com/info/europe/Montenegro" TargetMode="External"/><Relationship Id="rId1244" Type="http://schemas.openxmlformats.org/officeDocument/2006/relationships/hyperlink" Target="http://twiplomacy.com/info/europe/Turkey" TargetMode="External"/><Relationship Id="rId1451" Type="http://schemas.openxmlformats.org/officeDocument/2006/relationships/hyperlink" Target="http://twiplomacy.com/info/south-america/Puerto_Rico" TargetMode="External"/><Relationship Id="rId1896" Type="http://schemas.openxmlformats.org/officeDocument/2006/relationships/hyperlink" Target="https://twitter.com/maduro_pl" TargetMode="External"/><Relationship Id="rId2074" Type="http://schemas.openxmlformats.org/officeDocument/2006/relationships/hyperlink" Target="https://twitter.com/MZZRS" TargetMode="External"/><Relationship Id="rId2281" Type="http://schemas.openxmlformats.org/officeDocument/2006/relationships/hyperlink" Target="https://twitter.com/MofaOman" TargetMode="External"/><Relationship Id="rId2502" Type="http://schemas.openxmlformats.org/officeDocument/2006/relationships/hyperlink" Target="https://twitter.com/isaacyzida" TargetMode="External"/><Relationship Id="rId253" Type="http://schemas.openxmlformats.org/officeDocument/2006/relationships/hyperlink" Target="https://twitter.com/togodiplomatie/lists" TargetMode="External"/><Relationship Id="rId460" Type="http://schemas.openxmlformats.org/officeDocument/2006/relationships/hyperlink" Target="https://twitter.com/PrimeMinistry/statuses/23125348000" TargetMode="External"/><Relationship Id="rId698" Type="http://schemas.openxmlformats.org/officeDocument/2006/relationships/hyperlink" Target="https://twitter.com/ediramaal/statuses/113009866662100992" TargetMode="External"/><Relationship Id="rId919" Type="http://schemas.openxmlformats.org/officeDocument/2006/relationships/hyperlink" Target="https://twitter.com/forsaetisradun/statuses/6575224829" TargetMode="External"/><Relationship Id="rId1090" Type="http://schemas.openxmlformats.org/officeDocument/2006/relationships/hyperlink" Target="http://twiplomacy.com/info/europe/Portugal" TargetMode="External"/><Relationship Id="rId1104" Type="http://schemas.openxmlformats.org/officeDocument/2006/relationships/hyperlink" Target="https://twitter.com/MAERomania/statuses/5333677263" TargetMode="External"/><Relationship Id="rId1311" Type="http://schemas.openxmlformats.org/officeDocument/2006/relationships/hyperlink" Target="https://twitter.com/Pontifex_ar/statuses/313247631050682368" TargetMode="External"/><Relationship Id="rId1549" Type="http://schemas.openxmlformats.org/officeDocument/2006/relationships/hyperlink" Target="https://twitter.com/TommyRemengesau/status/436374163947679744" TargetMode="External"/><Relationship Id="rId1756" Type="http://schemas.openxmlformats.org/officeDocument/2006/relationships/hyperlink" Target="http://twiplomacy.com/info/europe/Netherlands" TargetMode="External"/><Relationship Id="rId1963" Type="http://schemas.openxmlformats.org/officeDocument/2006/relationships/hyperlink" Target="https://twitter.com/StateDeptLive" TargetMode="External"/><Relationship Id="rId2141" Type="http://schemas.openxmlformats.org/officeDocument/2006/relationships/hyperlink" Target="https://twitter.com/regierung_fl" TargetMode="External"/><Relationship Id="rId2379" Type="http://schemas.openxmlformats.org/officeDocument/2006/relationships/hyperlink" Target="https://twitter.com/MFA_Afghanistan" TargetMode="External"/><Relationship Id="rId2586" Type="http://schemas.openxmlformats.org/officeDocument/2006/relationships/hyperlink" Target="https://twitter.com/PresidenceTg/lists" TargetMode="External"/><Relationship Id="rId48" Type="http://schemas.openxmlformats.org/officeDocument/2006/relationships/hyperlink" Target="https://twitter.com/DjibPrimature/lists" TargetMode="External"/><Relationship Id="rId113" Type="http://schemas.openxmlformats.org/officeDocument/2006/relationships/hyperlink" Target="https://twitter.com/ForeignOfficeKE/statuses/337235030994731008" TargetMode="External"/><Relationship Id="rId320" Type="http://schemas.openxmlformats.org/officeDocument/2006/relationships/hyperlink" Target="https://twitter.com/bahdiplomatic/lists" TargetMode="External"/><Relationship Id="rId558" Type="http://schemas.openxmlformats.org/officeDocument/2006/relationships/hyperlink" Target="http://twiplomacy.com/info/asia/Pakistan" TargetMode="External"/><Relationship Id="rId765" Type="http://schemas.openxmlformats.org/officeDocument/2006/relationships/hyperlink" Target="https://twitter.com/MZemanOficialni/statuses/360329736561496064" TargetMode="External"/><Relationship Id="rId972" Type="http://schemas.openxmlformats.org/officeDocument/2006/relationships/hyperlink" Target="https://twitter.com/Brivibas36/lists" TargetMode="External"/><Relationship Id="rId1188" Type="http://schemas.openxmlformats.org/officeDocument/2006/relationships/hyperlink" Target="http://twiplomacy.com/info/europe/Spain" TargetMode="External"/><Relationship Id="rId1395" Type="http://schemas.openxmlformats.org/officeDocument/2006/relationships/hyperlink" Target="https://twitter.com/govgd/statuses/3352514928" TargetMode="External"/><Relationship Id="rId1409" Type="http://schemas.openxmlformats.org/officeDocument/2006/relationships/hyperlink" Target="https://twitter.com/JuanOrlandoH/statuses/307692030031720448" TargetMode="External"/><Relationship Id="rId1616" Type="http://schemas.openxmlformats.org/officeDocument/2006/relationships/hyperlink" Target="https://twitter.com/CancilleriaEc/embajadas-de-ecuador/members" TargetMode="External"/><Relationship Id="rId1823" Type="http://schemas.openxmlformats.org/officeDocument/2006/relationships/hyperlink" Target="https://twitter.com/KvirikashviliGi/status/689534716442189824" TargetMode="External"/><Relationship Id="rId2001" Type="http://schemas.openxmlformats.org/officeDocument/2006/relationships/hyperlink" Target="https://twitter.com/presidencia_sv" TargetMode="External"/><Relationship Id="rId2239" Type="http://schemas.openxmlformats.org/officeDocument/2006/relationships/hyperlink" Target="https://twitter.com/HHShkMohd" TargetMode="External"/><Relationship Id="rId2446" Type="http://schemas.openxmlformats.org/officeDocument/2006/relationships/hyperlink" Target="https://twitter.com/AbdoulayeDiop8" TargetMode="External"/><Relationship Id="rId2653" Type="http://schemas.openxmlformats.org/officeDocument/2006/relationships/hyperlink" Target="https://twitter.com/IsraelRussian/lists" TargetMode="External"/><Relationship Id="rId197" Type="http://schemas.openxmlformats.org/officeDocument/2006/relationships/hyperlink" Target="https://twitter.com/StateHouseSey/statuses/286786481660510208" TargetMode="External"/><Relationship Id="rId418" Type="http://schemas.openxmlformats.org/officeDocument/2006/relationships/hyperlink" Target="http://twiplomacy.com/info/asia/Israel" TargetMode="External"/><Relationship Id="rId625" Type="http://schemas.openxmlformats.org/officeDocument/2006/relationships/hyperlink" Target="https://twitter.com/mofa_kr/lists/%EC%9E%AC%EC%99%B8%EA%B3%B5%EA%B4%80/members" TargetMode="External"/><Relationship Id="rId832" Type="http://schemas.openxmlformats.org/officeDocument/2006/relationships/hyperlink" Target="https://twitter.com/EUCouncilPress/status/28872668929" TargetMode="External"/><Relationship Id="rId1048" Type="http://schemas.openxmlformats.org/officeDocument/2006/relationships/hyperlink" Target="http://twiplomacy.com/info/europe/Netherlands" TargetMode="External"/><Relationship Id="rId1255" Type="http://schemas.openxmlformats.org/officeDocument/2006/relationships/hyperlink" Target="http://twiplomacy.com/info/europe/Ukraine" TargetMode="External"/><Relationship Id="rId1462" Type="http://schemas.openxmlformats.org/officeDocument/2006/relationships/hyperlink" Target="https://twitter.com/skngov/statuses/441722575090368512" TargetMode="External"/><Relationship Id="rId2085" Type="http://schemas.openxmlformats.org/officeDocument/2006/relationships/hyperlink" Target="https://twitter.com/SerbianGov" TargetMode="External"/><Relationship Id="rId2292" Type="http://schemas.openxmlformats.org/officeDocument/2006/relationships/hyperlink" Target="https://twitter.com/elbegdorj" TargetMode="External"/><Relationship Id="rId2306" Type="http://schemas.openxmlformats.org/officeDocument/2006/relationships/hyperlink" Target="https://twitter.com/MOFAKuwait" TargetMode="External"/><Relationship Id="rId2513" Type="http://schemas.openxmlformats.org/officeDocument/2006/relationships/hyperlink" Target="https://twitter.com/KBZayed/lists" TargetMode="External"/><Relationship Id="rId264" Type="http://schemas.openxmlformats.org/officeDocument/2006/relationships/hyperlink" Target="https://twitter.com/PMTunisie/lists" TargetMode="External"/><Relationship Id="rId471" Type="http://schemas.openxmlformats.org/officeDocument/2006/relationships/hyperlink" Target="http://twiplomacy.com/info/asia/Kazakhstan" TargetMode="External"/><Relationship Id="rId1115" Type="http://schemas.openxmlformats.org/officeDocument/2006/relationships/hyperlink" Target="https://twitter.com/MID_RF/statuses/85937470172180481" TargetMode="External"/><Relationship Id="rId1322" Type="http://schemas.openxmlformats.org/officeDocument/2006/relationships/hyperlink" Target="https://twitter.com/gisbarbados/status/467310499986546688" TargetMode="External"/><Relationship Id="rId1767" Type="http://schemas.openxmlformats.org/officeDocument/2006/relationships/hyperlink" Target="http://twiplomacy.com/info/north-america/Honduras" TargetMode="External"/><Relationship Id="rId1974" Type="http://schemas.openxmlformats.org/officeDocument/2006/relationships/hyperlink" Target="https://twitter.com/ComradeRalph" TargetMode="External"/><Relationship Id="rId2152" Type="http://schemas.openxmlformats.org/officeDocument/2006/relationships/hyperlink" Target="https://twitter.com/PaoloGentiloni" TargetMode="External"/><Relationship Id="rId2597" Type="http://schemas.openxmlformats.org/officeDocument/2006/relationships/hyperlink" Target="http://twiplomacy.com/info/africa/Guinea" TargetMode="External"/><Relationship Id="rId2720" Type="http://schemas.openxmlformats.org/officeDocument/2006/relationships/hyperlink" Target="https://twitter.com/BelarusMFA/lists" TargetMode="External"/><Relationship Id="rId59" Type="http://schemas.openxmlformats.org/officeDocument/2006/relationships/hyperlink" Target="http://twiplomacy.com/info/africa/Egypt" TargetMode="External"/><Relationship Id="rId124" Type="http://schemas.openxmlformats.org/officeDocument/2006/relationships/hyperlink" Target="https://twitter.com/LibyaInterimGov/statuses/318625575277301762" TargetMode="External"/><Relationship Id="rId569" Type="http://schemas.openxmlformats.org/officeDocument/2006/relationships/hyperlink" Target="https://twitter.com/PM_GOV_PG/lists" TargetMode="External"/><Relationship Id="rId776" Type="http://schemas.openxmlformats.org/officeDocument/2006/relationships/hyperlink" Target="http://twiplomacy.com/info/europe/Czech-Republic" TargetMode="External"/><Relationship Id="rId983" Type="http://schemas.openxmlformats.org/officeDocument/2006/relationships/hyperlink" Target="http://twiplomacy.com/info/europe/Liechtenstein" TargetMode="External"/><Relationship Id="rId1199" Type="http://schemas.openxmlformats.org/officeDocument/2006/relationships/hyperlink" Target="https://twitter.com/Utrikesdep/statuses/16693703877" TargetMode="External"/><Relationship Id="rId1627" Type="http://schemas.openxmlformats.org/officeDocument/2006/relationships/hyperlink" Target="https://twitter.com/opmguyana/status/609376666436141056" TargetMode="External"/><Relationship Id="rId1834" Type="http://schemas.openxmlformats.org/officeDocument/2006/relationships/hyperlink" Target="https://twitter.com/CiolosDacian" TargetMode="External"/><Relationship Id="rId2457" Type="http://schemas.openxmlformats.org/officeDocument/2006/relationships/hyperlink" Target="https://twitter.com/ForeignOfficeKE" TargetMode="External"/><Relationship Id="rId2664" Type="http://schemas.openxmlformats.org/officeDocument/2006/relationships/hyperlink" Target="https://twitter.com/ugolini_massimo" TargetMode="External"/><Relationship Id="rId331" Type="http://schemas.openxmlformats.org/officeDocument/2006/relationships/hyperlink" Target="http://twiplomacy.com/info/asia/Brunei" TargetMode="External"/><Relationship Id="rId429" Type="http://schemas.openxmlformats.org/officeDocument/2006/relationships/hyperlink" Target="https://twitter.com/IsraeliPM_heb/statuses/283157244701466624" TargetMode="External"/><Relationship Id="rId636" Type="http://schemas.openxmlformats.org/officeDocument/2006/relationships/hyperlink" Target="https://twitter.com/RW_UNP/status/538708316759683072" TargetMode="External"/><Relationship Id="rId1059" Type="http://schemas.openxmlformats.org/officeDocument/2006/relationships/hyperlink" Target="https://twitter.com/Kronprinsparet/statuses/1448102480" TargetMode="External"/><Relationship Id="rId1266" Type="http://schemas.openxmlformats.org/officeDocument/2006/relationships/hyperlink" Target="https://twitter.com/MFA_Ukraine/lists" TargetMode="External"/><Relationship Id="rId1473" Type="http://schemas.openxmlformats.org/officeDocument/2006/relationships/hyperlink" Target="https://twitter.com/otptt/lists" TargetMode="External"/><Relationship Id="rId2012" Type="http://schemas.openxmlformats.org/officeDocument/2006/relationships/hyperlink" Target="https://twitter.com/Gobierno_CR" TargetMode="External"/><Relationship Id="rId2096" Type="http://schemas.openxmlformats.org/officeDocument/2006/relationships/hyperlink" Target="https://twitter.com/KremlinRussia" TargetMode="External"/><Relationship Id="rId2317" Type="http://schemas.openxmlformats.org/officeDocument/2006/relationships/hyperlink" Target="https://twitter.com/DrEnsour" TargetMode="External"/><Relationship Id="rId843" Type="http://schemas.openxmlformats.org/officeDocument/2006/relationships/hyperlink" Target="http://twiplomacy.com/info/europe/Finland" TargetMode="External"/><Relationship Id="rId1126" Type="http://schemas.openxmlformats.org/officeDocument/2006/relationships/hyperlink" Target="http://twiplomacy.com/info/europe/Russia" TargetMode="External"/><Relationship Id="rId1680" Type="http://schemas.openxmlformats.org/officeDocument/2006/relationships/hyperlink" Target="http://twiplomacy.com/info/south-america/Venezuela" TargetMode="External"/><Relationship Id="rId1778" Type="http://schemas.openxmlformats.org/officeDocument/2006/relationships/hyperlink" Target="https://twitter.com/IsraeliPM" TargetMode="External"/><Relationship Id="rId1901" Type="http://schemas.openxmlformats.org/officeDocument/2006/relationships/hyperlink" Target="https://twitter.com/maduro_cmn" TargetMode="External"/><Relationship Id="rId1985" Type="http://schemas.openxmlformats.org/officeDocument/2006/relationships/hyperlink" Target="https://twitter.com/SRE_mx" TargetMode="External"/><Relationship Id="rId2524" Type="http://schemas.openxmlformats.org/officeDocument/2006/relationships/hyperlink" Target="https://twitter.com/AuswaertigesAmt/statuses/65336564254904320" TargetMode="External"/><Relationship Id="rId2731" Type="http://schemas.openxmlformats.org/officeDocument/2006/relationships/hyperlink" Target="https://twitter.com/RwandaMFA/lists/rwanda-embassies-abroad/members" TargetMode="External"/><Relationship Id="rId275" Type="http://schemas.openxmlformats.org/officeDocument/2006/relationships/hyperlink" Target="http://twiplomacy.com/info/africa/Uganda" TargetMode="External"/><Relationship Id="rId482" Type="http://schemas.openxmlformats.org/officeDocument/2006/relationships/hyperlink" Target="http://twiplomacy.com/info/asia/Kuwait" TargetMode="External"/><Relationship Id="rId703" Type="http://schemas.openxmlformats.org/officeDocument/2006/relationships/hyperlink" Target="http://twiplomacy.com/info/europe/Andorra" TargetMode="External"/><Relationship Id="rId910" Type="http://schemas.openxmlformats.org/officeDocument/2006/relationships/hyperlink" Target="https://twitter.com/NikosKotzias/status/131862885944147968" TargetMode="External"/><Relationship Id="rId1333" Type="http://schemas.openxmlformats.org/officeDocument/2006/relationships/hyperlink" Target="https://twitter.com/CanadianPM/status/662031271594500096" TargetMode="External"/><Relationship Id="rId1540" Type="http://schemas.openxmlformats.org/officeDocument/2006/relationships/hyperlink" Target="http://twiplomacy.com/info/oceania/Nauru" TargetMode="External"/><Relationship Id="rId1638" Type="http://schemas.openxmlformats.org/officeDocument/2006/relationships/hyperlink" Target="http://twiplomacy.com/info/south-america/Peru" TargetMode="External"/><Relationship Id="rId2163" Type="http://schemas.openxmlformats.org/officeDocument/2006/relationships/hyperlink" Target="https://twitter.com/Viktor_Orban" TargetMode="External"/><Relationship Id="rId2370" Type="http://schemas.openxmlformats.org/officeDocument/2006/relationships/hyperlink" Target="https://twitter.com/BahrainCPnews" TargetMode="External"/><Relationship Id="rId135" Type="http://schemas.openxmlformats.org/officeDocument/2006/relationships/hyperlink" Target="https://twitter.com/IBK_2013/statuses/128791677958758400" TargetMode="External"/><Relationship Id="rId342" Type="http://schemas.openxmlformats.org/officeDocument/2006/relationships/hyperlink" Target="http://twiplomacy.com/info/asia/Georgia" TargetMode="External"/><Relationship Id="rId787" Type="http://schemas.openxmlformats.org/officeDocument/2006/relationships/hyperlink" Target="https://twitter.com/IlvesToomas/lists" TargetMode="External"/><Relationship Id="rId994" Type="http://schemas.openxmlformats.org/officeDocument/2006/relationships/hyperlink" Target="http://twiplomacy.com/info/europe/Lithuania" TargetMode="External"/><Relationship Id="rId1400" Type="http://schemas.openxmlformats.org/officeDocument/2006/relationships/hyperlink" Target="https://twitter.com/GuatemalaGob/statuses/170573195089428480" TargetMode="External"/><Relationship Id="rId1845" Type="http://schemas.openxmlformats.org/officeDocument/2006/relationships/hyperlink" Target="https://twitter.com/MOFAKuwait_en" TargetMode="External"/><Relationship Id="rId2023" Type="http://schemas.openxmlformats.org/officeDocument/2006/relationships/hyperlink" Target="https://twitter.com/gastonbrowne" TargetMode="External"/><Relationship Id="rId2230" Type="http://schemas.openxmlformats.org/officeDocument/2006/relationships/hyperlink" Target="https://twitter.com/ediramaal" TargetMode="External"/><Relationship Id="rId2468" Type="http://schemas.openxmlformats.org/officeDocument/2006/relationships/hyperlink" Target="https://twitter.com/Presidence_gn" TargetMode="External"/><Relationship Id="rId2675" Type="http://schemas.openxmlformats.org/officeDocument/2006/relationships/hyperlink" Target="http://twiplomacy.com/info/south-america/Brazil" TargetMode="External"/><Relationship Id="rId202" Type="http://schemas.openxmlformats.org/officeDocument/2006/relationships/hyperlink" Target="http://twiplomacy.com/info/africa/Sierra-Leone" TargetMode="External"/><Relationship Id="rId647" Type="http://schemas.openxmlformats.org/officeDocument/2006/relationships/hyperlink" Target="https://twitter.com/LankaMFA/status/568662247318233088" TargetMode="External"/><Relationship Id="rId854" Type="http://schemas.openxmlformats.org/officeDocument/2006/relationships/hyperlink" Target="http://twiplomacy.com/info/europe/Finland" TargetMode="External"/><Relationship Id="rId1277" Type="http://schemas.openxmlformats.org/officeDocument/2006/relationships/hyperlink" Target="https://twitter.com/number10gov/statuses/777422677" TargetMode="External"/><Relationship Id="rId1484" Type="http://schemas.openxmlformats.org/officeDocument/2006/relationships/hyperlink" Target="https://twitter.com/POTUS/lists" TargetMode="External"/><Relationship Id="rId1691" Type="http://schemas.openxmlformats.org/officeDocument/2006/relationships/hyperlink" Target="http://twiplomacy.com/info/south-america/Venezuela" TargetMode="External"/><Relationship Id="rId1705" Type="http://schemas.openxmlformats.org/officeDocument/2006/relationships/hyperlink" Target="https://twitter.com/MichelKafando/lists" TargetMode="External"/><Relationship Id="rId1912" Type="http://schemas.openxmlformats.org/officeDocument/2006/relationships/hyperlink" Target="https://twitter.com/CancilleriaPeru" TargetMode="External"/><Relationship Id="rId2328" Type="http://schemas.openxmlformats.org/officeDocument/2006/relationships/hyperlink" Target="https://twitter.com/Israelipm_ar" TargetMode="External"/><Relationship Id="rId2535" Type="http://schemas.openxmlformats.org/officeDocument/2006/relationships/hyperlink" Target="https://twitter.com/AndrzejDuda/lists" TargetMode="External"/><Relationship Id="rId2742" Type="http://schemas.openxmlformats.org/officeDocument/2006/relationships/hyperlink" Target="https://twitter.com/joseserra_/status/1840093668" TargetMode="External"/><Relationship Id="rId286" Type="http://schemas.openxmlformats.org/officeDocument/2006/relationships/hyperlink" Target="https://twitter.com/ARG_AFG/statuses/136702644554178560" TargetMode="External"/><Relationship Id="rId493" Type="http://schemas.openxmlformats.org/officeDocument/2006/relationships/hyperlink" Target="https://twitter.com/pressslujba/statuses/231332270189981696" TargetMode="External"/><Relationship Id="rId507" Type="http://schemas.openxmlformats.org/officeDocument/2006/relationships/hyperlink" Target="https://twitter.com/PMOMalaysia/statuses/25860548627" TargetMode="External"/><Relationship Id="rId714" Type="http://schemas.openxmlformats.org/officeDocument/2006/relationships/hyperlink" Target="http://twiplomacy.com/info/europe/Belarus" TargetMode="External"/><Relationship Id="rId921" Type="http://schemas.openxmlformats.org/officeDocument/2006/relationships/hyperlink" Target="https://twitter.com/MFAIceland/statuses/314032324419387394" TargetMode="External"/><Relationship Id="rId1137" Type="http://schemas.openxmlformats.org/officeDocument/2006/relationships/hyperlink" Target="http://twiplomacy.com/info/europe/Serbia" TargetMode="External"/><Relationship Id="rId1344" Type="http://schemas.openxmlformats.org/officeDocument/2006/relationships/hyperlink" Target="https://twitter.com/CanadaFP/lists" TargetMode="External"/><Relationship Id="rId1551" Type="http://schemas.openxmlformats.org/officeDocument/2006/relationships/hyperlink" Target="https://twitter.com/MPMCTweeter/statuses/314565230745247745" TargetMode="External"/><Relationship Id="rId1789" Type="http://schemas.openxmlformats.org/officeDocument/2006/relationships/hyperlink" Target="https://twitter.com/manuelvalls" TargetMode="External"/><Relationship Id="rId1996" Type="http://schemas.openxmlformats.org/officeDocument/2006/relationships/hyperlink" Target="https://twitter.com/MinexGt" TargetMode="External"/><Relationship Id="rId2174" Type="http://schemas.openxmlformats.org/officeDocument/2006/relationships/hyperlink" Target="https://twitter.com/francediplo_EN" TargetMode="External"/><Relationship Id="rId2381" Type="http://schemas.openxmlformats.org/officeDocument/2006/relationships/hyperlink" Target="https://twitter.com/OAAInformation" TargetMode="External"/><Relationship Id="rId2602" Type="http://schemas.openxmlformats.org/officeDocument/2006/relationships/hyperlink" Target="http://twiplomacy.com/info/europe/France" TargetMode="External"/><Relationship Id="rId50" Type="http://schemas.openxmlformats.org/officeDocument/2006/relationships/hyperlink" Target="https://twitter.com/AlsisiOfficial/statuses/462355912137908225" TargetMode="External"/><Relationship Id="rId146" Type="http://schemas.openxmlformats.org/officeDocument/2006/relationships/hyperlink" Target="https://twitter.com/ChefGov_ma/statuses/236675438926237697" TargetMode="External"/><Relationship Id="rId353" Type="http://schemas.openxmlformats.org/officeDocument/2006/relationships/hyperlink" Target="https://twitter.com/RashtrapatiBhvn/lists" TargetMode="External"/><Relationship Id="rId560" Type="http://schemas.openxmlformats.org/officeDocument/2006/relationships/hyperlink" Target="http://twiplomacy.com/info/asia/Pakistan" TargetMode="External"/><Relationship Id="rId798" Type="http://schemas.openxmlformats.org/officeDocument/2006/relationships/hyperlink" Target="https://twitter.com/valismin/statuses/1834338777" TargetMode="External"/><Relationship Id="rId1190" Type="http://schemas.openxmlformats.org/officeDocument/2006/relationships/hyperlink" Target="https://twitter.com/MAECgob/lists" TargetMode="External"/><Relationship Id="rId1204" Type="http://schemas.openxmlformats.org/officeDocument/2006/relationships/hyperlink" Target="https://twitter.com/SweMFA/lists" TargetMode="External"/><Relationship Id="rId1411" Type="http://schemas.openxmlformats.org/officeDocument/2006/relationships/hyperlink" Target="http://twiplomacy.com/info/north-america/Honduras" TargetMode="External"/><Relationship Id="rId1649" Type="http://schemas.openxmlformats.org/officeDocument/2006/relationships/hyperlink" Target="https://twitter.com/CancilleriaPeru/lists/misiones-diplom%C3%A1ticas" TargetMode="External"/><Relationship Id="rId1856" Type="http://schemas.openxmlformats.org/officeDocument/2006/relationships/hyperlink" Target="https://twitter.com/PresidentUA" TargetMode="External"/><Relationship Id="rId2034" Type="http://schemas.openxmlformats.org/officeDocument/2006/relationships/hyperlink" Target="https://twitter.com/UKUrdu" TargetMode="External"/><Relationship Id="rId2241" Type="http://schemas.openxmlformats.org/officeDocument/2006/relationships/hyperlink" Target="https://twitter.com/MFAupdate" TargetMode="External"/><Relationship Id="rId2479" Type="http://schemas.openxmlformats.org/officeDocument/2006/relationships/hyperlink" Target="https://twitter.com/DrTedros" TargetMode="External"/><Relationship Id="rId2686" Type="http://schemas.openxmlformats.org/officeDocument/2006/relationships/hyperlink" Target="https://twitter.com/evoespueblo/lists" TargetMode="External"/><Relationship Id="rId213" Type="http://schemas.openxmlformats.org/officeDocument/2006/relationships/hyperlink" Target="https://twitter.com/TheVillaSomalia/status/486566133534031872" TargetMode="External"/><Relationship Id="rId420" Type="http://schemas.openxmlformats.org/officeDocument/2006/relationships/hyperlink" Target="http://twiplomacy.com/info/asia/Israel" TargetMode="External"/><Relationship Id="rId658" Type="http://schemas.openxmlformats.org/officeDocument/2006/relationships/hyperlink" Target="http://twiplomacy.com/info/asia/Tajikistan" TargetMode="External"/><Relationship Id="rId865" Type="http://schemas.openxmlformats.org/officeDocument/2006/relationships/hyperlink" Target="https://twitter.com/manuelvalls/lists" TargetMode="External"/><Relationship Id="rId1050" Type="http://schemas.openxmlformats.org/officeDocument/2006/relationships/hyperlink" Target="https://twitter.com/minbuza/statuses/489851125907357696" TargetMode="External"/><Relationship Id="rId1288" Type="http://schemas.openxmlformats.org/officeDocument/2006/relationships/hyperlink" Target="https://twitter.com/foreignoffice/foreign-office-on-twitter/members" TargetMode="External"/><Relationship Id="rId1495" Type="http://schemas.openxmlformats.org/officeDocument/2006/relationships/hyperlink" Target="https://twitter.com/StateDept/lists" TargetMode="External"/><Relationship Id="rId1509" Type="http://schemas.openxmlformats.org/officeDocument/2006/relationships/hyperlink" Target="https://twitter.com/USAemPortugues/statuses/47733781511155713" TargetMode="External"/><Relationship Id="rId1716" Type="http://schemas.openxmlformats.org/officeDocument/2006/relationships/hyperlink" Target="http://twiplomacy.com/info/africa/Ghana" TargetMode="External"/><Relationship Id="rId1923" Type="http://schemas.openxmlformats.org/officeDocument/2006/relationships/hyperlink" Target="https://twitter.com/CancilleriaCol" TargetMode="External"/><Relationship Id="rId2101" Type="http://schemas.openxmlformats.org/officeDocument/2006/relationships/hyperlink" Target="https://twitter.com/MNEGOVPT" TargetMode="External"/><Relationship Id="rId2339" Type="http://schemas.openxmlformats.org/officeDocument/2006/relationships/hyperlink" Target="https://twitter.com/IranMFA" TargetMode="External"/><Relationship Id="rId2546" Type="http://schemas.openxmlformats.org/officeDocument/2006/relationships/hyperlink" Target="https://twitter.com/PMDNewsGov/lists" TargetMode="External"/><Relationship Id="rId297" Type="http://schemas.openxmlformats.org/officeDocument/2006/relationships/hyperlink" Target="https://twitter.com/MFA_Afghanistan/statuses/154461035699507200" TargetMode="External"/><Relationship Id="rId518" Type="http://schemas.openxmlformats.org/officeDocument/2006/relationships/hyperlink" Target="https://twitter.com/MDVForeign/status/540758316196966400" TargetMode="External"/><Relationship Id="rId725" Type="http://schemas.openxmlformats.org/officeDocument/2006/relationships/hyperlink" Target="https://twitter.com/MFABelgiumMedia/statuses/165057991937236992" TargetMode="External"/><Relationship Id="rId932" Type="http://schemas.openxmlformats.org/officeDocument/2006/relationships/hyperlink" Target="https://twitter.com/merrionstreet/statuses/53806078688894976" TargetMode="External"/><Relationship Id="rId1148" Type="http://schemas.openxmlformats.org/officeDocument/2006/relationships/hyperlink" Target="https://twitter.com/vladaOCDrs/lists" TargetMode="External"/><Relationship Id="rId1355" Type="http://schemas.openxmlformats.org/officeDocument/2006/relationships/hyperlink" Target="https://twitter.com/presidenciacr/statuses/14385512463" TargetMode="External"/><Relationship Id="rId1562" Type="http://schemas.openxmlformats.org/officeDocument/2006/relationships/hyperlink" Target="http://twiplomacy.com/info/south-america/Argentina" TargetMode="External"/><Relationship Id="rId2185" Type="http://schemas.openxmlformats.org/officeDocument/2006/relationships/hyperlink" Target="https://twitter.com/EUCouncilPress" TargetMode="External"/><Relationship Id="rId2392" Type="http://schemas.openxmlformats.org/officeDocument/2006/relationships/hyperlink" Target="https://twitter.com/StateHouseUg" TargetMode="External"/><Relationship Id="rId2406" Type="http://schemas.openxmlformats.org/officeDocument/2006/relationships/hyperlink" Target="https://twitter.com/RepSouthSudan" TargetMode="External"/><Relationship Id="rId2613" Type="http://schemas.openxmlformats.org/officeDocument/2006/relationships/hyperlink" Target="https://twitter.com/_BR_JSA/lists" TargetMode="External"/><Relationship Id="rId157" Type="http://schemas.openxmlformats.org/officeDocument/2006/relationships/hyperlink" Target="http://twiplomacy.com/info/africa/Namibia" TargetMode="External"/><Relationship Id="rId364" Type="http://schemas.openxmlformats.org/officeDocument/2006/relationships/hyperlink" Target="https://twitter.com/IndianDiplomacy/lists" TargetMode="External"/><Relationship Id="rId1008" Type="http://schemas.openxmlformats.org/officeDocument/2006/relationships/hyperlink" Target="https://twitter.com/CourGrandDucale/statuses/26657558608" TargetMode="External"/><Relationship Id="rId1215" Type="http://schemas.openxmlformats.org/officeDocument/2006/relationships/hyperlink" Target="https://twitter.com/Byegm/status/25453859831" TargetMode="External"/><Relationship Id="rId1422" Type="http://schemas.openxmlformats.org/officeDocument/2006/relationships/hyperlink" Target="https://twitter.com/EPN/statuses/133949792995917824" TargetMode="External"/><Relationship Id="rId1867" Type="http://schemas.openxmlformats.org/officeDocument/2006/relationships/hyperlink" Target="https://twitter.com/foreignMV" TargetMode="External"/><Relationship Id="rId2045" Type="http://schemas.openxmlformats.org/officeDocument/2006/relationships/hyperlink" Target="https://twitter.com/PDTurkeyArabic" TargetMode="External"/><Relationship Id="rId2697" Type="http://schemas.openxmlformats.org/officeDocument/2006/relationships/hyperlink" Target="https://twitter.com/mauriciomacri/statuses/666062051899482112" TargetMode="External"/><Relationship Id="rId61" Type="http://schemas.openxmlformats.org/officeDocument/2006/relationships/hyperlink" Target="http://twiplomacy.com/info/africa/Ethiopia" TargetMode="External"/><Relationship Id="rId571" Type="http://schemas.openxmlformats.org/officeDocument/2006/relationships/hyperlink" Target="https://twitter.com/noynoyaquino/statuses/4141496003" TargetMode="External"/><Relationship Id="rId669" Type="http://schemas.openxmlformats.org/officeDocument/2006/relationships/hyperlink" Target="https://twitter.com/MFAupdate/status/428452910041530368" TargetMode="External"/><Relationship Id="rId876" Type="http://schemas.openxmlformats.org/officeDocument/2006/relationships/hyperlink" Target="https://twitter.com/francediplo_EN/lists" TargetMode="External"/><Relationship Id="rId1299" Type="http://schemas.openxmlformats.org/officeDocument/2006/relationships/hyperlink" Target="https://twitter.com/Pontifex_es/statuses/313247631042301952" TargetMode="External"/><Relationship Id="rId1727" Type="http://schemas.openxmlformats.org/officeDocument/2006/relationships/hyperlink" Target="http://twiplomacy.com/info/asia/Georgia" TargetMode="External"/><Relationship Id="rId1934" Type="http://schemas.openxmlformats.org/officeDocument/2006/relationships/hyperlink" Target="https://twitter.com/casacivilbr" TargetMode="External"/><Relationship Id="rId2252" Type="http://schemas.openxmlformats.org/officeDocument/2006/relationships/hyperlink" Target="https://twitter.com/MaithripalaS" TargetMode="External"/><Relationship Id="rId2557" Type="http://schemas.openxmlformats.org/officeDocument/2006/relationships/hyperlink" Target="https://twitter.com/VivianBala/lists" TargetMode="External"/><Relationship Id="rId19" Type="http://schemas.openxmlformats.org/officeDocument/2006/relationships/hyperlink" Target="http://twiplomacy.com/info/africa/Burundi" TargetMode="External"/><Relationship Id="rId224" Type="http://schemas.openxmlformats.org/officeDocument/2006/relationships/hyperlink" Target="https://twitter.com/SAPresident/statuses/67881501634740224" TargetMode="External"/><Relationship Id="rId431" Type="http://schemas.openxmlformats.org/officeDocument/2006/relationships/hyperlink" Target="https://twitter.com/Israelipm_ar/statuses/279298334823432193" TargetMode="External"/><Relationship Id="rId529" Type="http://schemas.openxmlformats.org/officeDocument/2006/relationships/hyperlink" Target="http://twiplomacy.com/info/asia/Mongolia" TargetMode="External"/><Relationship Id="rId736" Type="http://schemas.openxmlformats.org/officeDocument/2006/relationships/hyperlink" Target="https://twitter.com/BoykoBorissov/lists" TargetMode="External"/><Relationship Id="rId1061" Type="http://schemas.openxmlformats.org/officeDocument/2006/relationships/hyperlink" Target="https://twitter.com/erna_solberg/statuses/932742196" TargetMode="External"/><Relationship Id="rId1159" Type="http://schemas.openxmlformats.org/officeDocument/2006/relationships/hyperlink" Target="http://twiplomacy.com/info/europe/Slovakia" TargetMode="External"/><Relationship Id="rId1366" Type="http://schemas.openxmlformats.org/officeDocument/2006/relationships/hyperlink" Target="https://twitter.com/CubaMINREX/statuses/13807586969" TargetMode="External"/><Relationship Id="rId2112" Type="http://schemas.openxmlformats.org/officeDocument/2006/relationships/hyperlink" Target="https://twitter.com/borgebrende" TargetMode="External"/><Relationship Id="rId2196" Type="http://schemas.openxmlformats.org/officeDocument/2006/relationships/hyperlink" Target="https://twitter.com/UM_dk" TargetMode="External"/><Relationship Id="rId2417" Type="http://schemas.openxmlformats.org/officeDocument/2006/relationships/hyperlink" Target="https://twitter.com/CommsUnitSL" TargetMode="External"/><Relationship Id="rId168" Type="http://schemas.openxmlformats.org/officeDocument/2006/relationships/hyperlink" Target="https://twitter.com/AsoRock/lists" TargetMode="External"/><Relationship Id="rId943" Type="http://schemas.openxmlformats.org/officeDocument/2006/relationships/hyperlink" Target="https://twitter.com/Govdotie/lists" TargetMode="External"/><Relationship Id="rId1019" Type="http://schemas.openxmlformats.org/officeDocument/2006/relationships/hyperlink" Target="https://twitter.com/MFAMalta/lists" TargetMode="External"/><Relationship Id="rId1573" Type="http://schemas.openxmlformats.org/officeDocument/2006/relationships/hyperlink" Target="https://twitter.com/casacivilbr/lists" TargetMode="External"/><Relationship Id="rId1780" Type="http://schemas.openxmlformats.org/officeDocument/2006/relationships/hyperlink" Target="https://twitter.com/Israel" TargetMode="External"/><Relationship Id="rId1878" Type="http://schemas.openxmlformats.org/officeDocument/2006/relationships/hyperlink" Target="https://twitter.com/theDIRCO" TargetMode="External"/><Relationship Id="rId2624" Type="http://schemas.openxmlformats.org/officeDocument/2006/relationships/hyperlink" Target="https://twitter.com/JocelermeP" TargetMode="External"/><Relationship Id="rId72" Type="http://schemas.openxmlformats.org/officeDocument/2006/relationships/hyperlink" Target="https://twitter.com/PresidenceGA/status/566208682908995584" TargetMode="External"/><Relationship Id="rId375" Type="http://schemas.openxmlformats.org/officeDocument/2006/relationships/hyperlink" Target="http://twiplomacy.com/info/asia/Indonesia" TargetMode="External"/><Relationship Id="rId582" Type="http://schemas.openxmlformats.org/officeDocument/2006/relationships/hyperlink" Target="https://twitter.com/TameemAlthani/status/203815170743607296" TargetMode="External"/><Relationship Id="rId803" Type="http://schemas.openxmlformats.org/officeDocument/2006/relationships/hyperlink" Target="http://twiplomacy.com/info/europe/Poland" TargetMode="External"/><Relationship Id="rId1226" Type="http://schemas.openxmlformats.org/officeDocument/2006/relationships/hyperlink" Target="https://twitter.com/MFATurkeyArabic/statuses/187818176975867905" TargetMode="External"/><Relationship Id="rId1433" Type="http://schemas.openxmlformats.org/officeDocument/2006/relationships/hyperlink" Target="http://twiplomacy.com/info/north-america/Mexico" TargetMode="External"/><Relationship Id="rId1640" Type="http://schemas.openxmlformats.org/officeDocument/2006/relationships/hyperlink" Target="https://twitter.com/prensapalacio/statuses/449392220454404096" TargetMode="External"/><Relationship Id="rId1738" Type="http://schemas.openxmlformats.org/officeDocument/2006/relationships/hyperlink" Target="http://twiplomacy.com/info/asia/Maldives" TargetMode="External"/><Relationship Id="rId2056" Type="http://schemas.openxmlformats.org/officeDocument/2006/relationships/hyperlink" Target="https://twitter.com/BasbakanlikKDK" TargetMode="External"/><Relationship Id="rId2263" Type="http://schemas.openxmlformats.org/officeDocument/2006/relationships/hyperlink" Target="https://twitter.com/AdelAljubeir" TargetMode="External"/><Relationship Id="rId2470" Type="http://schemas.openxmlformats.org/officeDocument/2006/relationships/hyperlink" Target="https://twitter.com/HannaTetteh" TargetMode="External"/><Relationship Id="rId3" Type="http://schemas.openxmlformats.org/officeDocument/2006/relationships/hyperlink" Target="https://twitter.com/AMSellal/lists" TargetMode="External"/><Relationship Id="rId235" Type="http://schemas.openxmlformats.org/officeDocument/2006/relationships/hyperlink" Target="https://twitter.com/RepSouthSudan/statuses/89450904700465152" TargetMode="External"/><Relationship Id="rId442" Type="http://schemas.openxmlformats.org/officeDocument/2006/relationships/hyperlink" Target="https://twitter.com/jpn_pmo/statuses/47994581312225282" TargetMode="External"/><Relationship Id="rId887" Type="http://schemas.openxmlformats.org/officeDocument/2006/relationships/hyperlink" Target="http://twiplomacy.com/info/europe/France" TargetMode="External"/><Relationship Id="rId1072" Type="http://schemas.openxmlformats.org/officeDocument/2006/relationships/hyperlink" Target="https://twitter.com/NorwayMFA/statuses/273052823774703616" TargetMode="External"/><Relationship Id="rId1500" Type="http://schemas.openxmlformats.org/officeDocument/2006/relationships/hyperlink" Target="https://twitter.com/EconEngage/statuses/215281208693760004" TargetMode="External"/><Relationship Id="rId1945" Type="http://schemas.openxmlformats.org/officeDocument/2006/relationships/hyperlink" Target="https://twitter.com/TommyRemengesau" TargetMode="External"/><Relationship Id="rId2123" Type="http://schemas.openxmlformats.org/officeDocument/2006/relationships/hyperlink" Target="https://twitter.com/palaismonaco" TargetMode="External"/><Relationship Id="rId2330" Type="http://schemas.openxmlformats.org/officeDocument/2006/relationships/hyperlink" Target="https://twitter.com/netanyahu" TargetMode="External"/><Relationship Id="rId2568" Type="http://schemas.openxmlformats.org/officeDocument/2006/relationships/hyperlink" Target="http://twiplomacy.com/info/north-america/Canada" TargetMode="External"/><Relationship Id="rId302" Type="http://schemas.openxmlformats.org/officeDocument/2006/relationships/hyperlink" Target="http://twiplomacy.com/info/asia/Armenia" TargetMode="External"/><Relationship Id="rId747" Type="http://schemas.openxmlformats.org/officeDocument/2006/relationships/hyperlink" Target="https://twitter.com/VladaRH/statuses/150210062546239488" TargetMode="External"/><Relationship Id="rId954" Type="http://schemas.openxmlformats.org/officeDocument/2006/relationships/hyperlink" Target="http://twiplomacy.com/info/europe/Italy" TargetMode="External"/><Relationship Id="rId1377" Type="http://schemas.openxmlformats.org/officeDocument/2006/relationships/hyperlink" Target="https://twitter.com/PresidenciaRD/lists" TargetMode="External"/><Relationship Id="rId1584" Type="http://schemas.openxmlformats.org/officeDocument/2006/relationships/hyperlink" Target="https://twitter.com/Itamaraty_EN/lists" TargetMode="External"/><Relationship Id="rId1791" Type="http://schemas.openxmlformats.org/officeDocument/2006/relationships/hyperlink" Target="https://twitter.com/francediplo" TargetMode="External"/><Relationship Id="rId1805" Type="http://schemas.openxmlformats.org/officeDocument/2006/relationships/hyperlink" Target="https://twitter.com/Number10gov" TargetMode="External"/><Relationship Id="rId2428" Type="http://schemas.openxmlformats.org/officeDocument/2006/relationships/hyperlink" Target="https://twitter.com/RwandaGov" TargetMode="External"/><Relationship Id="rId2635" Type="http://schemas.openxmlformats.org/officeDocument/2006/relationships/hyperlink" Target="https://twitter.com/I_Luksic" TargetMode="External"/><Relationship Id="rId83" Type="http://schemas.openxmlformats.org/officeDocument/2006/relationships/hyperlink" Target="https://twitter.com/PresidencyGhana/statuses/15831470958444544" TargetMode="External"/><Relationship Id="rId179" Type="http://schemas.openxmlformats.org/officeDocument/2006/relationships/hyperlink" Target="http://twiplomacy.com/info/africa/Rwanda" TargetMode="External"/><Relationship Id="rId386" Type="http://schemas.openxmlformats.org/officeDocument/2006/relationships/hyperlink" Target="https://twitter.com/khamenei_ir/statuses/1482499965" TargetMode="External"/><Relationship Id="rId593" Type="http://schemas.openxmlformats.org/officeDocument/2006/relationships/hyperlink" Target="https://twitter.com/KingSalman/statuses/305375759218913280" TargetMode="External"/><Relationship Id="rId607" Type="http://schemas.openxmlformats.org/officeDocument/2006/relationships/hyperlink" Target="https://twitter.com/MFAsg/lists" TargetMode="External"/><Relationship Id="rId814" Type="http://schemas.openxmlformats.org/officeDocument/2006/relationships/hyperlink" Target="https://twitter.com/JunckerEU/status/422114705943969792" TargetMode="External"/><Relationship Id="rId1237" Type="http://schemas.openxmlformats.org/officeDocument/2006/relationships/hyperlink" Target="https://twitter.com/ByegmENG/lists" TargetMode="External"/><Relationship Id="rId1444" Type="http://schemas.openxmlformats.org/officeDocument/2006/relationships/hyperlink" Target="https://twitter.com/IsabelStMalo/status/119913916385079296" TargetMode="External"/><Relationship Id="rId1651" Type="http://schemas.openxmlformats.org/officeDocument/2006/relationships/hyperlink" Target="https://twitter.com/Bouterse2015/lists" TargetMode="External"/><Relationship Id="rId1889" Type="http://schemas.openxmlformats.org/officeDocument/2006/relationships/hyperlink" Target="https://twitter.com/aguribfakim" TargetMode="External"/><Relationship Id="rId2067" Type="http://schemas.openxmlformats.org/officeDocument/2006/relationships/hyperlink" Target="https://twitter.com/MAECgob" TargetMode="External"/><Relationship Id="rId2274" Type="http://schemas.openxmlformats.org/officeDocument/2006/relationships/hyperlink" Target="https://twitter.com/pmofa" TargetMode="External"/><Relationship Id="rId2481" Type="http://schemas.openxmlformats.org/officeDocument/2006/relationships/hyperlink" Target="https://twitter.com/EgyPresidency" TargetMode="External"/><Relationship Id="rId2702" Type="http://schemas.openxmlformats.org/officeDocument/2006/relationships/hyperlink" Target="https://twitter.com/manuelvalls/statuses/665608365301739520" TargetMode="External"/><Relationship Id="rId246" Type="http://schemas.openxmlformats.org/officeDocument/2006/relationships/hyperlink" Target="https://twitter.com/republicoftogo/status/1628411804" TargetMode="External"/><Relationship Id="rId453" Type="http://schemas.openxmlformats.org/officeDocument/2006/relationships/hyperlink" Target="https://twitter.com/queenrania/statuses/1729537448" TargetMode="External"/><Relationship Id="rId660" Type="http://schemas.openxmlformats.org/officeDocument/2006/relationships/hyperlink" Target="http://twiplomacy.com/info/asia/Thailand" TargetMode="External"/><Relationship Id="rId898" Type="http://schemas.openxmlformats.org/officeDocument/2006/relationships/hyperlink" Target="https://twitter.com/GermanyDiplo/statuses/530809362542264321" TargetMode="External"/><Relationship Id="rId1083" Type="http://schemas.openxmlformats.org/officeDocument/2006/relationships/hyperlink" Target="https://twitter.com/MSZ_RP/statuses/100872051941847040" TargetMode="External"/><Relationship Id="rId1290" Type="http://schemas.openxmlformats.org/officeDocument/2006/relationships/hyperlink" Target="https://twitter.com/UKUrdu/lists" TargetMode="External"/><Relationship Id="rId1304" Type="http://schemas.openxmlformats.org/officeDocument/2006/relationships/hyperlink" Target="http://twiplomacy.com/info/europe/Vatican" TargetMode="External"/><Relationship Id="rId1511" Type="http://schemas.openxmlformats.org/officeDocument/2006/relationships/hyperlink" Target="https://twitter.com/USAenEspanol/statuses/38346760397000704" TargetMode="External"/><Relationship Id="rId1749" Type="http://schemas.openxmlformats.org/officeDocument/2006/relationships/hyperlink" Target="http://twiplomacy.com/info/asia/Thailand" TargetMode="External"/><Relationship Id="rId1956" Type="http://schemas.openxmlformats.org/officeDocument/2006/relationships/hyperlink" Target="https://twitter.com/USAUrdu" TargetMode="External"/><Relationship Id="rId2134" Type="http://schemas.openxmlformats.org/officeDocument/2006/relationships/hyperlink" Target="https://twitter.com/LT_MFA_Stratcom" TargetMode="External"/><Relationship Id="rId2341" Type="http://schemas.openxmlformats.org/officeDocument/2006/relationships/hyperlink" Target="https://twitter.com/HassanRouhani" TargetMode="External"/><Relationship Id="rId2579" Type="http://schemas.openxmlformats.org/officeDocument/2006/relationships/hyperlink" Target="https://twitter.com/JanelidzeMkh" TargetMode="External"/><Relationship Id="rId106" Type="http://schemas.openxmlformats.org/officeDocument/2006/relationships/hyperlink" Target="https://twitter.com/UKenyatta/statuses/23998143679" TargetMode="External"/><Relationship Id="rId313" Type="http://schemas.openxmlformats.org/officeDocument/2006/relationships/hyperlink" Target="http://twiplomacy.com/info/asia/Bahrain" TargetMode="External"/><Relationship Id="rId758" Type="http://schemas.openxmlformats.org/officeDocument/2006/relationships/hyperlink" Target="http://twiplomacy.com/info/europe/Cyprus" TargetMode="External"/><Relationship Id="rId965" Type="http://schemas.openxmlformats.org/officeDocument/2006/relationships/hyperlink" Target="https://twitter.com/Vejonis/lists" TargetMode="External"/><Relationship Id="rId1150" Type="http://schemas.openxmlformats.org/officeDocument/2006/relationships/hyperlink" Target="https://twitter.com/SerbianPM/status/566851318112063488" TargetMode="External"/><Relationship Id="rId1388" Type="http://schemas.openxmlformats.org/officeDocument/2006/relationships/hyperlink" Target="https://twitter.com/presidencia_sv/statuses/521879043013365760" TargetMode="External"/><Relationship Id="rId1595" Type="http://schemas.openxmlformats.org/officeDocument/2006/relationships/hyperlink" Target="https://twitter.com/HeraldoMunoz/statuses/45345237912133632" TargetMode="External"/><Relationship Id="rId1609" Type="http://schemas.openxmlformats.org/officeDocument/2006/relationships/hyperlink" Target="http://twiplomacy.com/info/south-america/Ecuador" TargetMode="External"/><Relationship Id="rId1816" Type="http://schemas.openxmlformats.org/officeDocument/2006/relationships/hyperlink" Target="https://twitter.com/prensapalacio" TargetMode="External"/><Relationship Id="rId2439" Type="http://schemas.openxmlformats.org/officeDocument/2006/relationships/hyperlink" Target="https://twitter.com/FilipeNyusi" TargetMode="External"/><Relationship Id="rId2646" Type="http://schemas.openxmlformats.org/officeDocument/2006/relationships/hyperlink" Target="https://twitter.com/I_Luksic/lists" TargetMode="External"/><Relationship Id="rId10" Type="http://schemas.openxmlformats.org/officeDocument/2006/relationships/hyperlink" Target="http://twiplomacy.com/info/africa/Botswana" TargetMode="External"/><Relationship Id="rId94" Type="http://schemas.openxmlformats.org/officeDocument/2006/relationships/hyperlink" Target="http://twiplomacy.com/info/africa/Ivory-Coast" TargetMode="External"/><Relationship Id="rId397" Type="http://schemas.openxmlformats.org/officeDocument/2006/relationships/hyperlink" Target="http://twiplomacy.com/info/asia/Iran" TargetMode="External"/><Relationship Id="rId520" Type="http://schemas.openxmlformats.org/officeDocument/2006/relationships/hyperlink" Target="http://twiplomacy.com/info/asia/Mongolia" TargetMode="External"/><Relationship Id="rId618" Type="http://schemas.openxmlformats.org/officeDocument/2006/relationships/hyperlink" Target="https://twitter.com/PrimeMinisterKR/statuses/11395411574" TargetMode="External"/><Relationship Id="rId825" Type="http://schemas.openxmlformats.org/officeDocument/2006/relationships/hyperlink" Target="https://twitter.com/eu_eeas/statuses/469152982131814400" TargetMode="External"/><Relationship Id="rId1248" Type="http://schemas.openxmlformats.org/officeDocument/2006/relationships/hyperlink" Target="http://twiplomacy.com/info/europe/Ukraine" TargetMode="External"/><Relationship Id="rId1455" Type="http://schemas.openxmlformats.org/officeDocument/2006/relationships/hyperlink" Target="https://twitter.com/fortalezapr/statuses/4530065915" TargetMode="External"/><Relationship Id="rId1662" Type="http://schemas.openxmlformats.org/officeDocument/2006/relationships/hyperlink" Target="https://twitter.com/NicolasMaduro/statuses/313333471609249793" TargetMode="External"/><Relationship Id="rId2078" Type="http://schemas.openxmlformats.org/officeDocument/2006/relationships/hyperlink" Target="https://twitter.com/SlovakiaMFA" TargetMode="External"/><Relationship Id="rId2201" Type="http://schemas.openxmlformats.org/officeDocument/2006/relationships/hyperlink" Target="https://twitter.com/ZaoralekL" TargetMode="External"/><Relationship Id="rId2285" Type="http://schemas.openxmlformats.org/officeDocument/2006/relationships/hyperlink" Target="https://twitter.com/GovernmentMN" TargetMode="External"/><Relationship Id="rId2492" Type="http://schemas.openxmlformats.org/officeDocument/2006/relationships/hyperlink" Target="https://twitter.com/PMTCHAD" TargetMode="External"/><Relationship Id="rId2506" Type="http://schemas.openxmlformats.org/officeDocument/2006/relationships/hyperlink" Target="https://twitter.com/CasaCivilPRA" TargetMode="External"/><Relationship Id="rId257" Type="http://schemas.openxmlformats.org/officeDocument/2006/relationships/hyperlink" Target="http://twiplomacy.com/info/africa/Tunisia" TargetMode="External"/><Relationship Id="rId464" Type="http://schemas.openxmlformats.org/officeDocument/2006/relationships/hyperlink" Target="http://twiplomacy.com/info/asia/Jordan" TargetMode="External"/><Relationship Id="rId1010" Type="http://schemas.openxmlformats.org/officeDocument/2006/relationships/hyperlink" Target="https://twitter.com/Xavier_Bettel/statuses/20158157335" TargetMode="External"/><Relationship Id="rId1094" Type="http://schemas.openxmlformats.org/officeDocument/2006/relationships/hyperlink" Target="https://twitter.com/MNEGOVPT/status/446607115462115328" TargetMode="External"/><Relationship Id="rId1108" Type="http://schemas.openxmlformats.org/officeDocument/2006/relationships/hyperlink" Target="http://twiplomacy.com/info/europe/Russia" TargetMode="External"/><Relationship Id="rId1315" Type="http://schemas.openxmlformats.org/officeDocument/2006/relationships/hyperlink" Target="https://twitter.com/antiguagov/statuses/27374715446239232" TargetMode="External"/><Relationship Id="rId1967" Type="http://schemas.openxmlformats.org/officeDocument/2006/relationships/hyperlink" Target="https://twitter.com/StateDept" TargetMode="External"/><Relationship Id="rId2145" Type="http://schemas.openxmlformats.org/officeDocument/2006/relationships/hyperlink" Target="https://twitter.com/edgarsrinkevics" TargetMode="External"/><Relationship Id="rId2713" Type="http://schemas.openxmlformats.org/officeDocument/2006/relationships/hyperlink" Target="https://twitter.com/MFAEcuador/lists/ecuador-consulates" TargetMode="External"/><Relationship Id="rId117" Type="http://schemas.openxmlformats.org/officeDocument/2006/relationships/hyperlink" Target="https://twitter.com/PSCU_Digital/statuses/356862024543780864" TargetMode="External"/><Relationship Id="rId671" Type="http://schemas.openxmlformats.org/officeDocument/2006/relationships/hyperlink" Target="http://twiplomacy.com/info/asia/Thailand" TargetMode="External"/><Relationship Id="rId769" Type="http://schemas.openxmlformats.org/officeDocument/2006/relationships/hyperlink" Target="https://twitter.com/strakovka/statuses/18099978192" TargetMode="External"/><Relationship Id="rId976" Type="http://schemas.openxmlformats.org/officeDocument/2006/relationships/hyperlink" Target="https://twitter.com/edgarsrinkevics/lists" TargetMode="External"/><Relationship Id="rId1399" Type="http://schemas.openxmlformats.org/officeDocument/2006/relationships/hyperlink" Target="http://twiplomacy.com/info/north-america/Guatemala" TargetMode="External"/><Relationship Id="rId2352" Type="http://schemas.openxmlformats.org/officeDocument/2006/relationships/hyperlink" Target="https://twitter.com/SushmaSwaraj" TargetMode="External"/><Relationship Id="rId2657" Type="http://schemas.openxmlformats.org/officeDocument/2006/relationships/hyperlink" Target="https://twitter.com/JocelermeP/lists" TargetMode="External"/><Relationship Id="rId324" Type="http://schemas.openxmlformats.org/officeDocument/2006/relationships/hyperlink" Target="https://twitter.com/eGovBahrain/statuses/86329192865742849" TargetMode="External"/><Relationship Id="rId531" Type="http://schemas.openxmlformats.org/officeDocument/2006/relationships/hyperlink" Target="https://twitter.com/PurevsurenL/lists" TargetMode="External"/><Relationship Id="rId629" Type="http://schemas.openxmlformats.org/officeDocument/2006/relationships/hyperlink" Target="http://twiplomacy.com/info/asia/South-Korea" TargetMode="External"/><Relationship Id="rId1161" Type="http://schemas.openxmlformats.org/officeDocument/2006/relationships/hyperlink" Target="http://twiplomacy.com/info/europe/Slovenia" TargetMode="External"/><Relationship Id="rId1259" Type="http://schemas.openxmlformats.org/officeDocument/2006/relationships/hyperlink" Target="http://twiplomacy.com/info/europe/Ukraine" TargetMode="External"/><Relationship Id="rId1466" Type="http://schemas.openxmlformats.org/officeDocument/2006/relationships/hyperlink" Target="http://twiplomacy.com/info/north-america/Saint-Lucia" TargetMode="External"/><Relationship Id="rId2005" Type="http://schemas.openxmlformats.org/officeDocument/2006/relationships/hyperlink" Target="https://twitter.com/DaniloMedina" TargetMode="External"/><Relationship Id="rId2212" Type="http://schemas.openxmlformats.org/officeDocument/2006/relationships/hyperlink" Target="https://twitter.com/kolindagk" TargetMode="External"/><Relationship Id="rId836" Type="http://schemas.openxmlformats.org/officeDocument/2006/relationships/hyperlink" Target="https://twitter.com/GjorgeIvanov/statuses/1157469096" TargetMode="External"/><Relationship Id="rId1021" Type="http://schemas.openxmlformats.org/officeDocument/2006/relationships/hyperlink" Target="https://twitter.com/DOImalta/lists" TargetMode="External"/><Relationship Id="rId1119" Type="http://schemas.openxmlformats.org/officeDocument/2006/relationships/hyperlink" Target="http://twiplomacy.com/info/europe/Russia" TargetMode="External"/><Relationship Id="rId1673" Type="http://schemas.openxmlformats.org/officeDocument/2006/relationships/hyperlink" Target="https://twitter.com/maduro_en/statuses/373194128160739328" TargetMode="External"/><Relationship Id="rId1880" Type="http://schemas.openxmlformats.org/officeDocument/2006/relationships/hyperlink" Target="https://twitter.com/primatureci" TargetMode="External"/><Relationship Id="rId1978" Type="http://schemas.openxmlformats.org/officeDocument/2006/relationships/hyperlink" Target="https://twitter.com/DeptEstadoPR" TargetMode="External"/><Relationship Id="rId2517" Type="http://schemas.openxmlformats.org/officeDocument/2006/relationships/hyperlink" Target="https://twitter.com/Balozi_Mahiga" TargetMode="External"/><Relationship Id="rId2724" Type="http://schemas.openxmlformats.org/officeDocument/2006/relationships/hyperlink" Target="https://twitter.com/Palazzo_Chigi/lists" TargetMode="External"/><Relationship Id="rId903" Type="http://schemas.openxmlformats.org/officeDocument/2006/relationships/hyperlink" Target="http://twiplomacy.com/info/europe/Greece" TargetMode="External"/><Relationship Id="rId1326" Type="http://schemas.openxmlformats.org/officeDocument/2006/relationships/hyperlink" Target="http://twiplomacy.com/info/north-america/Belize" TargetMode="External"/><Relationship Id="rId1533" Type="http://schemas.openxmlformats.org/officeDocument/2006/relationships/hyperlink" Target="http://twiplomacy.com/info/oceania/Fiji" TargetMode="External"/><Relationship Id="rId1740" Type="http://schemas.openxmlformats.org/officeDocument/2006/relationships/hyperlink" Target="http://twiplomacy.com/info/asia/Maldives" TargetMode="External"/><Relationship Id="rId32" Type="http://schemas.openxmlformats.org/officeDocument/2006/relationships/hyperlink" Target="http://twiplomacy.com/info/africa/Chad" TargetMode="External"/><Relationship Id="rId1600" Type="http://schemas.openxmlformats.org/officeDocument/2006/relationships/hyperlink" Target="http://twiplomacy.com/info/south-america/Colombia" TargetMode="External"/><Relationship Id="rId1838" Type="http://schemas.openxmlformats.org/officeDocument/2006/relationships/hyperlink" Target="https://twitter.com/TameemAlthani" TargetMode="External"/><Relationship Id="rId181" Type="http://schemas.openxmlformats.org/officeDocument/2006/relationships/hyperlink" Target="https://twitter.com/RwandaGov/lists" TargetMode="External"/><Relationship Id="rId1905" Type="http://schemas.openxmlformats.org/officeDocument/2006/relationships/hyperlink" Target="https://twitter.com/maduro_en" TargetMode="External"/><Relationship Id="rId279" Type="http://schemas.openxmlformats.org/officeDocument/2006/relationships/hyperlink" Target="http://twiplomacy.com/info/africa/Zambia" TargetMode="External"/><Relationship Id="rId486" Type="http://schemas.openxmlformats.org/officeDocument/2006/relationships/hyperlink" Target="https://twitter.com/MOFAKuwait_en/lists" TargetMode="External"/><Relationship Id="rId693" Type="http://schemas.openxmlformats.org/officeDocument/2006/relationships/hyperlink" Target="https://twitter.com/Yemen411/status/499710982059720704" TargetMode="External"/><Relationship Id="rId2167" Type="http://schemas.openxmlformats.org/officeDocument/2006/relationships/hyperlink" Target="https://twitter.com/PrimeministerGR" TargetMode="External"/><Relationship Id="rId2374" Type="http://schemas.openxmlformats.org/officeDocument/2006/relationships/hyperlink" Target="https://twitter.com/azpresident" TargetMode="External"/><Relationship Id="rId2581" Type="http://schemas.openxmlformats.org/officeDocument/2006/relationships/hyperlink" Target="http://twiplomacy.com/info/europe/Monaco" TargetMode="External"/><Relationship Id="rId139" Type="http://schemas.openxmlformats.org/officeDocument/2006/relationships/hyperlink" Target="https://twitter.com/GouvMali/lists" TargetMode="External"/><Relationship Id="rId346" Type="http://schemas.openxmlformats.org/officeDocument/2006/relationships/hyperlink" Target="http://twiplomacy.com/info/asia/Georgia" TargetMode="External"/><Relationship Id="rId553" Type="http://schemas.openxmlformats.org/officeDocument/2006/relationships/hyperlink" Target="https://twitter.com/MofaOman/statuses/420808628036042752" TargetMode="External"/><Relationship Id="rId760" Type="http://schemas.openxmlformats.org/officeDocument/2006/relationships/hyperlink" Target="http://twiplomacy.com/info/europe/Cyprus" TargetMode="External"/><Relationship Id="rId998" Type="http://schemas.openxmlformats.org/officeDocument/2006/relationships/hyperlink" Target="http://twiplomacy.com/info/europe/Lithuania" TargetMode="External"/><Relationship Id="rId1183" Type="http://schemas.openxmlformats.org/officeDocument/2006/relationships/hyperlink" Target="https://twitter.com/desdelamoncloa/lists" TargetMode="External"/><Relationship Id="rId1390" Type="http://schemas.openxmlformats.org/officeDocument/2006/relationships/hyperlink" Target="http://twiplomacy.com/info/north-america/El-Salvador" TargetMode="External"/><Relationship Id="rId2027" Type="http://schemas.openxmlformats.org/officeDocument/2006/relationships/hyperlink" Target="https://twitter.com/Pontifex_fr" TargetMode="External"/><Relationship Id="rId2234" Type="http://schemas.openxmlformats.org/officeDocument/2006/relationships/hyperlink" Target="https://twitter.com/GOVuz" TargetMode="External"/><Relationship Id="rId2441" Type="http://schemas.openxmlformats.org/officeDocument/2006/relationships/hyperlink" Target="https://twitter.com/Fnyusi" TargetMode="External"/><Relationship Id="rId2679" Type="http://schemas.openxmlformats.org/officeDocument/2006/relationships/hyperlink" Target="https://twitter.com/MaltaGov" TargetMode="External"/><Relationship Id="rId206" Type="http://schemas.openxmlformats.org/officeDocument/2006/relationships/hyperlink" Target="https://twitter.com/CommsUnitSL/lists" TargetMode="External"/><Relationship Id="rId413" Type="http://schemas.openxmlformats.org/officeDocument/2006/relationships/hyperlink" Target="http://twiplomacy.com/info/asia/Israel" TargetMode="External"/><Relationship Id="rId858" Type="http://schemas.openxmlformats.org/officeDocument/2006/relationships/hyperlink" Target="http://twiplomacy.com/info/europe/France" TargetMode="External"/><Relationship Id="rId1043" Type="http://schemas.openxmlformats.org/officeDocument/2006/relationships/hyperlink" Target="http://twiplomacy.com/info/europe/Netherlands" TargetMode="External"/><Relationship Id="rId1488" Type="http://schemas.openxmlformats.org/officeDocument/2006/relationships/hyperlink" Target="http://twiplomacy.com/info/north-america/United-States" TargetMode="External"/><Relationship Id="rId1695" Type="http://schemas.openxmlformats.org/officeDocument/2006/relationships/hyperlink" Target="https://twitter.com/CathySambaPanza/status/434638990474354690" TargetMode="External"/><Relationship Id="rId2539" Type="http://schemas.openxmlformats.org/officeDocument/2006/relationships/hyperlink" Target="https://twitter.com/Kristian_Jensen/lists" TargetMode="External"/><Relationship Id="rId2746" Type="http://schemas.openxmlformats.org/officeDocument/2006/relationships/printerSettings" Target="../printerSettings/printerSettings1.bin"/><Relationship Id="rId620" Type="http://schemas.openxmlformats.org/officeDocument/2006/relationships/hyperlink" Target="https://twitter.com/PrimeMinisterKR/most-liked/members" TargetMode="External"/><Relationship Id="rId718" Type="http://schemas.openxmlformats.org/officeDocument/2006/relationships/hyperlink" Target="http://twiplomacy.com/info/europe/Belgium" TargetMode="External"/><Relationship Id="rId925" Type="http://schemas.openxmlformats.org/officeDocument/2006/relationships/hyperlink" Target="https://twitter.com/md_higgins/lists" TargetMode="External"/><Relationship Id="rId1250" Type="http://schemas.openxmlformats.org/officeDocument/2006/relationships/hyperlink" Target="https://twitter.com/poroshenko/lists" TargetMode="External"/><Relationship Id="rId1348" Type="http://schemas.openxmlformats.org/officeDocument/2006/relationships/hyperlink" Target="https://twitter.com/CanadaPE/lists" TargetMode="External"/><Relationship Id="rId1555" Type="http://schemas.openxmlformats.org/officeDocument/2006/relationships/hyperlink" Target="https://twitter.com/IakobaItaleli/status/546780522048159744" TargetMode="External"/><Relationship Id="rId1762" Type="http://schemas.openxmlformats.org/officeDocument/2006/relationships/hyperlink" Target="http://twiplomacy.com/info/north-america/Haiti" TargetMode="External"/><Relationship Id="rId2301" Type="http://schemas.openxmlformats.org/officeDocument/2006/relationships/hyperlink" Target="https://twitter.com/Gebran_Bassil" TargetMode="External"/><Relationship Id="rId2606" Type="http://schemas.openxmlformats.org/officeDocument/2006/relationships/hyperlink" Target="https://twitter.com/Jorgecfonseca/lists" TargetMode="External"/><Relationship Id="rId1110" Type="http://schemas.openxmlformats.org/officeDocument/2006/relationships/hyperlink" Target="http://twiplomacy.com/info/europe/Russia" TargetMode="External"/><Relationship Id="rId1208" Type="http://schemas.openxmlformats.org/officeDocument/2006/relationships/hyperlink" Target="http://twiplomacy.com/info/europe/Turkey" TargetMode="External"/><Relationship Id="rId1415" Type="http://schemas.openxmlformats.org/officeDocument/2006/relationships/hyperlink" Target="http://twiplomacy.com/info/north-america/Honduras" TargetMode="External"/><Relationship Id="rId54" Type="http://schemas.openxmlformats.org/officeDocument/2006/relationships/hyperlink" Target="https://twitter.com/egyptgovportal/lists" TargetMode="External"/><Relationship Id="rId1622" Type="http://schemas.openxmlformats.org/officeDocument/2006/relationships/hyperlink" Target="https://twitter.com/PresDGranger/lists" TargetMode="External"/><Relationship Id="rId1927" Type="http://schemas.openxmlformats.org/officeDocument/2006/relationships/hyperlink" Target="https://twitter.com/HeraldoMunoz" TargetMode="External"/><Relationship Id="rId2091" Type="http://schemas.openxmlformats.org/officeDocument/2006/relationships/hyperlink" Target="https://twitter.com/mfa_russia" TargetMode="External"/><Relationship Id="rId2189" Type="http://schemas.openxmlformats.org/officeDocument/2006/relationships/hyperlink" Target="https://twitter.com/premiertusk" TargetMode="External"/><Relationship Id="rId270" Type="http://schemas.openxmlformats.org/officeDocument/2006/relationships/hyperlink" Target="https://twitter.com/KagutaMuseveni/status/459364673373360128" TargetMode="External"/><Relationship Id="rId2396" Type="http://schemas.openxmlformats.org/officeDocument/2006/relationships/hyperlink" Target="https://twitter.com/PMTunisie" TargetMode="External"/><Relationship Id="rId130" Type="http://schemas.openxmlformats.org/officeDocument/2006/relationships/hyperlink" Target="https://twitter.com/DGRAVELONARIVO/lists" TargetMode="External"/><Relationship Id="rId368" Type="http://schemas.openxmlformats.org/officeDocument/2006/relationships/hyperlink" Target="https://twitter.com/MEAIndia/lists" TargetMode="External"/><Relationship Id="rId575" Type="http://schemas.openxmlformats.org/officeDocument/2006/relationships/hyperlink" Target="https://twitter.com/GovPH_PCOO/statuses/22613700553" TargetMode="External"/><Relationship Id="rId782" Type="http://schemas.openxmlformats.org/officeDocument/2006/relationships/hyperlink" Target="https://twitter.com/UM_dk/status/324446694819368960" TargetMode="External"/><Relationship Id="rId2049" Type="http://schemas.openxmlformats.org/officeDocument/2006/relationships/hyperlink" Target="https://twitter.com/MFATurkeyFrench" TargetMode="External"/><Relationship Id="rId2256" Type="http://schemas.openxmlformats.org/officeDocument/2006/relationships/hyperlink" Target="https://twitter.com/PrimeMinisterKR" TargetMode="External"/><Relationship Id="rId2463" Type="http://schemas.openxmlformats.org/officeDocument/2006/relationships/hyperlink" Target="https://twitter.com/Presidenceci" TargetMode="External"/><Relationship Id="rId2670" Type="http://schemas.openxmlformats.org/officeDocument/2006/relationships/hyperlink" Target="http://twiplomacy.com/info/europe/Turkey" TargetMode="External"/><Relationship Id="rId228" Type="http://schemas.openxmlformats.org/officeDocument/2006/relationships/hyperlink" Target="https://twitter.com/GovernmentZA/statuses/355314169718910977" TargetMode="External"/><Relationship Id="rId435" Type="http://schemas.openxmlformats.org/officeDocument/2006/relationships/hyperlink" Target="http://twiplomacy.com/info/asia/japan/" TargetMode="External"/><Relationship Id="rId642" Type="http://schemas.openxmlformats.org/officeDocument/2006/relationships/hyperlink" Target="https://twitter.com/MFA_SriLanka/lists" TargetMode="External"/><Relationship Id="rId1065" Type="http://schemas.openxmlformats.org/officeDocument/2006/relationships/hyperlink" Target="http://twiplomacy.com/info/europe/Norway" TargetMode="External"/><Relationship Id="rId1272" Type="http://schemas.openxmlformats.org/officeDocument/2006/relationships/hyperlink" Target="https://twitter.com/britishmonarchy/statuses/1642207999" TargetMode="External"/><Relationship Id="rId2116" Type="http://schemas.openxmlformats.org/officeDocument/2006/relationships/hyperlink" Target="https://twitter.com/NL_MFA_strategy" TargetMode="External"/><Relationship Id="rId2323" Type="http://schemas.openxmlformats.org/officeDocument/2006/relationships/hyperlink" Target="https://twitter.com/MofaJapan_jp" TargetMode="External"/><Relationship Id="rId2530" Type="http://schemas.openxmlformats.org/officeDocument/2006/relationships/hyperlink" Target="https://twitter.com/MinCanadaFA" TargetMode="External"/><Relationship Id="rId502" Type="http://schemas.openxmlformats.org/officeDocument/2006/relationships/hyperlink" Target="http://twiplomacy.com/info/asia/Malaysia" TargetMode="External"/><Relationship Id="rId947" Type="http://schemas.openxmlformats.org/officeDocument/2006/relationships/hyperlink" Target="http://twiplomacy.com/info/europe/Italy" TargetMode="External"/><Relationship Id="rId1132" Type="http://schemas.openxmlformats.org/officeDocument/2006/relationships/hyperlink" Target="https://twitter.com/KremlinRussia_E/statuses/9182662849724416" TargetMode="External"/><Relationship Id="rId1577" Type="http://schemas.openxmlformats.org/officeDocument/2006/relationships/hyperlink" Target="http://twiplomacy.com/info/south-america/Brazil" TargetMode="External"/><Relationship Id="rId1784" Type="http://schemas.openxmlformats.org/officeDocument/2006/relationships/hyperlink" Target="https://twitter.com/JunckerEU" TargetMode="External"/><Relationship Id="rId1991" Type="http://schemas.openxmlformats.org/officeDocument/2006/relationships/hyperlink" Target="https://twitter.com/ComunicadosHN" TargetMode="External"/><Relationship Id="rId2628" Type="http://schemas.openxmlformats.org/officeDocument/2006/relationships/hyperlink" Target="http://twiplomacy.com/info/europe/San-Marino" TargetMode="External"/><Relationship Id="rId76" Type="http://schemas.openxmlformats.org/officeDocument/2006/relationships/hyperlink" Target="http://twiplomacy.com/info/africa/Gabon" TargetMode="External"/><Relationship Id="rId807" Type="http://schemas.openxmlformats.org/officeDocument/2006/relationships/hyperlink" Target="https://twitter.com/eucopresident/statuses/28774925016" TargetMode="External"/><Relationship Id="rId1437" Type="http://schemas.openxmlformats.org/officeDocument/2006/relationships/hyperlink" Target="https://twitter.com/SRE_mx/embajadas/members" TargetMode="External"/><Relationship Id="rId1644" Type="http://schemas.openxmlformats.org/officeDocument/2006/relationships/hyperlink" Target="https://twitter.com/pcmperu/lists" TargetMode="External"/><Relationship Id="rId1851" Type="http://schemas.openxmlformats.org/officeDocument/2006/relationships/hyperlink" Target="https://twitter.com/EPP_Nicaragua" TargetMode="External"/><Relationship Id="rId1504" Type="http://schemas.openxmlformats.org/officeDocument/2006/relationships/hyperlink" Target="https://twitter.com/lacasablanca/lists" TargetMode="External"/><Relationship Id="rId1711" Type="http://schemas.openxmlformats.org/officeDocument/2006/relationships/hyperlink" Target="https://twitter.com/Gouvrdcongo/lists" TargetMode="External"/><Relationship Id="rId1949" Type="http://schemas.openxmlformats.org/officeDocument/2006/relationships/hyperlink" Target="https://twitter.com/InokeRatu" TargetMode="External"/><Relationship Id="rId292" Type="http://schemas.openxmlformats.org/officeDocument/2006/relationships/hyperlink" Target="https://twitter.com/OAAInformation/statuses/250087294688698369" TargetMode="External"/><Relationship Id="rId1809" Type="http://schemas.openxmlformats.org/officeDocument/2006/relationships/hyperlink" Target="https://twitter.com/PresidenciaRD" TargetMode="External"/><Relationship Id="rId597" Type="http://schemas.openxmlformats.org/officeDocument/2006/relationships/hyperlink" Target="http://twiplomacy.com/info/asia/Saudi-Arabia" TargetMode="External"/><Relationship Id="rId2180" Type="http://schemas.openxmlformats.org/officeDocument/2006/relationships/hyperlink" Target="https://twitter.com/TPKanslia" TargetMode="External"/><Relationship Id="rId2278" Type="http://schemas.openxmlformats.org/officeDocument/2006/relationships/hyperlink" Target="https://twitter.com/ForeignOfficePk" TargetMode="External"/><Relationship Id="rId2485" Type="http://schemas.openxmlformats.org/officeDocument/2006/relationships/hyperlink" Target="https://twitter.com/AlsisiOfficial" TargetMode="External"/><Relationship Id="rId152" Type="http://schemas.openxmlformats.org/officeDocument/2006/relationships/hyperlink" Target="https://twitter.com/FNyusi/lists" TargetMode="External"/><Relationship Id="rId457" Type="http://schemas.openxmlformats.org/officeDocument/2006/relationships/hyperlink" Target="http://twiplomacy.com/info/asia/Jordan" TargetMode="External"/><Relationship Id="rId1087" Type="http://schemas.openxmlformats.org/officeDocument/2006/relationships/hyperlink" Target="https://twitter.com/PolandMFA/statuses/4730112083" TargetMode="External"/><Relationship Id="rId1294" Type="http://schemas.openxmlformats.org/officeDocument/2006/relationships/hyperlink" Target="http://twiplomacy.com/info/europe/Vatican" TargetMode="External"/><Relationship Id="rId2040" Type="http://schemas.openxmlformats.org/officeDocument/2006/relationships/hyperlink" Target="https://twitter.com/Kabmin_UA_e" TargetMode="External"/><Relationship Id="rId2138" Type="http://schemas.openxmlformats.org/officeDocument/2006/relationships/hyperlink" Target="https://twitter.com/Abutkevicius" TargetMode="External"/><Relationship Id="rId2692" Type="http://schemas.openxmlformats.org/officeDocument/2006/relationships/hyperlink" Target="https://twitter.com/EPN/statuses/685526304058294272" TargetMode="External"/><Relationship Id="rId664" Type="http://schemas.openxmlformats.org/officeDocument/2006/relationships/hyperlink" Target="https://twitter.com/prdthailand/statuses/29475376015081472" TargetMode="External"/><Relationship Id="rId871" Type="http://schemas.openxmlformats.org/officeDocument/2006/relationships/hyperlink" Target="https://twitter.com/francediplo/statuses/1476413603" TargetMode="External"/><Relationship Id="rId969" Type="http://schemas.openxmlformats.org/officeDocument/2006/relationships/hyperlink" Target="http://twiplomacy.com/info/europe/Latvia" TargetMode="External"/><Relationship Id="rId1599" Type="http://schemas.openxmlformats.org/officeDocument/2006/relationships/hyperlink" Target="https://twitter.com/Minrel_Chile/lists" TargetMode="External"/><Relationship Id="rId2345" Type="http://schemas.openxmlformats.org/officeDocument/2006/relationships/hyperlink" Target="https://twitter.com/MoFA_Indonesia" TargetMode="External"/><Relationship Id="rId2552" Type="http://schemas.openxmlformats.org/officeDocument/2006/relationships/hyperlink" Target="https://twitter.com/CostaPS2015/lists" TargetMode="External"/><Relationship Id="rId317" Type="http://schemas.openxmlformats.org/officeDocument/2006/relationships/hyperlink" Target="https://twitter.com/khalidalkhalifa/statuses/5099626917" TargetMode="External"/><Relationship Id="rId524" Type="http://schemas.openxmlformats.org/officeDocument/2006/relationships/hyperlink" Target="http://twiplomacy.com/info/asia/Mongolia" TargetMode="External"/><Relationship Id="rId731" Type="http://schemas.openxmlformats.org/officeDocument/2006/relationships/hyperlink" Target="https://twitter.com/rplevneliev/statuses/118686974793093120" TargetMode="External"/><Relationship Id="rId1154" Type="http://schemas.openxmlformats.org/officeDocument/2006/relationships/hyperlink" Target="https://twitter.com/Andrej_Kiska/lists" TargetMode="External"/><Relationship Id="rId1361" Type="http://schemas.openxmlformats.org/officeDocument/2006/relationships/hyperlink" Target="https://twitter.com/mgonzalezsanz/lists" TargetMode="External"/><Relationship Id="rId1459" Type="http://schemas.openxmlformats.org/officeDocument/2006/relationships/hyperlink" Target="https://twitter.com/DeptEstadoPR/statuses/342320091146354688" TargetMode="External"/><Relationship Id="rId2205" Type="http://schemas.openxmlformats.org/officeDocument/2006/relationships/hyperlink" Target="https://twitter.com/CyprusMFA" TargetMode="External"/><Relationship Id="rId2412" Type="http://schemas.openxmlformats.org/officeDocument/2006/relationships/hyperlink" Target="https://twitter.com/mofasomalia" TargetMode="External"/><Relationship Id="rId98" Type="http://schemas.openxmlformats.org/officeDocument/2006/relationships/hyperlink" Target="https://twitter.com/adosolutions/statuses/8105552101" TargetMode="External"/><Relationship Id="rId829" Type="http://schemas.openxmlformats.org/officeDocument/2006/relationships/hyperlink" Target="https://twitter.com/EUCouncilTVNews/status/2343199556" TargetMode="External"/><Relationship Id="rId1014" Type="http://schemas.openxmlformats.org/officeDocument/2006/relationships/hyperlink" Target="http://twiplomacy.com/info/europe/Malta" TargetMode="External"/><Relationship Id="rId1221" Type="http://schemas.openxmlformats.org/officeDocument/2006/relationships/hyperlink" Target="http://twiplomacy.com/info/europe/Turkey" TargetMode="External"/><Relationship Id="rId1666" Type="http://schemas.openxmlformats.org/officeDocument/2006/relationships/hyperlink" Target="http://twiplomacy.com/info/south-america/Venezuela" TargetMode="External"/><Relationship Id="rId1873" Type="http://schemas.openxmlformats.org/officeDocument/2006/relationships/hyperlink" Target="https://twitter.com/MFAIraq" TargetMode="External"/><Relationship Id="rId2717" Type="http://schemas.openxmlformats.org/officeDocument/2006/relationships/hyperlink" Target="https://twitter.com/MFAIceland/lists/icelandic-missions/members" TargetMode="External"/><Relationship Id="rId1319" Type="http://schemas.openxmlformats.org/officeDocument/2006/relationships/hyperlink" Target="http://twiplomacy.com/info/north-america/Bahamas" TargetMode="External"/><Relationship Id="rId1526" Type="http://schemas.openxmlformats.org/officeDocument/2006/relationships/hyperlink" Target="https://twitter.com/TurnbullMalcolm/lists" TargetMode="External"/><Relationship Id="rId1733" Type="http://schemas.openxmlformats.org/officeDocument/2006/relationships/hyperlink" Target="http://twiplomacy.com/info/asia/Kazakhstan" TargetMode="External"/><Relationship Id="rId1940" Type="http://schemas.openxmlformats.org/officeDocument/2006/relationships/hyperlink" Target="https://twitter.com/govofvanuatu" TargetMode="External"/><Relationship Id="rId25" Type="http://schemas.openxmlformats.org/officeDocument/2006/relationships/hyperlink" Target="https://twitter.com/presidenciaCV/statuses/202126169104064512" TargetMode="External"/><Relationship Id="rId1800" Type="http://schemas.openxmlformats.org/officeDocument/2006/relationships/hyperlink" Target="https://twitter.com/VladaCG" TargetMode="External"/><Relationship Id="rId174" Type="http://schemas.openxmlformats.org/officeDocument/2006/relationships/hyperlink" Target="http://twiplomacy.com/info/africa/Rwanda" TargetMode="External"/><Relationship Id="rId381" Type="http://schemas.openxmlformats.org/officeDocument/2006/relationships/hyperlink" Target="http://twiplomacy.com/info/asia/Indonesia" TargetMode="External"/><Relationship Id="rId2062" Type="http://schemas.openxmlformats.org/officeDocument/2006/relationships/hyperlink" Target="https://twitter.com/RT_Erdogan" TargetMode="External"/><Relationship Id="rId241" Type="http://schemas.openxmlformats.org/officeDocument/2006/relationships/hyperlink" Target="https://twitter.com/foreigntanzania/statuses/433904532796342272" TargetMode="External"/><Relationship Id="rId479" Type="http://schemas.openxmlformats.org/officeDocument/2006/relationships/hyperlink" Target="https://twitter.com/ortcomkzE/statuses/290055379340103682" TargetMode="External"/><Relationship Id="rId686" Type="http://schemas.openxmlformats.org/officeDocument/2006/relationships/hyperlink" Target="https://twitter.com/UAEmGov/statuses/31972718500904960" TargetMode="External"/><Relationship Id="rId893" Type="http://schemas.openxmlformats.org/officeDocument/2006/relationships/hyperlink" Target="https://twitter.com/AuswaertigesAmt/statuses/65336564254904320" TargetMode="External"/><Relationship Id="rId2367" Type="http://schemas.openxmlformats.org/officeDocument/2006/relationships/hyperlink" Target="https://twitter.com/tsheringtobgay" TargetMode="External"/><Relationship Id="rId2574" Type="http://schemas.openxmlformats.org/officeDocument/2006/relationships/hyperlink" Target="https://twitter.com/Petrit/lists" TargetMode="External"/><Relationship Id="rId339" Type="http://schemas.openxmlformats.org/officeDocument/2006/relationships/hyperlink" Target="https://twitter.com/PRepublicaTL/statuses/250514675006046208" TargetMode="External"/><Relationship Id="rId546" Type="http://schemas.openxmlformats.org/officeDocument/2006/relationships/hyperlink" Target="http://twiplomacy.com/info/asia/Nepal" TargetMode="External"/><Relationship Id="rId753" Type="http://schemas.openxmlformats.org/officeDocument/2006/relationships/hyperlink" Target="https://twitter.com/MVEP_hr/mvep/members" TargetMode="External"/><Relationship Id="rId1176" Type="http://schemas.openxmlformats.org/officeDocument/2006/relationships/hyperlink" Target="https://twitter.com/CasaReal/statuses/469054329107001344" TargetMode="External"/><Relationship Id="rId1383" Type="http://schemas.openxmlformats.org/officeDocument/2006/relationships/hyperlink" Target="http://twiplomacy.com/info/north-america/El-Salvador" TargetMode="External"/><Relationship Id="rId2227" Type="http://schemas.openxmlformats.org/officeDocument/2006/relationships/hyperlink" Target="https://twitter.com/GovernAndorra" TargetMode="External"/><Relationship Id="rId2434" Type="http://schemas.openxmlformats.org/officeDocument/2006/relationships/hyperlink" Target="https://twitter.com/NGRPresident" TargetMode="External"/><Relationship Id="rId101" Type="http://schemas.openxmlformats.org/officeDocument/2006/relationships/hyperlink" Target="http://twiplomacy.com/info/africa/Ivory-Coast" TargetMode="External"/><Relationship Id="rId406" Type="http://schemas.openxmlformats.org/officeDocument/2006/relationships/hyperlink" Target="https://twitter.com/HaiderAlAbadi/lists" TargetMode="External"/><Relationship Id="rId960" Type="http://schemas.openxmlformats.org/officeDocument/2006/relationships/hyperlink" Target="http://twiplomacy.com/info/europe/Kosovo" TargetMode="External"/><Relationship Id="rId1036" Type="http://schemas.openxmlformats.org/officeDocument/2006/relationships/hyperlink" Target="https://twitter.com/GovMonaco/lists" TargetMode="External"/><Relationship Id="rId1243" Type="http://schemas.openxmlformats.org/officeDocument/2006/relationships/hyperlink" Target="https://twitter.com/trpresidency/statuses/91494898477449216" TargetMode="External"/><Relationship Id="rId1590" Type="http://schemas.openxmlformats.org/officeDocument/2006/relationships/hyperlink" Target="http://twiplomacy.com/info/south-america/Chile" TargetMode="External"/><Relationship Id="rId1688" Type="http://schemas.openxmlformats.org/officeDocument/2006/relationships/hyperlink" Target="http://twiplomacy.com/info/south-america/Venezuela" TargetMode="External"/><Relationship Id="rId1895" Type="http://schemas.openxmlformats.org/officeDocument/2006/relationships/hyperlink" Target="https://twitter.com/maduro_ja" TargetMode="External"/><Relationship Id="rId2641" Type="http://schemas.openxmlformats.org/officeDocument/2006/relationships/hyperlink" Target="https://twitter.com/IsraelHebrew" TargetMode="External"/><Relationship Id="rId2739" Type="http://schemas.openxmlformats.org/officeDocument/2006/relationships/hyperlink" Target="https://twitter.com/CyprusMFA/lists" TargetMode="External"/><Relationship Id="rId613" Type="http://schemas.openxmlformats.org/officeDocument/2006/relationships/hyperlink" Target="https://twitter.com/GH_PARK/most-liked/members" TargetMode="External"/><Relationship Id="rId820" Type="http://schemas.openxmlformats.org/officeDocument/2006/relationships/hyperlink" Target="http://twiplomacy.com/info/europe/Italy" TargetMode="External"/><Relationship Id="rId918" Type="http://schemas.openxmlformats.org/officeDocument/2006/relationships/hyperlink" Target="http://twiplomacy.com/info/europe/Iceland" TargetMode="External"/><Relationship Id="rId1450" Type="http://schemas.openxmlformats.org/officeDocument/2006/relationships/hyperlink" Target="https://twitter.com/CancilleriaPA/statuses/274592518270775296" TargetMode="External"/><Relationship Id="rId1548" Type="http://schemas.openxmlformats.org/officeDocument/2006/relationships/hyperlink" Target="http://twiplomacy.com/info/oceania/Palau" TargetMode="External"/><Relationship Id="rId1755" Type="http://schemas.openxmlformats.org/officeDocument/2006/relationships/hyperlink" Target="https://twitter.com/eGovMalta/lists" TargetMode="External"/><Relationship Id="rId2501" Type="http://schemas.openxmlformats.org/officeDocument/2006/relationships/hyperlink" Target="https://twitter.com/PierreNkurunziz" TargetMode="External"/><Relationship Id="rId1103" Type="http://schemas.openxmlformats.org/officeDocument/2006/relationships/hyperlink" Target="http://twiplomacy.com/info/europe/Romania" TargetMode="External"/><Relationship Id="rId1310" Type="http://schemas.openxmlformats.org/officeDocument/2006/relationships/hyperlink" Target="http://twiplomacy.com/info/europe/Vatican" TargetMode="External"/><Relationship Id="rId1408" Type="http://schemas.openxmlformats.org/officeDocument/2006/relationships/hyperlink" Target="http://twiplomacy.com/info/north-america/Honduras" TargetMode="External"/><Relationship Id="rId1962" Type="http://schemas.openxmlformats.org/officeDocument/2006/relationships/hyperlink" Target="https://twitter.com/USAemPortugues" TargetMode="External"/><Relationship Id="rId47" Type="http://schemas.openxmlformats.org/officeDocument/2006/relationships/hyperlink" Target="https://twitter.com/DjibPrimature/status/436177407557390336" TargetMode="External"/><Relationship Id="rId1615" Type="http://schemas.openxmlformats.org/officeDocument/2006/relationships/hyperlink" Target="https://twitter.com/CancilleriaEc/lists" TargetMode="External"/><Relationship Id="rId1822" Type="http://schemas.openxmlformats.org/officeDocument/2006/relationships/hyperlink" Target="https://twitter.com/SusanaMalcorra/status/684861049233891329" TargetMode="External"/><Relationship Id="rId196" Type="http://schemas.openxmlformats.org/officeDocument/2006/relationships/hyperlink" Target="http://twiplomacy.com/info/africa/Seychelles" TargetMode="External"/><Relationship Id="rId2084" Type="http://schemas.openxmlformats.org/officeDocument/2006/relationships/hyperlink" Target="https://twitter.com/DacicIvica" TargetMode="External"/><Relationship Id="rId2291" Type="http://schemas.openxmlformats.org/officeDocument/2006/relationships/hyperlink" Target="https://twitter.com/ts_elbegdorj" TargetMode="External"/><Relationship Id="rId263" Type="http://schemas.openxmlformats.org/officeDocument/2006/relationships/hyperlink" Target="https://twitter.com/PMTunisie/status/55960111939715073" TargetMode="External"/><Relationship Id="rId470" Type="http://schemas.openxmlformats.org/officeDocument/2006/relationships/hyperlink" Target="https://twitter.com/KarimMassimov/statuses/50892736022323200" TargetMode="External"/><Relationship Id="rId2151" Type="http://schemas.openxmlformats.org/officeDocument/2006/relationships/hyperlink" Target="https://twitter.com/ItalyMFA" TargetMode="External"/><Relationship Id="rId2389" Type="http://schemas.openxmlformats.org/officeDocument/2006/relationships/hyperlink" Target="https://twitter.com/UgandaMediaCent" TargetMode="External"/><Relationship Id="rId2596" Type="http://schemas.openxmlformats.org/officeDocument/2006/relationships/hyperlink" Target="https://twitter.com/primaturebj" TargetMode="External"/><Relationship Id="rId123" Type="http://schemas.openxmlformats.org/officeDocument/2006/relationships/hyperlink" Target="http://twiplomacy.com/info/africa/Libya" TargetMode="External"/><Relationship Id="rId330" Type="http://schemas.openxmlformats.org/officeDocument/2006/relationships/hyperlink" Target="https://twitter.com/PMOBhutan/lists" TargetMode="External"/><Relationship Id="rId568" Type="http://schemas.openxmlformats.org/officeDocument/2006/relationships/hyperlink" Target="https://twitter.com/PM_GOV_PG/status/504969369974083584" TargetMode="External"/><Relationship Id="rId775" Type="http://schemas.openxmlformats.org/officeDocument/2006/relationships/hyperlink" Target="https://twitter.com/mzvcr/lists" TargetMode="External"/><Relationship Id="rId982" Type="http://schemas.openxmlformats.org/officeDocument/2006/relationships/hyperlink" Target="https://twitter.com/Latvian_MFA/lists" TargetMode="External"/><Relationship Id="rId1198" Type="http://schemas.openxmlformats.org/officeDocument/2006/relationships/hyperlink" Target="http://twiplomacy.com/info/europe/sweden/" TargetMode="External"/><Relationship Id="rId2011" Type="http://schemas.openxmlformats.org/officeDocument/2006/relationships/hyperlink" Target="https://twitter.com/NoticiaCR" TargetMode="External"/><Relationship Id="rId2249" Type="http://schemas.openxmlformats.org/officeDocument/2006/relationships/hyperlink" Target="https://twitter.com/MFA_SriLanka" TargetMode="External"/><Relationship Id="rId2456" Type="http://schemas.openxmlformats.org/officeDocument/2006/relationships/hyperlink" Target="https://twitter.com/PSCU_Digital" TargetMode="External"/><Relationship Id="rId2663" Type="http://schemas.openxmlformats.org/officeDocument/2006/relationships/hyperlink" Target="https://twitter.com/maduro_ru/status/716988999559200769" TargetMode="External"/><Relationship Id="rId428" Type="http://schemas.openxmlformats.org/officeDocument/2006/relationships/hyperlink" Target="http://twiplomacy.com/info/asia/Israel" TargetMode="External"/><Relationship Id="rId635" Type="http://schemas.openxmlformats.org/officeDocument/2006/relationships/hyperlink" Target="http://twiplomacy.com/info/asia/Sri-Lanka" TargetMode="External"/><Relationship Id="rId842" Type="http://schemas.openxmlformats.org/officeDocument/2006/relationships/hyperlink" Target="http://twiplomacy.com/info/europe/Finland" TargetMode="External"/><Relationship Id="rId1058" Type="http://schemas.openxmlformats.org/officeDocument/2006/relationships/hyperlink" Target="http://twiplomacy.com/info/europe/Netherlands" TargetMode="External"/><Relationship Id="rId1265" Type="http://schemas.openxmlformats.org/officeDocument/2006/relationships/hyperlink" Target="https://twitter.com/MFA_Ukraine/statuses/504734047030239232" TargetMode="External"/><Relationship Id="rId1472" Type="http://schemas.openxmlformats.org/officeDocument/2006/relationships/hyperlink" Target="https://twitter.com/otptt/status/461240146902679552" TargetMode="External"/><Relationship Id="rId2109" Type="http://schemas.openxmlformats.org/officeDocument/2006/relationships/hyperlink" Target="https://twitter.com/AndrzejDuda" TargetMode="External"/><Relationship Id="rId2316" Type="http://schemas.openxmlformats.org/officeDocument/2006/relationships/hyperlink" Target="https://twitter.com/PrimeMinistry" TargetMode="External"/><Relationship Id="rId2523" Type="http://schemas.openxmlformats.org/officeDocument/2006/relationships/hyperlink" Target="http://twiplomacy.com/info/north-america/Dominica" TargetMode="External"/><Relationship Id="rId2730" Type="http://schemas.openxmlformats.org/officeDocument/2006/relationships/hyperlink" Target="https://twitter.com/BelarusMFA/lists/belarus-diplomacy/members" TargetMode="External"/><Relationship Id="rId702" Type="http://schemas.openxmlformats.org/officeDocument/2006/relationships/hyperlink" Target="https://twitter.com/AlbanianMFA/statuses/13914634052" TargetMode="External"/><Relationship Id="rId1125" Type="http://schemas.openxmlformats.org/officeDocument/2006/relationships/hyperlink" Target="https://twitter.com/GovernmentRF/statuses/228371123514007552" TargetMode="External"/><Relationship Id="rId1332" Type="http://schemas.openxmlformats.org/officeDocument/2006/relationships/hyperlink" Target="http://twiplomacy.com/info/north-america/Canada" TargetMode="External"/><Relationship Id="rId1777" Type="http://schemas.openxmlformats.org/officeDocument/2006/relationships/hyperlink" Target="https://twitter.com/RashtrapatiBhvn" TargetMode="External"/><Relationship Id="rId1984" Type="http://schemas.openxmlformats.org/officeDocument/2006/relationships/hyperlink" Target="https://twitter.com/JC_Varela" TargetMode="External"/><Relationship Id="rId69" Type="http://schemas.openxmlformats.org/officeDocument/2006/relationships/hyperlink" Target="https://twitter.com/PresidentABO/status/564688019828248576" TargetMode="External"/><Relationship Id="rId1637" Type="http://schemas.openxmlformats.org/officeDocument/2006/relationships/hyperlink" Target="https://twitter.com/Ollanta_HumalaT/statuses/15295318521" TargetMode="External"/><Relationship Id="rId1844" Type="http://schemas.openxmlformats.org/officeDocument/2006/relationships/hyperlink" Target="https://twitter.com/MFASriLanka" TargetMode="External"/><Relationship Id="rId1704" Type="http://schemas.openxmlformats.org/officeDocument/2006/relationships/hyperlink" Target="http://twiplomacy.com/info/africa/Burkina-Faso" TargetMode="External"/><Relationship Id="rId285" Type="http://schemas.openxmlformats.org/officeDocument/2006/relationships/hyperlink" Target="http://twiplomacy.com/info/asia/Afghanistan" TargetMode="External"/><Relationship Id="rId1911" Type="http://schemas.openxmlformats.org/officeDocument/2006/relationships/hyperlink" Target="https://twitter.com/Bouterse2015" TargetMode="External"/><Relationship Id="rId492" Type="http://schemas.openxmlformats.org/officeDocument/2006/relationships/hyperlink" Target="http://twiplomacy.com/info/asia/Kyrgyzstan" TargetMode="External"/><Relationship Id="rId797" Type="http://schemas.openxmlformats.org/officeDocument/2006/relationships/hyperlink" Target="http://twiplomacy.com/info/europe/Estonia" TargetMode="External"/><Relationship Id="rId2173" Type="http://schemas.openxmlformats.org/officeDocument/2006/relationships/hyperlink" Target="https://twitter.com/francediplo_ES" TargetMode="External"/><Relationship Id="rId2380" Type="http://schemas.openxmlformats.org/officeDocument/2006/relationships/hyperlink" Target="https://twitter.com/SalahRabbani" TargetMode="External"/><Relationship Id="rId2478" Type="http://schemas.openxmlformats.org/officeDocument/2006/relationships/hyperlink" Target="https://twitter.com/mfaethiopia" TargetMode="External"/><Relationship Id="rId145" Type="http://schemas.openxmlformats.org/officeDocument/2006/relationships/hyperlink" Target="http://twiplomacy.com/info/africa/Morocco" TargetMode="External"/><Relationship Id="rId352" Type="http://schemas.openxmlformats.org/officeDocument/2006/relationships/hyperlink" Target="https://twitter.com/RashtrapatiBhvn/status/483899889462419456" TargetMode="External"/><Relationship Id="rId1287" Type="http://schemas.openxmlformats.org/officeDocument/2006/relationships/hyperlink" Target="https://twitter.com/foreignoffice/lists" TargetMode="External"/><Relationship Id="rId2033" Type="http://schemas.openxmlformats.org/officeDocument/2006/relationships/hyperlink" Target="https://twitter.com/Pontifex" TargetMode="External"/><Relationship Id="rId2240" Type="http://schemas.openxmlformats.org/officeDocument/2006/relationships/hyperlink" Target="https://twitter.com/MFAThai_PR_EN" TargetMode="External"/><Relationship Id="rId2685" Type="http://schemas.openxmlformats.org/officeDocument/2006/relationships/hyperlink" Target="https://twitter.com/MichelTemer" TargetMode="External"/><Relationship Id="rId212" Type="http://schemas.openxmlformats.org/officeDocument/2006/relationships/hyperlink" Target="http://twiplomacy.com/info/africa/Somalia" TargetMode="External"/><Relationship Id="rId657" Type="http://schemas.openxmlformats.org/officeDocument/2006/relationships/hyperlink" Target="https://twitter.com/MFA_Tajikistan/lists" TargetMode="External"/><Relationship Id="rId864" Type="http://schemas.openxmlformats.org/officeDocument/2006/relationships/hyperlink" Target="https://twitter.com/manuelvalls/status/504574044071788544" TargetMode="External"/><Relationship Id="rId1494" Type="http://schemas.openxmlformats.org/officeDocument/2006/relationships/hyperlink" Target="https://twitter.com/StateDept/statuses/357664992" TargetMode="External"/><Relationship Id="rId1799" Type="http://schemas.openxmlformats.org/officeDocument/2006/relationships/hyperlink" Target="https://twitter.com/GovMonaco" TargetMode="External"/><Relationship Id="rId2100" Type="http://schemas.openxmlformats.org/officeDocument/2006/relationships/hyperlink" Target="https://twitter.com/KlausIohannis" TargetMode="External"/><Relationship Id="rId2338" Type="http://schemas.openxmlformats.org/officeDocument/2006/relationships/hyperlink" Target="https://twitter.com/Khamenei_es" TargetMode="External"/><Relationship Id="rId2545" Type="http://schemas.openxmlformats.org/officeDocument/2006/relationships/hyperlink" Target="https://twitter.com/OPMUganda/lists" TargetMode="External"/><Relationship Id="rId517" Type="http://schemas.openxmlformats.org/officeDocument/2006/relationships/hyperlink" Target="http://twiplomacy.com/info/asia/Maldives" TargetMode="External"/><Relationship Id="rId724" Type="http://schemas.openxmlformats.org/officeDocument/2006/relationships/hyperlink" Target="http://twiplomacy.com/info/europe/Belgium" TargetMode="External"/><Relationship Id="rId931" Type="http://schemas.openxmlformats.org/officeDocument/2006/relationships/hyperlink" Target="http://twiplomacy.com/info/europe/Ireland" TargetMode="External"/><Relationship Id="rId1147" Type="http://schemas.openxmlformats.org/officeDocument/2006/relationships/hyperlink" Target="https://twitter.com/vladaOCDrs/status/253137853654106113" TargetMode="External"/><Relationship Id="rId1354" Type="http://schemas.openxmlformats.org/officeDocument/2006/relationships/hyperlink" Target="http://twiplomacy.com/info/north-america/Costa-Rica" TargetMode="External"/><Relationship Id="rId1561" Type="http://schemas.openxmlformats.org/officeDocument/2006/relationships/hyperlink" Target="https://twitter.com/mauriciomacri/lists" TargetMode="External"/><Relationship Id="rId2405" Type="http://schemas.openxmlformats.org/officeDocument/2006/relationships/hyperlink" Target="https://twitter.com/mofasudan" TargetMode="External"/><Relationship Id="rId2612" Type="http://schemas.openxmlformats.org/officeDocument/2006/relationships/hyperlink" Target="https://twitter.com/Kungahuset/lists" TargetMode="External"/><Relationship Id="rId60" Type="http://schemas.openxmlformats.org/officeDocument/2006/relationships/hyperlink" Target="https://twitter.com/EgyPresidency/statuses/286518889595158528" TargetMode="External"/><Relationship Id="rId1007" Type="http://schemas.openxmlformats.org/officeDocument/2006/relationships/hyperlink" Target="http://twiplomacy.com/info/europe/Luxembourg" TargetMode="External"/><Relationship Id="rId1214" Type="http://schemas.openxmlformats.org/officeDocument/2006/relationships/hyperlink" Target="http://twiplomacy.com/info/europe/Turkey" TargetMode="External"/><Relationship Id="rId1421" Type="http://schemas.openxmlformats.org/officeDocument/2006/relationships/hyperlink" Target="http://twiplomacy.com/info/north-america/Mexico" TargetMode="External"/><Relationship Id="rId1659" Type="http://schemas.openxmlformats.org/officeDocument/2006/relationships/hyperlink" Target="https://twitter.com/TabareVazquez/status/1360820300" TargetMode="External"/><Relationship Id="rId1866" Type="http://schemas.openxmlformats.org/officeDocument/2006/relationships/hyperlink" Target="https://twitter.com/MaldivesPO" TargetMode="External"/><Relationship Id="rId1519" Type="http://schemas.openxmlformats.org/officeDocument/2006/relationships/hyperlink" Target="https://twitter.com/USApoRusski/statuses/39989290742190080" TargetMode="External"/><Relationship Id="rId1726" Type="http://schemas.openxmlformats.org/officeDocument/2006/relationships/hyperlink" Target="https://twitter.com/govtofgeorgia/statuses/1464314026" TargetMode="External"/><Relationship Id="rId1933" Type="http://schemas.openxmlformats.org/officeDocument/2006/relationships/hyperlink" Target="https://twitter.com/imprensaPR" TargetMode="External"/><Relationship Id="rId18" Type="http://schemas.openxmlformats.org/officeDocument/2006/relationships/hyperlink" Target="https://twitter.com/BdiPresidence/statuses/165502877253644288" TargetMode="External"/><Relationship Id="rId2195" Type="http://schemas.openxmlformats.org/officeDocument/2006/relationships/hyperlink" Target="https://twitter.com/IlvesToomas" TargetMode="External"/><Relationship Id="rId167" Type="http://schemas.openxmlformats.org/officeDocument/2006/relationships/hyperlink" Target="http://twiplomacy.com/info/africa/Nigeria" TargetMode="External"/><Relationship Id="rId374" Type="http://schemas.openxmlformats.org/officeDocument/2006/relationships/hyperlink" Target="https://twitter.com/IstanaRakyat/statuses/321258110285144064" TargetMode="External"/><Relationship Id="rId581" Type="http://schemas.openxmlformats.org/officeDocument/2006/relationships/hyperlink" Target="http://twiplomacy.com/info/asia/Qatar" TargetMode="External"/><Relationship Id="rId2055" Type="http://schemas.openxmlformats.org/officeDocument/2006/relationships/hyperlink" Target="https://twitter.com/MFATurkeyArabic" TargetMode="External"/><Relationship Id="rId2262" Type="http://schemas.openxmlformats.org/officeDocument/2006/relationships/hyperlink" Target="https://twitter.com/KSAMOFA" TargetMode="External"/><Relationship Id="rId234" Type="http://schemas.openxmlformats.org/officeDocument/2006/relationships/hyperlink" Target="http://twiplomacy.com/info/africa/South-Sudan" TargetMode="External"/><Relationship Id="rId679" Type="http://schemas.openxmlformats.org/officeDocument/2006/relationships/hyperlink" Target="https://twitter.com/MOFAUAE/statuses/207060001943064576" TargetMode="External"/><Relationship Id="rId886" Type="http://schemas.openxmlformats.org/officeDocument/2006/relationships/hyperlink" Target="https://twitter.com/French_Gov/lists" TargetMode="External"/><Relationship Id="rId2567" Type="http://schemas.openxmlformats.org/officeDocument/2006/relationships/hyperlink" Target="http://twiplomacy.com/info/north-america/Canada" TargetMode="External"/><Relationship Id="rId2" Type="http://schemas.openxmlformats.org/officeDocument/2006/relationships/hyperlink" Target="https://twitter.com/AMSellal/status/449587672630427649" TargetMode="External"/><Relationship Id="rId441" Type="http://schemas.openxmlformats.org/officeDocument/2006/relationships/hyperlink" Target="http://twiplomacy.com/info/asia/japan/" TargetMode="External"/><Relationship Id="rId539" Type="http://schemas.openxmlformats.org/officeDocument/2006/relationships/hyperlink" Target="http://twiplomacy.com/info/asia/Mongolia" TargetMode="External"/><Relationship Id="rId746" Type="http://schemas.openxmlformats.org/officeDocument/2006/relationships/hyperlink" Target="http://twiplomacy.com/info/europe/Croatia" TargetMode="External"/><Relationship Id="rId1071" Type="http://schemas.openxmlformats.org/officeDocument/2006/relationships/hyperlink" Target="http://twiplomacy.com/info/europe/Norway" TargetMode="External"/><Relationship Id="rId1169" Type="http://schemas.openxmlformats.org/officeDocument/2006/relationships/hyperlink" Target="http://twiplomacy.com/info/europe/Slovenia" TargetMode="External"/><Relationship Id="rId1376" Type="http://schemas.openxmlformats.org/officeDocument/2006/relationships/hyperlink" Target="https://twitter.com/PresidenciaRD/status/304725681437302784" TargetMode="External"/><Relationship Id="rId1583" Type="http://schemas.openxmlformats.org/officeDocument/2006/relationships/hyperlink" Target="http://twiplomacy.com/info/south-america/Brazil" TargetMode="External"/><Relationship Id="rId2122" Type="http://schemas.openxmlformats.org/officeDocument/2006/relationships/hyperlink" Target="https://twitter.com/MeGovernment" TargetMode="External"/><Relationship Id="rId2427" Type="http://schemas.openxmlformats.org/officeDocument/2006/relationships/hyperlink" Target="https://twitter.com/PrimatureRwanda" TargetMode="External"/><Relationship Id="rId301" Type="http://schemas.openxmlformats.org/officeDocument/2006/relationships/hyperlink" Target="https://twitter.com/MFAofArmenia/statuses/182418768885059584" TargetMode="External"/><Relationship Id="rId953" Type="http://schemas.openxmlformats.org/officeDocument/2006/relationships/hyperlink" Target="https://twitter.com/PaoloGentiloni/lists" TargetMode="External"/><Relationship Id="rId1029" Type="http://schemas.openxmlformats.org/officeDocument/2006/relationships/hyperlink" Target="https://twitter.com/Diplomacy_RM/statuses/256669560319655936" TargetMode="External"/><Relationship Id="rId1236" Type="http://schemas.openxmlformats.org/officeDocument/2006/relationships/hyperlink" Target="https://twitter.com/anadoluagency/status/540167096609828864" TargetMode="External"/><Relationship Id="rId1790" Type="http://schemas.openxmlformats.org/officeDocument/2006/relationships/hyperlink" Target="https://twitter.com/fil_gouv" TargetMode="External"/><Relationship Id="rId1888" Type="http://schemas.openxmlformats.org/officeDocument/2006/relationships/hyperlink" Target="https://twitter.com/BeninMae" TargetMode="External"/><Relationship Id="rId2634" Type="http://schemas.openxmlformats.org/officeDocument/2006/relationships/hyperlink" Target="https://twitter.com/ChileMFA" TargetMode="External"/><Relationship Id="rId82" Type="http://schemas.openxmlformats.org/officeDocument/2006/relationships/hyperlink" Target="http://twiplomacy.com/info/africa/Ghana" TargetMode="External"/><Relationship Id="rId606" Type="http://schemas.openxmlformats.org/officeDocument/2006/relationships/hyperlink" Target="https://twitter.com/MFAsg/statuses/7628125395" TargetMode="External"/><Relationship Id="rId813" Type="http://schemas.openxmlformats.org/officeDocument/2006/relationships/hyperlink" Target="http://twiplomacy.com/info/europe/Europe" TargetMode="External"/><Relationship Id="rId1443" Type="http://schemas.openxmlformats.org/officeDocument/2006/relationships/hyperlink" Target="http://twiplomacy.com/info/north-america/Panama" TargetMode="External"/><Relationship Id="rId1650" Type="http://schemas.openxmlformats.org/officeDocument/2006/relationships/hyperlink" Target="https://twitter.com/Bouterse2015/status/573194897156673536" TargetMode="External"/><Relationship Id="rId1748" Type="http://schemas.openxmlformats.org/officeDocument/2006/relationships/hyperlink" Target="https://twitter.com/MFAThai_Pol/statuses/12984719720" TargetMode="External"/><Relationship Id="rId2701" Type="http://schemas.openxmlformats.org/officeDocument/2006/relationships/hyperlink" Target="https://twitter.com/tcbestepe/statuses/703276931324706816" TargetMode="External"/><Relationship Id="rId1303" Type="http://schemas.openxmlformats.org/officeDocument/2006/relationships/hyperlink" Target="https://twitter.com/Pontifex_ln/statuses/313247631130374144" TargetMode="External"/><Relationship Id="rId1510" Type="http://schemas.openxmlformats.org/officeDocument/2006/relationships/hyperlink" Target="http://twiplomacy.com/info/north-america/United-States" TargetMode="External"/><Relationship Id="rId1955" Type="http://schemas.openxmlformats.org/officeDocument/2006/relationships/hyperlink" Target="https://twitter.com/USAbilAraby" TargetMode="External"/><Relationship Id="rId1608" Type="http://schemas.openxmlformats.org/officeDocument/2006/relationships/hyperlink" Target="https://twitter.com/CancilleriaCol/statuses/108231508430561280" TargetMode="External"/><Relationship Id="rId1815" Type="http://schemas.openxmlformats.org/officeDocument/2006/relationships/hyperlink" Target="https://twitter.com/CancilleriaEc" TargetMode="External"/><Relationship Id="rId189" Type="http://schemas.openxmlformats.org/officeDocument/2006/relationships/hyperlink" Target="http://twiplomacy.com/info/africa/Sao-Tome-and-Principe" TargetMode="External"/><Relationship Id="rId396" Type="http://schemas.openxmlformats.org/officeDocument/2006/relationships/hyperlink" Target="https://twitter.com/IranMFA/lists" TargetMode="External"/><Relationship Id="rId2077" Type="http://schemas.openxmlformats.org/officeDocument/2006/relationships/hyperlink" Target="https://twitter.com/BorutPahor" TargetMode="External"/><Relationship Id="rId2284" Type="http://schemas.openxmlformats.org/officeDocument/2006/relationships/hyperlink" Target="https://twitter.com/kpsharmaoli" TargetMode="External"/><Relationship Id="rId2491" Type="http://schemas.openxmlformats.org/officeDocument/2006/relationships/hyperlink" Target="https://twitter.com/dhoinine" TargetMode="External"/><Relationship Id="rId256" Type="http://schemas.openxmlformats.org/officeDocument/2006/relationships/hyperlink" Target="https://twitter.com/BejiCEOfficial/lists" TargetMode="External"/><Relationship Id="rId463" Type="http://schemas.openxmlformats.org/officeDocument/2006/relationships/hyperlink" Target="https://twitter.com/NasserJudeh/statuses/3513495561" TargetMode="External"/><Relationship Id="rId670" Type="http://schemas.openxmlformats.org/officeDocument/2006/relationships/hyperlink" Target="https://twitter.com/MFAupdate/lists" TargetMode="External"/><Relationship Id="rId1093" Type="http://schemas.openxmlformats.org/officeDocument/2006/relationships/hyperlink" Target="http://twiplomacy.com/info/europe/Portugal" TargetMode="External"/><Relationship Id="rId2144" Type="http://schemas.openxmlformats.org/officeDocument/2006/relationships/hyperlink" Target="https://twitter.com/Arlietas" TargetMode="External"/><Relationship Id="rId2351" Type="http://schemas.openxmlformats.org/officeDocument/2006/relationships/hyperlink" Target="https://twitter.com/IndianDiplomacy" TargetMode="External"/><Relationship Id="rId2589" Type="http://schemas.openxmlformats.org/officeDocument/2006/relationships/hyperlink" Target="https://twitter.com/GuillaumeLong/Lists" TargetMode="External"/><Relationship Id="rId116" Type="http://schemas.openxmlformats.org/officeDocument/2006/relationships/hyperlink" Target="http://twiplomacy.com/info/africa/Kenya" TargetMode="External"/><Relationship Id="rId323" Type="http://schemas.openxmlformats.org/officeDocument/2006/relationships/hyperlink" Target="https://twitter.com/eGovBahrain/statuses/4907313499" TargetMode="External"/><Relationship Id="rId530" Type="http://schemas.openxmlformats.org/officeDocument/2006/relationships/hyperlink" Target="https://twitter.com/PurevsurenL/status/252947469015601152" TargetMode="External"/><Relationship Id="rId768" Type="http://schemas.openxmlformats.org/officeDocument/2006/relationships/hyperlink" Target="http://twiplomacy.com/info/europe/Czech-Republic" TargetMode="External"/><Relationship Id="rId975" Type="http://schemas.openxmlformats.org/officeDocument/2006/relationships/hyperlink" Target="https://twitter.com/edgarsrinkevics/statuses/530450808132108288" TargetMode="External"/><Relationship Id="rId1160" Type="http://schemas.openxmlformats.org/officeDocument/2006/relationships/hyperlink" Target="https://twitter.com/SlovakiaMFA/statuses/342986218872651776" TargetMode="External"/><Relationship Id="rId1398" Type="http://schemas.openxmlformats.org/officeDocument/2006/relationships/hyperlink" Target="https://twitter.com/jimmymoralesgt/lists" TargetMode="External"/><Relationship Id="rId2004" Type="http://schemas.openxmlformats.org/officeDocument/2006/relationships/hyperlink" Target="https://twitter.com/Andresnavarrog" TargetMode="External"/><Relationship Id="rId2211" Type="http://schemas.openxmlformats.org/officeDocument/2006/relationships/hyperlink" Target="https://twitter.com/uredprh" TargetMode="External"/><Relationship Id="rId2449" Type="http://schemas.openxmlformats.org/officeDocument/2006/relationships/hyperlink" Target="https://twitter.com/IBK_2013" TargetMode="External"/><Relationship Id="rId2656" Type="http://schemas.openxmlformats.org/officeDocument/2006/relationships/hyperlink" Target="https://twitter.com/ugolini_massimo/lists" TargetMode="External"/><Relationship Id="rId628" Type="http://schemas.openxmlformats.org/officeDocument/2006/relationships/hyperlink" Target="https://twitter.com/Govkorea/lists" TargetMode="External"/><Relationship Id="rId835" Type="http://schemas.openxmlformats.org/officeDocument/2006/relationships/hyperlink" Target="http://twiplomacy.com/info/europe/f-y-r-o-m/" TargetMode="External"/><Relationship Id="rId1258" Type="http://schemas.openxmlformats.org/officeDocument/2006/relationships/hyperlink" Target="https://twitter.com/Kabmin_UA/statuses/89243441346785280" TargetMode="External"/><Relationship Id="rId1465" Type="http://schemas.openxmlformats.org/officeDocument/2006/relationships/hyperlink" Target="https://twitter.com/pdhnisbett/statuses/439574209098825728" TargetMode="External"/><Relationship Id="rId1672" Type="http://schemas.openxmlformats.org/officeDocument/2006/relationships/hyperlink" Target="http://twiplomacy.com/info/south-america/Venezuela" TargetMode="External"/><Relationship Id="rId2309" Type="http://schemas.openxmlformats.org/officeDocument/2006/relationships/hyperlink" Target="https://twitter.com/ortcomkz" TargetMode="External"/><Relationship Id="rId2516" Type="http://schemas.openxmlformats.org/officeDocument/2006/relationships/hyperlink" Target="http://twiplomacy.com/info/africa/Tanzania" TargetMode="External"/><Relationship Id="rId2723" Type="http://schemas.openxmlformats.org/officeDocument/2006/relationships/hyperlink" Target="https://twitter.com/PresidenceMali/lists" TargetMode="External"/><Relationship Id="rId1020" Type="http://schemas.openxmlformats.org/officeDocument/2006/relationships/hyperlink" Target="https://twitter.com/DOImalta/status/48018696630841344" TargetMode="External"/><Relationship Id="rId1118" Type="http://schemas.openxmlformats.org/officeDocument/2006/relationships/hyperlink" Target="https://twitter.com/MID_RF/lists/b-%D0%9F%D0%BE%D1%81%D0%BE%D0%BB%D1%8C%D1%81%D1%82%D0%B2%D0%B0-%D0%B8-%D0%BC%D0%B8%D1%81%D1%81%D0%B8%D0%B8/members" TargetMode="External"/><Relationship Id="rId1325" Type="http://schemas.openxmlformats.org/officeDocument/2006/relationships/hyperlink" Target="https://twitter.com/BarrowDean/statuses/84011280540762112" TargetMode="External"/><Relationship Id="rId1532" Type="http://schemas.openxmlformats.org/officeDocument/2006/relationships/hyperlink" Target="https://twitter.com/FijiPM/statuses/130383485352419328" TargetMode="External"/><Relationship Id="rId1977" Type="http://schemas.openxmlformats.org/officeDocument/2006/relationships/hyperlink" Target="https://twitter.com/skngov" TargetMode="External"/><Relationship Id="rId902" Type="http://schemas.openxmlformats.org/officeDocument/2006/relationships/hyperlink" Target="https://twitter.com/atsipras/status/91106508863053824" TargetMode="External"/><Relationship Id="rId1837" Type="http://schemas.openxmlformats.org/officeDocument/2006/relationships/hyperlink" Target="https://twitter.com/MID_Tajikistan" TargetMode="External"/><Relationship Id="rId31" Type="http://schemas.openxmlformats.org/officeDocument/2006/relationships/hyperlink" Target="https://twitter.com/ID_Itno/statuses/439116871770849280" TargetMode="External"/><Relationship Id="rId2099" Type="http://schemas.openxmlformats.org/officeDocument/2006/relationships/hyperlink" Target="https://twitter.com/guv_ro" TargetMode="External"/><Relationship Id="rId180" Type="http://schemas.openxmlformats.org/officeDocument/2006/relationships/hyperlink" Target="https://twitter.com/RwandaGov/statuses/5866991989" TargetMode="External"/><Relationship Id="rId278" Type="http://schemas.openxmlformats.org/officeDocument/2006/relationships/hyperlink" Target="https://twitter.com/UgandaMFA/statuses/360050031337799682" TargetMode="External"/><Relationship Id="rId1904" Type="http://schemas.openxmlformats.org/officeDocument/2006/relationships/hyperlink" Target="https://twitter.com/maduro_pt" TargetMode="External"/><Relationship Id="rId485" Type="http://schemas.openxmlformats.org/officeDocument/2006/relationships/hyperlink" Target="https://twitter.com/UNHCRJo/status/608618148254887937" TargetMode="External"/><Relationship Id="rId692" Type="http://schemas.openxmlformats.org/officeDocument/2006/relationships/hyperlink" Target="http://twiplomacy.com/info/asia/Yemen" TargetMode="External"/><Relationship Id="rId2166" Type="http://schemas.openxmlformats.org/officeDocument/2006/relationships/hyperlink" Target="https://twitter.com/govgr" TargetMode="External"/><Relationship Id="rId2373" Type="http://schemas.openxmlformats.org/officeDocument/2006/relationships/hyperlink" Target="https://twitter.com/AzerbaijanPA" TargetMode="External"/><Relationship Id="rId2580" Type="http://schemas.openxmlformats.org/officeDocument/2006/relationships/hyperlink" Target="https://twitter.com/telle_serge/lists" TargetMode="External"/><Relationship Id="rId138" Type="http://schemas.openxmlformats.org/officeDocument/2006/relationships/hyperlink" Target="https://twitter.com/GouvMali/status/486808698141294592" TargetMode="External"/><Relationship Id="rId345" Type="http://schemas.openxmlformats.org/officeDocument/2006/relationships/hyperlink" Target="https://twitter.com/GovernmentGeo/statuses/407849984982151168" TargetMode="External"/><Relationship Id="rId552" Type="http://schemas.openxmlformats.org/officeDocument/2006/relationships/hyperlink" Target="http://twiplomacy.com/info/asia/Oman" TargetMode="External"/><Relationship Id="rId997" Type="http://schemas.openxmlformats.org/officeDocument/2006/relationships/hyperlink" Target="https://twitter.com/LinkeviciusL/statuses/285039288058519552" TargetMode="External"/><Relationship Id="rId1182" Type="http://schemas.openxmlformats.org/officeDocument/2006/relationships/hyperlink" Target="https://twitter.com/desdelamoncloa/statuses/46209277114851329" TargetMode="External"/><Relationship Id="rId2026" Type="http://schemas.openxmlformats.org/officeDocument/2006/relationships/hyperlink" Target="https://twitter.com/Pontifex_pl" TargetMode="External"/><Relationship Id="rId2233" Type="http://schemas.openxmlformats.org/officeDocument/2006/relationships/hyperlink" Target="https://twitter.com/HadiPresident" TargetMode="External"/><Relationship Id="rId2440" Type="http://schemas.openxmlformats.org/officeDocument/2006/relationships/hyperlink" Target="https://twitter.com/carlosarosario2" TargetMode="External"/><Relationship Id="rId2678" Type="http://schemas.openxmlformats.org/officeDocument/2006/relationships/hyperlink" Target="https://twitter.com/liljaalfreds/lists" TargetMode="External"/><Relationship Id="rId205" Type="http://schemas.openxmlformats.org/officeDocument/2006/relationships/hyperlink" Target="https://twitter.com/CommsUnitSL/statuses/240424403081515008" TargetMode="External"/><Relationship Id="rId412" Type="http://schemas.openxmlformats.org/officeDocument/2006/relationships/hyperlink" Target="https://twitter.com/IraqMFA/statuses/316225840050475008" TargetMode="External"/><Relationship Id="rId857" Type="http://schemas.openxmlformats.org/officeDocument/2006/relationships/hyperlink" Target="https://twitter.com/Statsradet/statuses/65419042596458496" TargetMode="External"/><Relationship Id="rId1042" Type="http://schemas.openxmlformats.org/officeDocument/2006/relationships/hyperlink" Target="https://twitter.com/koninklijkhuis/statuses/25481715212" TargetMode="External"/><Relationship Id="rId1487" Type="http://schemas.openxmlformats.org/officeDocument/2006/relationships/hyperlink" Target="https://twitter.com/WhiteHouse/lists" TargetMode="External"/><Relationship Id="rId1694" Type="http://schemas.openxmlformats.org/officeDocument/2006/relationships/hyperlink" Target="http://twiplomacy.com/info/africa/Djibouti" TargetMode="External"/><Relationship Id="rId2300" Type="http://schemas.openxmlformats.org/officeDocument/2006/relationships/hyperlink" Target="https://twitter.com/NajibRazak" TargetMode="External"/><Relationship Id="rId2538" Type="http://schemas.openxmlformats.org/officeDocument/2006/relationships/hyperlink" Target="https://twitter.com/Balozi_Mahiga/lists" TargetMode="External"/><Relationship Id="rId2745" Type="http://schemas.openxmlformats.org/officeDocument/2006/relationships/hyperlink" Target="https://twitter.com/MBA_AlThani_/status/715146303697731584" TargetMode="External"/><Relationship Id="rId717" Type="http://schemas.openxmlformats.org/officeDocument/2006/relationships/hyperlink" Target="https://twitter.com/MonarchieBe/statuses/375908416717615104" TargetMode="External"/><Relationship Id="rId924" Type="http://schemas.openxmlformats.org/officeDocument/2006/relationships/hyperlink" Target="https://twitter.com/md_higgins/statuses/7675506658" TargetMode="External"/><Relationship Id="rId1347" Type="http://schemas.openxmlformats.org/officeDocument/2006/relationships/hyperlink" Target="https://twitter.com/CanadaPE/statuses/17432708559" TargetMode="External"/><Relationship Id="rId1554" Type="http://schemas.openxmlformats.org/officeDocument/2006/relationships/hyperlink" Target="http://twiplomacy.com/info/oceania/Tuvalu" TargetMode="External"/><Relationship Id="rId1761" Type="http://schemas.openxmlformats.org/officeDocument/2006/relationships/hyperlink" Target="https://twitter.com/presidenciacr/statuses/91325683204239360" TargetMode="External"/><Relationship Id="rId1999" Type="http://schemas.openxmlformats.org/officeDocument/2006/relationships/hyperlink" Target="https://twitter.com/govgd" TargetMode="External"/><Relationship Id="rId2605" Type="http://schemas.openxmlformats.org/officeDocument/2006/relationships/hyperlink" Target="http://twiplomacy.com/info/africa/Niger" TargetMode="External"/><Relationship Id="rId53" Type="http://schemas.openxmlformats.org/officeDocument/2006/relationships/hyperlink" Target="https://twitter.com/egyptgovportal/statuses/3826194000" TargetMode="External"/><Relationship Id="rId1207" Type="http://schemas.openxmlformats.org/officeDocument/2006/relationships/hyperlink" Target="https://twitter.com/BR_Sprecher/statuses/212921588478263296" TargetMode="External"/><Relationship Id="rId1414" Type="http://schemas.openxmlformats.org/officeDocument/2006/relationships/hyperlink" Target="https://twitter.com/Presidencia_HN/lists/equipo-redes" TargetMode="External"/><Relationship Id="rId1621" Type="http://schemas.openxmlformats.org/officeDocument/2006/relationships/hyperlink" Target="https://twitter.com/PresDGranger/status/599067774590169088" TargetMode="External"/><Relationship Id="rId1859" Type="http://schemas.openxmlformats.org/officeDocument/2006/relationships/hyperlink" Target="https://twitter.com/mofa_uae" TargetMode="External"/><Relationship Id="rId1719" Type="http://schemas.openxmlformats.org/officeDocument/2006/relationships/hyperlink" Target="https://twitter.com/primatureci/statuses/272021017730363392" TargetMode="External"/><Relationship Id="rId1926" Type="http://schemas.openxmlformats.org/officeDocument/2006/relationships/hyperlink" Target="https://twitter.com/Minrel_Chile" TargetMode="External"/><Relationship Id="rId2090" Type="http://schemas.openxmlformats.org/officeDocument/2006/relationships/hyperlink" Target="https://twitter.com/KremlinRussia_E" TargetMode="External"/><Relationship Id="rId2188" Type="http://schemas.openxmlformats.org/officeDocument/2006/relationships/hyperlink" Target="https://twitter.com/eucopresident" TargetMode="External"/><Relationship Id="rId2395" Type="http://schemas.openxmlformats.org/officeDocument/2006/relationships/hyperlink" Target="https://twitter.com/Al_Kasbah" TargetMode="External"/><Relationship Id="rId367" Type="http://schemas.openxmlformats.org/officeDocument/2006/relationships/hyperlink" Target="https://twitter.com/MEAIndia/status/149091114085920768" TargetMode="External"/><Relationship Id="rId574" Type="http://schemas.openxmlformats.org/officeDocument/2006/relationships/hyperlink" Target="http://twiplomacy.com/info/asia/Philippines" TargetMode="External"/><Relationship Id="rId2048" Type="http://schemas.openxmlformats.org/officeDocument/2006/relationships/hyperlink" Target="https://twitter.com/MFATurkey" TargetMode="External"/><Relationship Id="rId2255" Type="http://schemas.openxmlformats.org/officeDocument/2006/relationships/hyperlink" Target="https://twitter.com/mofa_kr" TargetMode="External"/><Relationship Id="rId227" Type="http://schemas.openxmlformats.org/officeDocument/2006/relationships/hyperlink" Target="http://twiplomacy.com/info/africa/South-Africa" TargetMode="External"/><Relationship Id="rId781" Type="http://schemas.openxmlformats.org/officeDocument/2006/relationships/hyperlink" Target="http://twiplomacy.com/info/europe/Denmark" TargetMode="External"/><Relationship Id="rId879" Type="http://schemas.openxmlformats.org/officeDocument/2006/relationships/hyperlink" Target="https://twitter.com/Matignon/lists" TargetMode="External"/><Relationship Id="rId2462" Type="http://schemas.openxmlformats.org/officeDocument/2006/relationships/hyperlink" Target="https://twitter.com/Daniel_k_Duncan" TargetMode="External"/><Relationship Id="rId434" Type="http://schemas.openxmlformats.org/officeDocument/2006/relationships/hyperlink" Target="https://twitter.com/rubirivlin/lists" TargetMode="External"/><Relationship Id="rId641" Type="http://schemas.openxmlformats.org/officeDocument/2006/relationships/hyperlink" Target="https://twitter.com/MFA_SriLanka/status/444438497940611072" TargetMode="External"/><Relationship Id="rId739" Type="http://schemas.openxmlformats.org/officeDocument/2006/relationships/hyperlink" Target="https://twitter.com/DanielMitov/lists" TargetMode="External"/><Relationship Id="rId1064" Type="http://schemas.openxmlformats.org/officeDocument/2006/relationships/hyperlink" Target="https://twitter.com/Statsmin_kontor/lists" TargetMode="External"/><Relationship Id="rId1271" Type="http://schemas.openxmlformats.org/officeDocument/2006/relationships/hyperlink" Target="http://twiplomacy.com/info/europe/United-Kingdom" TargetMode="External"/><Relationship Id="rId1369" Type="http://schemas.openxmlformats.org/officeDocument/2006/relationships/hyperlink" Target="https://twitter.com/SkerritR/statuses/400051431085842432" TargetMode="External"/><Relationship Id="rId1576" Type="http://schemas.openxmlformats.org/officeDocument/2006/relationships/hyperlink" Target="https://twitter.com/imprensaPR/lists" TargetMode="External"/><Relationship Id="rId2115" Type="http://schemas.openxmlformats.org/officeDocument/2006/relationships/hyperlink" Target="https://twitter.com/Kronprinsparet" TargetMode="External"/><Relationship Id="rId2322" Type="http://schemas.openxmlformats.org/officeDocument/2006/relationships/hyperlink" Target="https://twitter.com/MofaJapan_en" TargetMode="External"/><Relationship Id="rId501" Type="http://schemas.openxmlformats.org/officeDocument/2006/relationships/hyperlink" Target="https://twitter.com/Gebran_Bassil/lists" TargetMode="External"/><Relationship Id="rId946" Type="http://schemas.openxmlformats.org/officeDocument/2006/relationships/hyperlink" Target="https://twitter.com/QuirinaleStampa/lists" TargetMode="External"/><Relationship Id="rId1131" Type="http://schemas.openxmlformats.org/officeDocument/2006/relationships/hyperlink" Target="http://twiplomacy.com/info/europe/Russia" TargetMode="External"/><Relationship Id="rId1229" Type="http://schemas.openxmlformats.org/officeDocument/2006/relationships/hyperlink" Target="http://twiplomacy.com/info/europe/Turkey" TargetMode="External"/><Relationship Id="rId1783" Type="http://schemas.openxmlformats.org/officeDocument/2006/relationships/hyperlink" Target="https://twitter.com/EUCouncil" TargetMode="External"/><Relationship Id="rId1990" Type="http://schemas.openxmlformats.org/officeDocument/2006/relationships/hyperlink" Target="https://twitter.com/SRECIHonduras" TargetMode="External"/><Relationship Id="rId2627" Type="http://schemas.openxmlformats.org/officeDocument/2006/relationships/hyperlink" Target="http://twiplomacy.com/info/north-america/Haiti" TargetMode="External"/><Relationship Id="rId75" Type="http://schemas.openxmlformats.org/officeDocument/2006/relationships/hyperlink" Target="https://twitter.com/PrimatureGabon/statuses/16756801778" TargetMode="External"/><Relationship Id="rId806" Type="http://schemas.openxmlformats.org/officeDocument/2006/relationships/hyperlink" Target="http://twiplomacy.com/info/europe/Europe" TargetMode="External"/><Relationship Id="rId1436" Type="http://schemas.openxmlformats.org/officeDocument/2006/relationships/hyperlink" Target="https://twitter.com/SRE_mx/lists" TargetMode="External"/><Relationship Id="rId1643" Type="http://schemas.openxmlformats.org/officeDocument/2006/relationships/hyperlink" Target="https://twitter.com/pcmperu/statuses/20996198569" TargetMode="External"/><Relationship Id="rId1850" Type="http://schemas.openxmlformats.org/officeDocument/2006/relationships/hyperlink" Target="https://twitter.com/FijiMFA" TargetMode="External"/><Relationship Id="rId1503" Type="http://schemas.openxmlformats.org/officeDocument/2006/relationships/hyperlink" Target="https://twitter.com/lacasablanca/statuses/4843171998" TargetMode="External"/><Relationship Id="rId1710" Type="http://schemas.openxmlformats.org/officeDocument/2006/relationships/hyperlink" Target="https://twitter.com/Gouvrdcongo/status/270410415064883200" TargetMode="External"/><Relationship Id="rId1948" Type="http://schemas.openxmlformats.org/officeDocument/2006/relationships/hyperlink" Target="https://twitter.com/MFAFiji" TargetMode="External"/><Relationship Id="rId291" Type="http://schemas.openxmlformats.org/officeDocument/2006/relationships/hyperlink" Target="http://twiplomacy.com/info/asia/Afghanistan" TargetMode="External"/><Relationship Id="rId1808" Type="http://schemas.openxmlformats.org/officeDocument/2006/relationships/hyperlink" Target="https://twitter.com/presidenciacr" TargetMode="External"/><Relationship Id="rId151" Type="http://schemas.openxmlformats.org/officeDocument/2006/relationships/hyperlink" Target="https://twitter.com/Maroc_eGov/lists" TargetMode="External"/><Relationship Id="rId389" Type="http://schemas.openxmlformats.org/officeDocument/2006/relationships/hyperlink" Target="https://twitter.com/Khamenei_ar/lists" TargetMode="External"/><Relationship Id="rId596" Type="http://schemas.openxmlformats.org/officeDocument/2006/relationships/hyperlink" Target="https://twitter.com/Saudiegov/lists" TargetMode="External"/><Relationship Id="rId2277" Type="http://schemas.openxmlformats.org/officeDocument/2006/relationships/hyperlink" Target="https://twitter.com/PakDiplomacy" TargetMode="External"/><Relationship Id="rId2484" Type="http://schemas.openxmlformats.org/officeDocument/2006/relationships/hyperlink" Target="https://twitter.com/egyptgovportal" TargetMode="External"/><Relationship Id="rId2691" Type="http://schemas.openxmlformats.org/officeDocument/2006/relationships/hyperlink" Target="https://twitter.com/Ahmet_Davutoglu/statuses/660874579418685440" TargetMode="External"/><Relationship Id="rId249" Type="http://schemas.openxmlformats.org/officeDocument/2006/relationships/hyperlink" Target="https://twitter.com/rdussey/status/302876610477047808" TargetMode="External"/><Relationship Id="rId456" Type="http://schemas.openxmlformats.org/officeDocument/2006/relationships/hyperlink" Target="https://twitter.com/RHCJO/statuses/325880956143677440" TargetMode="External"/><Relationship Id="rId663" Type="http://schemas.openxmlformats.org/officeDocument/2006/relationships/hyperlink" Target="http://twiplomacy.com/info/asia/Thailand" TargetMode="External"/><Relationship Id="rId870" Type="http://schemas.openxmlformats.org/officeDocument/2006/relationships/hyperlink" Target="http://twiplomacy.com/info/europe/France" TargetMode="External"/><Relationship Id="rId1086" Type="http://schemas.openxmlformats.org/officeDocument/2006/relationships/hyperlink" Target="http://twiplomacy.com/info/europe/Poland" TargetMode="External"/><Relationship Id="rId1293" Type="http://schemas.openxmlformats.org/officeDocument/2006/relationships/hyperlink" Target="https://twitter.com/Pontifex/statuses/555998421350223872" TargetMode="External"/><Relationship Id="rId2137" Type="http://schemas.openxmlformats.org/officeDocument/2006/relationships/hyperlink" Target="https://twitter.com/Vyriausybe" TargetMode="External"/><Relationship Id="rId2344" Type="http://schemas.openxmlformats.org/officeDocument/2006/relationships/hyperlink" Target="https://twitter.com/deplu" TargetMode="External"/><Relationship Id="rId2551" Type="http://schemas.openxmlformats.org/officeDocument/2006/relationships/hyperlink" Target="https://twitter.com/carlosarosario2/lists" TargetMode="External"/><Relationship Id="rId109" Type="http://schemas.openxmlformats.org/officeDocument/2006/relationships/hyperlink" Target="http://twiplomacy.com/info/africa/Kenya" TargetMode="External"/><Relationship Id="rId316" Type="http://schemas.openxmlformats.org/officeDocument/2006/relationships/hyperlink" Target="http://twiplomacy.com/info/asia/Bahrain" TargetMode="External"/><Relationship Id="rId523" Type="http://schemas.openxmlformats.org/officeDocument/2006/relationships/hyperlink" Target="https://twitter.com/ts_elbegdorj/statuses/271524834968748035" TargetMode="External"/><Relationship Id="rId968" Type="http://schemas.openxmlformats.org/officeDocument/2006/relationships/hyperlink" Target="https://twitter.com/Rigas_pils/lists" TargetMode="External"/><Relationship Id="rId1153" Type="http://schemas.openxmlformats.org/officeDocument/2006/relationships/hyperlink" Target="https://twitter.com/Andrej_Kiska/status/477879251715514368" TargetMode="External"/><Relationship Id="rId1598" Type="http://schemas.openxmlformats.org/officeDocument/2006/relationships/hyperlink" Target="https://twitter.com/Minrel_Chile/status/459399447273672704" TargetMode="External"/><Relationship Id="rId2204" Type="http://schemas.openxmlformats.org/officeDocument/2006/relationships/hyperlink" Target="https://twitter.com/MZemanOficialni" TargetMode="External"/><Relationship Id="rId2649" Type="http://schemas.openxmlformats.org/officeDocument/2006/relationships/hyperlink" Target="https://twitter.com/FCOArabic/lists" TargetMode="External"/><Relationship Id="rId97" Type="http://schemas.openxmlformats.org/officeDocument/2006/relationships/hyperlink" Target="http://twiplomacy.com/info/africa/Ivory-Coast" TargetMode="External"/><Relationship Id="rId730" Type="http://schemas.openxmlformats.org/officeDocument/2006/relationships/hyperlink" Target="http://twiplomacy.com/info/europe/Bulgaria" TargetMode="External"/><Relationship Id="rId828" Type="http://schemas.openxmlformats.org/officeDocument/2006/relationships/hyperlink" Target="http://twiplomacy.com/info/europe/Europe" TargetMode="External"/><Relationship Id="rId1013" Type="http://schemas.openxmlformats.org/officeDocument/2006/relationships/hyperlink" Target="https://twitter.com/gouv_lu/lists" TargetMode="External"/><Relationship Id="rId1360" Type="http://schemas.openxmlformats.org/officeDocument/2006/relationships/hyperlink" Target="https://twitter.com/NoticiaCR/lists" TargetMode="External"/><Relationship Id="rId1458" Type="http://schemas.openxmlformats.org/officeDocument/2006/relationships/hyperlink" Target="http://twiplomacy.com/info/south-america/Puerto_Rico" TargetMode="External"/><Relationship Id="rId1665" Type="http://schemas.openxmlformats.org/officeDocument/2006/relationships/hyperlink" Target="https://twitter.com/PresidencialVen/statuses/13160569150" TargetMode="External"/><Relationship Id="rId1872" Type="http://schemas.openxmlformats.org/officeDocument/2006/relationships/hyperlink" Target="https://twitter.com/Iembassy" TargetMode="External"/><Relationship Id="rId2411" Type="http://schemas.openxmlformats.org/officeDocument/2006/relationships/hyperlink" Target="https://twitter.com/somaligov_" TargetMode="External"/><Relationship Id="rId2509" Type="http://schemas.openxmlformats.org/officeDocument/2006/relationships/hyperlink" Target="http://twiplomacy.com/info/oceania/MarshallIslands" TargetMode="External"/><Relationship Id="rId2716" Type="http://schemas.openxmlformats.org/officeDocument/2006/relationships/hyperlink" Target="https://twitter.com/MeGovernment/lists" TargetMode="External"/><Relationship Id="rId1220" Type="http://schemas.openxmlformats.org/officeDocument/2006/relationships/hyperlink" Target="https://twitter.com/MevlutCavusoglu/lists" TargetMode="External"/><Relationship Id="rId1318" Type="http://schemas.openxmlformats.org/officeDocument/2006/relationships/hyperlink" Target="https://twitter.com/ABLPGastonbrown/lists" TargetMode="External"/><Relationship Id="rId1525" Type="http://schemas.openxmlformats.org/officeDocument/2006/relationships/hyperlink" Target="http://twiplomacy.com/info/north-america/Australia" TargetMode="External"/><Relationship Id="rId1732" Type="http://schemas.openxmlformats.org/officeDocument/2006/relationships/hyperlink" Target="https://twitter.com/eng_pm_kz/statuses/123980063803850752" TargetMode="External"/><Relationship Id="rId24" Type="http://schemas.openxmlformats.org/officeDocument/2006/relationships/hyperlink" Target="https://twitter.com/PR_Paul_Biya/statuses/83272997632360449" TargetMode="External"/><Relationship Id="rId2299" Type="http://schemas.openxmlformats.org/officeDocument/2006/relationships/hyperlink" Target="https://twitter.com/PMOMalaysia" TargetMode="External"/><Relationship Id="rId173" Type="http://schemas.openxmlformats.org/officeDocument/2006/relationships/hyperlink" Target="https://twitter.com/PaulKagame/lists" TargetMode="External"/><Relationship Id="rId380" Type="http://schemas.openxmlformats.org/officeDocument/2006/relationships/hyperlink" Target="https://twitter.com/Portal_Kemlu_RI/lists" TargetMode="External"/><Relationship Id="rId2061" Type="http://schemas.openxmlformats.org/officeDocument/2006/relationships/hyperlink" Target="https://twitter.com/tcbestepe" TargetMode="External"/><Relationship Id="rId240" Type="http://schemas.openxmlformats.org/officeDocument/2006/relationships/hyperlink" Target="http://twiplomacy.com/info/africa/Tanzania" TargetMode="External"/><Relationship Id="rId478" Type="http://schemas.openxmlformats.org/officeDocument/2006/relationships/hyperlink" Target="http://twiplomacy.com/info/asia/Kazakhstan" TargetMode="External"/><Relationship Id="rId685" Type="http://schemas.openxmlformats.org/officeDocument/2006/relationships/hyperlink" Target="http://twiplomacy.com/info/asia/United-Arab-Emirates" TargetMode="External"/><Relationship Id="rId892" Type="http://schemas.openxmlformats.org/officeDocument/2006/relationships/hyperlink" Target="https://twitter.com/RegSprecher/lists" TargetMode="External"/><Relationship Id="rId2159" Type="http://schemas.openxmlformats.org/officeDocument/2006/relationships/hyperlink" Target="https://twitter.com/md_higgins" TargetMode="External"/><Relationship Id="rId2366" Type="http://schemas.openxmlformats.org/officeDocument/2006/relationships/hyperlink" Target="https://twitter.com/PMBhutan" TargetMode="External"/><Relationship Id="rId2573" Type="http://schemas.openxmlformats.org/officeDocument/2006/relationships/hyperlink" Target="https://twitter.com/Petrit" TargetMode="External"/><Relationship Id="rId100" Type="http://schemas.openxmlformats.org/officeDocument/2006/relationships/hyperlink" Target="https://twitter.com/Presidenceci/statuses/114354868436738050" TargetMode="External"/><Relationship Id="rId338" Type="http://schemas.openxmlformats.org/officeDocument/2006/relationships/hyperlink" Target="http://twiplomacy.com/info/asia/East-Timor" TargetMode="External"/><Relationship Id="rId545" Type="http://schemas.openxmlformats.org/officeDocument/2006/relationships/hyperlink" Target="https://twitter.com/PM_Nepal/lists" TargetMode="External"/><Relationship Id="rId752" Type="http://schemas.openxmlformats.org/officeDocument/2006/relationships/hyperlink" Target="https://twitter.com/MVEP_hr/lists" TargetMode="External"/><Relationship Id="rId1175" Type="http://schemas.openxmlformats.org/officeDocument/2006/relationships/hyperlink" Target="http://twiplomacy.com/info/europe/Spain" TargetMode="External"/><Relationship Id="rId1382" Type="http://schemas.openxmlformats.org/officeDocument/2006/relationships/hyperlink" Target="https://twitter.com/MIREXRD/statuses/53846128315207680" TargetMode="External"/><Relationship Id="rId2019" Type="http://schemas.openxmlformats.org/officeDocument/2006/relationships/hyperlink" Target="https://twitter.com/gisbarbados" TargetMode="External"/><Relationship Id="rId2226" Type="http://schemas.openxmlformats.org/officeDocument/2006/relationships/hyperlink" Target="https://twitter.com/sebastiankurz" TargetMode="External"/><Relationship Id="rId2433" Type="http://schemas.openxmlformats.org/officeDocument/2006/relationships/hyperlink" Target="https://twitter.com/AsoRock" TargetMode="External"/><Relationship Id="rId2640" Type="http://schemas.openxmlformats.org/officeDocument/2006/relationships/hyperlink" Target="https://twitter.com/IsraelArabic" TargetMode="External"/><Relationship Id="rId405" Type="http://schemas.openxmlformats.org/officeDocument/2006/relationships/hyperlink" Target="https://twitter.com/HaiderAlAbadi/status/4706086949" TargetMode="External"/><Relationship Id="rId612" Type="http://schemas.openxmlformats.org/officeDocument/2006/relationships/hyperlink" Target="https://twitter.com/GH_PARK/lists" TargetMode="External"/><Relationship Id="rId1035" Type="http://schemas.openxmlformats.org/officeDocument/2006/relationships/hyperlink" Target="https://twitter.com/GovMonaco/status/433267393842778113" TargetMode="External"/><Relationship Id="rId1242" Type="http://schemas.openxmlformats.org/officeDocument/2006/relationships/hyperlink" Target="http://twiplomacy.com/info/europe/Turkey" TargetMode="External"/><Relationship Id="rId1687" Type="http://schemas.openxmlformats.org/officeDocument/2006/relationships/hyperlink" Target="http://twiplomacy.com/info/south-america/Venezuela" TargetMode="External"/><Relationship Id="rId1894" Type="http://schemas.openxmlformats.org/officeDocument/2006/relationships/hyperlink" Target="https://twitter.com/maduro_cn" TargetMode="External"/><Relationship Id="rId2500" Type="http://schemas.openxmlformats.org/officeDocument/2006/relationships/hyperlink" Target="https://twitter.com/BdiPresidence" TargetMode="External"/><Relationship Id="rId2738" Type="http://schemas.openxmlformats.org/officeDocument/2006/relationships/hyperlink" Target="https://twitter.com/BelarusMID/lists" TargetMode="External"/><Relationship Id="rId917" Type="http://schemas.openxmlformats.org/officeDocument/2006/relationships/hyperlink" Target="https://twitter.com/kormany_hu/statuses/25945265361920001" TargetMode="External"/><Relationship Id="rId1102" Type="http://schemas.openxmlformats.org/officeDocument/2006/relationships/hyperlink" Target="https://twitter.com/guv_ro/statuses/304259890317242369" TargetMode="External"/><Relationship Id="rId1547" Type="http://schemas.openxmlformats.org/officeDocument/2006/relationships/hyperlink" Target="https://twitter.com/murray_mccully/lists" TargetMode="External"/><Relationship Id="rId1754" Type="http://schemas.openxmlformats.org/officeDocument/2006/relationships/hyperlink" Target="https://twitter.com/eGovMalta/status/100523593691181057" TargetMode="External"/><Relationship Id="rId1961" Type="http://schemas.openxmlformats.org/officeDocument/2006/relationships/hyperlink" Target="https://twitter.com/USAenEspanol" TargetMode="External"/><Relationship Id="rId46" Type="http://schemas.openxmlformats.org/officeDocument/2006/relationships/hyperlink" Target="http://twiplomacy.com/info/africa/Djibouti" TargetMode="External"/><Relationship Id="rId1407" Type="http://schemas.openxmlformats.org/officeDocument/2006/relationships/hyperlink" Target="https://twitter.com/MAECHaiti/lists" TargetMode="External"/><Relationship Id="rId1614" Type="http://schemas.openxmlformats.org/officeDocument/2006/relationships/hyperlink" Target="https://twitter.com/CancilleriaEc/statuses/1723047186792450" TargetMode="External"/><Relationship Id="rId1821" Type="http://schemas.openxmlformats.org/officeDocument/2006/relationships/hyperlink" Target="https://twitter.com/SusanaMalcorra/lists" TargetMode="External"/><Relationship Id="rId195" Type="http://schemas.openxmlformats.org/officeDocument/2006/relationships/hyperlink" Target="https://twitter.com/MankeurNdiaye/statuses/401289126936190976" TargetMode="External"/><Relationship Id="rId1919" Type="http://schemas.openxmlformats.org/officeDocument/2006/relationships/hyperlink" Target="https://twitter.com/MOTPGuyana" TargetMode="External"/><Relationship Id="rId2083" Type="http://schemas.openxmlformats.org/officeDocument/2006/relationships/hyperlink" Target="https://twitter.com/vladaOCDrs" TargetMode="External"/><Relationship Id="rId2290" Type="http://schemas.openxmlformats.org/officeDocument/2006/relationships/hyperlink" Target="https://twitter.com/SaikhanbilegPM" TargetMode="External"/><Relationship Id="rId2388" Type="http://schemas.openxmlformats.org/officeDocument/2006/relationships/hyperlink" Target="https://twitter.com/UgandaMFA" TargetMode="External"/><Relationship Id="rId2595" Type="http://schemas.openxmlformats.org/officeDocument/2006/relationships/hyperlink" Target="https://twitter.com/primaturebj/lists" TargetMode="External"/><Relationship Id="rId262" Type="http://schemas.openxmlformats.org/officeDocument/2006/relationships/hyperlink" Target="https://twitter.com/Habib_essid/lists" TargetMode="External"/><Relationship Id="rId567" Type="http://schemas.openxmlformats.org/officeDocument/2006/relationships/hyperlink" Target="http://twiplomacy.com/info/asia/Papua-New-Guinea" TargetMode="External"/><Relationship Id="rId1197" Type="http://schemas.openxmlformats.org/officeDocument/2006/relationships/hyperlink" Target="https://twitter.com/margotwallstrom/lists" TargetMode="External"/><Relationship Id="rId2150" Type="http://schemas.openxmlformats.org/officeDocument/2006/relationships/hyperlink" Target="https://twitter.com/HashimThaciRKS" TargetMode="External"/><Relationship Id="rId2248" Type="http://schemas.openxmlformats.org/officeDocument/2006/relationships/hyperlink" Target="https://twitter.com/MEA_Sri_Lanka" TargetMode="External"/><Relationship Id="rId122" Type="http://schemas.openxmlformats.org/officeDocument/2006/relationships/hyperlink" Target="https://twitter.com/emansionliberia/statuses/211375150766100480" TargetMode="External"/><Relationship Id="rId774" Type="http://schemas.openxmlformats.org/officeDocument/2006/relationships/hyperlink" Target="https://twitter.com/mzvcr/status/504189399803125761" TargetMode="External"/><Relationship Id="rId981" Type="http://schemas.openxmlformats.org/officeDocument/2006/relationships/hyperlink" Target="https://twitter.com/Latvian_MFA/statuses/104184348001058816" TargetMode="External"/><Relationship Id="rId1057" Type="http://schemas.openxmlformats.org/officeDocument/2006/relationships/hyperlink" Target="https://twitter.com/NL_MFA_strategy/lists" TargetMode="External"/><Relationship Id="rId2010" Type="http://schemas.openxmlformats.org/officeDocument/2006/relationships/hyperlink" Target="https://twitter.com/mgonzalezsanz" TargetMode="External"/><Relationship Id="rId2455" Type="http://schemas.openxmlformats.org/officeDocument/2006/relationships/hyperlink" Target="https://twitter.com/Pakalitha" TargetMode="External"/><Relationship Id="rId2662" Type="http://schemas.openxmlformats.org/officeDocument/2006/relationships/hyperlink" Target="https://twitter.com/govsuriname/lists" TargetMode="External"/><Relationship Id="rId427" Type="http://schemas.openxmlformats.org/officeDocument/2006/relationships/hyperlink" Target="https://twitter.com/Israel/mfa-missions/members" TargetMode="External"/><Relationship Id="rId634" Type="http://schemas.openxmlformats.org/officeDocument/2006/relationships/hyperlink" Target="https://twitter.com/PresidentGovLK/lists" TargetMode="External"/><Relationship Id="rId841" Type="http://schemas.openxmlformats.org/officeDocument/2006/relationships/hyperlink" Target="https://twitter.com/NikolaPoposki/statuses/107006741413244928" TargetMode="External"/><Relationship Id="rId1264" Type="http://schemas.openxmlformats.org/officeDocument/2006/relationships/hyperlink" Target="https://twitter.com/MFA_Ukraine/statuses/18298910359429120" TargetMode="External"/><Relationship Id="rId1471" Type="http://schemas.openxmlformats.org/officeDocument/2006/relationships/hyperlink" Target="http://twiplomacy.com/info/north-america/Trinidad-and-Tobago" TargetMode="External"/><Relationship Id="rId1569" Type="http://schemas.openxmlformats.org/officeDocument/2006/relationships/hyperlink" Target="https://twitter.com/mincombolivia/lists" TargetMode="External"/><Relationship Id="rId2108" Type="http://schemas.openxmlformats.org/officeDocument/2006/relationships/hyperlink" Target="https://twitter.com/prezydentpl" TargetMode="External"/><Relationship Id="rId2315" Type="http://schemas.openxmlformats.org/officeDocument/2006/relationships/hyperlink" Target="https://twitter.com/NasserJudeh" TargetMode="External"/><Relationship Id="rId2522" Type="http://schemas.openxmlformats.org/officeDocument/2006/relationships/hyperlink" Target="http://twiplomacy.com/info/europe/France" TargetMode="External"/><Relationship Id="rId701" Type="http://schemas.openxmlformats.org/officeDocument/2006/relationships/hyperlink" Target="http://twiplomacy.com/info/europe/Albania" TargetMode="External"/><Relationship Id="rId939" Type="http://schemas.openxmlformats.org/officeDocument/2006/relationships/hyperlink" Target="https://twitter.com/dfatirl/lists" TargetMode="External"/><Relationship Id="rId1124" Type="http://schemas.openxmlformats.org/officeDocument/2006/relationships/hyperlink" Target="http://twiplomacy.com/info/europe/Russia" TargetMode="External"/><Relationship Id="rId1331" Type="http://schemas.openxmlformats.org/officeDocument/2006/relationships/hyperlink" Target="https://twitter.com/JustinTrudeau/lists" TargetMode="External"/><Relationship Id="rId1776" Type="http://schemas.openxmlformats.org/officeDocument/2006/relationships/hyperlink" Target="https://twitter.com/Ukenyatta" TargetMode="External"/><Relationship Id="rId1983" Type="http://schemas.openxmlformats.org/officeDocument/2006/relationships/hyperlink" Target="https://twitter.com/CancilleriaPA" TargetMode="External"/><Relationship Id="rId68" Type="http://schemas.openxmlformats.org/officeDocument/2006/relationships/hyperlink" Target="http://twiplomacy.com/info/africa/Gabon" TargetMode="External"/><Relationship Id="rId1429" Type="http://schemas.openxmlformats.org/officeDocument/2006/relationships/hyperlink" Target="https://twitter.com/gobrep/statuses/455699981471846400" TargetMode="External"/><Relationship Id="rId1636" Type="http://schemas.openxmlformats.org/officeDocument/2006/relationships/hyperlink" Target="https://twitter.com/PrensaHC/statuses/208200350560288768" TargetMode="External"/><Relationship Id="rId1843" Type="http://schemas.openxmlformats.org/officeDocument/2006/relationships/hyperlink" Target="https://twitter.com/MFA_Tajikistan" TargetMode="External"/><Relationship Id="rId1703" Type="http://schemas.openxmlformats.org/officeDocument/2006/relationships/hyperlink" Target="https://twitter.com/BeninMae/lists" TargetMode="External"/><Relationship Id="rId1910" Type="http://schemas.openxmlformats.org/officeDocument/2006/relationships/hyperlink" Target="https://twitter.com/Scpresidenciauy" TargetMode="External"/><Relationship Id="rId284" Type="http://schemas.openxmlformats.org/officeDocument/2006/relationships/hyperlink" Target="https://twitter.com/ashrafghani/statuses/344764116948353024" TargetMode="External"/><Relationship Id="rId491" Type="http://schemas.openxmlformats.org/officeDocument/2006/relationships/hyperlink" Target="https://twitter.com/OkmotKG/lists" TargetMode="External"/><Relationship Id="rId2172" Type="http://schemas.openxmlformats.org/officeDocument/2006/relationships/hyperlink" Target="https://twitter.com/French_Gov" TargetMode="External"/><Relationship Id="rId144" Type="http://schemas.openxmlformats.org/officeDocument/2006/relationships/hyperlink" Target="https://twitter.com/OuldAbdelAziz/lists" TargetMode="External"/><Relationship Id="rId589" Type="http://schemas.openxmlformats.org/officeDocument/2006/relationships/hyperlink" Target="https://twitter.com/MofaQatar_AR/statuses/111705893258788865" TargetMode="External"/><Relationship Id="rId796" Type="http://schemas.openxmlformats.org/officeDocument/2006/relationships/hyperlink" Target="https://twitter.com/KeitPentus/lists" TargetMode="External"/><Relationship Id="rId2477" Type="http://schemas.openxmlformats.org/officeDocument/2006/relationships/hyperlink" Target="https://twitter.com/PresidentABO" TargetMode="External"/><Relationship Id="rId2684" Type="http://schemas.openxmlformats.org/officeDocument/2006/relationships/hyperlink" Target="https://twitter.com/evoespueblo" TargetMode="External"/><Relationship Id="rId351" Type="http://schemas.openxmlformats.org/officeDocument/2006/relationships/hyperlink" Target="http://twiplomacy.com/info/asia/India" TargetMode="External"/><Relationship Id="rId449" Type="http://schemas.openxmlformats.org/officeDocument/2006/relationships/hyperlink" Target="https://twitter.com/japan/lists" TargetMode="External"/><Relationship Id="rId656" Type="http://schemas.openxmlformats.org/officeDocument/2006/relationships/hyperlink" Target="https://twitter.com/MFA_Tajikistan/status/624139131996606465" TargetMode="External"/><Relationship Id="rId863" Type="http://schemas.openxmlformats.org/officeDocument/2006/relationships/hyperlink" Target="http://twiplomacy.com/info/europe/France" TargetMode="External"/><Relationship Id="rId1079" Type="http://schemas.openxmlformats.org/officeDocument/2006/relationships/hyperlink" Target="http://twiplomacy.com/info/europe/Poland" TargetMode="External"/><Relationship Id="rId1286" Type="http://schemas.openxmlformats.org/officeDocument/2006/relationships/hyperlink" Target="https://twitter.com/foreignoffice/statuses/850060242" TargetMode="External"/><Relationship Id="rId1493" Type="http://schemas.openxmlformats.org/officeDocument/2006/relationships/hyperlink" Target="http://twiplomacy.com/info/north-america/United-States" TargetMode="External"/><Relationship Id="rId2032" Type="http://schemas.openxmlformats.org/officeDocument/2006/relationships/hyperlink" Target="https://twitter.com/TerzaLoggia" TargetMode="External"/><Relationship Id="rId2337" Type="http://schemas.openxmlformats.org/officeDocument/2006/relationships/hyperlink" Target="https://twitter.com/Rouhani_ir" TargetMode="External"/><Relationship Id="rId2544" Type="http://schemas.openxmlformats.org/officeDocument/2006/relationships/hyperlink" Target="https://twitter.com/MofaJapan_ITPR/lists" TargetMode="External"/><Relationship Id="rId211" Type="http://schemas.openxmlformats.org/officeDocument/2006/relationships/hyperlink" Target="https://twitter.com/SomaliPM/statuses/298050426417328128" TargetMode="External"/><Relationship Id="rId309" Type="http://schemas.openxmlformats.org/officeDocument/2006/relationships/hyperlink" Target="https://twitter.com/AzerbaijanMFA/statuses/157882476612681728" TargetMode="External"/><Relationship Id="rId516" Type="http://schemas.openxmlformats.org/officeDocument/2006/relationships/hyperlink" Target="https://twitter.com/presidencymv/statuses/23979438043566080" TargetMode="External"/><Relationship Id="rId1146" Type="http://schemas.openxmlformats.org/officeDocument/2006/relationships/hyperlink" Target="http://twiplomacy.com/info/europe/Serbia" TargetMode="External"/><Relationship Id="rId1798" Type="http://schemas.openxmlformats.org/officeDocument/2006/relationships/hyperlink" Target="https://twitter.com/GvtMonaco" TargetMode="External"/><Relationship Id="rId723" Type="http://schemas.openxmlformats.org/officeDocument/2006/relationships/hyperlink" Target="https://twitter.com/dreynders/statuses/470210880215736320" TargetMode="External"/><Relationship Id="rId930" Type="http://schemas.openxmlformats.org/officeDocument/2006/relationships/hyperlink" Target="https://twitter.com/EndaKennyTD/lists" TargetMode="External"/><Relationship Id="rId1006" Type="http://schemas.openxmlformats.org/officeDocument/2006/relationships/hyperlink" Target="https://twitter.com/LT_MFA_Stratcom/lists" TargetMode="External"/><Relationship Id="rId1353" Type="http://schemas.openxmlformats.org/officeDocument/2006/relationships/hyperlink" Target="https://twitter.com/luisguillermosr/lists" TargetMode="External"/><Relationship Id="rId1560" Type="http://schemas.openxmlformats.org/officeDocument/2006/relationships/hyperlink" Target="https://twitter.com/mauriciomacri/status/1596109644" TargetMode="External"/><Relationship Id="rId1658" Type="http://schemas.openxmlformats.org/officeDocument/2006/relationships/hyperlink" Target="http://twiplomacy.com/info/south-america/Uruguay" TargetMode="External"/><Relationship Id="rId1865" Type="http://schemas.openxmlformats.org/officeDocument/2006/relationships/hyperlink" Target="https://twitter.com/dunyamaumoon" TargetMode="External"/><Relationship Id="rId2404" Type="http://schemas.openxmlformats.org/officeDocument/2006/relationships/hyperlink" Target="https://twitter.com/foreigntanzania" TargetMode="External"/><Relationship Id="rId2611" Type="http://schemas.openxmlformats.org/officeDocument/2006/relationships/hyperlink" Target="https://twitter.com/Issoufoumhm/lists" TargetMode="External"/><Relationship Id="rId2709" Type="http://schemas.openxmlformats.org/officeDocument/2006/relationships/hyperlink" Target="https://twitter.com/joseserra_/lists" TargetMode="External"/><Relationship Id="rId1213" Type="http://schemas.openxmlformats.org/officeDocument/2006/relationships/hyperlink" Target="https://twitter.com/Ahmet_Davutoglu/statuses/1925669311217665" TargetMode="External"/><Relationship Id="rId1420" Type="http://schemas.openxmlformats.org/officeDocument/2006/relationships/hyperlink" Target="https://twitter.com/OPMJamaica/statuses/2231873972" TargetMode="External"/><Relationship Id="rId1518" Type="http://schemas.openxmlformats.org/officeDocument/2006/relationships/hyperlink" Target="http://twiplomacy.com/info/north-america/United-States" TargetMode="External"/><Relationship Id="rId1725" Type="http://schemas.openxmlformats.org/officeDocument/2006/relationships/hyperlink" Target="http://twiplomacy.com/info/asia/Georgia" TargetMode="External"/><Relationship Id="rId1932" Type="http://schemas.openxmlformats.org/officeDocument/2006/relationships/hyperlink" Target="https://twitter.com/ItamaratyGovBr" TargetMode="External"/><Relationship Id="rId17" Type="http://schemas.openxmlformats.org/officeDocument/2006/relationships/hyperlink" Target="http://twiplomacy.com/info/africa/Burundi" TargetMode="External"/><Relationship Id="rId2194" Type="http://schemas.openxmlformats.org/officeDocument/2006/relationships/hyperlink" Target="https://twitter.com/TaaviRoivas" TargetMode="External"/><Relationship Id="rId166" Type="http://schemas.openxmlformats.org/officeDocument/2006/relationships/hyperlink" Target="https://twitter.com/NGRPresident/lists" TargetMode="External"/><Relationship Id="rId373" Type="http://schemas.openxmlformats.org/officeDocument/2006/relationships/hyperlink" Target="http://twiplomacy.com/info/asia/Indonesia" TargetMode="External"/><Relationship Id="rId580" Type="http://schemas.openxmlformats.org/officeDocument/2006/relationships/hyperlink" Target="https://twitter.com/PresidentNoy/lists" TargetMode="External"/><Relationship Id="rId2054" Type="http://schemas.openxmlformats.org/officeDocument/2006/relationships/hyperlink" Target="https://twitter.com/rterdogan_ar" TargetMode="External"/><Relationship Id="rId2261" Type="http://schemas.openxmlformats.org/officeDocument/2006/relationships/hyperlink" Target="https://twitter.com/leehsienloong" TargetMode="External"/><Relationship Id="rId2499" Type="http://schemas.openxmlformats.org/officeDocument/2006/relationships/hyperlink" Target="https://twitter.com/BurundiGov" TargetMode="External"/><Relationship Id="rId1" Type="http://schemas.openxmlformats.org/officeDocument/2006/relationships/hyperlink" Target="http://twiplomacy.com/info/africa/Algeria" TargetMode="External"/><Relationship Id="rId233" Type="http://schemas.openxmlformats.org/officeDocument/2006/relationships/hyperlink" Target="https://twitter.com/DIRCO_ZA/lists" TargetMode="External"/><Relationship Id="rId440" Type="http://schemas.openxmlformats.org/officeDocument/2006/relationships/hyperlink" Target="https://twitter.com/kantei/statuses/278664645596819456" TargetMode="External"/><Relationship Id="rId678" Type="http://schemas.openxmlformats.org/officeDocument/2006/relationships/hyperlink" Target="http://twiplomacy.com/info/asia/United-Arab-Emirates" TargetMode="External"/><Relationship Id="rId885" Type="http://schemas.openxmlformats.org/officeDocument/2006/relationships/hyperlink" Target="https://twitter.com/French_Gov/status/546973620275531776" TargetMode="External"/><Relationship Id="rId1070" Type="http://schemas.openxmlformats.org/officeDocument/2006/relationships/hyperlink" Target="https://twitter.com/Utenriksdept/lists" TargetMode="External"/><Relationship Id="rId2121" Type="http://schemas.openxmlformats.org/officeDocument/2006/relationships/hyperlink" Target="https://twitter.com/Khtweets" TargetMode="External"/><Relationship Id="rId2359" Type="http://schemas.openxmlformats.org/officeDocument/2006/relationships/hyperlink" Target="https://twitter.com/MargvelashviliG" TargetMode="External"/><Relationship Id="rId2566" Type="http://schemas.openxmlformats.org/officeDocument/2006/relationships/hyperlink" Target="http://twiplomacy.com/info/europe/sweden/" TargetMode="External"/><Relationship Id="rId300" Type="http://schemas.openxmlformats.org/officeDocument/2006/relationships/hyperlink" Target="http://twiplomacy.com/info/asia/Armenia" TargetMode="External"/><Relationship Id="rId538" Type="http://schemas.openxmlformats.org/officeDocument/2006/relationships/hyperlink" Target="https://twitter.com/zasagmn/lists" TargetMode="External"/><Relationship Id="rId745" Type="http://schemas.openxmlformats.org/officeDocument/2006/relationships/hyperlink" Target="http://twiplomacy.com/info/europe/Croatia" TargetMode="External"/><Relationship Id="rId952" Type="http://schemas.openxmlformats.org/officeDocument/2006/relationships/hyperlink" Target="https://twitter.com/PaoloGentiloni/status/133550946553827328" TargetMode="External"/><Relationship Id="rId1168" Type="http://schemas.openxmlformats.org/officeDocument/2006/relationships/hyperlink" Target="https://twitter.com/vladaRS/statuses/2129212668" TargetMode="External"/><Relationship Id="rId1375" Type="http://schemas.openxmlformats.org/officeDocument/2006/relationships/hyperlink" Target="https://twitter.com/PresidenciaRD/statuses/12319989255" TargetMode="External"/><Relationship Id="rId1582" Type="http://schemas.openxmlformats.org/officeDocument/2006/relationships/hyperlink" Target="https://twitter.com/BrazilGovNews/lists" TargetMode="External"/><Relationship Id="rId2219" Type="http://schemas.openxmlformats.org/officeDocument/2006/relationships/hyperlink" Target="https://twitter.com/B_Izetbegovic" TargetMode="External"/><Relationship Id="rId2426" Type="http://schemas.openxmlformats.org/officeDocument/2006/relationships/hyperlink" Target="https://twitter.com/Lmushikiwabo" TargetMode="External"/><Relationship Id="rId2633" Type="http://schemas.openxmlformats.org/officeDocument/2006/relationships/hyperlink" Target="https://twitter.com/ByegmRU" TargetMode="External"/><Relationship Id="rId81" Type="http://schemas.openxmlformats.org/officeDocument/2006/relationships/hyperlink" Target="https://twitter.com/JDMahama/statuses/243578200343584768" TargetMode="External"/><Relationship Id="rId605" Type="http://schemas.openxmlformats.org/officeDocument/2006/relationships/hyperlink" Target="http://twiplomacy.com/info/asia/Singapore" TargetMode="External"/><Relationship Id="rId812" Type="http://schemas.openxmlformats.org/officeDocument/2006/relationships/hyperlink" Target="https://twitter.com/EUCouncil/lists/council-on-twitter/members" TargetMode="External"/><Relationship Id="rId1028" Type="http://schemas.openxmlformats.org/officeDocument/2006/relationships/hyperlink" Target="http://twiplomacy.com/info/europe/Moldova" TargetMode="External"/><Relationship Id="rId1235" Type="http://schemas.openxmlformats.org/officeDocument/2006/relationships/hyperlink" Target="http://twiplomacy.com/info/europe/Turkey" TargetMode="External"/><Relationship Id="rId1442" Type="http://schemas.openxmlformats.org/officeDocument/2006/relationships/hyperlink" Target="https://twitter.com/PresidenciaPma/lists" TargetMode="External"/><Relationship Id="rId1887" Type="http://schemas.openxmlformats.org/officeDocument/2006/relationships/hyperlink" Target="https://twitter.com/MichelKafando" TargetMode="External"/><Relationship Id="rId1302" Type="http://schemas.openxmlformats.org/officeDocument/2006/relationships/hyperlink" Target="http://twiplomacy.com/info/europe/Vatican" TargetMode="External"/><Relationship Id="rId1747" Type="http://schemas.openxmlformats.org/officeDocument/2006/relationships/hyperlink" Target="http://twiplomacy.com/info/asia/Thailand" TargetMode="External"/><Relationship Id="rId1954" Type="http://schemas.openxmlformats.org/officeDocument/2006/relationships/hyperlink" Target="https://twitter.com/TurnbullMalcolm" TargetMode="External"/><Relationship Id="rId2700" Type="http://schemas.openxmlformats.org/officeDocument/2006/relationships/hyperlink" Target="https://twitter.com/David_Cameron/statuses/665287406459990016" TargetMode="External"/><Relationship Id="rId39" Type="http://schemas.openxmlformats.org/officeDocument/2006/relationships/hyperlink" Target="http://twiplomacy.com/info/africa/Democratic-Republic-of-Congo" TargetMode="External"/><Relationship Id="rId1607" Type="http://schemas.openxmlformats.org/officeDocument/2006/relationships/hyperlink" Target="http://twiplomacy.com/info/south-america/Colombia" TargetMode="External"/><Relationship Id="rId1814" Type="http://schemas.openxmlformats.org/officeDocument/2006/relationships/hyperlink" Target="https://twitter.com/GobiernodeChile" TargetMode="External"/><Relationship Id="rId188" Type="http://schemas.openxmlformats.org/officeDocument/2006/relationships/hyperlink" Target="https://twitter.com/RwandaMFA/lists" TargetMode="External"/><Relationship Id="rId395" Type="http://schemas.openxmlformats.org/officeDocument/2006/relationships/hyperlink" Target="http://twiplomacy.com/info/asia/Iran" TargetMode="External"/><Relationship Id="rId2076" Type="http://schemas.openxmlformats.org/officeDocument/2006/relationships/hyperlink" Target="https://twitter.com/MiroCerar" TargetMode="External"/><Relationship Id="rId2283" Type="http://schemas.openxmlformats.org/officeDocument/2006/relationships/hyperlink" Target="https://twitter.com/PM_Nepal" TargetMode="External"/><Relationship Id="rId2490" Type="http://schemas.openxmlformats.org/officeDocument/2006/relationships/hyperlink" Target="https://twitter.com/SassouCG" TargetMode="External"/><Relationship Id="rId2588" Type="http://schemas.openxmlformats.org/officeDocument/2006/relationships/hyperlink" Target="https://twitter.com/GuillaumeLong" TargetMode="External"/><Relationship Id="rId255" Type="http://schemas.openxmlformats.org/officeDocument/2006/relationships/hyperlink" Target="https://twitter.com/BejiCEOfficial/status/510382393706835968" TargetMode="External"/><Relationship Id="rId462" Type="http://schemas.openxmlformats.org/officeDocument/2006/relationships/hyperlink" Target="http://twiplomacy.com/info/asia/Jordan" TargetMode="External"/><Relationship Id="rId1092" Type="http://schemas.openxmlformats.org/officeDocument/2006/relationships/hyperlink" Target="https://twitter.com/govpt/statuses/1946479609" TargetMode="External"/><Relationship Id="rId1397" Type="http://schemas.openxmlformats.org/officeDocument/2006/relationships/hyperlink" Target="https://twitter.com/jimmymoralesgt/status/375615043280572416" TargetMode="External"/><Relationship Id="rId2143" Type="http://schemas.openxmlformats.org/officeDocument/2006/relationships/hyperlink" Target="https://twitter.com/Latvian_MFA" TargetMode="External"/><Relationship Id="rId2350" Type="http://schemas.openxmlformats.org/officeDocument/2006/relationships/hyperlink" Target="https://twitter.com/MEAIndia" TargetMode="External"/><Relationship Id="rId115" Type="http://schemas.openxmlformats.org/officeDocument/2006/relationships/hyperlink" Target="https://twitter.com/ForeignOfficeKE/lists" TargetMode="External"/><Relationship Id="rId322" Type="http://schemas.openxmlformats.org/officeDocument/2006/relationships/hyperlink" Target="http://twiplomacy.com/info/asia/Bahrain" TargetMode="External"/><Relationship Id="rId767" Type="http://schemas.openxmlformats.org/officeDocument/2006/relationships/hyperlink" Target="https://twitter.com/SlavekSobotka/lists" TargetMode="External"/><Relationship Id="rId974" Type="http://schemas.openxmlformats.org/officeDocument/2006/relationships/hyperlink" Target="https://twitter.com/edgarsrinkevics/statuses/23047447686" TargetMode="External"/><Relationship Id="rId2003" Type="http://schemas.openxmlformats.org/officeDocument/2006/relationships/hyperlink" Target="https://twitter.com/MIREXRD" TargetMode="External"/><Relationship Id="rId2210" Type="http://schemas.openxmlformats.org/officeDocument/2006/relationships/hyperlink" Target="https://twitter.com/MVEP_hr" TargetMode="External"/><Relationship Id="rId2448" Type="http://schemas.openxmlformats.org/officeDocument/2006/relationships/hyperlink" Target="https://twitter.com/PresidenceMali" TargetMode="External"/><Relationship Id="rId2655" Type="http://schemas.openxmlformats.org/officeDocument/2006/relationships/hyperlink" Target="https://twitter.com/MaltaGov/lists" TargetMode="External"/><Relationship Id="rId627" Type="http://schemas.openxmlformats.org/officeDocument/2006/relationships/hyperlink" Target="https://twitter.com/govkorea/status/118242539701678081" TargetMode="External"/><Relationship Id="rId834" Type="http://schemas.openxmlformats.org/officeDocument/2006/relationships/hyperlink" Target="https://twitter.com/EUCouncilPress/lists/eu-in-the-world/members" TargetMode="External"/><Relationship Id="rId1257" Type="http://schemas.openxmlformats.org/officeDocument/2006/relationships/hyperlink" Target="http://twiplomacy.com/info/europe/Ukraine" TargetMode="External"/><Relationship Id="rId1464" Type="http://schemas.openxmlformats.org/officeDocument/2006/relationships/hyperlink" Target="http://twiplomacy.com/info/north-america/Saint-Kitts-and-Nevis" TargetMode="External"/><Relationship Id="rId1671" Type="http://schemas.openxmlformats.org/officeDocument/2006/relationships/hyperlink" Target="https://twitter.com/vencancilleria/statuses/22844780572" TargetMode="External"/><Relationship Id="rId2308" Type="http://schemas.openxmlformats.org/officeDocument/2006/relationships/hyperlink" Target="https://twitter.com/ortcomkzE" TargetMode="External"/><Relationship Id="rId2515" Type="http://schemas.openxmlformats.org/officeDocument/2006/relationships/hyperlink" Target="http://twiplomacy.com/info/africa/Kenya" TargetMode="External"/><Relationship Id="rId2722" Type="http://schemas.openxmlformats.org/officeDocument/2006/relationships/hyperlink" Target="https://twitter.com/AlbanianMFA/lists" TargetMode="External"/><Relationship Id="rId901" Type="http://schemas.openxmlformats.org/officeDocument/2006/relationships/hyperlink" Target="http://twiplomacy.com/info/europe/Greece" TargetMode="External"/><Relationship Id="rId1117" Type="http://schemas.openxmlformats.org/officeDocument/2006/relationships/hyperlink" Target="https://twitter.com/MID_RF/lists" TargetMode="External"/><Relationship Id="rId1324" Type="http://schemas.openxmlformats.org/officeDocument/2006/relationships/hyperlink" Target="http://twiplomacy.com/info/north-america/Belize" TargetMode="External"/><Relationship Id="rId1531" Type="http://schemas.openxmlformats.org/officeDocument/2006/relationships/hyperlink" Target="http://twiplomacy.com/info/oceania/Fiji" TargetMode="External"/><Relationship Id="rId1769" Type="http://schemas.openxmlformats.org/officeDocument/2006/relationships/hyperlink" Target="http://twiplomacy.com/info/north-america/Nicaragua" TargetMode="External"/><Relationship Id="rId1976" Type="http://schemas.openxmlformats.org/officeDocument/2006/relationships/hyperlink" Target="https://twitter.com/pdhnisbett" TargetMode="External"/><Relationship Id="rId30" Type="http://schemas.openxmlformats.org/officeDocument/2006/relationships/hyperlink" Target="http://twiplomacy.com/info/africa/Chad" TargetMode="External"/><Relationship Id="rId1629" Type="http://schemas.openxmlformats.org/officeDocument/2006/relationships/hyperlink" Target="http://twiplomacy.com/info/south-america/Paraguay" TargetMode="External"/><Relationship Id="rId1836" Type="http://schemas.openxmlformats.org/officeDocument/2006/relationships/hyperlink" Target="https://twitter.com/PresidentIRL" TargetMode="External"/><Relationship Id="rId1903" Type="http://schemas.openxmlformats.org/officeDocument/2006/relationships/hyperlink" Target="https://twitter.com/maduro_fr" TargetMode="External"/><Relationship Id="rId2098" Type="http://schemas.openxmlformats.org/officeDocument/2006/relationships/hyperlink" Target="https://twitter.com/MAERomania" TargetMode="External"/><Relationship Id="rId277" Type="http://schemas.openxmlformats.org/officeDocument/2006/relationships/hyperlink" Target="http://twiplomacy.com/info/africa/Uganda" TargetMode="External"/><Relationship Id="rId484" Type="http://schemas.openxmlformats.org/officeDocument/2006/relationships/hyperlink" Target="http://twiplomacy.com/info/asia/Kuwait" TargetMode="External"/><Relationship Id="rId2165" Type="http://schemas.openxmlformats.org/officeDocument/2006/relationships/hyperlink" Target="https://twitter.com/Evenizelos" TargetMode="External"/><Relationship Id="rId137" Type="http://schemas.openxmlformats.org/officeDocument/2006/relationships/hyperlink" Target="https://twitter.com/PresidenceMali/statuses/124131254080782337" TargetMode="External"/><Relationship Id="rId344" Type="http://schemas.openxmlformats.org/officeDocument/2006/relationships/hyperlink" Target="http://twiplomacy.com/info/asia/Georgia" TargetMode="External"/><Relationship Id="rId691" Type="http://schemas.openxmlformats.org/officeDocument/2006/relationships/hyperlink" Target="https://twitter.com/HadiPresident/statuses/257497628152045569" TargetMode="External"/><Relationship Id="rId789" Type="http://schemas.openxmlformats.org/officeDocument/2006/relationships/hyperlink" Target="https://twitter.com/TaaviRoivas/statuses/141444781644587008" TargetMode="External"/><Relationship Id="rId996" Type="http://schemas.openxmlformats.org/officeDocument/2006/relationships/hyperlink" Target="http://twiplomacy.com/info/europe/Lithuania" TargetMode="External"/><Relationship Id="rId2025" Type="http://schemas.openxmlformats.org/officeDocument/2006/relationships/hyperlink" Target="https://twitter.com/Pontifex_de" TargetMode="External"/><Relationship Id="rId2372" Type="http://schemas.openxmlformats.org/officeDocument/2006/relationships/hyperlink" Target="https://twitter.com/AzerbaijanMFA" TargetMode="External"/><Relationship Id="rId2677" Type="http://schemas.openxmlformats.org/officeDocument/2006/relationships/hyperlink" Target="http://twiplomacy.com/info/europe/Iceland" TargetMode="External"/><Relationship Id="rId551" Type="http://schemas.openxmlformats.org/officeDocument/2006/relationships/hyperlink" Target="https://twitter.com/MofaNepal/lists" TargetMode="External"/><Relationship Id="rId649" Type="http://schemas.openxmlformats.org/officeDocument/2006/relationships/hyperlink" Target="https://twitter.com/Presidency_Sy/statuses/324459330315374593" TargetMode="External"/><Relationship Id="rId856" Type="http://schemas.openxmlformats.org/officeDocument/2006/relationships/hyperlink" Target="http://twiplomacy.com/info/europe/Finland" TargetMode="External"/><Relationship Id="rId1181" Type="http://schemas.openxmlformats.org/officeDocument/2006/relationships/hyperlink" Target="https://twitter.com/desdelamoncloa/statuses/2735348665" TargetMode="External"/><Relationship Id="rId1279" Type="http://schemas.openxmlformats.org/officeDocument/2006/relationships/hyperlink" Target="http://twiplomacy.com/info/europe/United-Kingdom" TargetMode="External"/><Relationship Id="rId1486" Type="http://schemas.openxmlformats.org/officeDocument/2006/relationships/hyperlink" Target="https://twitter.com/" TargetMode="External"/><Relationship Id="rId2232" Type="http://schemas.openxmlformats.org/officeDocument/2006/relationships/hyperlink" Target="https://twitter.com/KhaledBahah" TargetMode="External"/><Relationship Id="rId2537" Type="http://schemas.openxmlformats.org/officeDocument/2006/relationships/hyperlink" Target="https://twitter.com/IsmailOguelleh/lists" TargetMode="External"/><Relationship Id="rId204" Type="http://schemas.openxmlformats.org/officeDocument/2006/relationships/hyperlink" Target="http://twiplomacy.com/info/africa/Sierra-Leone" TargetMode="External"/><Relationship Id="rId411" Type="http://schemas.openxmlformats.org/officeDocument/2006/relationships/hyperlink" Target="http://twiplomacy.com/info/asia/Iraq" TargetMode="External"/><Relationship Id="rId509" Type="http://schemas.openxmlformats.org/officeDocument/2006/relationships/hyperlink" Target="http://twiplomacy.com/info/asia/Malaysia" TargetMode="External"/><Relationship Id="rId1041" Type="http://schemas.openxmlformats.org/officeDocument/2006/relationships/hyperlink" Target="http://twiplomacy.com/info/europe/Netherlands" TargetMode="External"/><Relationship Id="rId1139" Type="http://schemas.openxmlformats.org/officeDocument/2006/relationships/hyperlink" Target="http://twiplomacy.com/info/europe/Serbia" TargetMode="External"/><Relationship Id="rId1346" Type="http://schemas.openxmlformats.org/officeDocument/2006/relationships/hyperlink" Target="http://twiplomacy.com/info/north-america/Canada" TargetMode="External"/><Relationship Id="rId1693" Type="http://schemas.openxmlformats.org/officeDocument/2006/relationships/hyperlink" Target="http://twiplomacy.com/info/south-america/Venezuela" TargetMode="External"/><Relationship Id="rId1998" Type="http://schemas.openxmlformats.org/officeDocument/2006/relationships/hyperlink" Target="https://twitter.com/jimmymoralesgt" TargetMode="External"/><Relationship Id="rId2744" Type="http://schemas.openxmlformats.org/officeDocument/2006/relationships/hyperlink" Target="https://twitter.com/MBA_AlThani_/lists" TargetMode="External"/><Relationship Id="rId716" Type="http://schemas.openxmlformats.org/officeDocument/2006/relationships/hyperlink" Target="http://twiplomacy.com/info/europe/Belgium" TargetMode="External"/><Relationship Id="rId923" Type="http://schemas.openxmlformats.org/officeDocument/2006/relationships/hyperlink" Target="http://twiplomacy.com/info/europe/Ireland" TargetMode="External"/><Relationship Id="rId1553" Type="http://schemas.openxmlformats.org/officeDocument/2006/relationships/hyperlink" Target="http://twiplomacy.com/info/oceania/Tonga" TargetMode="External"/><Relationship Id="rId1760" Type="http://schemas.openxmlformats.org/officeDocument/2006/relationships/hyperlink" Target="http://twiplomacy.com/info/north-america/Costa-Rica" TargetMode="External"/><Relationship Id="rId1858" Type="http://schemas.openxmlformats.org/officeDocument/2006/relationships/hyperlink" Target="https://twitter.com/eGovMalta" TargetMode="External"/><Relationship Id="rId2604" Type="http://schemas.openxmlformats.org/officeDocument/2006/relationships/hyperlink" Target="https://instagram.com/jmayrault/" TargetMode="External"/><Relationship Id="rId52" Type="http://schemas.openxmlformats.org/officeDocument/2006/relationships/hyperlink" Target="http://twiplomacy.com/info/africa/Egypt" TargetMode="External"/><Relationship Id="rId1206" Type="http://schemas.openxmlformats.org/officeDocument/2006/relationships/hyperlink" Target="http://twiplomacy.com/info/europe/Switzerland" TargetMode="External"/><Relationship Id="rId1413" Type="http://schemas.openxmlformats.org/officeDocument/2006/relationships/hyperlink" Target="https://twitter.com/Presidencia_HN/lists" TargetMode="External"/><Relationship Id="rId1620" Type="http://schemas.openxmlformats.org/officeDocument/2006/relationships/hyperlink" Target="http://twiplomacy.com/info/south-america/Guyana" TargetMode="External"/><Relationship Id="rId1718" Type="http://schemas.openxmlformats.org/officeDocument/2006/relationships/hyperlink" Target="http://twiplomacy.com/info/africa/Ivory-Coast" TargetMode="External"/><Relationship Id="rId1925" Type="http://schemas.openxmlformats.org/officeDocument/2006/relationships/hyperlink" Target="https://twitter.com/JuanManSantos" TargetMode="External"/><Relationship Id="rId299" Type="http://schemas.openxmlformats.org/officeDocument/2006/relationships/hyperlink" Target="https://twitter.com/PresidentAM_arm/statuses/245862931328270337" TargetMode="External"/><Relationship Id="rId2187" Type="http://schemas.openxmlformats.org/officeDocument/2006/relationships/hyperlink" Target="https://twitter.com/FedericaMog" TargetMode="External"/><Relationship Id="rId2394" Type="http://schemas.openxmlformats.org/officeDocument/2006/relationships/hyperlink" Target="https://twitter.com/TunisieDiplo" TargetMode="External"/><Relationship Id="rId159" Type="http://schemas.openxmlformats.org/officeDocument/2006/relationships/hyperlink" Target="http://twiplomacy.com/info/africa/Niger" TargetMode="External"/><Relationship Id="rId366" Type="http://schemas.openxmlformats.org/officeDocument/2006/relationships/hyperlink" Target="http://twiplomacy.com/info/asia/India" TargetMode="External"/><Relationship Id="rId573" Type="http://schemas.openxmlformats.org/officeDocument/2006/relationships/hyperlink" Target="https://twitter.com/noynoyaquino/calamities/members" TargetMode="External"/><Relationship Id="rId780" Type="http://schemas.openxmlformats.org/officeDocument/2006/relationships/hyperlink" Target="http://twiplomacy.com/info/europe/Denmark" TargetMode="External"/><Relationship Id="rId2047" Type="http://schemas.openxmlformats.org/officeDocument/2006/relationships/hyperlink" Target="https://twitter.com/trpresidency" TargetMode="External"/><Relationship Id="rId2254" Type="http://schemas.openxmlformats.org/officeDocument/2006/relationships/hyperlink" Target="https://twitter.com/Govkorea" TargetMode="External"/><Relationship Id="rId2461" Type="http://schemas.openxmlformats.org/officeDocument/2006/relationships/hyperlink" Target="https://twitter.com/Gouvci" TargetMode="External"/><Relationship Id="rId2699" Type="http://schemas.openxmlformats.org/officeDocument/2006/relationships/hyperlink" Target="https://twitter.com/JustinTrudeau/statuses/692350250606931969" TargetMode="External"/><Relationship Id="rId226" Type="http://schemas.openxmlformats.org/officeDocument/2006/relationships/hyperlink" Target="https://twitter.com/PresidencyZA/statuses/1834243686" TargetMode="External"/><Relationship Id="rId433" Type="http://schemas.openxmlformats.org/officeDocument/2006/relationships/hyperlink" Target="https://twitter.com/rubirivlin/status/258476207287451648" TargetMode="External"/><Relationship Id="rId878" Type="http://schemas.openxmlformats.org/officeDocument/2006/relationships/hyperlink" Target="https://twitter.com/Matignon/statuses/219819695174451200" TargetMode="External"/><Relationship Id="rId1063" Type="http://schemas.openxmlformats.org/officeDocument/2006/relationships/hyperlink" Target="https://twitter.com/Statsmin_kontor/statuses/2219349853" TargetMode="External"/><Relationship Id="rId1270" Type="http://schemas.openxmlformats.org/officeDocument/2006/relationships/hyperlink" Target="https://twitter.com/Kabmin_UA_r/statuses/89251307961073664" TargetMode="External"/><Relationship Id="rId2114" Type="http://schemas.openxmlformats.org/officeDocument/2006/relationships/hyperlink" Target="https://twitter.com/erna_solberg" TargetMode="External"/><Relationship Id="rId2559" Type="http://schemas.openxmlformats.org/officeDocument/2006/relationships/hyperlink" Target="http://twiplomacy.com/info/europe/Moldova" TargetMode="External"/><Relationship Id="rId640" Type="http://schemas.openxmlformats.org/officeDocument/2006/relationships/hyperlink" Target="http://twiplomacy.com/info/asia/Sri-Lanka" TargetMode="External"/><Relationship Id="rId738" Type="http://schemas.openxmlformats.org/officeDocument/2006/relationships/hyperlink" Target="https://twitter.com/DanielMitov/status/124456654455582720" TargetMode="External"/><Relationship Id="rId945" Type="http://schemas.openxmlformats.org/officeDocument/2006/relationships/hyperlink" Target="https://twitter.com/QuirinaleStampa/statuses/231061661602172928" TargetMode="External"/><Relationship Id="rId1368" Type="http://schemas.openxmlformats.org/officeDocument/2006/relationships/hyperlink" Target="http://twiplomacy.com/info/north-america/Dominica" TargetMode="External"/><Relationship Id="rId1575" Type="http://schemas.openxmlformats.org/officeDocument/2006/relationships/hyperlink" Target="https://twitter.com/imprensaPR/statuses/12897630650" TargetMode="External"/><Relationship Id="rId1782" Type="http://schemas.openxmlformats.org/officeDocument/2006/relationships/hyperlink" Target="https://twitter.com/VladaRH" TargetMode="External"/><Relationship Id="rId2321" Type="http://schemas.openxmlformats.org/officeDocument/2006/relationships/hyperlink" Target="https://twitter.com/japan" TargetMode="External"/><Relationship Id="rId2419" Type="http://schemas.openxmlformats.org/officeDocument/2006/relationships/hyperlink" Target="https://twitter.com/ebkoroma" TargetMode="External"/><Relationship Id="rId2626" Type="http://schemas.openxmlformats.org/officeDocument/2006/relationships/hyperlink" Target="https://discover.twitter.com/first-tweet" TargetMode="External"/><Relationship Id="rId74" Type="http://schemas.openxmlformats.org/officeDocument/2006/relationships/hyperlink" Target="http://twiplomacy.com/info/africa/Gabon" TargetMode="External"/><Relationship Id="rId500" Type="http://schemas.openxmlformats.org/officeDocument/2006/relationships/hyperlink" Target="https://twitter.com/Gebran_Bassil/statuses/522687853919092736" TargetMode="External"/><Relationship Id="rId805" Type="http://schemas.openxmlformats.org/officeDocument/2006/relationships/hyperlink" Target="https://twitter.com/donaldtusk/lists" TargetMode="External"/><Relationship Id="rId1130" Type="http://schemas.openxmlformats.org/officeDocument/2006/relationships/hyperlink" Target="https://twitter.com/mfa_russia/lists/russian-representations/members" TargetMode="External"/><Relationship Id="rId1228" Type="http://schemas.openxmlformats.org/officeDocument/2006/relationships/hyperlink" Target="https://twitter.com/RecepT_Erdogan/statuses/117203391461064704" TargetMode="External"/><Relationship Id="rId1435" Type="http://schemas.openxmlformats.org/officeDocument/2006/relationships/hyperlink" Target="https://twitter.com/SRE_mx/statuses/471824447008014336" TargetMode="External"/><Relationship Id="rId1642" Type="http://schemas.openxmlformats.org/officeDocument/2006/relationships/hyperlink" Target="http://twiplomacy.com/info/south-america/Peru" TargetMode="External"/><Relationship Id="rId1947" Type="http://schemas.openxmlformats.org/officeDocument/2006/relationships/hyperlink" Target="https://twitter.com/johnkeypm" TargetMode="External"/><Relationship Id="rId1502" Type="http://schemas.openxmlformats.org/officeDocument/2006/relationships/hyperlink" Target="http://twiplomacy.com/info/north-america/United-States" TargetMode="External"/><Relationship Id="rId1807" Type="http://schemas.openxmlformats.org/officeDocument/2006/relationships/hyperlink" Target="https://twitter.com/luisguillermosr" TargetMode="External"/><Relationship Id="rId290" Type="http://schemas.openxmlformats.org/officeDocument/2006/relationships/hyperlink" Target="https://twitter.com/GMICafghanistan/statuses/26154118958" TargetMode="External"/><Relationship Id="rId388" Type="http://schemas.openxmlformats.org/officeDocument/2006/relationships/hyperlink" Target="https://twitter.com/Khamenei_ar/status/447394828486070272" TargetMode="External"/><Relationship Id="rId2069" Type="http://schemas.openxmlformats.org/officeDocument/2006/relationships/hyperlink" Target="https://twitter.com/IgnacioYbanez" TargetMode="External"/><Relationship Id="rId150" Type="http://schemas.openxmlformats.org/officeDocument/2006/relationships/hyperlink" Target="https://twitter.com/Maroc_eGov/statuses/64337648361275392" TargetMode="External"/><Relationship Id="rId595" Type="http://schemas.openxmlformats.org/officeDocument/2006/relationships/hyperlink" Target="https://twitter.com/Saudiegov/status/21902148954492928" TargetMode="External"/><Relationship Id="rId2276" Type="http://schemas.openxmlformats.org/officeDocument/2006/relationships/hyperlink" Target="https://twitter.com/RamiHamdalla" TargetMode="External"/><Relationship Id="rId2483" Type="http://schemas.openxmlformats.org/officeDocument/2006/relationships/hyperlink" Target="https://twitter.com/MFAEGYPT" TargetMode="External"/><Relationship Id="rId2690" Type="http://schemas.openxmlformats.org/officeDocument/2006/relationships/hyperlink" Target="https://twitter.com/KingSalman/statuses/560910747178250240" TargetMode="External"/><Relationship Id="rId248" Type="http://schemas.openxmlformats.org/officeDocument/2006/relationships/hyperlink" Target="http://twiplomacy.com/info/africa/Togo" TargetMode="External"/><Relationship Id="rId455" Type="http://schemas.openxmlformats.org/officeDocument/2006/relationships/hyperlink" Target="http://twiplomacy.com/info/asia/Jordan" TargetMode="External"/><Relationship Id="rId662" Type="http://schemas.openxmlformats.org/officeDocument/2006/relationships/hyperlink" Target="https://twitter.com/ThaiKhuFah/lists" TargetMode="External"/><Relationship Id="rId1085" Type="http://schemas.openxmlformats.org/officeDocument/2006/relationships/hyperlink" Target="https://twitter.com/MSZ_RP/lists" TargetMode="External"/><Relationship Id="rId1292" Type="http://schemas.openxmlformats.org/officeDocument/2006/relationships/hyperlink" Target="https://twitter.com/Pontifex/statuses/313247631054864384" TargetMode="External"/><Relationship Id="rId2136" Type="http://schemas.openxmlformats.org/officeDocument/2006/relationships/hyperlink" Target="https://twitter.com/LinkeviciusL" TargetMode="External"/><Relationship Id="rId2343" Type="http://schemas.openxmlformats.org/officeDocument/2006/relationships/hyperlink" Target="https://twitter.com/khamenei_ir" TargetMode="External"/><Relationship Id="rId2550" Type="http://schemas.openxmlformats.org/officeDocument/2006/relationships/hyperlink" Target="https://twitter.com/BeataSzydlo/lists" TargetMode="External"/><Relationship Id="rId108" Type="http://schemas.openxmlformats.org/officeDocument/2006/relationships/hyperlink" Target="https://twitter.com/StateHouseKenya/statuses/321667817818693632" TargetMode="External"/><Relationship Id="rId315" Type="http://schemas.openxmlformats.org/officeDocument/2006/relationships/hyperlink" Target="https://twitter.com/BahrainCPnews/lists" TargetMode="External"/><Relationship Id="rId522" Type="http://schemas.openxmlformats.org/officeDocument/2006/relationships/hyperlink" Target="http://twiplomacy.com/info/asia/Mongolia" TargetMode="External"/><Relationship Id="rId967" Type="http://schemas.openxmlformats.org/officeDocument/2006/relationships/hyperlink" Target="https://twitter.com/Rigas_pils/statuses/18026987782" TargetMode="External"/><Relationship Id="rId1152" Type="http://schemas.openxmlformats.org/officeDocument/2006/relationships/hyperlink" Target="http://twiplomacy.com/info/europe/Slovakia" TargetMode="External"/><Relationship Id="rId1597" Type="http://schemas.openxmlformats.org/officeDocument/2006/relationships/hyperlink" Target="http://twiplomacy.com/info/south-america/Chile" TargetMode="External"/><Relationship Id="rId2203" Type="http://schemas.openxmlformats.org/officeDocument/2006/relationships/hyperlink" Target="https://twitter.com/SlavekSobotka" TargetMode="External"/><Relationship Id="rId2410" Type="http://schemas.openxmlformats.org/officeDocument/2006/relationships/hyperlink" Target="https://twitter.com/SAPresident" TargetMode="External"/><Relationship Id="rId2648" Type="http://schemas.openxmlformats.org/officeDocument/2006/relationships/hyperlink" Target="https://twitter.com/ABZayed/lists" TargetMode="External"/><Relationship Id="rId96" Type="http://schemas.openxmlformats.org/officeDocument/2006/relationships/hyperlink" Target="https://twitter.com/ADO__Solutions/lists" TargetMode="External"/><Relationship Id="rId827" Type="http://schemas.openxmlformats.org/officeDocument/2006/relationships/hyperlink" Target="https://twitter.com/eu_eeas/eu-delegations/members" TargetMode="External"/><Relationship Id="rId1012" Type="http://schemas.openxmlformats.org/officeDocument/2006/relationships/hyperlink" Target="https://twitter.com/gouv_lu/status/484346549548638209" TargetMode="External"/><Relationship Id="rId1457" Type="http://schemas.openxmlformats.org/officeDocument/2006/relationships/hyperlink" Target="https://twitter.com/fortalezapr/lists" TargetMode="External"/><Relationship Id="rId1664" Type="http://schemas.openxmlformats.org/officeDocument/2006/relationships/hyperlink" Target="http://twiplomacy.com/info/south-america/Venezuela" TargetMode="External"/><Relationship Id="rId1871" Type="http://schemas.openxmlformats.org/officeDocument/2006/relationships/hyperlink" Target="https://twitter.com/eng_pm_kz" TargetMode="External"/><Relationship Id="rId2508" Type="http://schemas.openxmlformats.org/officeDocument/2006/relationships/hyperlink" Target="https://twitter.com/HildaHeine" TargetMode="External"/><Relationship Id="rId2715" Type="http://schemas.openxmlformats.org/officeDocument/2006/relationships/hyperlink" Target="https://twitter.com/UAEGover/lists" TargetMode="External"/><Relationship Id="rId1317" Type="http://schemas.openxmlformats.org/officeDocument/2006/relationships/hyperlink" Target="http://twiplomacy.com/info/north-america/Antigua-and-Barbuda" TargetMode="External"/><Relationship Id="rId1524" Type="http://schemas.openxmlformats.org/officeDocument/2006/relationships/hyperlink" Target="https://twitter.com/USAbilAraby/lists" TargetMode="External"/><Relationship Id="rId1731" Type="http://schemas.openxmlformats.org/officeDocument/2006/relationships/hyperlink" Target="http://twiplomacy.com/info/asia/Kazakhstan" TargetMode="External"/><Relationship Id="rId1969" Type="http://schemas.openxmlformats.org/officeDocument/2006/relationships/hyperlink" Target="https://twitter.com/POTUS" TargetMode="External"/><Relationship Id="rId23" Type="http://schemas.openxmlformats.org/officeDocument/2006/relationships/hyperlink" Target="http://twiplomacy.com/info/africa/Cameroon" TargetMode="External"/><Relationship Id="rId1829" Type="http://schemas.openxmlformats.org/officeDocument/2006/relationships/hyperlink" Target="https://twitter.com/OPM_TT" TargetMode="External"/><Relationship Id="rId2298" Type="http://schemas.openxmlformats.org/officeDocument/2006/relationships/hyperlink" Target="https://twitter.com/anifah_aman" TargetMode="External"/><Relationship Id="rId172" Type="http://schemas.openxmlformats.org/officeDocument/2006/relationships/hyperlink" Target="https://twitter.com/PaulKagame/statuses/1809439901" TargetMode="External"/><Relationship Id="rId477" Type="http://schemas.openxmlformats.org/officeDocument/2006/relationships/hyperlink" Target="https://twitter.com/ortcomkz/statuses/428472219162128384" TargetMode="External"/><Relationship Id="rId684" Type="http://schemas.openxmlformats.org/officeDocument/2006/relationships/hyperlink" Target="https://twitter.com/MBZNews/statuses/161341143223771136" TargetMode="External"/><Relationship Id="rId2060" Type="http://schemas.openxmlformats.org/officeDocument/2006/relationships/hyperlink" Target="https://twitter.com/Ahmet_Davutoglu" TargetMode="External"/><Relationship Id="rId2158" Type="http://schemas.openxmlformats.org/officeDocument/2006/relationships/hyperlink" Target="https://twitter.com/CharlieFlanagan" TargetMode="External"/><Relationship Id="rId2365" Type="http://schemas.openxmlformats.org/officeDocument/2006/relationships/hyperlink" Target="https://twitter.com/BhutanGov" TargetMode="External"/><Relationship Id="rId337" Type="http://schemas.openxmlformats.org/officeDocument/2006/relationships/hyperlink" Target="https://twitter.com/TaurMatanRuak/statuses/116068203456765952" TargetMode="External"/><Relationship Id="rId891" Type="http://schemas.openxmlformats.org/officeDocument/2006/relationships/hyperlink" Target="https://twitter.com/RegSprecher/statuses/42205913481875456" TargetMode="External"/><Relationship Id="rId989" Type="http://schemas.openxmlformats.org/officeDocument/2006/relationships/hyperlink" Target="https://twitter.com/MFA_LI/statuses/439686774269702145" TargetMode="External"/><Relationship Id="rId2018" Type="http://schemas.openxmlformats.org/officeDocument/2006/relationships/hyperlink" Target="https://twitter.com/BarrowDean" TargetMode="External"/><Relationship Id="rId2572" Type="http://schemas.openxmlformats.org/officeDocument/2006/relationships/hyperlink" Target="http://twiplomacy.com/info/europe/Kosovo" TargetMode="External"/><Relationship Id="rId544" Type="http://schemas.openxmlformats.org/officeDocument/2006/relationships/hyperlink" Target="https://twitter.com/PM_Nepal/status/608653079991336960" TargetMode="External"/><Relationship Id="rId751" Type="http://schemas.openxmlformats.org/officeDocument/2006/relationships/hyperlink" Target="https://twitter.com/MVEP_hr/statuses/241167210716995584" TargetMode="External"/><Relationship Id="rId849" Type="http://schemas.openxmlformats.org/officeDocument/2006/relationships/hyperlink" Target="https://twitter.com/valtioneuvosto/statuses/63922881360441344" TargetMode="External"/><Relationship Id="rId1174" Type="http://schemas.openxmlformats.org/officeDocument/2006/relationships/hyperlink" Target="https://twitter.com/govSlovenia/statuses/400911198490599424" TargetMode="External"/><Relationship Id="rId1381" Type="http://schemas.openxmlformats.org/officeDocument/2006/relationships/hyperlink" Target="http://twiplomacy.com/info/north-america/Dominican-Republic" TargetMode="External"/><Relationship Id="rId1479" Type="http://schemas.openxmlformats.org/officeDocument/2006/relationships/hyperlink" Target="http://twiplomacy.com/info/north-america/United-States" TargetMode="External"/><Relationship Id="rId1686" Type="http://schemas.openxmlformats.org/officeDocument/2006/relationships/hyperlink" Target="http://twiplomacy.com/info/south-america/Venezuela" TargetMode="External"/><Relationship Id="rId2225" Type="http://schemas.openxmlformats.org/officeDocument/2006/relationships/hyperlink" Target="https://twitter.com/MFA_Austria" TargetMode="External"/><Relationship Id="rId2432" Type="http://schemas.openxmlformats.org/officeDocument/2006/relationships/hyperlink" Target="https://twitter.com/foreignaffairng" TargetMode="External"/><Relationship Id="rId404" Type="http://schemas.openxmlformats.org/officeDocument/2006/relationships/hyperlink" Target="http://twiplomacy.com/info/asia/Iraq" TargetMode="External"/><Relationship Id="rId611" Type="http://schemas.openxmlformats.org/officeDocument/2006/relationships/hyperlink" Target="https://twitter.com/GH_PARK/statuses/280564657905864704" TargetMode="External"/><Relationship Id="rId1034" Type="http://schemas.openxmlformats.org/officeDocument/2006/relationships/hyperlink" Target="http://twiplomacy.com/info/europe/Monaco" TargetMode="External"/><Relationship Id="rId1241" Type="http://schemas.openxmlformats.org/officeDocument/2006/relationships/hyperlink" Target="https://twitter.com/MFATurkey/statuses/124129581883068416" TargetMode="External"/><Relationship Id="rId1339" Type="http://schemas.openxmlformats.org/officeDocument/2006/relationships/hyperlink" Target="https://twitter.com/HonStephaneDion/status/393404960567595008" TargetMode="External"/><Relationship Id="rId1893" Type="http://schemas.openxmlformats.org/officeDocument/2006/relationships/hyperlink" Target="https://twitter.com/maduro_ru" TargetMode="External"/><Relationship Id="rId2737" Type="http://schemas.openxmlformats.org/officeDocument/2006/relationships/hyperlink" Target="https://twitter.com/HannaTetteh/lists" TargetMode="External"/><Relationship Id="rId709" Type="http://schemas.openxmlformats.org/officeDocument/2006/relationships/hyperlink" Target="https://twitter.com/Minoritenplatz8/statuses/32131723470831616" TargetMode="External"/><Relationship Id="rId916" Type="http://schemas.openxmlformats.org/officeDocument/2006/relationships/hyperlink" Target="http://twiplomacy.com/info/europe/Hungary" TargetMode="External"/><Relationship Id="rId1101" Type="http://schemas.openxmlformats.org/officeDocument/2006/relationships/hyperlink" Target="http://twiplomacy.com/info/europe/Romania" TargetMode="External"/><Relationship Id="rId1546" Type="http://schemas.openxmlformats.org/officeDocument/2006/relationships/hyperlink" Target="https://twitter.com/murray_mccully/status/1657500431" TargetMode="External"/><Relationship Id="rId1753" Type="http://schemas.openxmlformats.org/officeDocument/2006/relationships/hyperlink" Target="http://twiplomacy.com/info/asia/United-Arab-Emirates" TargetMode="External"/><Relationship Id="rId1960" Type="http://schemas.openxmlformats.org/officeDocument/2006/relationships/hyperlink" Target="https://twitter.com/USAenFrancais" TargetMode="External"/><Relationship Id="rId45" Type="http://schemas.openxmlformats.org/officeDocument/2006/relationships/hyperlink" Target="https://twitter.com/djiboutidiplo/lists" TargetMode="External"/><Relationship Id="rId1406" Type="http://schemas.openxmlformats.org/officeDocument/2006/relationships/hyperlink" Target="http://twiplomacy.com/info/north-america/Haiti" TargetMode="External"/><Relationship Id="rId1613" Type="http://schemas.openxmlformats.org/officeDocument/2006/relationships/hyperlink" Target="http://twiplomacy.com/info/south-america/Ecuador" TargetMode="External"/><Relationship Id="rId1820" Type="http://schemas.openxmlformats.org/officeDocument/2006/relationships/hyperlink" Target="https://twitter.com/CasaRosada/lists" TargetMode="External"/><Relationship Id="rId194" Type="http://schemas.openxmlformats.org/officeDocument/2006/relationships/hyperlink" Target="http://twiplomacy.com/info/africa/Senegal" TargetMode="External"/><Relationship Id="rId1918" Type="http://schemas.openxmlformats.org/officeDocument/2006/relationships/hyperlink" Target="https://twitter.com/opmguyana" TargetMode="External"/><Relationship Id="rId2082" Type="http://schemas.openxmlformats.org/officeDocument/2006/relationships/hyperlink" Target="https://twitter.com/SerbianPM" TargetMode="External"/><Relationship Id="rId261" Type="http://schemas.openxmlformats.org/officeDocument/2006/relationships/hyperlink" Target="https://twitter.com/Habib_essid/statuses/512901122642964480" TargetMode="External"/><Relationship Id="rId499" Type="http://schemas.openxmlformats.org/officeDocument/2006/relationships/hyperlink" Target="https://twitter.com/Gebran_Bassil/statuses/18510101897" TargetMode="External"/><Relationship Id="rId2387" Type="http://schemas.openxmlformats.org/officeDocument/2006/relationships/hyperlink" Target="https://twitter.com/HonEdgarCLungu" TargetMode="External"/><Relationship Id="rId2594" Type="http://schemas.openxmlformats.org/officeDocument/2006/relationships/hyperlink" Target="https://twitter.com/primaturebj/status/367782350832140288" TargetMode="External"/><Relationship Id="rId359" Type="http://schemas.openxmlformats.org/officeDocument/2006/relationships/hyperlink" Target="http://twiplomacy.com/info/asia/India" TargetMode="External"/><Relationship Id="rId566" Type="http://schemas.openxmlformats.org/officeDocument/2006/relationships/hyperlink" Target="http://twiplomacy.com/info/asia/Palestine" TargetMode="External"/><Relationship Id="rId773" Type="http://schemas.openxmlformats.org/officeDocument/2006/relationships/hyperlink" Target="http://twiplomacy.com/info/europe/Czech-Republic" TargetMode="External"/><Relationship Id="rId1196" Type="http://schemas.openxmlformats.org/officeDocument/2006/relationships/hyperlink" Target="https://twitter.com/margotwallstrom/status/65914289428496384" TargetMode="External"/><Relationship Id="rId2247" Type="http://schemas.openxmlformats.org/officeDocument/2006/relationships/hyperlink" Target="https://twitter.com/Presidency_Sy" TargetMode="External"/><Relationship Id="rId2454" Type="http://schemas.openxmlformats.org/officeDocument/2006/relationships/hyperlink" Target="https://twitter.com/emansionliberia" TargetMode="External"/><Relationship Id="rId121" Type="http://schemas.openxmlformats.org/officeDocument/2006/relationships/hyperlink" Target="http://twiplomacy.com/info/africa/Liberia" TargetMode="External"/><Relationship Id="rId219" Type="http://schemas.openxmlformats.org/officeDocument/2006/relationships/hyperlink" Target="https://twitter.com/mofasomalia/statuses/310197762677436419" TargetMode="External"/><Relationship Id="rId426" Type="http://schemas.openxmlformats.org/officeDocument/2006/relationships/hyperlink" Target="https://twitter.com/Israel/lists" TargetMode="External"/><Relationship Id="rId633" Type="http://schemas.openxmlformats.org/officeDocument/2006/relationships/hyperlink" Target="https://twitter.com/PresidentGovLK/status/564652776706170880" TargetMode="External"/><Relationship Id="rId980" Type="http://schemas.openxmlformats.org/officeDocument/2006/relationships/hyperlink" Target="http://twiplomacy.com/info/europe/Latvia" TargetMode="External"/><Relationship Id="rId1056" Type="http://schemas.openxmlformats.org/officeDocument/2006/relationships/hyperlink" Target="https://twitter.com/NL_MFA_strategy/status/364742614257377280" TargetMode="External"/><Relationship Id="rId1263" Type="http://schemas.openxmlformats.org/officeDocument/2006/relationships/hyperlink" Target="http://twiplomacy.com/info/europe/Ukraine" TargetMode="External"/><Relationship Id="rId2107" Type="http://schemas.openxmlformats.org/officeDocument/2006/relationships/hyperlink" Target="https://twitter.com/BeataSzydlo" TargetMode="External"/><Relationship Id="rId2314" Type="http://schemas.openxmlformats.org/officeDocument/2006/relationships/hyperlink" Target="https://twitter.com/ForeignMinistry" TargetMode="External"/><Relationship Id="rId2661" Type="http://schemas.openxmlformats.org/officeDocument/2006/relationships/hyperlink" Target="https://twitter.com/JnCharlesEnexPM/lists" TargetMode="External"/><Relationship Id="rId840" Type="http://schemas.openxmlformats.org/officeDocument/2006/relationships/hyperlink" Target="http://twiplomacy.com/info/europe/f-y-r-o-m/" TargetMode="External"/><Relationship Id="rId938" Type="http://schemas.openxmlformats.org/officeDocument/2006/relationships/hyperlink" Target="https://twitter.com/dfatirl/statuses/111403102451679232" TargetMode="External"/><Relationship Id="rId1470" Type="http://schemas.openxmlformats.org/officeDocument/2006/relationships/hyperlink" Target="https://twitter.com/ComradeRalph/lists" TargetMode="External"/><Relationship Id="rId1568" Type="http://schemas.openxmlformats.org/officeDocument/2006/relationships/hyperlink" Target="https://twitter.com/mincombolivia/statuses/141165954523594753" TargetMode="External"/><Relationship Id="rId1775" Type="http://schemas.openxmlformats.org/officeDocument/2006/relationships/hyperlink" Target="https://twitter.com/NZRugbyHeaven/statuses/68544704337281024" TargetMode="External"/><Relationship Id="rId2521" Type="http://schemas.openxmlformats.org/officeDocument/2006/relationships/hyperlink" Target="https://twitter.com/jeanmarcayrault" TargetMode="External"/><Relationship Id="rId2619" Type="http://schemas.openxmlformats.org/officeDocument/2006/relationships/hyperlink" Target="http://twiplomacy.com/info/north-america/Jamaica" TargetMode="External"/><Relationship Id="rId67" Type="http://schemas.openxmlformats.org/officeDocument/2006/relationships/hyperlink" Target="https://twitter.com/mfaethiopia/statuses/306397540323053568" TargetMode="External"/><Relationship Id="rId700" Type="http://schemas.openxmlformats.org/officeDocument/2006/relationships/hyperlink" Target="https://twitter.com/ditmirbushati/statuses/303542109049335808" TargetMode="External"/><Relationship Id="rId1123" Type="http://schemas.openxmlformats.org/officeDocument/2006/relationships/hyperlink" Target="https://twitter.com/MedvedevRussiaE/statuses/16864333645" TargetMode="External"/><Relationship Id="rId1330" Type="http://schemas.openxmlformats.org/officeDocument/2006/relationships/hyperlink" Target="https://twitter.com/JustinTrudeau/status/779795425" TargetMode="External"/><Relationship Id="rId1428" Type="http://schemas.openxmlformats.org/officeDocument/2006/relationships/hyperlink" Target="https://twitter.com/gobrep/statuses/2103312431" TargetMode="External"/><Relationship Id="rId1635" Type="http://schemas.openxmlformats.org/officeDocument/2006/relationships/hyperlink" Target="http://twiplomacy.com/info/south-america/Paraguay" TargetMode="External"/><Relationship Id="rId1982" Type="http://schemas.openxmlformats.org/officeDocument/2006/relationships/hyperlink" Target="https://twitter.com/CancilleriaPA" TargetMode="External"/><Relationship Id="rId1842" Type="http://schemas.openxmlformats.org/officeDocument/2006/relationships/hyperlink" Target="https://twitter.com/Russia" TargetMode="External"/><Relationship Id="rId1702" Type="http://schemas.openxmlformats.org/officeDocument/2006/relationships/hyperlink" Target="http://twiplomacy.com/info/africa/Benin" TargetMode="External"/><Relationship Id="rId283" Type="http://schemas.openxmlformats.org/officeDocument/2006/relationships/hyperlink" Target="http://twiplomacy.com/info/asia/Afghanistan" TargetMode="External"/><Relationship Id="rId490" Type="http://schemas.openxmlformats.org/officeDocument/2006/relationships/hyperlink" Target="http://twiplomacy.com/info/asia/Kyrgyzstan" TargetMode="External"/><Relationship Id="rId2171" Type="http://schemas.openxmlformats.org/officeDocument/2006/relationships/hyperlink" Target="https://twitter.com/francediplo_AR" TargetMode="External"/><Relationship Id="rId143" Type="http://schemas.openxmlformats.org/officeDocument/2006/relationships/hyperlink" Target="https://twitter.com/OuldAbdelAziz/status/231354304726962177" TargetMode="External"/><Relationship Id="rId350" Type="http://schemas.openxmlformats.org/officeDocument/2006/relationships/hyperlink" Target="https://twitter.com/govgeoabkhaz/lists" TargetMode="External"/><Relationship Id="rId588" Type="http://schemas.openxmlformats.org/officeDocument/2006/relationships/hyperlink" Target="http://twiplomacy.com/info/asia/Qatar" TargetMode="External"/><Relationship Id="rId795" Type="http://schemas.openxmlformats.org/officeDocument/2006/relationships/hyperlink" Target="https://twitter.com/KeitPentus/status/1191806076" TargetMode="External"/><Relationship Id="rId2031" Type="http://schemas.openxmlformats.org/officeDocument/2006/relationships/hyperlink" Target="https://twitter.com/Pontifex_it" TargetMode="External"/><Relationship Id="rId2269" Type="http://schemas.openxmlformats.org/officeDocument/2006/relationships/hyperlink" Target="https://twitter.com/PresidentNoy" TargetMode="External"/><Relationship Id="rId2476" Type="http://schemas.openxmlformats.org/officeDocument/2006/relationships/hyperlink" Target="https://twitter.com/PresidenceGA" TargetMode="External"/><Relationship Id="rId2683" Type="http://schemas.openxmlformats.org/officeDocument/2006/relationships/hyperlink" Target="https://twitter.com/statsradet/statuses/527023044020424705" TargetMode="External"/><Relationship Id="rId9" Type="http://schemas.openxmlformats.org/officeDocument/2006/relationships/hyperlink" Target="https://twitter.com/BWGovernment/statuses/116102771220021248" TargetMode="External"/><Relationship Id="rId210" Type="http://schemas.openxmlformats.org/officeDocument/2006/relationships/hyperlink" Target="http://twiplomacy.com/info/africa/Somalia" TargetMode="External"/><Relationship Id="rId448" Type="http://schemas.openxmlformats.org/officeDocument/2006/relationships/hyperlink" Target="https://twitter.com/japan/status/113657185002717184" TargetMode="External"/><Relationship Id="rId655" Type="http://schemas.openxmlformats.org/officeDocument/2006/relationships/hyperlink" Target="http://twiplomacy.com/info/asia/Tajikistan" TargetMode="External"/><Relationship Id="rId862" Type="http://schemas.openxmlformats.org/officeDocument/2006/relationships/hyperlink" Target="https://twitter.com/Elysee/lists" TargetMode="External"/><Relationship Id="rId1078" Type="http://schemas.openxmlformats.org/officeDocument/2006/relationships/hyperlink" Target="http://twiplomacy.com/info/europe/Poland" TargetMode="External"/><Relationship Id="rId1285" Type="http://schemas.openxmlformats.org/officeDocument/2006/relationships/hyperlink" Target="http://twiplomacy.com/info/europe/United-Kingdom" TargetMode="External"/><Relationship Id="rId1492" Type="http://schemas.openxmlformats.org/officeDocument/2006/relationships/hyperlink" Target="https://twitter.com/JohnKerry/status/1438540259" TargetMode="External"/><Relationship Id="rId2129" Type="http://schemas.openxmlformats.org/officeDocument/2006/relationships/hyperlink" Target="https://twitter.com/JosephMuscat_JM" TargetMode="External"/><Relationship Id="rId2336" Type="http://schemas.openxmlformats.org/officeDocument/2006/relationships/hyperlink" Target="https://twitter.com/PresidentFuad" TargetMode="External"/><Relationship Id="rId2543" Type="http://schemas.openxmlformats.org/officeDocument/2006/relationships/hyperlink" Target="https://twitter.com/MinCanadaFA/lists" TargetMode="External"/><Relationship Id="rId308" Type="http://schemas.openxmlformats.org/officeDocument/2006/relationships/hyperlink" Target="http://twiplomacy.com/info/asia/Azerbaijan" TargetMode="External"/><Relationship Id="rId515" Type="http://schemas.openxmlformats.org/officeDocument/2006/relationships/hyperlink" Target="http://twiplomacy.com/info/asia/Maldives" TargetMode="External"/><Relationship Id="rId722" Type="http://schemas.openxmlformats.org/officeDocument/2006/relationships/hyperlink" Target="https://twitter.com/dreynders/statuses/1681439845" TargetMode="External"/><Relationship Id="rId1145" Type="http://schemas.openxmlformats.org/officeDocument/2006/relationships/hyperlink" Target="https://twitter.com/DacicIvica/lists" TargetMode="External"/><Relationship Id="rId1352" Type="http://schemas.openxmlformats.org/officeDocument/2006/relationships/hyperlink" Target="https://twitter.com/luisguillermosr/statuses/485559398652059648" TargetMode="External"/><Relationship Id="rId1797" Type="http://schemas.openxmlformats.org/officeDocument/2006/relationships/hyperlink" Target="https://twitter.com/LithuaniaMFA" TargetMode="External"/><Relationship Id="rId2403" Type="http://schemas.openxmlformats.org/officeDocument/2006/relationships/hyperlink" Target="https://twitter.com/FEGnassingbe" TargetMode="External"/><Relationship Id="rId89" Type="http://schemas.openxmlformats.org/officeDocument/2006/relationships/hyperlink" Target="https://twitter.com/Presidence_gn/status/503090148377370624" TargetMode="External"/><Relationship Id="rId1005" Type="http://schemas.openxmlformats.org/officeDocument/2006/relationships/hyperlink" Target="https://twitter.com/LT_MFA_Stratcom/status/540461647127908353" TargetMode="External"/><Relationship Id="rId1212" Type="http://schemas.openxmlformats.org/officeDocument/2006/relationships/hyperlink" Target="http://twiplomacy.com/info/europe/Turkey" TargetMode="External"/><Relationship Id="rId1657" Type="http://schemas.openxmlformats.org/officeDocument/2006/relationships/hyperlink" Target="https://twitter.com/MinExterioresUY/lists" TargetMode="External"/><Relationship Id="rId1864" Type="http://schemas.openxmlformats.org/officeDocument/2006/relationships/hyperlink" Target="https://twitter.com/QaTaR_" TargetMode="External"/><Relationship Id="rId2610" Type="http://schemas.openxmlformats.org/officeDocument/2006/relationships/hyperlink" Target="https://twitter.com/GuvernulRM/lists" TargetMode="External"/><Relationship Id="rId2708" Type="http://schemas.openxmlformats.org/officeDocument/2006/relationships/hyperlink" Target="http://twiplomacy.com/info/south-america/Brazil" TargetMode="External"/><Relationship Id="rId1517" Type="http://schemas.openxmlformats.org/officeDocument/2006/relationships/hyperlink" Target="https://twitter.com/USA_Zhongwen/statuses/40306239774662656" TargetMode="External"/><Relationship Id="rId1724" Type="http://schemas.openxmlformats.org/officeDocument/2006/relationships/hyperlink" Target="http://twiplomacy.com/info/asia/Armenia" TargetMode="External"/><Relationship Id="rId16" Type="http://schemas.openxmlformats.org/officeDocument/2006/relationships/hyperlink" Target="https://twitter.com/PierreNkurunziz/statuses/165502877253644288" TargetMode="External"/><Relationship Id="rId1931" Type="http://schemas.openxmlformats.org/officeDocument/2006/relationships/hyperlink" Target="https://twitter.com/BrazilGovNews" TargetMode="External"/><Relationship Id="rId2193" Type="http://schemas.openxmlformats.org/officeDocument/2006/relationships/hyperlink" Target="https://twitter.com/StenbockiMaja" TargetMode="External"/><Relationship Id="rId2498" Type="http://schemas.openxmlformats.org/officeDocument/2006/relationships/hyperlink" Target="https://twitter.com/BurundiGov" TargetMode="External"/><Relationship Id="rId165" Type="http://schemas.openxmlformats.org/officeDocument/2006/relationships/hyperlink" Target="http://twiplomacy.com/info/africa/Nigeria" TargetMode="External"/><Relationship Id="rId372" Type="http://schemas.openxmlformats.org/officeDocument/2006/relationships/hyperlink" Target="https://twitter.com/jokowi_do2/lists" TargetMode="External"/><Relationship Id="rId677" Type="http://schemas.openxmlformats.org/officeDocument/2006/relationships/hyperlink" Target="https://twitter.com/HHShkMohd/lists" TargetMode="External"/><Relationship Id="rId2053" Type="http://schemas.openxmlformats.org/officeDocument/2006/relationships/hyperlink" Target="https://twitter.com/A_Davutoglu_ar" TargetMode="External"/><Relationship Id="rId2260" Type="http://schemas.openxmlformats.org/officeDocument/2006/relationships/hyperlink" Target="https://twitter.com/govsingapore" TargetMode="External"/><Relationship Id="rId2358" Type="http://schemas.openxmlformats.org/officeDocument/2006/relationships/hyperlink" Target="https://twitter.com/PrimeMinisterGE" TargetMode="External"/><Relationship Id="rId232" Type="http://schemas.openxmlformats.org/officeDocument/2006/relationships/hyperlink" Target="https://twitter.com/DIRCO_ZA/status/560793928111509504" TargetMode="External"/><Relationship Id="rId884" Type="http://schemas.openxmlformats.org/officeDocument/2006/relationships/hyperlink" Target="http://twiplomacy.com/info/europe/France" TargetMode="External"/><Relationship Id="rId2120" Type="http://schemas.openxmlformats.org/officeDocument/2006/relationships/hyperlink" Target="https://twitter.com/MinPres" TargetMode="External"/><Relationship Id="rId2565" Type="http://schemas.openxmlformats.org/officeDocument/2006/relationships/hyperlink" Target="http://twiplomacy.com/info/asia/Sri-Lanka" TargetMode="External"/><Relationship Id="rId537" Type="http://schemas.openxmlformats.org/officeDocument/2006/relationships/hyperlink" Target="https://twitter.com/zasagmn/statuses/306331373080297473" TargetMode="External"/><Relationship Id="rId744" Type="http://schemas.openxmlformats.org/officeDocument/2006/relationships/hyperlink" Target="https://twitter.com/kolindagk/lists" TargetMode="External"/><Relationship Id="rId951" Type="http://schemas.openxmlformats.org/officeDocument/2006/relationships/hyperlink" Target="http://twiplomacy.com/info/europe/Italy" TargetMode="External"/><Relationship Id="rId1167" Type="http://schemas.openxmlformats.org/officeDocument/2006/relationships/hyperlink" Target="http://twiplomacy.com/info/europe/Slovenia" TargetMode="External"/><Relationship Id="rId1374" Type="http://schemas.openxmlformats.org/officeDocument/2006/relationships/hyperlink" Target="http://twiplomacy.com/info/north-america/Dominican-Republic" TargetMode="External"/><Relationship Id="rId1581" Type="http://schemas.openxmlformats.org/officeDocument/2006/relationships/hyperlink" Target="https://twitter.com/BrazilGovNews/statuses/11249827079" TargetMode="External"/><Relationship Id="rId1679" Type="http://schemas.openxmlformats.org/officeDocument/2006/relationships/hyperlink" Target="https://twitter.com/maduro_fr/statuses/449706629257502721" TargetMode="External"/><Relationship Id="rId2218" Type="http://schemas.openxmlformats.org/officeDocument/2006/relationships/hyperlink" Target="https://twitter.com/DrZvizdic" TargetMode="External"/><Relationship Id="rId2425" Type="http://schemas.openxmlformats.org/officeDocument/2006/relationships/hyperlink" Target="https://twitter.com/RwandaMFA" TargetMode="External"/><Relationship Id="rId2632" Type="http://schemas.openxmlformats.org/officeDocument/2006/relationships/hyperlink" Target="https://twitter.com/HassanalBolkia2" TargetMode="External"/><Relationship Id="rId80" Type="http://schemas.openxmlformats.org/officeDocument/2006/relationships/hyperlink" Target="http://twiplomacy.com/info/africa/Ghana" TargetMode="External"/><Relationship Id="rId604" Type="http://schemas.openxmlformats.org/officeDocument/2006/relationships/hyperlink" Target="https://twitter.com/govsingapore/lists" TargetMode="External"/><Relationship Id="rId811" Type="http://schemas.openxmlformats.org/officeDocument/2006/relationships/hyperlink" Target="https://twitter.com/EUCouncil/lists" TargetMode="External"/><Relationship Id="rId1027" Type="http://schemas.openxmlformats.org/officeDocument/2006/relationships/hyperlink" Target="https://twitter.com/GuvernulRMD/lists" TargetMode="External"/><Relationship Id="rId1234" Type="http://schemas.openxmlformats.org/officeDocument/2006/relationships/hyperlink" Target="https://twitter.com/TROfficeofPD/statuses/22598029148164096" TargetMode="External"/><Relationship Id="rId1441" Type="http://schemas.openxmlformats.org/officeDocument/2006/relationships/hyperlink" Target="https://twitter.com/MetroLibrePTY/status/517471809860796416" TargetMode="External"/><Relationship Id="rId1886" Type="http://schemas.openxmlformats.org/officeDocument/2006/relationships/hyperlink" Target="https://twitter.com/gouvbenin" TargetMode="External"/><Relationship Id="rId909" Type="http://schemas.openxmlformats.org/officeDocument/2006/relationships/hyperlink" Target="http://twiplomacy.com/info/europe/Greece" TargetMode="External"/><Relationship Id="rId1301" Type="http://schemas.openxmlformats.org/officeDocument/2006/relationships/hyperlink" Target="https://twitter.com/Pontifex_pt/statuses/313247631025508353" TargetMode="External"/><Relationship Id="rId1539" Type="http://schemas.openxmlformats.org/officeDocument/2006/relationships/hyperlink" Target="https://twitter.com/MFAFiji/lists" TargetMode="External"/><Relationship Id="rId1746" Type="http://schemas.openxmlformats.org/officeDocument/2006/relationships/hyperlink" Target="https://twitter.com/CHOGMSriLanka/statuses/349748748924104704" TargetMode="External"/><Relationship Id="rId1953" Type="http://schemas.openxmlformats.org/officeDocument/2006/relationships/hyperlink" Target="https://twitter.com/JulieBishopMP" TargetMode="External"/><Relationship Id="rId38" Type="http://schemas.openxmlformats.org/officeDocument/2006/relationships/hyperlink" Target="https://twitter.com/SassouCG/statuses/296159094019067905" TargetMode="External"/><Relationship Id="rId1606" Type="http://schemas.openxmlformats.org/officeDocument/2006/relationships/hyperlink" Target="https://twitter.com/infopresidencia/lists" TargetMode="External"/><Relationship Id="rId1813" Type="http://schemas.openxmlformats.org/officeDocument/2006/relationships/hyperlink" Target="https://twitter.com/JohnKerry" TargetMode="External"/><Relationship Id="rId187" Type="http://schemas.openxmlformats.org/officeDocument/2006/relationships/hyperlink" Target="https://twitter.com/RwandaMFA/statuses/138638748220010496" TargetMode="External"/><Relationship Id="rId394" Type="http://schemas.openxmlformats.org/officeDocument/2006/relationships/hyperlink" Target="https://twitter.com/JZarif/status/583672737194999808" TargetMode="External"/><Relationship Id="rId2075" Type="http://schemas.openxmlformats.org/officeDocument/2006/relationships/hyperlink" Target="https://twitter.com/vladaRS" TargetMode="External"/><Relationship Id="rId2282" Type="http://schemas.openxmlformats.org/officeDocument/2006/relationships/hyperlink" Target="https://twitter.com/KTnepal" TargetMode="External"/><Relationship Id="rId254" Type="http://schemas.openxmlformats.org/officeDocument/2006/relationships/hyperlink" Target="http://twiplomacy.com/info/africa/Tunisia" TargetMode="External"/><Relationship Id="rId699" Type="http://schemas.openxmlformats.org/officeDocument/2006/relationships/hyperlink" Target="http://twiplomacy.com/info/europe/Albania" TargetMode="External"/><Relationship Id="rId1091" Type="http://schemas.openxmlformats.org/officeDocument/2006/relationships/hyperlink" Target="http://twiplomacy.com/info/europe/Portugal" TargetMode="External"/><Relationship Id="rId2587" Type="http://schemas.openxmlformats.org/officeDocument/2006/relationships/hyperlink" Target="http://twiplomacy.com/info/south-america/Ecuador" TargetMode="External"/><Relationship Id="rId114" Type="http://schemas.openxmlformats.org/officeDocument/2006/relationships/hyperlink" Target="https://twitter.com/ForeignOfficeKE/statuses/440125512640638976" TargetMode="External"/><Relationship Id="rId461" Type="http://schemas.openxmlformats.org/officeDocument/2006/relationships/hyperlink" Target="https://twitter.com/PrimeMinistry/lists" TargetMode="External"/><Relationship Id="rId559" Type="http://schemas.openxmlformats.org/officeDocument/2006/relationships/hyperlink" Target="https://twitter.com/ForeignOfficePk/lists" TargetMode="External"/><Relationship Id="rId766" Type="http://schemas.openxmlformats.org/officeDocument/2006/relationships/hyperlink" Target="http://twiplomacy.com/info/europe/Czech-Republic" TargetMode="External"/><Relationship Id="rId1189" Type="http://schemas.openxmlformats.org/officeDocument/2006/relationships/hyperlink" Target="https://twitter.com/MAECgob/statuses/324191679198412802" TargetMode="External"/><Relationship Id="rId1396" Type="http://schemas.openxmlformats.org/officeDocument/2006/relationships/hyperlink" Target="http://twiplomacy.com/info/north-america/Guatemala" TargetMode="External"/><Relationship Id="rId2142" Type="http://schemas.openxmlformats.org/officeDocument/2006/relationships/hyperlink" Target="https://twitter.com/adrian_hasler" TargetMode="External"/><Relationship Id="rId2447" Type="http://schemas.openxmlformats.org/officeDocument/2006/relationships/hyperlink" Target="https://twitter.com/GouvMali" TargetMode="External"/><Relationship Id="rId321" Type="http://schemas.openxmlformats.org/officeDocument/2006/relationships/hyperlink" Target="https://twitter.com/bahdiplomatic/lists/bahrain-s-missions-abroad" TargetMode="External"/><Relationship Id="rId419" Type="http://schemas.openxmlformats.org/officeDocument/2006/relationships/hyperlink" Target="https://twitter.com/IsraeliPM/statuses/20120210779" TargetMode="External"/><Relationship Id="rId626" Type="http://schemas.openxmlformats.org/officeDocument/2006/relationships/hyperlink" Target="http://twiplomacy.com/info/asia/South-Korea" TargetMode="External"/><Relationship Id="rId973" Type="http://schemas.openxmlformats.org/officeDocument/2006/relationships/hyperlink" Target="http://twiplomacy.com/info/europe/Latvia" TargetMode="External"/><Relationship Id="rId1049" Type="http://schemas.openxmlformats.org/officeDocument/2006/relationships/hyperlink" Target="https://twitter.com/minbuza/statuses/16767556716" TargetMode="External"/><Relationship Id="rId1256" Type="http://schemas.openxmlformats.org/officeDocument/2006/relationships/hyperlink" Target="https://twitter.com/Yatsenyuk_AP/statuses/385703445644079105" TargetMode="External"/><Relationship Id="rId2002" Type="http://schemas.openxmlformats.org/officeDocument/2006/relationships/hyperlink" Target="https://twitter.com/sanchezceren" TargetMode="External"/><Relationship Id="rId2307" Type="http://schemas.openxmlformats.org/officeDocument/2006/relationships/hyperlink" Target="https://twitter.com/KarimMassimov_E" TargetMode="External"/><Relationship Id="rId2654" Type="http://schemas.openxmlformats.org/officeDocument/2006/relationships/hyperlink" Target="https://twitter.com/frankjosh156/lists" TargetMode="External"/><Relationship Id="rId833" Type="http://schemas.openxmlformats.org/officeDocument/2006/relationships/hyperlink" Target="https://twitter.com/EUCouncilPress/lists" TargetMode="External"/><Relationship Id="rId1116" Type="http://schemas.openxmlformats.org/officeDocument/2006/relationships/hyperlink" Target="https://twitter.com/MID_RF/statuses/558329985631813633" TargetMode="External"/><Relationship Id="rId1463" Type="http://schemas.openxmlformats.org/officeDocument/2006/relationships/hyperlink" Target="https://twitter.com/skngov/lists" TargetMode="External"/><Relationship Id="rId1670" Type="http://schemas.openxmlformats.org/officeDocument/2006/relationships/hyperlink" Target="http://twiplomacy.com/info/south-america/Venezuela" TargetMode="External"/><Relationship Id="rId1768" Type="http://schemas.openxmlformats.org/officeDocument/2006/relationships/hyperlink" Target="https://twitter.com/PresidenciadeHN/statuses/19863821122" TargetMode="External"/><Relationship Id="rId2514" Type="http://schemas.openxmlformats.org/officeDocument/2006/relationships/hyperlink" Target="http://twiplomacy.com/info/south-america/Chile" TargetMode="External"/><Relationship Id="rId2721" Type="http://schemas.openxmlformats.org/officeDocument/2006/relationships/hyperlink" Target="https://twitter.com/MFA_KZ/lists" TargetMode="External"/><Relationship Id="rId900" Type="http://schemas.openxmlformats.org/officeDocument/2006/relationships/hyperlink" Target="https://twitter.com/GermanyDiplo/german-missions/members" TargetMode="External"/><Relationship Id="rId1323" Type="http://schemas.openxmlformats.org/officeDocument/2006/relationships/hyperlink" Target="https://twitter.com/gisbarbados/lists" TargetMode="External"/><Relationship Id="rId1530" Type="http://schemas.openxmlformats.org/officeDocument/2006/relationships/hyperlink" Target="https://twitter.com/dfat/dfat-on-twitter/members" TargetMode="External"/><Relationship Id="rId1628" Type="http://schemas.openxmlformats.org/officeDocument/2006/relationships/hyperlink" Target="https://twitter.com/opmguyana/lists" TargetMode="External"/><Relationship Id="rId1975" Type="http://schemas.openxmlformats.org/officeDocument/2006/relationships/hyperlink" Target="https://twitter.com/SaintLuciaGov" TargetMode="External"/><Relationship Id="rId1835" Type="http://schemas.openxmlformats.org/officeDocument/2006/relationships/hyperlink" Target="https://twitter.com/MFAMalta" TargetMode="External"/><Relationship Id="rId1902" Type="http://schemas.openxmlformats.org/officeDocument/2006/relationships/hyperlink" Target="https://twitter.com/maduro_ar" TargetMode="External"/><Relationship Id="rId2097" Type="http://schemas.openxmlformats.org/officeDocument/2006/relationships/hyperlink" Target="https://twitter.com/PutinRF" TargetMode="External"/><Relationship Id="rId276" Type="http://schemas.openxmlformats.org/officeDocument/2006/relationships/hyperlink" Target="https://twitter.com/UgandaMediaCent/statuses/132070276702806017" TargetMode="External"/><Relationship Id="rId483" Type="http://schemas.openxmlformats.org/officeDocument/2006/relationships/hyperlink" Target="https://twitter.com/MOFAKuwait/statuses/2611365326" TargetMode="External"/><Relationship Id="rId690" Type="http://schemas.openxmlformats.org/officeDocument/2006/relationships/hyperlink" Target="http://twiplomacy.com/info/asia/Yemen" TargetMode="External"/><Relationship Id="rId2164" Type="http://schemas.openxmlformats.org/officeDocument/2006/relationships/hyperlink" Target="https://twitter.com/GreeceMFA" TargetMode="External"/><Relationship Id="rId2371" Type="http://schemas.openxmlformats.org/officeDocument/2006/relationships/hyperlink" Target="https://twitter.com/presidentaz" TargetMode="External"/><Relationship Id="rId136" Type="http://schemas.openxmlformats.org/officeDocument/2006/relationships/hyperlink" Target="http://twiplomacy.com/info/africa/Mali" TargetMode="External"/><Relationship Id="rId343" Type="http://schemas.openxmlformats.org/officeDocument/2006/relationships/hyperlink" Target="https://twitter.com/PrimeMinisterGE/statuses/261471268145070080" TargetMode="External"/><Relationship Id="rId550" Type="http://schemas.openxmlformats.org/officeDocument/2006/relationships/hyperlink" Target="https://twitter.com/MofaNepal/status/569728633289314305" TargetMode="External"/><Relationship Id="rId788" Type="http://schemas.openxmlformats.org/officeDocument/2006/relationships/hyperlink" Target="http://twiplomacy.com/info/europe/Estonia" TargetMode="External"/><Relationship Id="rId995" Type="http://schemas.openxmlformats.org/officeDocument/2006/relationships/hyperlink" Target="https://twitter.com/Vyriausybe/statuses/1858687951" TargetMode="External"/><Relationship Id="rId1180" Type="http://schemas.openxmlformats.org/officeDocument/2006/relationships/hyperlink" Target="http://twiplomacy.com/info/europe/Spain" TargetMode="External"/><Relationship Id="rId2024" Type="http://schemas.openxmlformats.org/officeDocument/2006/relationships/hyperlink" Target="https://twitter.com/Pontifex_ar" TargetMode="External"/><Relationship Id="rId2231" Type="http://schemas.openxmlformats.org/officeDocument/2006/relationships/hyperlink" Target="https://twitter.com/BujarNishani" TargetMode="External"/><Relationship Id="rId2469" Type="http://schemas.openxmlformats.org/officeDocument/2006/relationships/hyperlink" Target="https://twitter.com/PresAlphaConde" TargetMode="External"/><Relationship Id="rId2676" Type="http://schemas.openxmlformats.org/officeDocument/2006/relationships/hyperlink" Target="http://twiplomacy.com/info/south-america/Bolivia" TargetMode="External"/><Relationship Id="rId203" Type="http://schemas.openxmlformats.org/officeDocument/2006/relationships/hyperlink" Target="https://twitter.com/StateHouseSL/statuses/239697464918147073" TargetMode="External"/><Relationship Id="rId648" Type="http://schemas.openxmlformats.org/officeDocument/2006/relationships/hyperlink" Target="http://twiplomacy.com/info/asia/Syria" TargetMode="External"/><Relationship Id="rId855" Type="http://schemas.openxmlformats.org/officeDocument/2006/relationships/hyperlink" Target="https://twitter.com/FinGovernment/statuses/65392161314713601" TargetMode="External"/><Relationship Id="rId1040" Type="http://schemas.openxmlformats.org/officeDocument/2006/relationships/hyperlink" Target="https://twitter.com/VladaCG/statuses/248431012151980032" TargetMode="External"/><Relationship Id="rId1278" Type="http://schemas.openxmlformats.org/officeDocument/2006/relationships/hyperlink" Target="https://twitter.com/Number10gov/lists" TargetMode="External"/><Relationship Id="rId1485" Type="http://schemas.openxmlformats.org/officeDocument/2006/relationships/hyperlink" Target="http://twiplomacy.com/info/north-america/United-States" TargetMode="External"/><Relationship Id="rId1692" Type="http://schemas.openxmlformats.org/officeDocument/2006/relationships/hyperlink" Target="http://twiplomacy.com/info/south-america/Venezuela" TargetMode="External"/><Relationship Id="rId2329" Type="http://schemas.openxmlformats.org/officeDocument/2006/relationships/hyperlink" Target="https://twitter.com/IsraeliPM_heb" TargetMode="External"/><Relationship Id="rId2536" Type="http://schemas.openxmlformats.org/officeDocument/2006/relationships/hyperlink" Target="https://twitter.com/DrZvizdic/lists" TargetMode="External"/><Relationship Id="rId2743" Type="http://schemas.openxmlformats.org/officeDocument/2006/relationships/hyperlink" Target="https://twitter.com/joseserra_" TargetMode="External"/><Relationship Id="rId410" Type="http://schemas.openxmlformats.org/officeDocument/2006/relationships/hyperlink" Target="http://twiplomacy.com/info/asia/Iraq" TargetMode="External"/><Relationship Id="rId508" Type="http://schemas.openxmlformats.org/officeDocument/2006/relationships/hyperlink" Target="https://twitter.com/PMOMalaysia/lists" TargetMode="External"/><Relationship Id="rId715" Type="http://schemas.openxmlformats.org/officeDocument/2006/relationships/hyperlink" Target="https://twitter.com/BelarusMFA/statuses/69049359718821889" TargetMode="External"/><Relationship Id="rId922" Type="http://schemas.openxmlformats.org/officeDocument/2006/relationships/hyperlink" Target="https://twitter.com/MFAIceland/lists" TargetMode="External"/><Relationship Id="rId1138" Type="http://schemas.openxmlformats.org/officeDocument/2006/relationships/hyperlink" Target="https://twitter.com/PresidencySrb/statuses/455249670626103296" TargetMode="External"/><Relationship Id="rId1345" Type="http://schemas.openxmlformats.org/officeDocument/2006/relationships/hyperlink" Target="https://twitter.com/CanadaFP/lists/canadian-missions-abroad" TargetMode="External"/><Relationship Id="rId1552" Type="http://schemas.openxmlformats.org/officeDocument/2006/relationships/hyperlink" Target="https://twitter.com/samoagovt/statuses/280491025766699008" TargetMode="External"/><Relationship Id="rId1997" Type="http://schemas.openxmlformats.org/officeDocument/2006/relationships/hyperlink" Target="https://twitter.com/GuatemalaGob" TargetMode="External"/><Relationship Id="rId2603" Type="http://schemas.openxmlformats.org/officeDocument/2006/relationships/hyperlink" Target="http://twiplomacy.com/info/europe/Moldova" TargetMode="External"/><Relationship Id="rId1205" Type="http://schemas.openxmlformats.org/officeDocument/2006/relationships/hyperlink" Target="https://twitter.com/SweMFA/swedish-embassies/members" TargetMode="External"/><Relationship Id="rId1857" Type="http://schemas.openxmlformats.org/officeDocument/2006/relationships/hyperlink" Target="https://twitter.com/Regering" TargetMode="External"/><Relationship Id="rId51" Type="http://schemas.openxmlformats.org/officeDocument/2006/relationships/hyperlink" Target="https://twitter.com/elsisi_official/lists" TargetMode="External"/><Relationship Id="rId1412" Type="http://schemas.openxmlformats.org/officeDocument/2006/relationships/hyperlink" Target="https://twitter.com/JuanOrlandoH/statuses/413846187981422593" TargetMode="External"/><Relationship Id="rId1717" Type="http://schemas.openxmlformats.org/officeDocument/2006/relationships/hyperlink" Target="https://twitter.com/osucastle/statuses/2182232446" TargetMode="External"/><Relationship Id="rId1924" Type="http://schemas.openxmlformats.org/officeDocument/2006/relationships/hyperlink" Target="https://twitter.com/infopresidencia" TargetMode="External"/><Relationship Id="rId298" Type="http://schemas.openxmlformats.org/officeDocument/2006/relationships/hyperlink" Target="http://twiplomacy.com/info/asia/Armenia" TargetMode="External"/><Relationship Id="rId158" Type="http://schemas.openxmlformats.org/officeDocument/2006/relationships/hyperlink" Target="https://twitter.com/hagegeingob/lists" TargetMode="External"/><Relationship Id="rId2186" Type="http://schemas.openxmlformats.org/officeDocument/2006/relationships/hyperlink" Target="https://twitter.com/EUCouncilTVNews" TargetMode="External"/><Relationship Id="rId2393" Type="http://schemas.openxmlformats.org/officeDocument/2006/relationships/hyperlink" Target="https://twitter.com/KagutaMuseveni" TargetMode="External"/><Relationship Id="rId2698" Type="http://schemas.openxmlformats.org/officeDocument/2006/relationships/hyperlink" Target="https://twitter.com/marianorajoy/statuses/677792218980220928" TargetMode="External"/><Relationship Id="rId365" Type="http://schemas.openxmlformats.org/officeDocument/2006/relationships/hyperlink" Target="https://twitter.com/IndianDiplomacy/indian-missions/members" TargetMode="External"/><Relationship Id="rId572" Type="http://schemas.openxmlformats.org/officeDocument/2006/relationships/hyperlink" Target="https://twitter.com/noynoyaquino/lists" TargetMode="External"/><Relationship Id="rId2046" Type="http://schemas.openxmlformats.org/officeDocument/2006/relationships/hyperlink" Target="https://twitter.com/DiploPubliqueTR" TargetMode="External"/><Relationship Id="rId2253" Type="http://schemas.openxmlformats.org/officeDocument/2006/relationships/hyperlink" Target="https://twitter.com/MOFAkr_eng" TargetMode="External"/><Relationship Id="rId2460" Type="http://schemas.openxmlformats.org/officeDocument/2006/relationships/hyperlink" Target="https://twitter.com/StateHouseKenya" TargetMode="External"/><Relationship Id="rId225" Type="http://schemas.openxmlformats.org/officeDocument/2006/relationships/hyperlink" Target="http://twiplomacy.com/info/africa/South-Africa" TargetMode="External"/><Relationship Id="rId432" Type="http://schemas.openxmlformats.org/officeDocument/2006/relationships/hyperlink" Target="http://twiplomacy.com/info/asia/Israel" TargetMode="External"/><Relationship Id="rId877" Type="http://schemas.openxmlformats.org/officeDocument/2006/relationships/hyperlink" Target="http://twiplomacy.com/info/europe/France" TargetMode="External"/><Relationship Id="rId1062" Type="http://schemas.openxmlformats.org/officeDocument/2006/relationships/hyperlink" Target="http://twiplomacy.com/info/europe/Norway" TargetMode="External"/><Relationship Id="rId2113" Type="http://schemas.openxmlformats.org/officeDocument/2006/relationships/hyperlink" Target="https://twitter.com/Statsmin_kontor" TargetMode="External"/><Relationship Id="rId2320" Type="http://schemas.openxmlformats.org/officeDocument/2006/relationships/hyperlink" Target="https://twitter.com/Kantei_Saigai" TargetMode="External"/><Relationship Id="rId2558" Type="http://schemas.openxmlformats.org/officeDocument/2006/relationships/hyperlink" Target="https://twitter.com/A2IBangladesh/lists" TargetMode="External"/><Relationship Id="rId737" Type="http://schemas.openxmlformats.org/officeDocument/2006/relationships/hyperlink" Target="http://twiplomacy.com/info/europe/Bulgaria" TargetMode="External"/><Relationship Id="rId944" Type="http://schemas.openxmlformats.org/officeDocument/2006/relationships/hyperlink" Target="http://twiplomacy.com/info/europe/Italy" TargetMode="External"/><Relationship Id="rId1367" Type="http://schemas.openxmlformats.org/officeDocument/2006/relationships/hyperlink" Target="https://twitter.com/CubaMINREX/statuses/545252372570996736" TargetMode="External"/><Relationship Id="rId1574" Type="http://schemas.openxmlformats.org/officeDocument/2006/relationships/hyperlink" Target="http://twiplomacy.com/info/south-america/Brazil" TargetMode="External"/><Relationship Id="rId1781" Type="http://schemas.openxmlformats.org/officeDocument/2006/relationships/hyperlink" Target="https://twitter.com/CharlesMichel" TargetMode="External"/><Relationship Id="rId2418" Type="http://schemas.openxmlformats.org/officeDocument/2006/relationships/hyperlink" Target="https://twitter.com/StateHouseSL" TargetMode="External"/><Relationship Id="rId2625" Type="http://schemas.openxmlformats.org/officeDocument/2006/relationships/hyperlink" Target="http://twiplomacy.com/info/north-america/Haiti" TargetMode="External"/><Relationship Id="rId73" Type="http://schemas.openxmlformats.org/officeDocument/2006/relationships/hyperlink" Target="https://twitter.com/PresidenceGA/lists" TargetMode="External"/><Relationship Id="rId804" Type="http://schemas.openxmlformats.org/officeDocument/2006/relationships/hyperlink" Target="https://twitter.com/donaldtusk/statuses/278130070181261314" TargetMode="External"/><Relationship Id="rId1227" Type="http://schemas.openxmlformats.org/officeDocument/2006/relationships/hyperlink" Target="http://twiplomacy.com/info/europe/Turkey" TargetMode="External"/><Relationship Id="rId1434" Type="http://schemas.openxmlformats.org/officeDocument/2006/relationships/hyperlink" Target="https://twitter.com/SRE_mx/statuses/7496937367" TargetMode="External"/><Relationship Id="rId1641" Type="http://schemas.openxmlformats.org/officeDocument/2006/relationships/hyperlink" Target="https://twitter.com/prensapalacio/lists" TargetMode="External"/><Relationship Id="rId1879" Type="http://schemas.openxmlformats.org/officeDocument/2006/relationships/hyperlink" Target="https://twitter.com/mfapresskenya" TargetMode="External"/><Relationship Id="rId1501" Type="http://schemas.openxmlformats.org/officeDocument/2006/relationships/hyperlink" Target="https://twitter.com/EconEngage/lists" TargetMode="External"/><Relationship Id="rId1739" Type="http://schemas.openxmlformats.org/officeDocument/2006/relationships/hyperlink" Target="https://twitter.com/foreignMV/statuses/239238197786337280" TargetMode="External"/><Relationship Id="rId1946" Type="http://schemas.openxmlformats.org/officeDocument/2006/relationships/hyperlink" Target="https://twitter.com/murray_mccully" TargetMode="External"/><Relationship Id="rId1806" Type="http://schemas.openxmlformats.org/officeDocument/2006/relationships/hyperlink" Target="https://twitter.com/foreignoffice" TargetMode="External"/><Relationship Id="rId387" Type="http://schemas.openxmlformats.org/officeDocument/2006/relationships/hyperlink" Target="http://twiplomacy.com/info/asia/Iran" TargetMode="External"/><Relationship Id="rId594" Type="http://schemas.openxmlformats.org/officeDocument/2006/relationships/hyperlink" Target="http://twiplomacy.com/info/asia/Saudi-Arabia" TargetMode="External"/><Relationship Id="rId2068" Type="http://schemas.openxmlformats.org/officeDocument/2006/relationships/hyperlink" Target="https://twitter.com/MAECgob" TargetMode="External"/><Relationship Id="rId2275" Type="http://schemas.openxmlformats.org/officeDocument/2006/relationships/hyperlink" Target="https://twitter.com/PalestinianGov" TargetMode="External"/><Relationship Id="rId247" Type="http://schemas.openxmlformats.org/officeDocument/2006/relationships/hyperlink" Target="https://twitter.com/republicoftogo/lists" TargetMode="External"/><Relationship Id="rId899" Type="http://schemas.openxmlformats.org/officeDocument/2006/relationships/hyperlink" Target="https://twitter.com/GermanyDiplo/lists" TargetMode="External"/><Relationship Id="rId1084" Type="http://schemas.openxmlformats.org/officeDocument/2006/relationships/hyperlink" Target="https://twitter.com/MSZ_RP/statuses/495064988680478722" TargetMode="External"/><Relationship Id="rId2482" Type="http://schemas.openxmlformats.org/officeDocument/2006/relationships/hyperlink" Target="https://twitter.com/MOFAEGYPT" TargetMode="External"/><Relationship Id="rId107" Type="http://schemas.openxmlformats.org/officeDocument/2006/relationships/hyperlink" Target="http://twiplomacy.com/info/africa/Kenya" TargetMode="External"/><Relationship Id="rId454" Type="http://schemas.openxmlformats.org/officeDocument/2006/relationships/hyperlink" Target="https://twitter.com/QueenRania/lists" TargetMode="External"/><Relationship Id="rId661" Type="http://schemas.openxmlformats.org/officeDocument/2006/relationships/hyperlink" Target="https://twitter.com/ThaiKhuFah/status/17000137862" TargetMode="External"/><Relationship Id="rId759" Type="http://schemas.openxmlformats.org/officeDocument/2006/relationships/hyperlink" Target="https://twitter.com/GovCyprus/statuses/259226050628829185" TargetMode="External"/><Relationship Id="rId966" Type="http://schemas.openxmlformats.org/officeDocument/2006/relationships/hyperlink" Target="http://twiplomacy.com/info/europe/Latvia" TargetMode="External"/><Relationship Id="rId1291" Type="http://schemas.openxmlformats.org/officeDocument/2006/relationships/hyperlink" Target="http://twiplomacy.com/info/europe/Vatican" TargetMode="External"/><Relationship Id="rId1389" Type="http://schemas.openxmlformats.org/officeDocument/2006/relationships/hyperlink" Target="https://twitter.com/presidencia_sv/lists" TargetMode="External"/><Relationship Id="rId1596" Type="http://schemas.openxmlformats.org/officeDocument/2006/relationships/hyperlink" Target="https://twitter.com/HeraldoMunoz/lists" TargetMode="External"/><Relationship Id="rId2135" Type="http://schemas.openxmlformats.org/officeDocument/2006/relationships/hyperlink" Target="https://twitter.com/Lithuania" TargetMode="External"/><Relationship Id="rId2342" Type="http://schemas.openxmlformats.org/officeDocument/2006/relationships/hyperlink" Target="https://twitter.com/Khamenei_ar" TargetMode="External"/><Relationship Id="rId2647" Type="http://schemas.openxmlformats.org/officeDocument/2006/relationships/hyperlink" Target="https://twitter.com/Khamenei_Fra/lists" TargetMode="External"/><Relationship Id="rId314" Type="http://schemas.openxmlformats.org/officeDocument/2006/relationships/hyperlink" Target="https://twitter.com/BahrainCPnews/status/200595159006707714" TargetMode="External"/><Relationship Id="rId521" Type="http://schemas.openxmlformats.org/officeDocument/2006/relationships/hyperlink" Target="https://twitter.com/elbegdorj/statuses/26513451899691008" TargetMode="External"/><Relationship Id="rId619" Type="http://schemas.openxmlformats.org/officeDocument/2006/relationships/hyperlink" Target="https://twitter.com/PrimeMinisterKR/lists" TargetMode="External"/><Relationship Id="rId1151" Type="http://schemas.openxmlformats.org/officeDocument/2006/relationships/hyperlink" Target="https://twitter.com/SerbianPM/lists" TargetMode="External"/><Relationship Id="rId1249" Type="http://schemas.openxmlformats.org/officeDocument/2006/relationships/hyperlink" Target="https://twitter.com/poroshenko/status/452098909825814530" TargetMode="External"/><Relationship Id="rId2202" Type="http://schemas.openxmlformats.org/officeDocument/2006/relationships/hyperlink" Target="https://twitter.com/strakovka" TargetMode="External"/><Relationship Id="rId95" Type="http://schemas.openxmlformats.org/officeDocument/2006/relationships/hyperlink" Target="https://twitter.com/ADO__Solutions/statuses/26348030216" TargetMode="External"/><Relationship Id="rId826" Type="http://schemas.openxmlformats.org/officeDocument/2006/relationships/hyperlink" Target="https://twitter.com/eu_eeas/lists" TargetMode="External"/><Relationship Id="rId1011" Type="http://schemas.openxmlformats.org/officeDocument/2006/relationships/hyperlink" Target="http://twiplomacy.com/info/europe/Luxembourg" TargetMode="External"/><Relationship Id="rId1109" Type="http://schemas.openxmlformats.org/officeDocument/2006/relationships/hyperlink" Target="https://twitter.com/KremlinRussia/statuses/9172727923478529" TargetMode="External"/><Relationship Id="rId1456" Type="http://schemas.openxmlformats.org/officeDocument/2006/relationships/hyperlink" Target="https://twitter.com/fortalezapr/statuses/375427954681331712" TargetMode="External"/><Relationship Id="rId1663" Type="http://schemas.openxmlformats.org/officeDocument/2006/relationships/hyperlink" Target="https://twitter.com/NicolasMaduro/status/326915843101450240" TargetMode="External"/><Relationship Id="rId1870" Type="http://schemas.openxmlformats.org/officeDocument/2006/relationships/hyperlink" Target="https://twitter.com/kaz_pm_kz" TargetMode="External"/><Relationship Id="rId1968" Type="http://schemas.openxmlformats.org/officeDocument/2006/relationships/hyperlink" Target="https://twitter.com/Cabinet" TargetMode="External"/><Relationship Id="rId2507" Type="http://schemas.openxmlformats.org/officeDocument/2006/relationships/hyperlink" Target="https://twitter.com/AMSellal" TargetMode="External"/><Relationship Id="rId2714" Type="http://schemas.openxmlformats.org/officeDocument/2006/relationships/hyperlink" Target="https://twitter.com/DutchMFA/lists/representations-abroad/members" TargetMode="External"/><Relationship Id="rId1316" Type="http://schemas.openxmlformats.org/officeDocument/2006/relationships/hyperlink" Target="https://twitter.com/antiguagov/lists" TargetMode="External"/><Relationship Id="rId1523" Type="http://schemas.openxmlformats.org/officeDocument/2006/relationships/hyperlink" Target="https://twitter.com/USAbilAraby/statuses/35229519610773504" TargetMode="External"/><Relationship Id="rId1730" Type="http://schemas.openxmlformats.org/officeDocument/2006/relationships/hyperlink" Target="https://twitter.com/IEmbassy/statuses/312234041715871744" TargetMode="External"/><Relationship Id="rId22" Type="http://schemas.openxmlformats.org/officeDocument/2006/relationships/hyperlink" Target="https://twitter.com/BurundiForeign/lists" TargetMode="External"/><Relationship Id="rId1828" Type="http://schemas.openxmlformats.org/officeDocument/2006/relationships/hyperlink" Target="http://twiplomacy.com/info/europe/Romania" TargetMode="External"/><Relationship Id="rId171" Type="http://schemas.openxmlformats.org/officeDocument/2006/relationships/hyperlink" Target="http://twiplomacy.com/info/africa/Rwanda" TargetMode="External"/><Relationship Id="rId2297" Type="http://schemas.openxmlformats.org/officeDocument/2006/relationships/hyperlink" Target="https://twitter.com/Malaysia_Gov" TargetMode="External"/><Relationship Id="rId269" Type="http://schemas.openxmlformats.org/officeDocument/2006/relationships/hyperlink" Target="http://twiplomacy.com/info/africa/Uganda" TargetMode="External"/><Relationship Id="rId476" Type="http://schemas.openxmlformats.org/officeDocument/2006/relationships/hyperlink" Target="https://twitter.com/ortcomkz/statuses/284567719632830464" TargetMode="External"/><Relationship Id="rId683" Type="http://schemas.openxmlformats.org/officeDocument/2006/relationships/hyperlink" Target="http://twiplomacy.com/info/asia/United-Arab-Emirates" TargetMode="External"/><Relationship Id="rId890" Type="http://schemas.openxmlformats.org/officeDocument/2006/relationships/hyperlink" Target="http://twiplomacy.com/info/europe/Germany" TargetMode="External"/><Relationship Id="rId2157" Type="http://schemas.openxmlformats.org/officeDocument/2006/relationships/hyperlink" Target="https://twitter.com/dfatirl" TargetMode="External"/><Relationship Id="rId2364" Type="http://schemas.openxmlformats.org/officeDocument/2006/relationships/hyperlink" Target="https://twitter.com/PMOBhutan" TargetMode="External"/><Relationship Id="rId2571" Type="http://schemas.openxmlformats.org/officeDocument/2006/relationships/hyperlink" Target="https://twitter.com/MarisKucinskis/lis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E1268"/>
  <sheetViews>
    <sheetView tabSelected="1" zoomScaleNormal="100" workbookViewId="0"/>
  </sheetViews>
  <sheetFormatPr defaultColWidth="13.5" defaultRowHeight="18.600000000000001" customHeight="1" x14ac:dyDescent="0.25"/>
  <cols>
    <col min="1" max="1" width="14.75" style="16" customWidth="1"/>
    <col min="2" max="2" width="21.625" style="16" customWidth="1"/>
    <col min="3" max="3" width="39.125" style="16" customWidth="1"/>
    <col min="4" max="4" width="31.375" style="7" customWidth="1"/>
    <col min="5" max="5" width="36.625" style="1" customWidth="1"/>
    <col min="6" max="9" width="15.625" style="1" customWidth="1"/>
    <col min="10" max="10" width="15.625" style="16" customWidth="1"/>
    <col min="11" max="14" width="15.625" style="1" customWidth="1"/>
    <col min="15" max="18" width="15.625" style="16" customWidth="1"/>
    <col min="19" max="23" width="15.625" style="1" customWidth="1"/>
    <col min="24" max="25" width="15.625" style="77" customWidth="1"/>
    <col min="26" max="30" width="15.625" style="16" customWidth="1"/>
    <col min="31" max="31" width="23" style="16" customWidth="1"/>
    <col min="32" max="32" width="15.625" style="77" customWidth="1"/>
    <col min="33" max="39" width="15.625" style="16" customWidth="1"/>
    <col min="40" max="40" width="15.625" style="1" customWidth="1"/>
    <col min="41" max="47" width="15.625" style="16" customWidth="1"/>
    <col min="48" max="16384" width="13.5" style="1"/>
  </cols>
  <sheetData>
    <row r="1" spans="1:368" s="77" customFormat="1" ht="18.600000000000001" customHeight="1" x14ac:dyDescent="0.3">
      <c r="A1" s="88" t="s">
        <v>6897</v>
      </c>
      <c r="B1" s="92"/>
      <c r="C1" s="92"/>
      <c r="D1" s="89"/>
      <c r="E1" s="90"/>
      <c r="F1" s="89" t="s">
        <v>737</v>
      </c>
      <c r="G1" s="89"/>
      <c r="H1" s="89"/>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109"/>
    </row>
    <row r="2" spans="1:368" s="77" customFormat="1" ht="18.600000000000001" customHeight="1" thickBot="1" x14ac:dyDescent="0.35">
      <c r="A2" s="110" t="s">
        <v>738</v>
      </c>
      <c r="B2" s="93" t="s">
        <v>739</v>
      </c>
      <c r="C2" s="93" t="s">
        <v>740</v>
      </c>
      <c r="D2" s="93" t="s">
        <v>741</v>
      </c>
      <c r="E2" s="94" t="s">
        <v>2986</v>
      </c>
      <c r="F2" s="94" t="s">
        <v>745</v>
      </c>
      <c r="G2" s="94" t="s">
        <v>746</v>
      </c>
      <c r="H2" s="94" t="s">
        <v>747</v>
      </c>
      <c r="I2" s="93" t="s">
        <v>748</v>
      </c>
      <c r="J2" s="94" t="s">
        <v>749</v>
      </c>
      <c r="K2" s="94" t="s">
        <v>750</v>
      </c>
      <c r="L2" s="94" t="s">
        <v>751</v>
      </c>
      <c r="M2" s="94" t="s">
        <v>752</v>
      </c>
      <c r="N2" s="105" t="s">
        <v>753</v>
      </c>
      <c r="O2" s="95" t="s">
        <v>756</v>
      </c>
      <c r="P2" s="106" t="s">
        <v>754</v>
      </c>
      <c r="Q2" s="106" t="s">
        <v>755</v>
      </c>
      <c r="R2" s="94" t="s">
        <v>6898</v>
      </c>
      <c r="S2" s="94" t="s">
        <v>757</v>
      </c>
      <c r="T2" s="94" t="s">
        <v>758</v>
      </c>
      <c r="U2" s="94" t="s">
        <v>759</v>
      </c>
      <c r="V2" s="94" t="s">
        <v>760</v>
      </c>
      <c r="W2" s="94" t="s">
        <v>761</v>
      </c>
      <c r="X2" s="93" t="s">
        <v>738</v>
      </c>
      <c r="Y2" s="93" t="s">
        <v>739</v>
      </c>
      <c r="Z2" s="95" t="s">
        <v>762</v>
      </c>
      <c r="AA2" s="95" t="s">
        <v>744</v>
      </c>
      <c r="AB2" s="95" t="s">
        <v>743</v>
      </c>
      <c r="AC2" s="95" t="s">
        <v>3046</v>
      </c>
      <c r="AD2" s="95" t="s">
        <v>763</v>
      </c>
      <c r="AE2" s="95" t="s">
        <v>764</v>
      </c>
      <c r="AF2" s="93" t="s">
        <v>740</v>
      </c>
      <c r="AG2" s="93" t="s">
        <v>765</v>
      </c>
      <c r="AH2" s="93" t="s">
        <v>5569</v>
      </c>
      <c r="AI2" s="107" t="s">
        <v>6900</v>
      </c>
      <c r="AJ2" s="107" t="s">
        <v>2993</v>
      </c>
      <c r="AK2" s="107" t="s">
        <v>5570</v>
      </c>
      <c r="AL2" s="106" t="s">
        <v>6142</v>
      </c>
      <c r="AM2" s="106" t="s">
        <v>6143</v>
      </c>
      <c r="AN2" s="108" t="s">
        <v>6899</v>
      </c>
      <c r="AO2" s="108" t="s">
        <v>767</v>
      </c>
      <c r="AP2" s="108" t="s">
        <v>768</v>
      </c>
      <c r="AQ2" s="108" t="s">
        <v>769</v>
      </c>
      <c r="AR2" s="108" t="s">
        <v>6358</v>
      </c>
      <c r="AS2" s="108" t="s">
        <v>767</v>
      </c>
      <c r="AT2" s="108" t="s">
        <v>768</v>
      </c>
      <c r="AU2" s="111" t="s">
        <v>769</v>
      </c>
    </row>
    <row r="3" spans="1:368" ht="18.600000000000001" customHeight="1" x14ac:dyDescent="0.25">
      <c r="A3" s="112" t="s">
        <v>613</v>
      </c>
      <c r="B3" s="52" t="s">
        <v>2510</v>
      </c>
      <c r="C3" s="52" t="s">
        <v>2511</v>
      </c>
      <c r="D3" s="54" t="str">
        <f>HYPERLINK("https://twitter.com/PresidenciaMX","https://twitter.com/PresidenciaMX")</f>
        <v>https://twitter.com/PresidenciaMX</v>
      </c>
      <c r="E3" s="54" t="str">
        <f>HYPERLINK("http://twiplomacy.com/info/north-america/Mexico","http://twiplomacy.com/info/north-america/Mexico")</f>
        <v>http://twiplomacy.com/info/north-america/Mexico</v>
      </c>
      <c r="F3" s="113" t="s">
        <v>558</v>
      </c>
      <c r="G3" s="113" t="s">
        <v>611</v>
      </c>
      <c r="H3" s="113" t="s">
        <v>781</v>
      </c>
      <c r="I3" s="113" t="s">
        <v>782</v>
      </c>
      <c r="J3" s="52" t="s">
        <v>2226</v>
      </c>
      <c r="K3" s="128" t="s">
        <v>777</v>
      </c>
      <c r="L3" s="113" t="s">
        <v>771</v>
      </c>
      <c r="M3" s="113" t="s">
        <v>771</v>
      </c>
      <c r="N3" s="54" t="str">
        <f>HYPERLINK("https://twitter.com/PresidenciaMX/statuses/1596800517","https://twitter.com/PresidenciaMX/statuses/1596800517")</f>
        <v>https://twitter.com/PresidenciaMX/statuses/1596800517</v>
      </c>
      <c r="O3" s="54" t="str">
        <f>HYPERLINK("https://twitter.com/PresidenciaMX/status/321847271379587073","https://twitter.com/PresidenciaMX/status/321847271379587073")</f>
        <v>https://twitter.com/PresidenciaMX/status/321847271379587073</v>
      </c>
      <c r="P3" s="130">
        <v>4301</v>
      </c>
      <c r="Q3" s="132">
        <v>7</v>
      </c>
      <c r="R3" s="52" t="s">
        <v>2994</v>
      </c>
      <c r="S3" s="54" t="str">
        <f>HYPERLINK("https://twitter.com/PresidenciaMX/lists","https://twitter.com/PresidenciaMX/lists")</f>
        <v>https://twitter.com/PresidenciaMX/lists</v>
      </c>
      <c r="T3" s="113">
        <v>2</v>
      </c>
      <c r="U3" s="113" t="s">
        <v>771</v>
      </c>
      <c r="V3" s="113" t="s">
        <v>771</v>
      </c>
      <c r="W3" s="113"/>
      <c r="X3" s="52" t="s">
        <v>613</v>
      </c>
      <c r="Y3" s="52" t="s">
        <v>2510</v>
      </c>
      <c r="Z3" s="114">
        <v>84603</v>
      </c>
      <c r="AA3" s="52">
        <v>64</v>
      </c>
      <c r="AB3" s="114">
        <v>2065036</v>
      </c>
      <c r="AC3" s="52">
        <v>541</v>
      </c>
      <c r="AD3" s="52" t="s">
        <v>4339</v>
      </c>
      <c r="AE3" s="52">
        <v>34666670</v>
      </c>
      <c r="AF3" s="52" t="s">
        <v>2511</v>
      </c>
      <c r="AG3" s="52"/>
      <c r="AH3" s="115">
        <v>32.973109898674998</v>
      </c>
      <c r="AI3" s="116">
        <v>29.309090909090902</v>
      </c>
      <c r="AJ3" s="114">
        <v>92.4226590791516</v>
      </c>
      <c r="AK3" s="114">
        <v>78.707190894981906</v>
      </c>
      <c r="AL3" s="52">
        <v>1</v>
      </c>
      <c r="AM3" s="117">
        <f t="shared" ref="AM3:AM66" si="0">SUM(AL3/3200)</f>
        <v>3.1250000000000001E-4</v>
      </c>
      <c r="AN3" s="52" t="s">
        <v>613</v>
      </c>
      <c r="AO3" s="52">
        <v>0</v>
      </c>
      <c r="AP3" s="52">
        <v>47</v>
      </c>
      <c r="AQ3" s="52">
        <v>4</v>
      </c>
      <c r="AR3" s="52">
        <f>SUM(AO3:AQ3)</f>
        <v>51</v>
      </c>
      <c r="AS3" s="52"/>
      <c r="AT3" s="52" t="s">
        <v>5429</v>
      </c>
      <c r="AU3" s="118" t="s">
        <v>4914</v>
      </c>
      <c r="BM3" s="59"/>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77"/>
      <c r="HM3" s="77"/>
      <c r="HN3" s="77"/>
      <c r="HO3" s="77"/>
      <c r="HP3" s="77"/>
      <c r="HQ3" s="77"/>
      <c r="HR3" s="77"/>
      <c r="HS3" s="77"/>
      <c r="HT3" s="77"/>
      <c r="HU3" s="77"/>
      <c r="HV3" s="77"/>
      <c r="HW3" s="77"/>
      <c r="HX3" s="77"/>
      <c r="HY3" s="77"/>
      <c r="HZ3" s="77"/>
      <c r="IA3" s="77"/>
      <c r="IB3" s="77"/>
      <c r="IC3" s="77"/>
      <c r="JY3" s="77"/>
      <c r="JZ3" s="77"/>
      <c r="KA3" s="77"/>
      <c r="KB3" s="77"/>
      <c r="KC3" s="77"/>
      <c r="KD3" s="77"/>
      <c r="KE3" s="77"/>
      <c r="KF3" s="77"/>
      <c r="KG3" s="77"/>
      <c r="KH3" s="77"/>
      <c r="KI3" s="77"/>
      <c r="KJ3" s="77"/>
      <c r="KK3" s="77"/>
      <c r="KL3" s="77"/>
      <c r="LW3" s="77"/>
      <c r="LX3" s="77"/>
      <c r="MS3" s="77"/>
    </row>
    <row r="4" spans="1:368" ht="18.600000000000001" customHeight="1" x14ac:dyDescent="0.25">
      <c r="A4" s="119" t="s">
        <v>586</v>
      </c>
      <c r="B4" s="27" t="s">
        <v>586</v>
      </c>
      <c r="C4" s="27" t="s">
        <v>2465</v>
      </c>
      <c r="D4" s="30" t="str">
        <f>HYPERLINK("https://twitter.com/PresidenciaRD","https://twitter.com/PresidenciaRD")</f>
        <v>https://twitter.com/PresidenciaRD</v>
      </c>
      <c r="E4" s="30" t="str">
        <f>HYPERLINK("http://twiplomacy.com/info/north-america/Dominican-Republic","http://twiplomacy.com/info/north-america/Dominican-Republic")</f>
        <v>http://twiplomacy.com/info/north-america/Dominican-Republic</v>
      </c>
      <c r="F4" s="10" t="s">
        <v>558</v>
      </c>
      <c r="G4" s="10" t="s">
        <v>584</v>
      </c>
      <c r="H4" s="10" t="s">
        <v>781</v>
      </c>
      <c r="I4" s="10" t="s">
        <v>782</v>
      </c>
      <c r="J4" s="27" t="s">
        <v>2226</v>
      </c>
      <c r="K4" s="15" t="s">
        <v>777</v>
      </c>
      <c r="L4" s="10" t="s">
        <v>771</v>
      </c>
      <c r="M4" s="10" t="s">
        <v>770</v>
      </c>
      <c r="N4" s="30" t="str">
        <f>HYPERLINK("https://twitter.com/PresidenciaRD/statuses/12319989255","https://twitter.com/PresidenciaRD/statuses/12319989255")</f>
        <v>https://twitter.com/PresidenciaRD/statuses/12319989255</v>
      </c>
      <c r="O4" s="30" t="str">
        <f>HYPERLINK("https://twitter.com/PresidenciaRD/status/304725681437302784","https://twitter.com/PresidenciaRD/status/304725681437302784")</f>
        <v>https://twitter.com/PresidenciaRD/status/304725681437302784</v>
      </c>
      <c r="P4" s="35">
        <v>1129</v>
      </c>
      <c r="Q4" s="46"/>
      <c r="R4" s="27" t="s">
        <v>2994</v>
      </c>
      <c r="S4" s="30" t="str">
        <f>HYPERLINK("https://twitter.com/PresidenciaRD/lists","https://twitter.com/PresidenciaRD/lists")</f>
        <v>https://twitter.com/PresidenciaRD/lists</v>
      </c>
      <c r="T4" s="10" t="s">
        <v>771</v>
      </c>
      <c r="U4" s="10" t="s">
        <v>771</v>
      </c>
      <c r="V4" s="10" t="s">
        <v>771</v>
      </c>
      <c r="W4" s="10"/>
      <c r="X4" s="27" t="s">
        <v>586</v>
      </c>
      <c r="Y4" s="27" t="s">
        <v>586</v>
      </c>
      <c r="Z4" s="80">
        <v>79658</v>
      </c>
      <c r="AA4" s="27">
        <v>665</v>
      </c>
      <c r="AB4" s="80">
        <v>283430</v>
      </c>
      <c r="AC4" s="27">
        <v>178</v>
      </c>
      <c r="AD4" s="27" t="s">
        <v>4342</v>
      </c>
      <c r="AE4" s="27">
        <v>132595055</v>
      </c>
      <c r="AF4" s="27" t="s">
        <v>2465</v>
      </c>
      <c r="AG4" s="27" t="s">
        <v>2466</v>
      </c>
      <c r="AH4" s="79">
        <v>36.028041610131197</v>
      </c>
      <c r="AI4" s="83">
        <v>54.711864406779704</v>
      </c>
      <c r="AJ4" s="80">
        <v>16.966020959034601</v>
      </c>
      <c r="AK4" s="80">
        <v>6.0762146713242302</v>
      </c>
      <c r="AL4" s="27">
        <v>2</v>
      </c>
      <c r="AM4" s="97">
        <f t="shared" si="0"/>
        <v>6.2500000000000001E-4</v>
      </c>
      <c r="AN4" s="27" t="s">
        <v>586</v>
      </c>
      <c r="AO4" s="27">
        <v>42</v>
      </c>
      <c r="AP4" s="27">
        <v>15</v>
      </c>
      <c r="AQ4" s="27">
        <v>21</v>
      </c>
      <c r="AR4" s="27">
        <f>SUM(AO4:AQ4)</f>
        <v>78</v>
      </c>
      <c r="AS4" s="27" t="s">
        <v>6617</v>
      </c>
      <c r="AT4" s="27" t="s">
        <v>6838</v>
      </c>
      <c r="AU4" s="84" t="s">
        <v>6178</v>
      </c>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16"/>
      <c r="IE4" s="16"/>
      <c r="IF4" s="77"/>
      <c r="IG4" s="77"/>
      <c r="IH4" s="77"/>
      <c r="II4" s="77"/>
      <c r="IJ4" s="77"/>
      <c r="IK4" s="77"/>
      <c r="IL4" s="77"/>
      <c r="IM4" s="77"/>
      <c r="IN4" s="77"/>
      <c r="IO4" s="77"/>
      <c r="IP4" s="77"/>
      <c r="IQ4" s="77"/>
      <c r="IR4" s="77"/>
      <c r="IS4" s="77"/>
      <c r="IT4" s="77"/>
      <c r="IU4" s="77"/>
      <c r="IV4" s="77"/>
      <c r="IW4" s="77"/>
      <c r="IX4" s="77"/>
      <c r="IY4" s="77"/>
      <c r="IZ4" s="77"/>
      <c r="JA4" s="77"/>
      <c r="JB4" s="77"/>
      <c r="JC4" s="77"/>
      <c r="JD4" s="77"/>
      <c r="JE4" s="77"/>
      <c r="JF4" s="77"/>
      <c r="JG4" s="77"/>
      <c r="JH4" s="77"/>
      <c r="JI4" s="77"/>
      <c r="JJ4" s="77"/>
      <c r="JK4" s="77"/>
      <c r="JL4" s="77"/>
      <c r="JM4" s="77"/>
      <c r="JN4" s="77"/>
      <c r="JO4" s="77"/>
      <c r="JP4" s="77"/>
      <c r="JQ4" s="77"/>
      <c r="JR4" s="77"/>
      <c r="JS4" s="77"/>
      <c r="JT4" s="77"/>
      <c r="JU4" s="77"/>
      <c r="JV4" s="77"/>
      <c r="JW4" s="77"/>
      <c r="JX4" s="77"/>
      <c r="JY4" s="77"/>
      <c r="JZ4" s="77"/>
      <c r="KA4" s="77"/>
      <c r="KB4" s="77"/>
      <c r="KC4" s="77"/>
      <c r="KD4" s="77"/>
      <c r="KE4" s="77"/>
      <c r="KF4" s="77"/>
      <c r="KG4" s="77"/>
      <c r="KH4" s="77"/>
      <c r="KI4" s="77"/>
      <c r="KJ4" s="77"/>
      <c r="KK4" s="77"/>
      <c r="KL4" s="77"/>
      <c r="LL4" s="77"/>
      <c r="LM4" s="77"/>
      <c r="LN4" s="77"/>
      <c r="LO4" s="77"/>
      <c r="LP4" s="77"/>
      <c r="LQ4" s="77"/>
      <c r="LR4" s="77"/>
      <c r="LS4" s="77"/>
      <c r="LT4" s="77"/>
      <c r="LU4" s="77"/>
      <c r="LV4" s="77"/>
      <c r="LW4" s="77"/>
      <c r="LX4" s="77"/>
      <c r="MS4" s="77"/>
    </row>
    <row r="5" spans="1:368" ht="18.600000000000001" customHeight="1" x14ac:dyDescent="0.25">
      <c r="A5" s="119" t="s">
        <v>712</v>
      </c>
      <c r="B5" s="27" t="s">
        <v>2785</v>
      </c>
      <c r="C5" s="27"/>
      <c r="D5" s="30" t="str">
        <f>HYPERLINK("https://twitter.com/PresidencialVen","https://twitter.com/PresidencialVen")</f>
        <v>https://twitter.com/PresidencialVen</v>
      </c>
      <c r="E5" s="30" t="str">
        <f>HYPERLINK("http://twiplomacy.com/info/south-america/Venezuela","http://twiplomacy.com/info/south-america/Venezuela")</f>
        <v>http://twiplomacy.com/info/south-america/Venezuela</v>
      </c>
      <c r="F5" s="10" t="s">
        <v>668</v>
      </c>
      <c r="G5" s="10" t="s">
        <v>710</v>
      </c>
      <c r="H5" s="10" t="s">
        <v>781</v>
      </c>
      <c r="I5" s="10" t="s">
        <v>782</v>
      </c>
      <c r="J5" s="27" t="s">
        <v>2226</v>
      </c>
      <c r="K5" s="15" t="s">
        <v>777</v>
      </c>
      <c r="L5" s="10" t="s">
        <v>771</v>
      </c>
      <c r="M5" s="10" t="s">
        <v>770</v>
      </c>
      <c r="N5" s="30" t="str">
        <f>HYPERLINK("https://twitter.com/PresidencialVen/statuses/13160569150","https://twitter.com/PresidencialVen/statuses/13160569150")</f>
        <v>https://twitter.com/PresidencialVen/statuses/13160569150</v>
      </c>
      <c r="O5" s="27" t="s">
        <v>6041</v>
      </c>
      <c r="P5" s="80">
        <v>1443</v>
      </c>
      <c r="Q5" s="80">
        <v>433</v>
      </c>
      <c r="R5" s="27" t="s">
        <v>2995</v>
      </c>
      <c r="S5" s="10" t="s">
        <v>2786</v>
      </c>
      <c r="T5" s="10" t="s">
        <v>771</v>
      </c>
      <c r="U5" s="10" t="s">
        <v>771</v>
      </c>
      <c r="V5" s="10" t="s">
        <v>771</v>
      </c>
      <c r="W5" s="10"/>
      <c r="X5" s="27" t="s">
        <v>712</v>
      </c>
      <c r="Y5" s="27" t="s">
        <v>2785</v>
      </c>
      <c r="Z5" s="80">
        <v>79394</v>
      </c>
      <c r="AA5" s="27">
        <v>276</v>
      </c>
      <c r="AB5" s="80">
        <v>772250</v>
      </c>
      <c r="AC5" s="27">
        <v>149</v>
      </c>
      <c r="AD5" s="27" t="s">
        <v>4338</v>
      </c>
      <c r="AE5" s="27">
        <v>138901003</v>
      </c>
      <c r="AF5" s="27"/>
      <c r="AG5" s="27"/>
      <c r="AH5" s="79">
        <v>36.204286365709102</v>
      </c>
      <c r="AI5" s="83">
        <v>48.863636363636402</v>
      </c>
      <c r="AJ5" s="80">
        <v>114.503668536901</v>
      </c>
      <c r="AK5" s="80">
        <v>25.620630125161799</v>
      </c>
      <c r="AL5" s="27">
        <v>94</v>
      </c>
      <c r="AM5" s="97">
        <f t="shared" si="0"/>
        <v>2.9374999999999998E-2</v>
      </c>
      <c r="AN5" s="27" t="s">
        <v>712</v>
      </c>
      <c r="AO5" s="27">
        <v>4</v>
      </c>
      <c r="AP5" s="27">
        <v>9</v>
      </c>
      <c r="AQ5" s="27">
        <v>4</v>
      </c>
      <c r="AR5" s="27">
        <f>SUM(AO5:AQ5)</f>
        <v>17</v>
      </c>
      <c r="AS5" s="27" t="s">
        <v>6618</v>
      </c>
      <c r="AT5" s="27" t="s">
        <v>5428</v>
      </c>
      <c r="AU5" s="84" t="s">
        <v>4913</v>
      </c>
      <c r="BM5" s="77"/>
      <c r="BN5" s="77"/>
      <c r="BO5" s="77"/>
      <c r="BP5" s="77"/>
      <c r="BQ5" s="76"/>
      <c r="BR5" s="76"/>
      <c r="BS5" s="76"/>
      <c r="BT5" s="76"/>
      <c r="BU5" s="76"/>
      <c r="BV5" s="76"/>
      <c r="BW5" s="76"/>
      <c r="BX5" s="76"/>
      <c r="BY5" s="76"/>
      <c r="BZ5" s="76"/>
      <c r="CA5" s="76"/>
      <c r="CB5" s="76"/>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16"/>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ID5" s="77"/>
      <c r="IE5" s="77"/>
      <c r="LL5" s="77"/>
      <c r="LM5" s="77"/>
      <c r="LN5" s="77"/>
      <c r="LO5" s="77"/>
      <c r="LP5" s="77"/>
      <c r="LQ5" s="77"/>
      <c r="LR5" s="77"/>
      <c r="LS5" s="77"/>
      <c r="LT5" s="77"/>
      <c r="LU5" s="77"/>
      <c r="LV5" s="77"/>
      <c r="LW5" s="77"/>
      <c r="LX5" s="77"/>
    </row>
    <row r="6" spans="1:368" ht="18.600000000000001" customHeight="1" x14ac:dyDescent="0.25">
      <c r="A6" s="119" t="s">
        <v>714</v>
      </c>
      <c r="B6" s="27" t="s">
        <v>2789</v>
      </c>
      <c r="C6" s="27" t="s">
        <v>2790</v>
      </c>
      <c r="D6" s="30" t="str">
        <f>HYPERLINK("https://twitter.com/vencancilleria","https://twitter.com/vencancilleria")</f>
        <v>https://twitter.com/vencancilleria</v>
      </c>
      <c r="E6" s="30" t="str">
        <f>HYPERLINK("http://twiplomacy.com/info/south-america/Venezuela","http://twiplomacy.com/info/south-america/Venezuela")</f>
        <v>http://twiplomacy.com/info/south-america/Venezuela</v>
      </c>
      <c r="F6" s="10" t="s">
        <v>668</v>
      </c>
      <c r="G6" s="10" t="s">
        <v>710</v>
      </c>
      <c r="H6" s="10" t="s">
        <v>795</v>
      </c>
      <c r="I6" s="10" t="s">
        <v>782</v>
      </c>
      <c r="J6" s="27" t="s">
        <v>2226</v>
      </c>
      <c r="K6" s="15" t="s">
        <v>777</v>
      </c>
      <c r="L6" s="10" t="s">
        <v>771</v>
      </c>
      <c r="M6" s="10" t="s">
        <v>770</v>
      </c>
      <c r="N6" s="30" t="str">
        <f>HYPERLINK("https://twitter.com/vencancilleria/statuses/22844780572","https://twitter.com/vencancilleria/statuses/22844780572")</f>
        <v>https://twitter.com/vencancilleria/statuses/22844780572</v>
      </c>
      <c r="O6" s="27" t="s">
        <v>6127</v>
      </c>
      <c r="P6" s="80">
        <v>806</v>
      </c>
      <c r="Q6" s="80">
        <v>177</v>
      </c>
      <c r="R6" s="27" t="s">
        <v>2995</v>
      </c>
      <c r="S6" s="10" t="s">
        <v>2791</v>
      </c>
      <c r="T6" s="10" t="s">
        <v>771</v>
      </c>
      <c r="U6" s="10" t="s">
        <v>771</v>
      </c>
      <c r="V6" s="10" t="s">
        <v>771</v>
      </c>
      <c r="W6" s="10"/>
      <c r="X6" s="27" t="s">
        <v>714</v>
      </c>
      <c r="Y6" s="27" t="s">
        <v>2789</v>
      </c>
      <c r="Z6" s="80">
        <v>77282</v>
      </c>
      <c r="AA6" s="27">
        <v>412</v>
      </c>
      <c r="AB6" s="80">
        <v>202957</v>
      </c>
      <c r="AC6" s="27">
        <v>143</v>
      </c>
      <c r="AD6" s="27" t="s">
        <v>4580</v>
      </c>
      <c r="AE6" s="27">
        <v>176108622</v>
      </c>
      <c r="AF6" s="27" t="s">
        <v>2790</v>
      </c>
      <c r="AG6" s="27" t="s">
        <v>710</v>
      </c>
      <c r="AH6" s="79">
        <v>36.905444126074499</v>
      </c>
      <c r="AI6" s="83">
        <v>45.352112676056301</v>
      </c>
      <c r="AJ6" s="80">
        <v>28.364055299539199</v>
      </c>
      <c r="AK6" s="80">
        <v>5.7811059907834101</v>
      </c>
      <c r="AL6" s="96">
        <v>5</v>
      </c>
      <c r="AM6" s="97">
        <f t="shared" si="0"/>
        <v>1.5625000000000001E-3</v>
      </c>
      <c r="AN6" s="27" t="s">
        <v>714</v>
      </c>
      <c r="AO6" s="27">
        <v>18</v>
      </c>
      <c r="AP6" s="27">
        <v>24</v>
      </c>
      <c r="AQ6" s="27">
        <v>16</v>
      </c>
      <c r="AR6" s="27">
        <f>SUM(AO6:AQ6)</f>
        <v>58</v>
      </c>
      <c r="AS6" s="27" t="s">
        <v>6666</v>
      </c>
      <c r="AT6" s="27" t="s">
        <v>6872</v>
      </c>
      <c r="AU6" s="84" t="s">
        <v>6195</v>
      </c>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16"/>
      <c r="EQ6" s="16"/>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16"/>
      <c r="IE6" s="16"/>
      <c r="IF6" s="77"/>
      <c r="IG6" s="77"/>
      <c r="IH6" s="77"/>
      <c r="II6" s="77"/>
      <c r="IJ6" s="77"/>
      <c r="IK6" s="77"/>
      <c r="IL6" s="77"/>
      <c r="IM6" s="77"/>
      <c r="IN6" s="77"/>
      <c r="IO6" s="77"/>
      <c r="IP6" s="77"/>
      <c r="IQ6" s="77"/>
      <c r="IR6" s="77"/>
      <c r="IS6" s="77"/>
      <c r="IT6" s="77"/>
      <c r="IU6" s="77"/>
      <c r="IV6" s="77"/>
      <c r="IW6" s="77"/>
      <c r="IX6" s="77"/>
      <c r="IY6" s="77"/>
      <c r="IZ6" s="77"/>
      <c r="JA6" s="77"/>
      <c r="JB6" s="77"/>
      <c r="JC6" s="77"/>
      <c r="JD6" s="77"/>
      <c r="JE6" s="77"/>
      <c r="JF6" s="77"/>
      <c r="JG6" s="77"/>
      <c r="JH6" s="77"/>
      <c r="JI6" s="77"/>
      <c r="JJ6" s="77"/>
      <c r="JK6" s="77"/>
      <c r="JL6" s="77"/>
      <c r="JM6" s="77"/>
      <c r="JN6" s="77"/>
      <c r="JO6" s="77"/>
      <c r="JP6" s="77"/>
      <c r="JQ6" s="77"/>
      <c r="JR6" s="77"/>
      <c r="JS6" s="77"/>
      <c r="JT6" s="77"/>
      <c r="JU6" s="77"/>
      <c r="JV6" s="77"/>
      <c r="JW6" s="77"/>
      <c r="JX6" s="77"/>
      <c r="KM6" s="77"/>
      <c r="KN6" s="77"/>
      <c r="KO6" s="77"/>
      <c r="KP6" s="77"/>
      <c r="KQ6" s="77"/>
      <c r="KR6" s="77"/>
      <c r="KS6" s="77"/>
      <c r="KT6" s="77"/>
      <c r="KU6" s="77"/>
      <c r="KV6" s="77"/>
      <c r="KW6" s="77"/>
      <c r="KX6" s="77"/>
      <c r="KY6" s="77"/>
      <c r="KZ6" s="77"/>
      <c r="LA6" s="77"/>
      <c r="LB6" s="77"/>
      <c r="LC6" s="77"/>
      <c r="LD6" s="77"/>
      <c r="LE6" s="77"/>
      <c r="LF6" s="77"/>
      <c r="LG6" s="77"/>
      <c r="LH6" s="77"/>
      <c r="LI6" s="77"/>
      <c r="LJ6" s="77"/>
      <c r="LK6" s="77"/>
      <c r="LW6" s="77"/>
      <c r="LX6" s="77"/>
    </row>
    <row r="7" spans="1:368" ht="18.600000000000001" customHeight="1" x14ac:dyDescent="0.25">
      <c r="A7" s="119" t="s">
        <v>614</v>
      </c>
      <c r="B7" s="27" t="s">
        <v>3731</v>
      </c>
      <c r="C7" s="27" t="s">
        <v>3732</v>
      </c>
      <c r="D7" s="30" t="str">
        <f>HYPERLINK("https://twitter.com/gobmx","https://twitter.com/gobmx")</f>
        <v>https://twitter.com/gobmx</v>
      </c>
      <c r="E7" s="30" t="str">
        <f>HYPERLINK("http://twiplomacy.com/info/north-america/Mexico","http://twiplomacy.com/info/north-america/Mexico")</f>
        <v>http://twiplomacy.com/info/north-america/Mexico</v>
      </c>
      <c r="F7" s="10" t="s">
        <v>558</v>
      </c>
      <c r="G7" s="10" t="s">
        <v>611</v>
      </c>
      <c r="H7" s="10" t="s">
        <v>788</v>
      </c>
      <c r="I7" s="10" t="s">
        <v>782</v>
      </c>
      <c r="J7" s="27" t="s">
        <v>2226</v>
      </c>
      <c r="K7" s="15" t="s">
        <v>777</v>
      </c>
      <c r="L7" s="10" t="s">
        <v>771</v>
      </c>
      <c r="M7" s="10" t="s">
        <v>771</v>
      </c>
      <c r="N7" s="30" t="str">
        <f>HYPERLINK("https://twitter.com/gobrep/statuses/2103312431","https://twitter.com/gobmx/statuses/2103312431")</f>
        <v>https://twitter.com/gobmx/statuses/2103312431</v>
      </c>
      <c r="O7" s="30" t="str">
        <f>HYPERLINK("https://twitter.com/gobrep/statuses/455699981471846400","https://twitter.com/gobmx/statuses/455699981471846400")</f>
        <v>https://twitter.com/gobmx/statuses/455699981471846400</v>
      </c>
      <c r="P7" s="46">
        <v>1681</v>
      </c>
      <c r="Q7" s="46">
        <v>10</v>
      </c>
      <c r="R7" s="27" t="s">
        <v>2994</v>
      </c>
      <c r="S7" s="30" t="str">
        <f>HYPERLINK("https://twitter.com/gobrep/lists","https://twitter.com/gobmx/lists")</f>
        <v>https://twitter.com/gobmx/lists</v>
      </c>
      <c r="T7" s="10">
        <v>2</v>
      </c>
      <c r="U7" s="10" t="s">
        <v>771</v>
      </c>
      <c r="V7" s="10" t="s">
        <v>771</v>
      </c>
      <c r="W7" s="10"/>
      <c r="X7" s="27" t="s">
        <v>614</v>
      </c>
      <c r="Y7" s="27" t="s">
        <v>3731</v>
      </c>
      <c r="Z7" s="80">
        <v>77058</v>
      </c>
      <c r="AA7" s="27">
        <v>171</v>
      </c>
      <c r="AB7" s="80">
        <v>1436435</v>
      </c>
      <c r="AC7" s="27">
        <v>256</v>
      </c>
      <c r="AD7" s="27" t="s">
        <v>3733</v>
      </c>
      <c r="AE7" s="27">
        <v>39630199</v>
      </c>
      <c r="AF7" s="27" t="s">
        <v>3732</v>
      </c>
      <c r="AG7" s="27" t="s">
        <v>2509</v>
      </c>
      <c r="AH7" s="79">
        <v>30.2674783974863</v>
      </c>
      <c r="AI7" s="83">
        <v>134.5</v>
      </c>
      <c r="AJ7" s="80">
        <v>31.913043478260899</v>
      </c>
      <c r="AK7" s="80">
        <v>22.530595813204499</v>
      </c>
      <c r="AL7" s="27">
        <v>1</v>
      </c>
      <c r="AM7" s="97">
        <f t="shared" si="0"/>
        <v>3.1250000000000001E-4</v>
      </c>
      <c r="AN7" s="27" t="s">
        <v>614</v>
      </c>
      <c r="AO7" s="27">
        <v>0</v>
      </c>
      <c r="AP7" s="27">
        <v>27</v>
      </c>
      <c r="AQ7" s="27">
        <v>4</v>
      </c>
      <c r="AR7" s="27">
        <f>SUM(AO7:AQ7)</f>
        <v>31</v>
      </c>
      <c r="AS7" s="27"/>
      <c r="AT7" s="27" t="s">
        <v>6733</v>
      </c>
      <c r="AU7" s="84" t="s">
        <v>4732</v>
      </c>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W7" s="77"/>
      <c r="LX7" s="77"/>
      <c r="MS7" s="77"/>
    </row>
    <row r="8" spans="1:368" ht="18.600000000000001" customHeight="1" x14ac:dyDescent="0.25">
      <c r="A8" s="119" t="s">
        <v>672</v>
      </c>
      <c r="B8" s="27" t="s">
        <v>2689</v>
      </c>
      <c r="C8" s="27" t="s">
        <v>2690</v>
      </c>
      <c r="D8" s="30" t="str">
        <f>HYPERLINK("https://twitter.com/mincombolivia","https://twitter.com/mincombolivia")</f>
        <v>https://twitter.com/mincombolivia</v>
      </c>
      <c r="E8" s="30" t="str">
        <f>HYPERLINK("http://twiplomacy.com/info/south-america/Bolivia","http://twiplomacy.com/info/south-america/Bolivia")</f>
        <v>http://twiplomacy.com/info/south-america/Bolivia</v>
      </c>
      <c r="F8" s="10" t="s">
        <v>668</v>
      </c>
      <c r="G8" s="10" t="s">
        <v>671</v>
      </c>
      <c r="H8" s="10" t="s">
        <v>788</v>
      </c>
      <c r="I8" s="10" t="s">
        <v>782</v>
      </c>
      <c r="J8" s="27" t="s">
        <v>2226</v>
      </c>
      <c r="K8" s="15" t="s">
        <v>777</v>
      </c>
      <c r="L8" s="10" t="s">
        <v>771</v>
      </c>
      <c r="M8" s="10" t="s">
        <v>770</v>
      </c>
      <c r="N8" s="30" t="str">
        <f>HYPERLINK("https://twitter.com/mincombolivia/statuses/141165954523594753","https://twitter.com/mincombolivia/statuses/141165954523594753")</f>
        <v>https://twitter.com/mincombolivia/statuses/141165954523594753</v>
      </c>
      <c r="O8" s="27" t="s">
        <v>5959</v>
      </c>
      <c r="P8" s="80">
        <v>496</v>
      </c>
      <c r="Q8" s="80">
        <v>273</v>
      </c>
      <c r="R8" s="27" t="s">
        <v>2995</v>
      </c>
      <c r="S8" s="30" t="str">
        <f>HYPERLINK("https://twitter.com/mincombolivia/lists","https://twitter.com/mincombolivia/lists")</f>
        <v>https://twitter.com/mincombolivia/lists</v>
      </c>
      <c r="T8" s="10">
        <v>13</v>
      </c>
      <c r="U8" s="10">
        <v>1</v>
      </c>
      <c r="V8" s="30" t="str">
        <f>HYPERLINK("https://twitter.com/mincombolivia/lists/embajadas-y-consulados/members","https://twitter.com/mincombolivia/lists/embajadas-y-consulados/members")</f>
        <v>https://twitter.com/mincombolivia/lists/embajadas-y-consulados/members</v>
      </c>
      <c r="W8" s="10">
        <v>4</v>
      </c>
      <c r="X8" s="27" t="s">
        <v>672</v>
      </c>
      <c r="Y8" s="27" t="s">
        <v>2689</v>
      </c>
      <c r="Z8" s="80">
        <v>63204</v>
      </c>
      <c r="AA8" s="27">
        <v>500</v>
      </c>
      <c r="AB8" s="80">
        <v>49442</v>
      </c>
      <c r="AC8" s="27">
        <v>985</v>
      </c>
      <c r="AD8" s="27" t="s">
        <v>4119</v>
      </c>
      <c r="AE8" s="27">
        <v>415816193</v>
      </c>
      <c r="AF8" s="27" t="s">
        <v>2690</v>
      </c>
      <c r="AG8" s="27" t="s">
        <v>2691</v>
      </c>
      <c r="AH8" s="79">
        <v>38.873308733087299</v>
      </c>
      <c r="AI8" s="83">
        <v>80.25</v>
      </c>
      <c r="AJ8" s="80">
        <v>2.1615180935569298</v>
      </c>
      <c r="AK8" s="80">
        <v>1.7987643424536599</v>
      </c>
      <c r="AL8" s="27">
        <v>49</v>
      </c>
      <c r="AM8" s="97">
        <f t="shared" si="0"/>
        <v>1.53125E-2</v>
      </c>
      <c r="AN8" s="27" t="s">
        <v>672</v>
      </c>
      <c r="AO8" s="27">
        <v>15</v>
      </c>
      <c r="AP8" s="27">
        <v>5</v>
      </c>
      <c r="AQ8" s="27">
        <v>6</v>
      </c>
      <c r="AR8" s="27">
        <f>SUM(AO8:AQ8)</f>
        <v>26</v>
      </c>
      <c r="AS8" s="27" t="s">
        <v>6656</v>
      </c>
      <c r="AT8" s="27" t="s">
        <v>5326</v>
      </c>
      <c r="AU8" s="84" t="s">
        <v>4857</v>
      </c>
      <c r="AV8" s="71"/>
      <c r="AW8" s="71"/>
      <c r="AX8" s="71"/>
      <c r="AY8" s="71"/>
      <c r="AZ8" s="71"/>
      <c r="BA8" s="71"/>
      <c r="BB8" s="71"/>
      <c r="BC8" s="71"/>
      <c r="BD8" s="71"/>
      <c r="BE8" s="71"/>
      <c r="BF8" s="71"/>
      <c r="BG8" s="71"/>
      <c r="BH8" s="71"/>
      <c r="BI8" s="71"/>
      <c r="BJ8" s="71"/>
      <c r="BK8" s="71"/>
      <c r="BL8" s="71"/>
      <c r="BM8" s="77"/>
      <c r="BN8" s="71"/>
      <c r="BO8" s="71"/>
      <c r="BP8" s="71"/>
      <c r="BQ8" s="77"/>
      <c r="BR8" s="77"/>
      <c r="BS8" s="77"/>
      <c r="BT8" s="77"/>
      <c r="BU8" s="77"/>
      <c r="BV8" s="77"/>
      <c r="BW8" s="77"/>
      <c r="BX8" s="77"/>
      <c r="BY8" s="77"/>
      <c r="BZ8" s="77"/>
      <c r="CA8" s="77"/>
      <c r="CB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c r="IN8" s="77"/>
      <c r="IO8" s="77"/>
      <c r="IP8" s="77"/>
      <c r="IQ8" s="77"/>
      <c r="IR8" s="77"/>
      <c r="IS8" s="77"/>
      <c r="IT8" s="77"/>
      <c r="IU8" s="77"/>
      <c r="IV8" s="77"/>
      <c r="IW8" s="77"/>
      <c r="IX8" s="77"/>
      <c r="IY8" s="77"/>
      <c r="IZ8" s="77"/>
      <c r="JA8" s="77"/>
      <c r="JB8" s="77"/>
      <c r="JC8" s="77"/>
      <c r="JD8" s="77"/>
      <c r="JE8" s="77"/>
      <c r="JF8" s="77"/>
      <c r="JG8" s="77"/>
      <c r="JH8" s="77"/>
      <c r="JI8" s="77"/>
      <c r="JJ8" s="77"/>
      <c r="JK8" s="77"/>
      <c r="JL8" s="77"/>
      <c r="JM8" s="77"/>
      <c r="JN8" s="77"/>
      <c r="JO8" s="77"/>
      <c r="JP8" s="77"/>
      <c r="JQ8" s="77"/>
      <c r="JR8" s="77"/>
      <c r="JS8" s="77"/>
      <c r="JT8" s="77"/>
      <c r="JU8" s="77"/>
      <c r="JV8" s="77"/>
      <c r="JW8" s="77"/>
      <c r="JX8" s="77"/>
      <c r="KM8" s="77"/>
      <c r="KN8" s="77"/>
      <c r="KO8" s="77"/>
      <c r="KP8" s="77"/>
      <c r="KQ8" s="77"/>
      <c r="KR8" s="77"/>
      <c r="KS8" s="77"/>
      <c r="KT8" s="77"/>
      <c r="KU8" s="77"/>
      <c r="KV8" s="77"/>
      <c r="KW8" s="77"/>
      <c r="KX8" s="77"/>
      <c r="KY8" s="77"/>
      <c r="KZ8" s="77"/>
      <c r="LA8" s="77"/>
      <c r="LB8" s="77"/>
      <c r="LC8" s="77"/>
      <c r="LD8" s="77"/>
      <c r="LE8" s="77"/>
      <c r="LF8" s="77"/>
      <c r="LG8" s="77"/>
      <c r="LH8" s="77"/>
      <c r="LI8" s="77"/>
      <c r="LJ8" s="77"/>
      <c r="LK8" s="77"/>
      <c r="LW8" s="16"/>
      <c r="LX8" s="16"/>
      <c r="LY8" s="77"/>
      <c r="LZ8" s="77"/>
      <c r="MA8" s="77"/>
      <c r="MB8" s="77"/>
      <c r="MC8" s="77"/>
      <c r="MD8" s="77"/>
      <c r="ME8" s="77"/>
      <c r="MF8" s="77"/>
      <c r="MG8" s="77"/>
      <c r="MH8" s="77"/>
      <c r="MI8" s="77"/>
      <c r="MJ8" s="77"/>
      <c r="MK8" s="77"/>
      <c r="ML8" s="77"/>
      <c r="MM8" s="77"/>
      <c r="MN8" s="77"/>
      <c r="MO8" s="77"/>
      <c r="MP8" s="77"/>
      <c r="MQ8" s="77"/>
      <c r="MR8" s="77"/>
    </row>
    <row r="9" spans="1:368" ht="18.600000000000001" customHeight="1" x14ac:dyDescent="0.25">
      <c r="A9" s="119" t="s">
        <v>685</v>
      </c>
      <c r="B9" s="27" t="s">
        <v>2719</v>
      </c>
      <c r="C9" s="27" t="s">
        <v>3836</v>
      </c>
      <c r="D9" s="30" t="str">
        <f>HYPERLINK("https://twitter.com/infopresidencia","https://twitter.com/infopresidencia")</f>
        <v>https://twitter.com/infopresidencia</v>
      </c>
      <c r="E9" s="30" t="str">
        <f>HYPERLINK("http://twiplomacy.com/info/south-america/Colombia","http://twiplomacy.com/info/south-america/Colombia")</f>
        <v>http://twiplomacy.com/info/south-america/Colombia</v>
      </c>
      <c r="F9" s="10" t="s">
        <v>668</v>
      </c>
      <c r="G9" s="10" t="s">
        <v>683</v>
      </c>
      <c r="H9" s="10" t="s">
        <v>781</v>
      </c>
      <c r="I9" s="10" t="s">
        <v>782</v>
      </c>
      <c r="J9" s="27" t="s">
        <v>2226</v>
      </c>
      <c r="K9" s="15" t="s">
        <v>777</v>
      </c>
      <c r="L9" s="10" t="s">
        <v>771</v>
      </c>
      <c r="M9" s="10" t="s">
        <v>770</v>
      </c>
      <c r="N9" s="30" t="str">
        <f>HYPERLINK("https://twitter.com/infopresidencia/statuses/86940809328459776","https://twitter.com/infopresidencia/statuses/86940809328459776")</f>
        <v>https://twitter.com/infopresidencia/statuses/86940809328459776</v>
      </c>
      <c r="O9" s="27" t="s">
        <v>5875</v>
      </c>
      <c r="P9" s="80">
        <v>1618</v>
      </c>
      <c r="Q9" s="80">
        <v>1348</v>
      </c>
      <c r="R9" s="27" t="s">
        <v>2994</v>
      </c>
      <c r="S9" s="30" t="str">
        <f>HYPERLINK("https://twitter.com/infopresidencia/lists","https://twitter.com/infopresidencia/lists")</f>
        <v>https://twitter.com/infopresidencia/lists</v>
      </c>
      <c r="T9" s="10">
        <v>3</v>
      </c>
      <c r="U9" s="10" t="s">
        <v>771</v>
      </c>
      <c r="V9" s="10" t="s">
        <v>771</v>
      </c>
      <c r="W9" s="10"/>
      <c r="X9" s="27" t="s">
        <v>685</v>
      </c>
      <c r="Y9" s="27" t="s">
        <v>2719</v>
      </c>
      <c r="Z9" s="80">
        <v>61322</v>
      </c>
      <c r="AA9" s="27">
        <v>870</v>
      </c>
      <c r="AB9" s="80">
        <v>560645</v>
      </c>
      <c r="AC9" s="27">
        <v>477</v>
      </c>
      <c r="AD9" s="27" t="s">
        <v>3837</v>
      </c>
      <c r="AE9" s="27">
        <v>312887235</v>
      </c>
      <c r="AF9" s="27" t="s">
        <v>3836</v>
      </c>
      <c r="AG9" s="27" t="s">
        <v>683</v>
      </c>
      <c r="AH9" s="79">
        <v>34.259217877094997</v>
      </c>
      <c r="AI9" s="83">
        <v>72</v>
      </c>
      <c r="AJ9" s="80">
        <v>11.462</v>
      </c>
      <c r="AK9" s="80">
        <v>10.6272</v>
      </c>
      <c r="AL9" s="27">
        <v>41</v>
      </c>
      <c r="AM9" s="97">
        <f t="shared" si="0"/>
        <v>1.2812499999999999E-2</v>
      </c>
      <c r="AN9" s="27" t="s">
        <v>685</v>
      </c>
      <c r="AO9" s="27">
        <v>26</v>
      </c>
      <c r="AP9" s="27">
        <v>21</v>
      </c>
      <c r="AQ9" s="27">
        <v>8</v>
      </c>
      <c r="AR9" s="27">
        <f>SUM(AO9:AQ9)</f>
        <v>55</v>
      </c>
      <c r="AS9" s="27" t="s">
        <v>6646</v>
      </c>
      <c r="AT9" s="27" t="s">
        <v>6750</v>
      </c>
      <c r="AU9" s="84" t="s">
        <v>4763</v>
      </c>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F9" s="77"/>
      <c r="IG9" s="77"/>
      <c r="IH9" s="77"/>
      <c r="II9" s="77"/>
      <c r="IJ9" s="77"/>
      <c r="IK9" s="77"/>
      <c r="IL9" s="77"/>
      <c r="IM9" s="77"/>
      <c r="IN9" s="77"/>
      <c r="IO9" s="77"/>
      <c r="IP9" s="77"/>
      <c r="IQ9" s="77"/>
      <c r="IR9" s="77"/>
      <c r="IS9" s="77"/>
      <c r="IT9" s="77"/>
      <c r="IU9" s="77"/>
      <c r="IV9" s="77"/>
      <c r="IW9" s="77"/>
      <c r="IX9" s="77"/>
      <c r="IY9" s="77"/>
      <c r="IZ9" s="77"/>
      <c r="JA9" s="77"/>
      <c r="JB9" s="77"/>
      <c r="JC9" s="77"/>
      <c r="JD9" s="77"/>
      <c r="JE9" s="77"/>
      <c r="JF9" s="77"/>
      <c r="JG9" s="77"/>
      <c r="JH9" s="77"/>
      <c r="JI9" s="77"/>
      <c r="JJ9" s="77"/>
      <c r="JK9" s="77"/>
      <c r="JL9" s="77"/>
      <c r="JM9" s="77"/>
      <c r="JN9" s="77"/>
      <c r="JO9" s="77"/>
      <c r="JP9" s="77"/>
      <c r="JQ9" s="77"/>
      <c r="JR9" s="77"/>
      <c r="JS9" s="77"/>
      <c r="JT9" s="77"/>
      <c r="JU9" s="77"/>
      <c r="JV9" s="77"/>
      <c r="JW9" s="77"/>
      <c r="JX9" s="77"/>
      <c r="JY9" s="77"/>
      <c r="JZ9" s="77"/>
      <c r="KA9" s="77"/>
      <c r="KB9" s="77"/>
      <c r="KC9" s="77"/>
      <c r="KD9" s="77"/>
      <c r="KE9" s="77"/>
      <c r="KF9" s="77"/>
      <c r="KG9" s="77"/>
      <c r="KH9" s="77"/>
      <c r="KI9" s="77"/>
      <c r="KJ9" s="77"/>
      <c r="KK9" s="77"/>
      <c r="KL9" s="77"/>
      <c r="KM9" s="77"/>
      <c r="KN9" s="77"/>
      <c r="KO9" s="77"/>
      <c r="KP9" s="77"/>
      <c r="KQ9" s="77"/>
      <c r="KR9" s="77"/>
      <c r="KS9" s="77"/>
      <c r="KT9" s="77"/>
      <c r="KU9" s="77"/>
      <c r="KV9" s="77"/>
      <c r="KW9" s="77"/>
      <c r="KX9" s="77"/>
      <c r="KY9" s="77"/>
      <c r="KZ9" s="77"/>
      <c r="LA9" s="77"/>
      <c r="LB9" s="77"/>
      <c r="LC9" s="77"/>
      <c r="LD9" s="77"/>
      <c r="LE9" s="77"/>
      <c r="LF9" s="77"/>
      <c r="LG9" s="77"/>
      <c r="LH9" s="77"/>
      <c r="LI9" s="77"/>
      <c r="LJ9" s="77"/>
      <c r="LK9" s="77"/>
      <c r="LL9" s="77"/>
      <c r="LM9" s="77"/>
      <c r="LN9" s="77"/>
      <c r="LO9" s="77"/>
      <c r="LP9" s="77"/>
      <c r="LQ9" s="77"/>
      <c r="LR9" s="77"/>
      <c r="LS9" s="77"/>
      <c r="LT9" s="77"/>
      <c r="LU9" s="77"/>
      <c r="LV9" s="77"/>
    </row>
    <row r="10" spans="1:368" ht="18.600000000000001" customHeight="1" x14ac:dyDescent="0.25">
      <c r="A10" s="119" t="s">
        <v>590</v>
      </c>
      <c r="B10" s="27" t="s">
        <v>2475</v>
      </c>
      <c r="C10" s="27" t="s">
        <v>2476</v>
      </c>
      <c r="D10" s="30" t="str">
        <f>HYPERLINK("https://twitter.com/presidencia_sv","https://twitter.com/presidencia_sv")</f>
        <v>https://twitter.com/presidencia_sv</v>
      </c>
      <c r="E10" s="30" t="str">
        <f>HYPERLINK("http://twiplomacy.com/info/north-america/El-Salvador","http://twiplomacy.com/info/north-america/El-Salvador")</f>
        <v>http://twiplomacy.com/info/north-america/El-Salvador</v>
      </c>
      <c r="F10" s="10" t="s">
        <v>558</v>
      </c>
      <c r="G10" s="10" t="s">
        <v>588</v>
      </c>
      <c r="H10" s="10" t="s">
        <v>781</v>
      </c>
      <c r="I10" s="10" t="s">
        <v>782</v>
      </c>
      <c r="J10" s="27" t="s">
        <v>2226</v>
      </c>
      <c r="K10" s="15" t="s">
        <v>777</v>
      </c>
      <c r="L10" s="10" t="s">
        <v>771</v>
      </c>
      <c r="M10" s="10" t="s">
        <v>770</v>
      </c>
      <c r="N10" s="30" t="str">
        <f>HYPERLINK("https://twitter.com/presidencia_sv/statuses/27148569964","https://twitter.com/presidencia_sv/statuses/27148569964")</f>
        <v>https://twitter.com/presidencia_sv/statuses/27148569964</v>
      </c>
      <c r="O10" s="30" t="str">
        <f>HYPERLINK("https://twitter.com/presidencia_sv/statuses/521879043013365760","https://twitter.com/presidencia_sv/statuses/521879043013365760")</f>
        <v>https://twitter.com/presidencia_sv/statuses/521879043013365760</v>
      </c>
      <c r="P10" s="46">
        <v>194</v>
      </c>
      <c r="Q10" s="46">
        <v>46</v>
      </c>
      <c r="R10" s="27" t="s">
        <v>2995</v>
      </c>
      <c r="S10" s="30" t="str">
        <f>HYPERLINK("https://twitter.com/presidencia_sv/lists","https://twitter.com/presidencia_sv/lists")</f>
        <v>https://twitter.com/presidencia_sv/lists</v>
      </c>
      <c r="T10" s="10">
        <v>1</v>
      </c>
      <c r="U10" s="10" t="s">
        <v>771</v>
      </c>
      <c r="V10" s="10" t="s">
        <v>771</v>
      </c>
      <c r="W10" s="10"/>
      <c r="X10" s="27" t="s">
        <v>590</v>
      </c>
      <c r="Y10" s="27" t="s">
        <v>2475</v>
      </c>
      <c r="Z10" s="80">
        <v>59460</v>
      </c>
      <c r="AA10" s="27">
        <v>316</v>
      </c>
      <c r="AB10" s="80">
        <v>106591</v>
      </c>
      <c r="AC10" s="27">
        <v>126</v>
      </c>
      <c r="AD10" s="27" t="s">
        <v>4333</v>
      </c>
      <c r="AE10" s="27">
        <v>88716854</v>
      </c>
      <c r="AF10" s="27" t="s">
        <v>2476</v>
      </c>
      <c r="AG10" s="27" t="s">
        <v>2477</v>
      </c>
      <c r="AH10" s="79">
        <v>25.132290786136899</v>
      </c>
      <c r="AI10" s="83">
        <v>59.7222222222222</v>
      </c>
      <c r="AJ10" s="80">
        <v>4.7466808284652204</v>
      </c>
      <c r="AK10" s="80">
        <v>2.97079129049389</v>
      </c>
      <c r="AL10" s="27">
        <v>4</v>
      </c>
      <c r="AM10" s="97">
        <f t="shared" si="0"/>
        <v>1.25E-3</v>
      </c>
      <c r="AN10" s="27" t="s">
        <v>590</v>
      </c>
      <c r="AO10" s="27">
        <v>5</v>
      </c>
      <c r="AP10" s="27">
        <v>16</v>
      </c>
      <c r="AQ10" s="27">
        <v>7</v>
      </c>
      <c r="AR10" s="27">
        <f>SUM(AO10:AQ10)</f>
        <v>28</v>
      </c>
      <c r="AS10" s="27" t="s">
        <v>6661</v>
      </c>
      <c r="AT10" s="27" t="s">
        <v>6835</v>
      </c>
      <c r="AU10" s="84" t="s">
        <v>5599</v>
      </c>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c r="JG10" s="77"/>
      <c r="JH10" s="77"/>
      <c r="JI10" s="77"/>
      <c r="JJ10" s="77"/>
      <c r="JK10" s="77"/>
      <c r="JL10" s="77"/>
      <c r="JM10" s="77"/>
      <c r="JN10" s="77"/>
      <c r="JO10" s="77"/>
      <c r="JP10" s="77"/>
      <c r="JQ10" s="77"/>
      <c r="JR10" s="77"/>
      <c r="JS10" s="77"/>
      <c r="JT10" s="77"/>
      <c r="JU10" s="77"/>
      <c r="JV10" s="77"/>
      <c r="JW10" s="77"/>
      <c r="JX10" s="77"/>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W10" s="77"/>
      <c r="LX10" s="77"/>
      <c r="LY10" s="77"/>
      <c r="LZ10" s="77"/>
      <c r="MA10" s="77"/>
      <c r="MB10" s="77"/>
      <c r="MC10" s="77"/>
      <c r="MD10" s="77"/>
      <c r="ME10" s="77"/>
      <c r="MF10" s="77"/>
      <c r="MG10" s="77"/>
      <c r="MH10" s="77"/>
      <c r="MI10" s="77"/>
      <c r="MJ10" s="77"/>
      <c r="MK10" s="77"/>
      <c r="ML10" s="77"/>
      <c r="MM10" s="77"/>
      <c r="MN10" s="77"/>
      <c r="MO10" s="77"/>
      <c r="MP10" s="77"/>
      <c r="MQ10" s="77"/>
      <c r="MR10" s="77"/>
      <c r="ND10" s="77"/>
    </row>
    <row r="11" spans="1:368" ht="18.600000000000001" customHeight="1" x14ac:dyDescent="0.25">
      <c r="A11" s="119" t="s">
        <v>360</v>
      </c>
      <c r="B11" s="27" t="s">
        <v>1769</v>
      </c>
      <c r="C11" s="27" t="s">
        <v>4588</v>
      </c>
      <c r="D11" s="30" t="str">
        <f>HYPERLINK("https://twitter.com/VladaRH","https://twitter.com/VladaRH")</f>
        <v>https://twitter.com/VladaRH</v>
      </c>
      <c r="E11" s="30" t="str">
        <f>HYPERLINK("http://twiplomacy.com/info/europe/Croatia","http://twiplomacy.com/info/europe/Croatia")</f>
        <v>http://twiplomacy.com/info/europe/Croatia</v>
      </c>
      <c r="F11" s="10" t="s">
        <v>332</v>
      </c>
      <c r="G11" s="10" t="s">
        <v>358</v>
      </c>
      <c r="H11" s="10" t="s">
        <v>788</v>
      </c>
      <c r="I11" s="10" t="s">
        <v>782</v>
      </c>
      <c r="J11" s="27" t="s">
        <v>789</v>
      </c>
      <c r="K11" s="15" t="s">
        <v>777</v>
      </c>
      <c r="L11" s="10" t="s">
        <v>771</v>
      </c>
      <c r="M11" s="10" t="s">
        <v>770</v>
      </c>
      <c r="N11" s="30" t="str">
        <f>HYPERLINK("https://twitter.com/VladaRH/statuses/150210062546239488","https://twitter.com/VladaRH/statuses/150210062546239488")</f>
        <v>https://twitter.com/VladaRH/statuses/150210062546239488</v>
      </c>
      <c r="O11" s="30" t="str">
        <f>HYPERLINK("https://twitter.com/VladaRH/statuses/468310753574125568","https://twitter.com/VladaRH/statuses/468310753574125568")</f>
        <v>https://twitter.com/VladaRH/statuses/468310753574125568</v>
      </c>
      <c r="P11" s="46">
        <v>175</v>
      </c>
      <c r="Q11" s="46">
        <v>25</v>
      </c>
      <c r="R11" s="27" t="s">
        <v>2994</v>
      </c>
      <c r="S11" s="30" t="str">
        <f>HYPERLINK("https://twitter.com/VladaRH/lists","https://twitter.com/VladaRH/lists")</f>
        <v>https://twitter.com/VladaRH/lists</v>
      </c>
      <c r="T11" s="10">
        <v>4</v>
      </c>
      <c r="U11" s="10">
        <v>11</v>
      </c>
      <c r="V11" s="10" t="s">
        <v>6883</v>
      </c>
      <c r="W11" s="10">
        <v>5</v>
      </c>
      <c r="X11" s="27" t="s">
        <v>360</v>
      </c>
      <c r="Y11" s="27" t="s">
        <v>1769</v>
      </c>
      <c r="Z11" s="80">
        <v>50306</v>
      </c>
      <c r="AA11" s="27">
        <v>20026</v>
      </c>
      <c r="AB11" s="80">
        <v>103872</v>
      </c>
      <c r="AC11" s="27">
        <v>5506</v>
      </c>
      <c r="AD11" s="27" t="s">
        <v>4589</v>
      </c>
      <c r="AE11" s="27">
        <v>444097675</v>
      </c>
      <c r="AF11" s="27" t="s">
        <v>4588</v>
      </c>
      <c r="AG11" s="27" t="s">
        <v>358</v>
      </c>
      <c r="AH11" s="79">
        <v>31.599246231155799</v>
      </c>
      <c r="AI11" s="83">
        <v>20.967320261437902</v>
      </c>
      <c r="AJ11" s="80">
        <v>1.0684176394293099</v>
      </c>
      <c r="AK11" s="80">
        <v>4.0522049286640698</v>
      </c>
      <c r="AL11" s="96">
        <v>1509</v>
      </c>
      <c r="AM11" s="97">
        <f t="shared" si="0"/>
        <v>0.4715625</v>
      </c>
      <c r="AN11" s="27" t="s">
        <v>360</v>
      </c>
      <c r="AO11" s="27">
        <v>473</v>
      </c>
      <c r="AP11" s="27">
        <v>3</v>
      </c>
      <c r="AQ11" s="27">
        <v>65</v>
      </c>
      <c r="AR11" s="27">
        <f>SUM(AO11:AQ11)</f>
        <v>541</v>
      </c>
      <c r="AS11" s="27" t="s">
        <v>6918</v>
      </c>
      <c r="AT11" s="27" t="s">
        <v>5559</v>
      </c>
      <c r="AU11" s="84" t="s">
        <v>6539</v>
      </c>
      <c r="AV11" s="16"/>
      <c r="AW11" s="16"/>
      <c r="AX11" s="16"/>
      <c r="AY11" s="16"/>
      <c r="AZ11" s="16"/>
      <c r="BA11" s="16"/>
      <c r="BB11" s="16"/>
      <c r="BC11" s="16"/>
      <c r="BD11" s="16"/>
      <c r="BE11" s="16"/>
      <c r="BF11" s="16"/>
      <c r="BG11" s="16"/>
      <c r="BH11" s="16"/>
      <c r="BI11" s="16"/>
      <c r="BJ11" s="16"/>
      <c r="BK11" s="16"/>
      <c r="BL11" s="16"/>
      <c r="BM11" s="16"/>
      <c r="BN11" s="16"/>
      <c r="BO11" s="16"/>
      <c r="BP11" s="16"/>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HL11" s="77"/>
      <c r="HM11" s="77"/>
      <c r="HN11" s="77"/>
      <c r="HO11" s="77"/>
      <c r="HP11" s="77"/>
      <c r="HQ11" s="77"/>
      <c r="HR11" s="77"/>
      <c r="HS11" s="77"/>
      <c r="HT11" s="77"/>
      <c r="HU11" s="77"/>
      <c r="HV11" s="77"/>
      <c r="HW11" s="77"/>
      <c r="HX11" s="77"/>
      <c r="HY11" s="77"/>
      <c r="HZ11" s="77"/>
      <c r="IA11" s="77"/>
      <c r="IB11" s="77"/>
      <c r="IC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W11" s="77"/>
      <c r="LX11" s="77"/>
    </row>
    <row r="12" spans="1:368" ht="18.600000000000001" customHeight="1" x14ac:dyDescent="0.25">
      <c r="A12" s="119" t="s">
        <v>711</v>
      </c>
      <c r="B12" s="27" t="s">
        <v>2782</v>
      </c>
      <c r="C12" s="27" t="s">
        <v>2783</v>
      </c>
      <c r="D12" s="30" t="str">
        <f>HYPERLINK("https://twitter.com/NicolasMaduro","https://twitter.com/NicolasMaduro")</f>
        <v>https://twitter.com/NicolasMaduro</v>
      </c>
      <c r="E12" s="30" t="str">
        <f>HYPERLINK("http://twiplomacy.com/info/south-america/Venezuela","http://twiplomacy.com/info/south-america/Venezuela")</f>
        <v>http://twiplomacy.com/info/south-america/Venezuela</v>
      </c>
      <c r="F12" s="10" t="s">
        <v>668</v>
      </c>
      <c r="G12" s="10" t="s">
        <v>710</v>
      </c>
      <c r="H12" s="10" t="s">
        <v>772</v>
      </c>
      <c r="I12" s="10" t="s">
        <v>773</v>
      </c>
      <c r="J12" s="27" t="s">
        <v>2226</v>
      </c>
      <c r="K12" s="15" t="s">
        <v>777</v>
      </c>
      <c r="L12" s="10" t="s">
        <v>1020</v>
      </c>
      <c r="M12" s="10" t="s">
        <v>770</v>
      </c>
      <c r="N12" s="30" t="str">
        <f>HYPERLINK("https://twitter.com/NicolasMaduro/statuses/313333471609249793","https://twitter.com/NicolasMaduro/statuses/313333471609249793")</f>
        <v>https://twitter.com/NicolasMaduro/statuses/313333471609249793</v>
      </c>
      <c r="O12" s="30" t="str">
        <f>HYPERLINK("https://twitter.com/NicolasMaduro/status/326915843101450240","https://twitter.com/NicolasMaduro/status/326915843101450240")</f>
        <v>https://twitter.com/NicolasMaduro/status/326915843101450240</v>
      </c>
      <c r="P12" s="46">
        <v>12456</v>
      </c>
      <c r="Q12" s="46">
        <v>482</v>
      </c>
      <c r="R12" s="27" t="s">
        <v>2994</v>
      </c>
      <c r="S12" s="10" t="s">
        <v>2784</v>
      </c>
      <c r="T12" s="10" t="s">
        <v>771</v>
      </c>
      <c r="U12" s="10" t="s">
        <v>771</v>
      </c>
      <c r="V12" s="10" t="s">
        <v>771</v>
      </c>
      <c r="W12" s="10"/>
      <c r="X12" s="27" t="s">
        <v>711</v>
      </c>
      <c r="Y12" s="27" t="s">
        <v>2782</v>
      </c>
      <c r="Z12" s="80">
        <v>47582</v>
      </c>
      <c r="AA12" s="27">
        <v>97</v>
      </c>
      <c r="AB12" s="80">
        <v>2797475</v>
      </c>
      <c r="AC12" s="27">
        <v>27</v>
      </c>
      <c r="AD12" s="27" t="s">
        <v>4195</v>
      </c>
      <c r="AE12" s="27">
        <v>1252764865</v>
      </c>
      <c r="AF12" s="27" t="s">
        <v>2783</v>
      </c>
      <c r="AG12" s="27" t="s">
        <v>710</v>
      </c>
      <c r="AH12" s="79">
        <v>41.375652173912997</v>
      </c>
      <c r="AI12" s="83">
        <v>69.127659574468098</v>
      </c>
      <c r="AJ12" s="80">
        <v>2532.3134328358201</v>
      </c>
      <c r="AK12" s="80">
        <v>804.79104477611895</v>
      </c>
      <c r="AL12" s="13">
        <v>0</v>
      </c>
      <c r="AM12" s="97">
        <f t="shared" si="0"/>
        <v>0</v>
      </c>
      <c r="AN12" s="27" t="s">
        <v>711</v>
      </c>
      <c r="AO12" s="27">
        <v>6</v>
      </c>
      <c r="AP12" s="27">
        <v>36</v>
      </c>
      <c r="AQ12" s="27">
        <v>5</v>
      </c>
      <c r="AR12" s="27">
        <f>SUM(AO12:AQ12)</f>
        <v>47</v>
      </c>
      <c r="AS12" s="27" t="s">
        <v>6240</v>
      </c>
      <c r="AT12" s="27" t="s">
        <v>5623</v>
      </c>
      <c r="AU12" s="84" t="s">
        <v>6517</v>
      </c>
      <c r="AV12" s="70"/>
      <c r="AW12" s="70"/>
      <c r="AX12" s="70"/>
      <c r="AY12" s="70"/>
      <c r="AZ12" s="70"/>
      <c r="BA12" s="70"/>
      <c r="BB12" s="70"/>
      <c r="BC12" s="70"/>
      <c r="BD12" s="70"/>
      <c r="BE12" s="70"/>
      <c r="BF12" s="70"/>
      <c r="BG12" s="70"/>
      <c r="BH12" s="70"/>
      <c r="BI12" s="70"/>
      <c r="BJ12" s="70"/>
      <c r="BK12" s="70"/>
      <c r="BL12" s="70"/>
      <c r="BM12" s="77"/>
      <c r="BN12" s="70"/>
      <c r="BO12" s="70"/>
      <c r="BP12" s="70"/>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W12" s="77"/>
      <c r="LX12" s="77"/>
    </row>
    <row r="13" spans="1:368" ht="18.600000000000001" customHeight="1" x14ac:dyDescent="0.25">
      <c r="A13" s="119" t="s">
        <v>546</v>
      </c>
      <c r="B13" s="27" t="s">
        <v>2319</v>
      </c>
      <c r="C13" s="27" t="s">
        <v>3915</v>
      </c>
      <c r="D13" s="30" t="str">
        <f>HYPERLINK("https://twitter.com/Kabmin_UA","https://twitter.com/Kabmin_UA")</f>
        <v>https://twitter.com/Kabmin_UA</v>
      </c>
      <c r="E13" s="30" t="str">
        <f>HYPERLINK("http://twiplomacy.com/info/europe/Ukraine","http://twiplomacy.com/info/europe/Ukraine")</f>
        <v>http://twiplomacy.com/info/europe/Ukraine</v>
      </c>
      <c r="F13" s="10" t="s">
        <v>332</v>
      </c>
      <c r="G13" s="10" t="s">
        <v>543</v>
      </c>
      <c r="H13" s="10" t="s">
        <v>788</v>
      </c>
      <c r="I13" s="10" t="s">
        <v>782</v>
      </c>
      <c r="J13" s="27" t="s">
        <v>2312</v>
      </c>
      <c r="K13" s="15" t="s">
        <v>777</v>
      </c>
      <c r="L13" s="10" t="s">
        <v>771</v>
      </c>
      <c r="M13" s="10" t="s">
        <v>771</v>
      </c>
      <c r="N13" s="30" t="str">
        <f>HYPERLINK("https://twitter.com/Kabmin_UA/statuses/89243441346785280","https://twitter.com/Kabmin_UA/statuses/89243441346785280")</f>
        <v>https://twitter.com/Kabmin_UA/statuses/89243441346785280</v>
      </c>
      <c r="O13" s="27" t="s">
        <v>5894</v>
      </c>
      <c r="P13" s="80">
        <v>256</v>
      </c>
      <c r="Q13" s="80">
        <v>96</v>
      </c>
      <c r="R13" s="27" t="s">
        <v>2994</v>
      </c>
      <c r="S13" s="10" t="s">
        <v>2320</v>
      </c>
      <c r="T13" s="10" t="s">
        <v>771</v>
      </c>
      <c r="U13" s="10" t="s">
        <v>771</v>
      </c>
      <c r="V13" s="10" t="s">
        <v>771</v>
      </c>
      <c r="W13" s="10"/>
      <c r="X13" s="27" t="s">
        <v>546</v>
      </c>
      <c r="Y13" s="27" t="s">
        <v>2319</v>
      </c>
      <c r="Z13" s="80">
        <v>44635</v>
      </c>
      <c r="AA13" s="27">
        <v>174</v>
      </c>
      <c r="AB13" s="80">
        <v>75728</v>
      </c>
      <c r="AC13" s="27">
        <v>238</v>
      </c>
      <c r="AD13" s="27" t="s">
        <v>3916</v>
      </c>
      <c r="AE13" s="27">
        <v>331491073</v>
      </c>
      <c r="AF13" s="27" t="s">
        <v>3915</v>
      </c>
      <c r="AG13" s="27" t="s">
        <v>2321</v>
      </c>
      <c r="AH13" s="79">
        <v>25.360795454545499</v>
      </c>
      <c r="AI13" s="83">
        <v>10.969491525423701</v>
      </c>
      <c r="AJ13" s="80">
        <v>15.5163704396632</v>
      </c>
      <c r="AK13" s="80">
        <v>4.9920486435921401</v>
      </c>
      <c r="AL13" s="27">
        <v>348</v>
      </c>
      <c r="AM13" s="97">
        <f t="shared" si="0"/>
        <v>0.10875</v>
      </c>
      <c r="AN13" s="27" t="s">
        <v>546</v>
      </c>
      <c r="AO13" s="27">
        <v>4</v>
      </c>
      <c r="AP13" s="27">
        <v>6</v>
      </c>
      <c r="AQ13" s="27">
        <v>5</v>
      </c>
      <c r="AR13" s="27">
        <f>SUM(AO13:AQ13)</f>
        <v>15</v>
      </c>
      <c r="AS13" s="27" t="s">
        <v>5225</v>
      </c>
      <c r="AT13" s="27" t="s">
        <v>5226</v>
      </c>
      <c r="AU13" s="84" t="s">
        <v>4786</v>
      </c>
      <c r="AV13" s="69"/>
      <c r="AW13" s="69"/>
      <c r="AX13" s="69"/>
      <c r="AY13" s="69"/>
      <c r="AZ13" s="69"/>
      <c r="BA13" s="69"/>
      <c r="BB13" s="69"/>
      <c r="BC13" s="69"/>
      <c r="BD13" s="69"/>
      <c r="BE13" s="69"/>
      <c r="BF13" s="69"/>
      <c r="BG13" s="69"/>
      <c r="BH13" s="69"/>
      <c r="BI13" s="69"/>
      <c r="BJ13" s="69"/>
      <c r="BK13" s="69"/>
      <c r="BL13" s="69"/>
      <c r="BM13" s="69"/>
      <c r="BN13" s="69"/>
      <c r="BO13" s="69"/>
      <c r="BP13" s="69"/>
      <c r="BQ13" s="16"/>
      <c r="BR13" s="16"/>
      <c r="BS13" s="16"/>
      <c r="BT13" s="16"/>
      <c r="BU13" s="16"/>
      <c r="BV13" s="16"/>
      <c r="BW13" s="16"/>
      <c r="BX13" s="16"/>
      <c r="BY13" s="16"/>
      <c r="BZ13" s="16"/>
      <c r="CA13" s="16"/>
      <c r="CB13" s="16"/>
      <c r="CK13" s="77"/>
      <c r="CL13" s="77"/>
      <c r="CM13" s="77"/>
      <c r="CN13" s="77"/>
      <c r="CO13" s="77"/>
      <c r="CP13" s="77"/>
      <c r="CQ13" s="77"/>
      <c r="CR13" s="77"/>
      <c r="CS13" s="77"/>
      <c r="CT13" s="77"/>
      <c r="CU13" s="77"/>
      <c r="CV13" s="77"/>
      <c r="CW13" s="77"/>
      <c r="EM13" s="77"/>
      <c r="EN13" s="77"/>
      <c r="EO13" s="77"/>
      <c r="EP13" s="77"/>
      <c r="EQ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c r="JG13" s="77"/>
      <c r="JH13" s="77"/>
      <c r="JI13" s="77"/>
      <c r="JJ13" s="77"/>
      <c r="JK13" s="77"/>
      <c r="JL13" s="77"/>
      <c r="JM13" s="77"/>
      <c r="JN13" s="77"/>
      <c r="JO13" s="77"/>
      <c r="JP13" s="77"/>
      <c r="JQ13" s="77"/>
      <c r="JR13" s="77"/>
      <c r="JS13" s="77"/>
      <c r="JT13" s="77"/>
      <c r="JU13" s="77"/>
      <c r="JV13" s="77"/>
      <c r="JW13" s="77"/>
      <c r="JX13" s="77"/>
      <c r="JY13" s="77"/>
      <c r="JZ13" s="77"/>
      <c r="KA13" s="77"/>
      <c r="KB13" s="77"/>
      <c r="KC13" s="77"/>
      <c r="KD13" s="77"/>
      <c r="KE13" s="77"/>
      <c r="KF13" s="77"/>
      <c r="KG13" s="77"/>
      <c r="KH13" s="77"/>
      <c r="KI13" s="77"/>
      <c r="KJ13" s="77"/>
      <c r="KK13" s="77"/>
      <c r="KL13" s="77"/>
      <c r="KM13" s="77"/>
      <c r="KN13" s="77"/>
      <c r="KO13" s="77"/>
      <c r="KP13" s="77"/>
      <c r="KQ13" s="77"/>
      <c r="KR13" s="77"/>
      <c r="KS13" s="77"/>
      <c r="KT13" s="77"/>
      <c r="KU13" s="77"/>
      <c r="KV13" s="77"/>
      <c r="KW13" s="77"/>
      <c r="KX13" s="77"/>
      <c r="KY13" s="77"/>
      <c r="KZ13" s="77"/>
      <c r="LA13" s="77"/>
      <c r="LB13" s="77"/>
      <c r="LC13" s="77"/>
      <c r="LD13" s="77"/>
      <c r="LE13" s="77"/>
      <c r="LF13" s="77"/>
      <c r="LG13" s="77"/>
      <c r="LH13" s="77"/>
      <c r="LI13" s="77"/>
      <c r="LJ13" s="77"/>
      <c r="LK13" s="77"/>
      <c r="MS13" s="16"/>
    </row>
    <row r="14" spans="1:368" ht="18.600000000000001" customHeight="1" x14ac:dyDescent="0.25">
      <c r="A14" s="119" t="s">
        <v>2796</v>
      </c>
      <c r="B14" s="27" t="s">
        <v>2782</v>
      </c>
      <c r="C14" s="27" t="s">
        <v>6415</v>
      </c>
      <c r="D14" s="30" t="str">
        <f>HYPERLINK("https://twitter.com/maduro_pt","https://twitter.com/maduro_pt")</f>
        <v>https://twitter.com/maduro_pt</v>
      </c>
      <c r="E14" s="30" t="str">
        <f>HYPERLINK("http://twiplomacy.com/info/south-america/Venezuela","http://twiplomacy.com/info/south-america/Venezuela")</f>
        <v>http://twiplomacy.com/info/south-america/Venezuela</v>
      </c>
      <c r="F14" s="10" t="s">
        <v>668</v>
      </c>
      <c r="G14" s="10" t="s">
        <v>710</v>
      </c>
      <c r="H14" s="10" t="s">
        <v>772</v>
      </c>
      <c r="I14" s="10" t="s">
        <v>773</v>
      </c>
      <c r="J14" s="27" t="s">
        <v>785</v>
      </c>
      <c r="K14" s="10" t="s">
        <v>777</v>
      </c>
      <c r="L14" s="10" t="s">
        <v>771</v>
      </c>
      <c r="M14" s="10" t="s">
        <v>770</v>
      </c>
      <c r="N14" s="30" t="str">
        <f>HYPERLINK("https://twitter.com/maduro_pt/statuses/374563913800876032","https://twitter.com/maduro_pt/statuses/374563913800876032")</f>
        <v>https://twitter.com/maduro_pt/statuses/374563913800876032</v>
      </c>
      <c r="O14" s="30" t="str">
        <f>HYPERLINK("https://twitter.com/maduro_pt/statuses/521476162816864258","https://twitter.com/maduro_pt/statuses/521476162816864258")</f>
        <v>https://twitter.com/maduro_pt/statuses/521476162816864258</v>
      </c>
      <c r="P14" s="46">
        <v>764</v>
      </c>
      <c r="Q14" s="46"/>
      <c r="R14" s="27" t="s">
        <v>2995</v>
      </c>
      <c r="S14" s="10" t="s">
        <v>2797</v>
      </c>
      <c r="T14" s="10" t="s">
        <v>771</v>
      </c>
      <c r="U14" s="10" t="s">
        <v>771</v>
      </c>
      <c r="V14" s="10" t="s">
        <v>771</v>
      </c>
      <c r="W14" s="10"/>
      <c r="X14" s="27" t="s">
        <v>2796</v>
      </c>
      <c r="Y14" s="27" t="s">
        <v>2782</v>
      </c>
      <c r="Z14" s="80">
        <v>44098</v>
      </c>
      <c r="AA14" s="27">
        <v>39</v>
      </c>
      <c r="AB14" s="80">
        <v>59827</v>
      </c>
      <c r="AC14" s="27">
        <v>0</v>
      </c>
      <c r="AD14" s="27" t="s">
        <v>3993</v>
      </c>
      <c r="AE14" s="27">
        <v>1660607562</v>
      </c>
      <c r="AF14" s="27" t="s">
        <v>6415</v>
      </c>
      <c r="AG14" s="27"/>
      <c r="AH14" s="79">
        <v>44.275100401606402</v>
      </c>
      <c r="AI14" s="83">
        <v>68.106382978723403</v>
      </c>
      <c r="AJ14" s="80">
        <v>2.8481724461105902</v>
      </c>
      <c r="AK14" s="80">
        <v>1.02436738519213</v>
      </c>
      <c r="AL14" s="13">
        <v>0</v>
      </c>
      <c r="AM14" s="97">
        <f t="shared" si="0"/>
        <v>0</v>
      </c>
      <c r="AN14" s="27" t="s">
        <v>2796</v>
      </c>
      <c r="AO14" s="27">
        <v>0</v>
      </c>
      <c r="AP14" s="27">
        <v>3</v>
      </c>
      <c r="AQ14" s="27">
        <v>4</v>
      </c>
      <c r="AR14" s="27">
        <f>SUM(AO14:AQ14)</f>
        <v>7</v>
      </c>
      <c r="AS14" s="27"/>
      <c r="AT14" s="27" t="s">
        <v>5260</v>
      </c>
      <c r="AU14" s="84" t="s">
        <v>4820</v>
      </c>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77"/>
      <c r="LG14" s="77"/>
      <c r="LH14" s="77"/>
      <c r="LI14" s="77"/>
      <c r="LJ14" s="77"/>
      <c r="LK14" s="77"/>
      <c r="LW14" s="77"/>
      <c r="LX14" s="77"/>
      <c r="LY14" s="77"/>
      <c r="LZ14" s="77"/>
      <c r="MA14" s="77"/>
      <c r="MB14" s="77"/>
      <c r="MC14" s="77"/>
      <c r="MD14" s="77"/>
      <c r="ME14" s="77"/>
      <c r="MF14" s="77"/>
      <c r="MG14" s="77"/>
      <c r="MH14" s="77"/>
      <c r="MI14" s="77"/>
      <c r="MJ14" s="77"/>
      <c r="MK14" s="77"/>
      <c r="ML14" s="77"/>
      <c r="MM14" s="77"/>
      <c r="MN14" s="77"/>
      <c r="MO14" s="77"/>
      <c r="MP14" s="77"/>
      <c r="MQ14" s="77"/>
      <c r="MR14" s="77"/>
      <c r="MT14" s="77"/>
      <c r="MU14" s="77"/>
      <c r="MV14" s="77"/>
      <c r="MW14" s="77"/>
      <c r="MX14" s="77"/>
      <c r="MY14" s="77"/>
      <c r="MZ14" s="77"/>
      <c r="NA14" s="77"/>
      <c r="NB14" s="77"/>
      <c r="NC14" s="77"/>
      <c r="ND14" s="16"/>
    </row>
    <row r="15" spans="1:368" s="59" customFormat="1" ht="18.600000000000001" customHeight="1" x14ac:dyDescent="0.25">
      <c r="A15" s="119" t="s">
        <v>639</v>
      </c>
      <c r="B15" s="27" t="s">
        <v>2579</v>
      </c>
      <c r="C15" s="27" t="s">
        <v>6454</v>
      </c>
      <c r="D15" s="30" t="str">
        <f>HYPERLINK("https://twitter.com/StateDept","https://twitter.com/StateDept")</f>
        <v>https://twitter.com/StateDept</v>
      </c>
      <c r="E15" s="30" t="str">
        <f>HYPERLINK("http://twiplomacy.com/info/north-america/United-States","http://twiplomacy.com/info/north-america/United-States")</f>
        <v>http://twiplomacy.com/info/north-america/United-States</v>
      </c>
      <c r="F15" s="10" t="s">
        <v>558</v>
      </c>
      <c r="G15" s="10" t="s">
        <v>633</v>
      </c>
      <c r="H15" s="10" t="s">
        <v>2539</v>
      </c>
      <c r="I15" s="10" t="s">
        <v>782</v>
      </c>
      <c r="J15" s="27" t="s">
        <v>789</v>
      </c>
      <c r="K15" s="15" t="s">
        <v>777</v>
      </c>
      <c r="L15" s="10" t="s">
        <v>771</v>
      </c>
      <c r="M15" s="10" t="s">
        <v>770</v>
      </c>
      <c r="N15" s="30" t="str">
        <f>HYPERLINK("https://twitter.com/StateDept/statuses/357664992","https://twitter.com/StateDept/statuses/357664992")</f>
        <v>https://twitter.com/StateDept/statuses/357664992</v>
      </c>
      <c r="O15" s="27" t="s">
        <v>6099</v>
      </c>
      <c r="P15" s="80">
        <v>6668</v>
      </c>
      <c r="Q15" s="80">
        <v>2745</v>
      </c>
      <c r="R15" s="27" t="s">
        <v>2994</v>
      </c>
      <c r="S15" s="30" t="str">
        <f>HYPERLINK("https://twitter.com/StateDept/lists","https://twitter.com/StateDept/lists")</f>
        <v>https://twitter.com/StateDept/lists</v>
      </c>
      <c r="T15" s="10">
        <v>6</v>
      </c>
      <c r="U15" s="10" t="s">
        <v>771</v>
      </c>
      <c r="V15" s="30" t="s">
        <v>6879</v>
      </c>
      <c r="W15" s="10">
        <v>113</v>
      </c>
      <c r="X15" s="27" t="s">
        <v>639</v>
      </c>
      <c r="Y15" s="27" t="s">
        <v>2579</v>
      </c>
      <c r="Z15" s="80">
        <v>43240</v>
      </c>
      <c r="AA15" s="27">
        <v>451</v>
      </c>
      <c r="AB15" s="80">
        <v>2660875</v>
      </c>
      <c r="AC15" s="27">
        <v>4</v>
      </c>
      <c r="AD15" s="27" t="s">
        <v>4487</v>
      </c>
      <c r="AE15" s="27">
        <v>9624742</v>
      </c>
      <c r="AF15" s="27" t="s">
        <v>6454</v>
      </c>
      <c r="AG15" s="27" t="s">
        <v>2565</v>
      </c>
      <c r="AH15" s="79">
        <v>13.8856775850996</v>
      </c>
      <c r="AI15" s="83">
        <v>18.338983050847499</v>
      </c>
      <c r="AJ15" s="80">
        <v>73.695512820512803</v>
      </c>
      <c r="AK15" s="80">
        <v>71.100160256410305</v>
      </c>
      <c r="AL15" s="27">
        <v>1</v>
      </c>
      <c r="AM15" s="97">
        <f t="shared" si="0"/>
        <v>3.1250000000000001E-4</v>
      </c>
      <c r="AN15" s="27" t="s">
        <v>639</v>
      </c>
      <c r="AO15" s="27">
        <v>8</v>
      </c>
      <c r="AP15" s="27">
        <v>157</v>
      </c>
      <c r="AQ15" s="27">
        <v>52</v>
      </c>
      <c r="AR15" s="27">
        <f>SUM(AO15:AQ15)</f>
        <v>217</v>
      </c>
      <c r="AS15" s="27" t="s">
        <v>5500</v>
      </c>
      <c r="AT15" s="27" t="s">
        <v>6861</v>
      </c>
      <c r="AU15" s="84" t="s">
        <v>4956</v>
      </c>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row>
    <row r="16" spans="1:368" ht="18.600000000000001" customHeight="1" x14ac:dyDescent="0.25">
      <c r="A16" s="119" t="s">
        <v>2792</v>
      </c>
      <c r="B16" s="27" t="s">
        <v>2782</v>
      </c>
      <c r="C16" s="27" t="s">
        <v>2793</v>
      </c>
      <c r="D16" s="30" t="str">
        <f>HYPERLINK("https://twitter.com/maduro_en","https://twitter.com/maduro_en")</f>
        <v>https://twitter.com/maduro_en</v>
      </c>
      <c r="E16" s="30" t="str">
        <f>HYPERLINK("http://twiplomacy.com/info/south-america/Venezuela","http://twiplomacy.com/info/south-america/Venezuela")</f>
        <v>http://twiplomacy.com/info/south-america/Venezuela</v>
      </c>
      <c r="F16" s="10" t="s">
        <v>668</v>
      </c>
      <c r="G16" s="10" t="s">
        <v>710</v>
      </c>
      <c r="H16" s="10" t="s">
        <v>772</v>
      </c>
      <c r="I16" s="10" t="s">
        <v>773</v>
      </c>
      <c r="J16" s="27" t="s">
        <v>789</v>
      </c>
      <c r="K16" s="10" t="s">
        <v>777</v>
      </c>
      <c r="L16" s="10" t="s">
        <v>771</v>
      </c>
      <c r="M16" s="10" t="s">
        <v>770</v>
      </c>
      <c r="N16" s="30" t="str">
        <f>HYPERLINK("https://twitter.com/maduro_en/statuses/373194128160739328","https://twitter.com/maduro_en/statuses/373194128160739328")</f>
        <v>https://twitter.com/maduro_en/statuses/373194128160739328</v>
      </c>
      <c r="O16" s="20" t="s">
        <v>2794</v>
      </c>
      <c r="P16" s="46">
        <v>373</v>
      </c>
      <c r="Q16" s="46">
        <v>53</v>
      </c>
      <c r="R16" s="27" t="s">
        <v>2995</v>
      </c>
      <c r="S16" s="10" t="s">
        <v>2795</v>
      </c>
      <c r="T16" s="10" t="s">
        <v>771</v>
      </c>
      <c r="U16" s="10" t="s">
        <v>771</v>
      </c>
      <c r="V16" s="10" t="s">
        <v>771</v>
      </c>
      <c r="W16" s="10"/>
      <c r="X16" s="27" t="s">
        <v>2792</v>
      </c>
      <c r="Y16" s="27" t="s">
        <v>2782</v>
      </c>
      <c r="Z16" s="80">
        <v>38676</v>
      </c>
      <c r="AA16" s="27">
        <v>39</v>
      </c>
      <c r="AB16" s="80">
        <v>66488</v>
      </c>
      <c r="AC16" s="27">
        <v>0</v>
      </c>
      <c r="AD16" s="27" t="s">
        <v>3986</v>
      </c>
      <c r="AE16" s="27">
        <v>1660469318</v>
      </c>
      <c r="AF16" s="27" t="s">
        <v>2793</v>
      </c>
      <c r="AG16" s="27" t="s">
        <v>710</v>
      </c>
      <c r="AH16" s="79">
        <v>38.831325301204799</v>
      </c>
      <c r="AI16" s="83">
        <v>64.44</v>
      </c>
      <c r="AJ16" s="80">
        <v>7.5906269397889501</v>
      </c>
      <c r="AK16" s="80">
        <v>2.1173184357541901</v>
      </c>
      <c r="AL16" s="27">
        <v>3</v>
      </c>
      <c r="AM16" s="97">
        <f t="shared" si="0"/>
        <v>9.3749999999999997E-4</v>
      </c>
      <c r="AN16" s="27" t="s">
        <v>2792</v>
      </c>
      <c r="AO16" s="27">
        <v>1</v>
      </c>
      <c r="AP16" s="27">
        <v>3</v>
      </c>
      <c r="AQ16" s="27">
        <v>3</v>
      </c>
      <c r="AR16" s="27">
        <f>SUM(AO16:AQ16)</f>
        <v>7</v>
      </c>
      <c r="AS16" s="27" t="s">
        <v>2798</v>
      </c>
      <c r="AT16" s="27" t="s">
        <v>5260</v>
      </c>
      <c r="AU16" s="84" t="s">
        <v>4815</v>
      </c>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16"/>
      <c r="CL16" s="16"/>
      <c r="CM16" s="16"/>
      <c r="CN16" s="16"/>
      <c r="CO16" s="16"/>
      <c r="CP16" s="16"/>
      <c r="CQ16" s="16"/>
      <c r="CR16" s="16"/>
      <c r="CS16" s="16"/>
      <c r="CT16" s="16"/>
      <c r="CU16" s="16"/>
      <c r="CV16" s="16"/>
      <c r="CW16" s="16"/>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JY16" s="77"/>
      <c r="JZ16" s="77"/>
      <c r="KA16" s="77"/>
      <c r="KB16" s="77"/>
      <c r="KC16" s="77"/>
      <c r="KD16" s="77"/>
      <c r="KE16" s="77"/>
      <c r="KF16" s="77"/>
      <c r="KG16" s="77"/>
      <c r="KH16" s="77"/>
      <c r="KI16" s="77"/>
      <c r="KJ16" s="77"/>
      <c r="KK16" s="77"/>
      <c r="KL16" s="77"/>
      <c r="LL16" s="77"/>
      <c r="LM16" s="77"/>
      <c r="LN16" s="77"/>
      <c r="LO16" s="77"/>
      <c r="LP16" s="77"/>
      <c r="LQ16" s="77"/>
      <c r="LR16" s="77"/>
      <c r="LS16" s="77"/>
      <c r="LT16" s="77"/>
      <c r="LU16" s="77"/>
      <c r="LV16" s="77"/>
      <c r="MT16" s="77"/>
      <c r="MU16" s="77"/>
      <c r="MV16" s="77"/>
      <c r="MW16" s="77"/>
      <c r="MX16" s="77"/>
      <c r="MY16" s="77"/>
      <c r="MZ16" s="77"/>
      <c r="NA16" s="77"/>
      <c r="NB16" s="77"/>
      <c r="NC16" s="77"/>
    </row>
    <row r="17" spans="1:368" ht="18.600000000000001" customHeight="1" x14ac:dyDescent="0.25">
      <c r="A17" s="119" t="s">
        <v>2798</v>
      </c>
      <c r="B17" s="27" t="s">
        <v>2782</v>
      </c>
      <c r="C17" s="27" t="s">
        <v>3987</v>
      </c>
      <c r="D17" s="30" t="str">
        <f>HYPERLINK("https://twitter.com/maduro_fr","https://twitter.com/maduro_fr")</f>
        <v>https://twitter.com/maduro_fr</v>
      </c>
      <c r="E17" s="30" t="str">
        <f>HYPERLINK("http://twiplomacy.com/info/south-america/Venezuela","http://twiplomacy.com/info/south-america/Venezuela")</f>
        <v>http://twiplomacy.com/info/south-america/Venezuela</v>
      </c>
      <c r="F17" s="10" t="s">
        <v>668</v>
      </c>
      <c r="G17" s="10" t="s">
        <v>710</v>
      </c>
      <c r="H17" s="10" t="s">
        <v>772</v>
      </c>
      <c r="I17" s="10" t="s">
        <v>773</v>
      </c>
      <c r="J17" s="27" t="s">
        <v>779</v>
      </c>
      <c r="K17" s="10" t="s">
        <v>777</v>
      </c>
      <c r="L17" s="10" t="s">
        <v>771</v>
      </c>
      <c r="M17" s="10" t="s">
        <v>770</v>
      </c>
      <c r="N17" s="30" t="str">
        <f>HYPERLINK("https://twitter.com/maduro_fr/statuses/373188005177356288","https://twitter.com/maduro_fr/statuses/373188005177356288")</f>
        <v>https://twitter.com/maduro_fr/statuses/373188005177356288</v>
      </c>
      <c r="O17" s="30" t="str">
        <f>HYPERLINK("https://twitter.com/maduro_fr/statuses/449706629257502721","https://twitter.com/maduro_fr/statuses/449706629257502721")</f>
        <v>https://twitter.com/maduro_fr/statuses/449706629257502721</v>
      </c>
      <c r="P17" s="46">
        <v>169</v>
      </c>
      <c r="Q17" s="46">
        <v>24</v>
      </c>
      <c r="R17" s="27" t="s">
        <v>2995</v>
      </c>
      <c r="S17" s="10" t="s">
        <v>2799</v>
      </c>
      <c r="T17" s="10" t="s">
        <v>771</v>
      </c>
      <c r="U17" s="10" t="s">
        <v>771</v>
      </c>
      <c r="V17" s="10" t="s">
        <v>771</v>
      </c>
      <c r="W17" s="10"/>
      <c r="X17" s="27" t="s">
        <v>2798</v>
      </c>
      <c r="Y17" s="27" t="s">
        <v>2782</v>
      </c>
      <c r="Z17" s="80">
        <v>36372</v>
      </c>
      <c r="AA17" s="27">
        <v>38</v>
      </c>
      <c r="AB17" s="80">
        <v>47488</v>
      </c>
      <c r="AC17" s="27">
        <v>0</v>
      </c>
      <c r="AD17" s="27" t="s">
        <v>3988</v>
      </c>
      <c r="AE17" s="27">
        <v>1660707427</v>
      </c>
      <c r="AF17" s="27" t="s">
        <v>3987</v>
      </c>
      <c r="AG17" s="27" t="s">
        <v>710</v>
      </c>
      <c r="AH17" s="79">
        <v>36.518072289156599</v>
      </c>
      <c r="AI17" s="83">
        <v>64.44</v>
      </c>
      <c r="AJ17" s="80">
        <v>1.62011173184358</v>
      </c>
      <c r="AK17" s="80">
        <v>0.54903786468032301</v>
      </c>
      <c r="AL17" s="13">
        <v>0</v>
      </c>
      <c r="AM17" s="97">
        <f t="shared" si="0"/>
        <v>0</v>
      </c>
      <c r="AN17" s="27" t="s">
        <v>2798</v>
      </c>
      <c r="AO17" s="27">
        <v>0</v>
      </c>
      <c r="AP17" s="27">
        <v>4</v>
      </c>
      <c r="AQ17" s="27">
        <v>3</v>
      </c>
      <c r="AR17" s="27">
        <f>SUM(AO17:AQ17)</f>
        <v>7</v>
      </c>
      <c r="AS17" s="27"/>
      <c r="AT17" s="27" t="s">
        <v>5261</v>
      </c>
      <c r="AU17" s="84" t="s">
        <v>4815</v>
      </c>
      <c r="AV17" s="16"/>
      <c r="AW17" s="16"/>
      <c r="AX17" s="16"/>
      <c r="AY17" s="16"/>
      <c r="AZ17" s="16"/>
      <c r="BA17" s="16"/>
      <c r="BB17" s="16"/>
      <c r="BC17" s="16"/>
      <c r="BD17" s="16"/>
      <c r="BE17" s="16"/>
      <c r="BF17" s="16"/>
      <c r="BG17" s="16"/>
      <c r="BH17" s="16"/>
      <c r="BI17" s="16"/>
      <c r="BJ17" s="16"/>
      <c r="BK17" s="16"/>
      <c r="BL17" s="16"/>
      <c r="BM17" s="16"/>
      <c r="BN17" s="16"/>
      <c r="BO17" s="16"/>
      <c r="BP17" s="16"/>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KM17" s="77"/>
      <c r="KN17" s="77"/>
      <c r="KO17" s="77"/>
      <c r="KP17" s="77"/>
      <c r="KQ17" s="77"/>
      <c r="KR17" s="77"/>
      <c r="KS17" s="77"/>
      <c r="KT17" s="77"/>
      <c r="KU17" s="77"/>
      <c r="KV17" s="77"/>
      <c r="KW17" s="77"/>
      <c r="KX17" s="77"/>
      <c r="KY17" s="77"/>
      <c r="KZ17" s="77"/>
      <c r="LA17" s="77"/>
      <c r="LB17" s="77"/>
      <c r="LC17" s="77"/>
      <c r="LD17" s="77"/>
      <c r="LE17" s="77"/>
      <c r="LF17" s="77"/>
      <c r="LG17" s="77"/>
      <c r="LH17" s="77"/>
      <c r="LI17" s="77"/>
      <c r="LJ17" s="77"/>
      <c r="LK17" s="77"/>
      <c r="LL17" s="77"/>
      <c r="LM17" s="77"/>
      <c r="LN17" s="77"/>
      <c r="LO17" s="77"/>
      <c r="LP17" s="77"/>
      <c r="LQ17" s="77"/>
      <c r="LR17" s="77"/>
      <c r="LS17" s="77"/>
      <c r="LT17" s="77"/>
      <c r="LU17" s="77"/>
      <c r="LV17" s="77"/>
      <c r="MS17" s="16"/>
    </row>
    <row r="18" spans="1:368" ht="18.600000000000001" customHeight="1" x14ac:dyDescent="0.25">
      <c r="A18" s="119" t="s">
        <v>703</v>
      </c>
      <c r="B18" s="27" t="s">
        <v>2764</v>
      </c>
      <c r="C18" s="27" t="s">
        <v>2765</v>
      </c>
      <c r="D18" s="30" t="str">
        <f>HYPERLINK("https://twitter.com/prensapalacio","https://twitter.com/prensapalacio")</f>
        <v>https://twitter.com/prensapalacio</v>
      </c>
      <c r="E18" s="30" t="str">
        <f>HYPERLINK("http://twiplomacy.com/info/south-america/Peru","http://twiplomacy.com/info/south-america/Peru")</f>
        <v>http://twiplomacy.com/info/south-america/Peru</v>
      </c>
      <c r="F18" s="10" t="s">
        <v>668</v>
      </c>
      <c r="G18" s="10" t="s">
        <v>701</v>
      </c>
      <c r="H18" s="10" t="s">
        <v>788</v>
      </c>
      <c r="I18" s="10" t="s">
        <v>782</v>
      </c>
      <c r="J18" s="27" t="s">
        <v>2226</v>
      </c>
      <c r="K18" s="15" t="s">
        <v>777</v>
      </c>
      <c r="L18" s="10" t="s">
        <v>771</v>
      </c>
      <c r="M18" s="10" t="s">
        <v>770</v>
      </c>
      <c r="N18" s="30" t="str">
        <f>HYPERLINK("https://twitter.com/prensapalacio/statuses/10386691825","https://twitter.com/prensapalacio/statuses/10386691825")</f>
        <v>https://twitter.com/prensapalacio/statuses/10386691825</v>
      </c>
      <c r="O18" s="30" t="str">
        <f>HYPERLINK("https://twitter.com/prensapalacio/statuses/449392220454404096","https://twitter.com/prensapalacio/statuses/449392220454404096")</f>
        <v>https://twitter.com/prensapalacio/statuses/449392220454404096</v>
      </c>
      <c r="P18" s="46">
        <v>220</v>
      </c>
      <c r="Q18" s="46">
        <v>48</v>
      </c>
      <c r="R18" s="27" t="s">
        <v>2994</v>
      </c>
      <c r="S18" s="30" t="str">
        <f>HYPERLINK("https://twitter.com/prensapalacio/lists","https://twitter.com/prensapalacio/lists")</f>
        <v>https://twitter.com/prensapalacio/lists</v>
      </c>
      <c r="T18" s="10">
        <v>3</v>
      </c>
      <c r="U18" s="10" t="s">
        <v>771</v>
      </c>
      <c r="V18" s="10" t="s">
        <v>771</v>
      </c>
      <c r="W18" s="10"/>
      <c r="X18" s="27" t="s">
        <v>703</v>
      </c>
      <c r="Y18" s="27" t="s">
        <v>2764</v>
      </c>
      <c r="Z18" s="80">
        <v>36297</v>
      </c>
      <c r="AA18" s="27">
        <v>255</v>
      </c>
      <c r="AB18" s="80">
        <v>423308</v>
      </c>
      <c r="AC18" s="27">
        <v>735</v>
      </c>
      <c r="AD18" s="27" t="s">
        <v>4306</v>
      </c>
      <c r="AE18" s="27">
        <v>122441438</v>
      </c>
      <c r="AF18" s="27" t="s">
        <v>2765</v>
      </c>
      <c r="AG18" s="27" t="s">
        <v>2766</v>
      </c>
      <c r="AH18" s="79">
        <v>16.189562890276498</v>
      </c>
      <c r="AI18" s="83">
        <v>35.644444444444403</v>
      </c>
      <c r="AJ18" s="80">
        <v>18.011866235167201</v>
      </c>
      <c r="AK18" s="80">
        <v>13.0442286947141</v>
      </c>
      <c r="AL18" s="27">
        <v>56</v>
      </c>
      <c r="AM18" s="97">
        <f t="shared" si="0"/>
        <v>1.7500000000000002E-2</v>
      </c>
      <c r="AN18" s="27" t="s">
        <v>703</v>
      </c>
      <c r="AO18" s="27">
        <v>31</v>
      </c>
      <c r="AP18" s="27">
        <v>26</v>
      </c>
      <c r="AQ18" s="27">
        <v>8</v>
      </c>
      <c r="AR18" s="27">
        <f>SUM(AO18:AQ18)</f>
        <v>65</v>
      </c>
      <c r="AS18" s="27" t="s">
        <v>6659</v>
      </c>
      <c r="AT18" s="27" t="s">
        <v>6828</v>
      </c>
      <c r="AU18" s="84" t="s">
        <v>6528</v>
      </c>
      <c r="AV18" s="69"/>
      <c r="AW18" s="69"/>
      <c r="AX18" s="69"/>
      <c r="AY18" s="69"/>
      <c r="AZ18" s="69"/>
      <c r="BA18" s="69"/>
      <c r="BB18" s="69"/>
      <c r="BC18" s="69"/>
      <c r="BD18" s="69"/>
      <c r="BE18" s="69"/>
      <c r="BF18" s="69"/>
      <c r="BG18" s="69"/>
      <c r="BH18" s="69"/>
      <c r="BI18" s="69"/>
      <c r="BJ18" s="69"/>
      <c r="BK18" s="69"/>
      <c r="BL18" s="69"/>
      <c r="BM18" s="69"/>
      <c r="BN18" s="69"/>
      <c r="BO18" s="69"/>
      <c r="BP18" s="69"/>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GL18" s="77"/>
      <c r="GM18" s="77"/>
      <c r="GN18" s="77"/>
      <c r="GO18" s="77"/>
      <c r="GP18" s="77"/>
      <c r="GQ18" s="77"/>
      <c r="GR18" s="77"/>
      <c r="GS18" s="77"/>
      <c r="GT18" s="77"/>
      <c r="GU18" s="77"/>
      <c r="GV18" s="77"/>
      <c r="GW18" s="77"/>
      <c r="GX18" s="77"/>
      <c r="GY18" s="77"/>
      <c r="GZ18" s="77"/>
      <c r="HA18" s="77"/>
      <c r="HB18" s="77"/>
      <c r="HC18" s="77"/>
      <c r="HD18" s="77"/>
      <c r="HE18" s="77"/>
      <c r="HF18" s="77"/>
      <c r="HG18" s="77"/>
      <c r="HH18" s="77"/>
      <c r="HI18" s="77"/>
      <c r="HJ18" s="77"/>
      <c r="HK18" s="77"/>
      <c r="ID18" s="77"/>
      <c r="IE18" s="77"/>
      <c r="KM18" s="77"/>
      <c r="KN18" s="77"/>
      <c r="KO18" s="77"/>
      <c r="KP18" s="77"/>
      <c r="KQ18" s="77"/>
      <c r="KR18" s="77"/>
      <c r="KS18" s="77"/>
      <c r="KT18" s="77"/>
      <c r="KU18" s="77"/>
      <c r="KV18" s="77"/>
      <c r="KW18" s="77"/>
      <c r="KX18" s="77"/>
      <c r="KY18" s="77"/>
      <c r="KZ18" s="77"/>
      <c r="LA18" s="77"/>
      <c r="LB18" s="77"/>
      <c r="LC18" s="77"/>
      <c r="LD18" s="77"/>
      <c r="LE18" s="77"/>
      <c r="LF18" s="77"/>
      <c r="LG18" s="77"/>
      <c r="LH18" s="77"/>
      <c r="LI18" s="77"/>
      <c r="LJ18" s="77"/>
      <c r="LK18" s="77"/>
      <c r="LW18" s="77"/>
      <c r="LX18" s="77"/>
      <c r="ND18" s="77"/>
    </row>
    <row r="19" spans="1:368" s="37" customFormat="1" ht="18.600000000000001" customHeight="1" x14ac:dyDescent="0.25">
      <c r="A19" s="119" t="s">
        <v>690</v>
      </c>
      <c r="B19" s="27" t="s">
        <v>2731</v>
      </c>
      <c r="C19" s="27" t="s">
        <v>3558</v>
      </c>
      <c r="D19" s="30" t="str">
        <f>HYPERLINK("https://twitter.com/CancilleriaEc","https://twitter.com/CancilleriaEc")</f>
        <v>https://twitter.com/CancilleriaEc</v>
      </c>
      <c r="E19" s="30" t="str">
        <f>HYPERLINK("http://twiplomacy.com/info/south-america/Ecuador","http://twiplomacy.com/info/south-america/Ecuador")</f>
        <v>http://twiplomacy.com/info/south-america/Ecuador</v>
      </c>
      <c r="F19" s="10" t="s">
        <v>668</v>
      </c>
      <c r="G19" s="10" t="s">
        <v>687</v>
      </c>
      <c r="H19" s="10" t="s">
        <v>795</v>
      </c>
      <c r="I19" s="10" t="s">
        <v>782</v>
      </c>
      <c r="J19" s="27" t="s">
        <v>2226</v>
      </c>
      <c r="K19" s="15" t="s">
        <v>777</v>
      </c>
      <c r="L19" s="10" t="s">
        <v>771</v>
      </c>
      <c r="M19" s="10" t="s">
        <v>771</v>
      </c>
      <c r="N19" s="30" t="str">
        <f>HYPERLINK("https://twitter.com/CancilleriaEc/statuses/1723047186792450","https://twitter.com/CancilleriaEc/statuses/1723047186792450")</f>
        <v>https://twitter.com/CancilleriaEc/statuses/1723047186792450</v>
      </c>
      <c r="O19" s="27" t="s">
        <v>5730</v>
      </c>
      <c r="P19" s="80">
        <v>2787</v>
      </c>
      <c r="Q19" s="80">
        <v>2197</v>
      </c>
      <c r="R19" s="27" t="s">
        <v>2994</v>
      </c>
      <c r="S19" s="30" t="str">
        <f>HYPERLINK("https://twitter.com/CancilleriaEc/lists","https://twitter.com/CancilleriaEc/lists")</f>
        <v>https://twitter.com/CancilleriaEc/lists</v>
      </c>
      <c r="T19" s="10">
        <v>19</v>
      </c>
      <c r="U19" s="10">
        <v>21</v>
      </c>
      <c r="V19" s="30" t="str">
        <f>HYPERLINK("https://twitter.com/CancilleriaEc/embajadas-de-ecuador/members","https://twitter.com/CancilleriaEc/embajadas-de-ecuador/members")</f>
        <v>https://twitter.com/CancilleriaEc/embajadas-de-ecuador/members</v>
      </c>
      <c r="W19" s="10">
        <v>51</v>
      </c>
      <c r="X19" s="27" t="s">
        <v>690</v>
      </c>
      <c r="Y19" s="27" t="s">
        <v>2731</v>
      </c>
      <c r="Z19" s="80">
        <v>34964</v>
      </c>
      <c r="AA19" s="27">
        <v>5179</v>
      </c>
      <c r="AB19" s="80">
        <v>144568</v>
      </c>
      <c r="AC19" s="27">
        <v>872</v>
      </c>
      <c r="AD19" s="27" t="s">
        <v>3559</v>
      </c>
      <c r="AE19" s="27">
        <v>210148155</v>
      </c>
      <c r="AF19" s="27" t="s">
        <v>3558</v>
      </c>
      <c r="AG19" s="27" t="s">
        <v>687</v>
      </c>
      <c r="AH19" s="79">
        <v>17.390353058180001</v>
      </c>
      <c r="AI19" s="83">
        <v>34.0421052631579</v>
      </c>
      <c r="AJ19" s="80">
        <v>20.913108242303899</v>
      </c>
      <c r="AK19" s="80">
        <v>11.598311817279001</v>
      </c>
      <c r="AL19" s="27">
        <v>125</v>
      </c>
      <c r="AM19" s="97">
        <f t="shared" si="0"/>
        <v>3.90625E-2</v>
      </c>
      <c r="AN19" s="27" t="s">
        <v>690</v>
      </c>
      <c r="AO19" s="27">
        <v>73</v>
      </c>
      <c r="AP19" s="27">
        <v>16</v>
      </c>
      <c r="AQ19" s="27">
        <v>47</v>
      </c>
      <c r="AR19" s="27">
        <f>SUM(AO19:AQ19)</f>
        <v>136</v>
      </c>
      <c r="AS19" s="27" t="s">
        <v>6550</v>
      </c>
      <c r="AT19" s="27" t="s">
        <v>6279</v>
      </c>
      <c r="AU19" s="84" t="s">
        <v>6472</v>
      </c>
      <c r="AV19" s="77"/>
      <c r="AW19" s="77"/>
      <c r="AX19" s="77"/>
      <c r="AY19" s="77"/>
      <c r="AZ19" s="77"/>
      <c r="BA19" s="77"/>
      <c r="BB19" s="77"/>
      <c r="BC19" s="77"/>
      <c r="BD19" s="77"/>
      <c r="BE19" s="77"/>
      <c r="BF19" s="77"/>
      <c r="BG19" s="77"/>
      <c r="BH19" s="77"/>
      <c r="BI19" s="77"/>
      <c r="BJ19" s="77"/>
      <c r="BK19" s="77"/>
      <c r="BL19" s="77"/>
      <c r="BM19" s="71"/>
      <c r="BN19" s="69"/>
      <c r="BO19" s="69"/>
      <c r="BP19" s="69"/>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c r="IW19" s="77"/>
      <c r="IX19" s="77"/>
      <c r="IY19" s="77"/>
      <c r="IZ19" s="77"/>
      <c r="JA19" s="77"/>
      <c r="JB19" s="77"/>
      <c r="JC19" s="77"/>
      <c r="JD19" s="77"/>
      <c r="JE19" s="77"/>
      <c r="JF19" s="77"/>
      <c r="JG19" s="77"/>
      <c r="JH19" s="77"/>
      <c r="JI19" s="77"/>
      <c r="JJ19" s="77"/>
      <c r="JK19" s="77"/>
      <c r="JL19" s="77"/>
      <c r="JM19" s="77"/>
      <c r="JN19" s="77"/>
      <c r="JO19" s="77"/>
      <c r="JP19" s="77"/>
      <c r="JQ19" s="77"/>
      <c r="JR19" s="77"/>
      <c r="JS19" s="77"/>
      <c r="JT19" s="77"/>
      <c r="JU19" s="77"/>
      <c r="JV19" s="77"/>
      <c r="JW19" s="77"/>
      <c r="JX19" s="77"/>
      <c r="KM19" s="77"/>
      <c r="KN19" s="77"/>
      <c r="KO19" s="77"/>
      <c r="KP19" s="77"/>
      <c r="KQ19" s="77"/>
      <c r="KR19" s="77"/>
      <c r="KS19" s="77"/>
      <c r="KT19" s="77"/>
      <c r="KU19" s="77"/>
      <c r="KV19" s="77"/>
      <c r="KW19" s="77"/>
      <c r="KX19" s="77"/>
      <c r="KY19" s="77"/>
      <c r="KZ19" s="77"/>
      <c r="LA19" s="77"/>
      <c r="LB19" s="77"/>
      <c r="LC19" s="77"/>
      <c r="LD19" s="77"/>
      <c r="LE19" s="77"/>
      <c r="LF19" s="77"/>
      <c r="LG19" s="77"/>
      <c r="LH19" s="77"/>
      <c r="LI19" s="77"/>
      <c r="LJ19" s="77"/>
      <c r="LK19" s="77"/>
      <c r="LL19" s="77"/>
      <c r="LM19" s="77"/>
      <c r="LN19" s="77"/>
      <c r="LO19" s="77"/>
      <c r="LP19" s="77"/>
      <c r="LQ19" s="77"/>
      <c r="LR19" s="77"/>
      <c r="LS19" s="77"/>
      <c r="LT19" s="77"/>
      <c r="LU19" s="77"/>
      <c r="LV19" s="77"/>
      <c r="LW19" s="77"/>
      <c r="LX19" s="77"/>
      <c r="LY19" s="77"/>
      <c r="LZ19" s="77"/>
      <c r="MA19" s="77"/>
      <c r="MB19" s="77"/>
      <c r="MC19" s="77"/>
      <c r="MD19" s="77"/>
      <c r="ME19" s="77"/>
      <c r="MF19" s="77"/>
      <c r="MG19" s="77"/>
      <c r="MH19" s="77"/>
      <c r="MI19" s="77"/>
      <c r="MJ19" s="77"/>
      <c r="MK19" s="77"/>
      <c r="ML19" s="77"/>
      <c r="MM19" s="77"/>
      <c r="MN19" s="77"/>
      <c r="MO19" s="77"/>
      <c r="MP19" s="77"/>
      <c r="MQ19" s="77"/>
      <c r="MR19" s="77"/>
    </row>
    <row r="20" spans="1:368" ht="18.600000000000001" customHeight="1" x14ac:dyDescent="0.25">
      <c r="A20" s="119" t="s">
        <v>689</v>
      </c>
      <c r="B20" s="27" t="s">
        <v>2728</v>
      </c>
      <c r="C20" s="27" t="s">
        <v>2729</v>
      </c>
      <c r="D20" s="30" t="str">
        <f>HYPERLINK("https://twitter.com/Presidencia_Ec","https://twitter.com/Presidencia_Ec")</f>
        <v>https://twitter.com/Presidencia_Ec</v>
      </c>
      <c r="E20" s="30" t="str">
        <f>HYPERLINK("http://twiplomacy.com/info/south-america/Ecuador","http://twiplomacy.com/info/south-america/Ecuador")</f>
        <v>http://twiplomacy.com/info/south-america/Ecuador</v>
      </c>
      <c r="F20" s="10" t="s">
        <v>668</v>
      </c>
      <c r="G20" s="10" t="s">
        <v>687</v>
      </c>
      <c r="H20" s="10" t="s">
        <v>781</v>
      </c>
      <c r="I20" s="10" t="s">
        <v>782</v>
      </c>
      <c r="J20" s="27" t="s">
        <v>2226</v>
      </c>
      <c r="K20" s="15" t="s">
        <v>777</v>
      </c>
      <c r="L20" s="10" t="s">
        <v>771</v>
      </c>
      <c r="M20" s="10" t="s">
        <v>771</v>
      </c>
      <c r="N20" s="30" t="str">
        <f>HYPERLINK("https://twitter.com/Presidencia_Ec/statuses/7449530557","https://twitter.com/Presidencia_Ec/statuses/7449530557")</f>
        <v>https://twitter.com/Presidencia_Ec/statuses/7449530557</v>
      </c>
      <c r="O20" s="27" t="s">
        <v>6038</v>
      </c>
      <c r="P20" s="80">
        <v>1179</v>
      </c>
      <c r="Q20" s="80">
        <v>827</v>
      </c>
      <c r="R20" s="27" t="s">
        <v>2994</v>
      </c>
      <c r="S20" s="10" t="s">
        <v>2730</v>
      </c>
      <c r="T20" s="10" t="s">
        <v>771</v>
      </c>
      <c r="U20" s="10" t="s">
        <v>771</v>
      </c>
      <c r="V20" s="10" t="s">
        <v>771</v>
      </c>
      <c r="W20" s="10"/>
      <c r="X20" s="27" t="s">
        <v>689</v>
      </c>
      <c r="Y20" s="27" t="s">
        <v>2728</v>
      </c>
      <c r="Z20" s="80">
        <v>34739</v>
      </c>
      <c r="AA20" s="27">
        <v>41491</v>
      </c>
      <c r="AB20" s="80">
        <v>1272860</v>
      </c>
      <c r="AC20" s="27">
        <v>0</v>
      </c>
      <c r="AD20" s="27" t="s">
        <v>4331</v>
      </c>
      <c r="AE20" s="27">
        <v>101895924</v>
      </c>
      <c r="AF20" s="27" t="s">
        <v>2729</v>
      </c>
      <c r="AG20" s="27" t="s">
        <v>2725</v>
      </c>
      <c r="AH20" s="79">
        <v>15.0454742312689</v>
      </c>
      <c r="AI20" s="83">
        <v>26.735537190082599</v>
      </c>
      <c r="AJ20" s="80">
        <v>148.42315175097301</v>
      </c>
      <c r="AK20" s="80">
        <v>88.058365758754903</v>
      </c>
      <c r="AL20" s="13">
        <v>0</v>
      </c>
      <c r="AM20" s="97">
        <f t="shared" si="0"/>
        <v>0</v>
      </c>
      <c r="AN20" s="27" t="s">
        <v>689</v>
      </c>
      <c r="AO20" s="27">
        <v>3</v>
      </c>
      <c r="AP20" s="27">
        <v>41</v>
      </c>
      <c r="AQ20" s="27">
        <v>9</v>
      </c>
      <c r="AR20" s="27">
        <f>SUM(AO20:AQ20)</f>
        <v>53</v>
      </c>
      <c r="AS20" s="27" t="s">
        <v>6246</v>
      </c>
      <c r="AT20" s="27" t="s">
        <v>6834</v>
      </c>
      <c r="AU20" s="84" t="s">
        <v>6531</v>
      </c>
      <c r="AV20" s="69"/>
      <c r="AW20" s="69"/>
      <c r="AX20" s="69"/>
      <c r="AY20" s="69"/>
      <c r="AZ20" s="69"/>
      <c r="BA20" s="69"/>
      <c r="BB20" s="69"/>
      <c r="BC20" s="69"/>
      <c r="BD20" s="69"/>
      <c r="BE20" s="69"/>
      <c r="BF20" s="69"/>
      <c r="BG20" s="69"/>
      <c r="BH20" s="69"/>
      <c r="BI20" s="69"/>
      <c r="BJ20" s="69"/>
      <c r="BK20" s="69"/>
      <c r="BL20" s="69"/>
      <c r="BM20" s="77"/>
      <c r="BN20" s="69"/>
      <c r="BO20" s="69"/>
      <c r="BP20" s="69"/>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16"/>
      <c r="EN20" s="16"/>
      <c r="EO20" s="16"/>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JY20" s="77"/>
      <c r="JZ20" s="77"/>
      <c r="KA20" s="77"/>
      <c r="KB20" s="77"/>
      <c r="KC20" s="77"/>
      <c r="KD20" s="77"/>
      <c r="KE20" s="77"/>
      <c r="KF20" s="77"/>
      <c r="KG20" s="77"/>
      <c r="KH20" s="77"/>
      <c r="KI20" s="77"/>
      <c r="KJ20" s="77"/>
      <c r="KK20" s="77"/>
      <c r="KL20" s="77"/>
      <c r="LL20" s="77"/>
      <c r="LM20" s="77"/>
      <c r="LN20" s="77"/>
      <c r="LO20" s="77"/>
      <c r="LP20" s="77"/>
      <c r="LQ20" s="77"/>
      <c r="LR20" s="77"/>
      <c r="LS20" s="77"/>
      <c r="LT20" s="77"/>
      <c r="LU20" s="77"/>
      <c r="LV20" s="77"/>
      <c r="LW20" s="77"/>
      <c r="LX20" s="77"/>
    </row>
    <row r="21" spans="1:368" ht="18.600000000000001" customHeight="1" x14ac:dyDescent="0.25">
      <c r="A21" s="119" t="s">
        <v>576</v>
      </c>
      <c r="B21" s="27" t="s">
        <v>2442</v>
      </c>
      <c r="C21" s="27" t="s">
        <v>4334</v>
      </c>
      <c r="D21" s="30" t="str">
        <f>HYPERLINK("https://twitter.com/presidenciacr","https://twitter.com/presidenciacr")</f>
        <v>https://twitter.com/presidenciacr</v>
      </c>
      <c r="E21" s="30" t="str">
        <f>HYPERLINK("http://twiplomacy.com/info/north-america/Costa-Rica","http://twiplomacy.com/info/north-america/Costa-Rica")</f>
        <v>http://twiplomacy.com/info/north-america/Costa-Rica</v>
      </c>
      <c r="F21" s="10" t="s">
        <v>558</v>
      </c>
      <c r="G21" s="10" t="s">
        <v>574</v>
      </c>
      <c r="H21" s="10" t="s">
        <v>781</v>
      </c>
      <c r="I21" s="10" t="s">
        <v>782</v>
      </c>
      <c r="J21" s="27" t="s">
        <v>2226</v>
      </c>
      <c r="K21" s="15" t="s">
        <v>777</v>
      </c>
      <c r="L21" s="10" t="s">
        <v>771</v>
      </c>
      <c r="M21" s="10" t="s">
        <v>770</v>
      </c>
      <c r="N21" s="30" t="str">
        <f>HYPERLINK("https://twitter.com/presidenciacr/statuses/14385512463","https://twitter.com/presidenciacr/statuses/14385512463")</f>
        <v>https://twitter.com/presidenciacr/statuses/14385512463</v>
      </c>
      <c r="O21" s="20" t="s">
        <v>2443</v>
      </c>
      <c r="P21" s="46">
        <v>153</v>
      </c>
      <c r="Q21" s="46">
        <v>146</v>
      </c>
      <c r="R21" s="27" t="s">
        <v>2994</v>
      </c>
      <c r="S21" s="30" t="str">
        <f>HYPERLINK("https://twitter.com/presidenciacr/lists","https://twitter.com/presidenciacr/lists")</f>
        <v>https://twitter.com/presidenciacr/lists</v>
      </c>
      <c r="T21" s="10" t="s">
        <v>771</v>
      </c>
      <c r="U21" s="10">
        <v>5</v>
      </c>
      <c r="V21" s="10" t="s">
        <v>771</v>
      </c>
      <c r="W21" s="10"/>
      <c r="X21" s="27" t="s">
        <v>576</v>
      </c>
      <c r="Y21" s="27" t="s">
        <v>2442</v>
      </c>
      <c r="Z21" s="80">
        <v>32870</v>
      </c>
      <c r="AA21" s="27">
        <v>574</v>
      </c>
      <c r="AB21" s="80">
        <v>175659</v>
      </c>
      <c r="AC21" s="27">
        <v>221</v>
      </c>
      <c r="AD21" s="27" t="s">
        <v>4335</v>
      </c>
      <c r="AE21" s="27">
        <v>144875363</v>
      </c>
      <c r="AF21" s="27" t="s">
        <v>4334</v>
      </c>
      <c r="AG21" s="27" t="s">
        <v>4336</v>
      </c>
      <c r="AH21" s="79">
        <v>15.098759761139201</v>
      </c>
      <c r="AI21" s="83">
        <v>8.6461126005361901</v>
      </c>
      <c r="AJ21" s="80">
        <v>2.6183401639344299</v>
      </c>
      <c r="AK21" s="80">
        <v>2.76127049180328</v>
      </c>
      <c r="AL21" s="27">
        <v>53</v>
      </c>
      <c r="AM21" s="97">
        <f t="shared" si="0"/>
        <v>1.6562500000000001E-2</v>
      </c>
      <c r="AN21" s="27" t="s">
        <v>576</v>
      </c>
      <c r="AO21" s="27">
        <v>27</v>
      </c>
      <c r="AP21" s="27">
        <v>24</v>
      </c>
      <c r="AQ21" s="27">
        <v>15</v>
      </c>
      <c r="AR21" s="27">
        <f>SUM(AO21:AQ21)</f>
        <v>66</v>
      </c>
      <c r="AS21" s="27" t="s">
        <v>6662</v>
      </c>
      <c r="AT21" s="27" t="s">
        <v>6836</v>
      </c>
      <c r="AU21" s="84" t="s">
        <v>4912</v>
      </c>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ID21" s="77"/>
      <c r="IE21" s="77"/>
      <c r="IF21" s="77"/>
      <c r="IG21" s="77"/>
      <c r="IH21" s="77"/>
      <c r="II21" s="77"/>
      <c r="IJ21" s="77"/>
      <c r="IK21" s="77"/>
      <c r="IL21" s="77"/>
      <c r="IM21" s="77"/>
      <c r="IN21" s="77"/>
      <c r="IO21" s="77"/>
      <c r="IP21" s="77"/>
      <c r="IQ21" s="77"/>
      <c r="IR21" s="77"/>
      <c r="IS21" s="77"/>
      <c r="IT21" s="77"/>
      <c r="IU21" s="77"/>
      <c r="IV21" s="77"/>
      <c r="IW21" s="77"/>
      <c r="IX21" s="77"/>
      <c r="IY21" s="77"/>
      <c r="IZ21" s="77"/>
      <c r="JA21" s="77"/>
      <c r="JB21" s="77"/>
      <c r="JC21" s="77"/>
      <c r="JD21" s="77"/>
      <c r="JE21" s="77"/>
      <c r="JF21" s="77"/>
      <c r="JG21" s="77"/>
      <c r="JH21" s="77"/>
      <c r="JI21" s="77"/>
      <c r="JJ21" s="77"/>
      <c r="JK21" s="77"/>
      <c r="JL21" s="77"/>
      <c r="JM21" s="77"/>
      <c r="JN21" s="77"/>
      <c r="JO21" s="77"/>
      <c r="JP21" s="77"/>
      <c r="JQ21" s="77"/>
      <c r="JR21" s="77"/>
      <c r="JS21" s="77"/>
      <c r="JT21" s="77"/>
      <c r="JU21" s="77"/>
      <c r="JV21" s="77"/>
      <c r="JW21" s="77"/>
      <c r="JX21" s="77"/>
      <c r="JY21" s="77"/>
      <c r="JZ21" s="77"/>
      <c r="KA21" s="77"/>
      <c r="KB21" s="77"/>
      <c r="KC21" s="77"/>
      <c r="KD21" s="77"/>
      <c r="KE21" s="77"/>
      <c r="KF21" s="77"/>
      <c r="KG21" s="77"/>
      <c r="KH21" s="77"/>
      <c r="KI21" s="77"/>
      <c r="KJ21" s="77"/>
      <c r="KK21" s="77"/>
      <c r="KL21" s="77"/>
      <c r="KM21" s="77"/>
      <c r="KN21" s="77"/>
      <c r="KO21" s="77"/>
      <c r="KP21" s="77"/>
      <c r="KQ21" s="77"/>
      <c r="KR21" s="77"/>
      <c r="KS21" s="77"/>
      <c r="KT21" s="77"/>
      <c r="KU21" s="77"/>
      <c r="KV21" s="77"/>
      <c r="KW21" s="77"/>
      <c r="KX21" s="77"/>
      <c r="KY21" s="77"/>
      <c r="KZ21" s="77"/>
      <c r="LA21" s="77"/>
      <c r="LB21" s="77"/>
      <c r="LC21" s="77"/>
      <c r="LD21" s="77"/>
      <c r="LE21" s="77"/>
      <c r="LF21" s="77"/>
      <c r="LG21" s="77"/>
      <c r="LH21" s="77"/>
      <c r="LI21" s="77"/>
      <c r="LJ21" s="77"/>
      <c r="LK21" s="77"/>
      <c r="LW21" s="77"/>
      <c r="LX21" s="77"/>
      <c r="MT21" s="77"/>
      <c r="MU21" s="77"/>
      <c r="MV21" s="77"/>
      <c r="MW21" s="77"/>
      <c r="MX21" s="77"/>
      <c r="MY21" s="77"/>
      <c r="MZ21" s="77"/>
      <c r="NA21" s="77"/>
      <c r="NB21" s="77"/>
      <c r="NC21" s="77"/>
    </row>
    <row r="22" spans="1:368" ht="18.600000000000001" customHeight="1" x14ac:dyDescent="0.25">
      <c r="A22" s="119" t="s">
        <v>548</v>
      </c>
      <c r="B22" s="27" t="s">
        <v>2331</v>
      </c>
      <c r="C22" s="27" t="s">
        <v>2332</v>
      </c>
      <c r="D22" s="30" t="str">
        <f>HYPERLINK("https://twitter.com/MFA_Ukraine","https://twitter.com/MFA_Ukraine")</f>
        <v>https://twitter.com/MFA_Ukraine</v>
      </c>
      <c r="E22" s="30" t="str">
        <f>HYPERLINK("http://twiplomacy.com/info/europe/Ukraine","http://twiplomacy.com/info/europe/Ukraine")</f>
        <v>http://twiplomacy.com/info/europe/Ukraine</v>
      </c>
      <c r="F22" s="10" t="s">
        <v>332</v>
      </c>
      <c r="G22" s="10" t="s">
        <v>543</v>
      </c>
      <c r="H22" s="10" t="s">
        <v>795</v>
      </c>
      <c r="I22" s="10" t="s">
        <v>782</v>
      </c>
      <c r="J22" s="27" t="s">
        <v>2312</v>
      </c>
      <c r="K22" s="15" t="s">
        <v>777</v>
      </c>
      <c r="L22" s="10" t="s">
        <v>771</v>
      </c>
      <c r="M22" s="10" t="s">
        <v>770</v>
      </c>
      <c r="N22" s="30" t="str">
        <f>HYPERLINK("https://twitter.com/MFA_Ukraine/statuses/18298910359429120","https://twitter.com/MFA_Ukraine/statuses/18298910359429120")</f>
        <v>https://twitter.com/MFA_Ukraine/statuses/18298910359429120</v>
      </c>
      <c r="O22" s="30" t="str">
        <f>HYPERLINK("https://twitter.com/MFA_Ukraine/statuses/504734047030239232","https://twitter.com/MFA_Ukraine/statuses/504734047030239232")</f>
        <v>https://twitter.com/MFA_Ukraine/statuses/504734047030239232</v>
      </c>
      <c r="P22" s="46">
        <v>4046</v>
      </c>
      <c r="Q22" s="46">
        <v>419</v>
      </c>
      <c r="R22" s="27" t="s">
        <v>2994</v>
      </c>
      <c r="S22" s="30" t="str">
        <f>HYPERLINK("https://twitter.com/MFA_Ukraine/lists","https://twitter.com/MFA_Ukraine/lists")</f>
        <v>https://twitter.com/MFA_Ukraine/lists</v>
      </c>
      <c r="T22" s="10">
        <v>9</v>
      </c>
      <c r="U22" s="10">
        <v>3</v>
      </c>
      <c r="V22" s="12" t="s">
        <v>2333</v>
      </c>
      <c r="W22" s="20">
        <v>102</v>
      </c>
      <c r="X22" s="27" t="s">
        <v>548</v>
      </c>
      <c r="Y22" s="27" t="s">
        <v>2331</v>
      </c>
      <c r="Z22" s="80">
        <v>31971</v>
      </c>
      <c r="AA22" s="27">
        <v>999</v>
      </c>
      <c r="AB22" s="80">
        <v>62935</v>
      </c>
      <c r="AC22" s="27">
        <v>1811</v>
      </c>
      <c r="AD22" s="27" t="s">
        <v>4067</v>
      </c>
      <c r="AE22" s="27">
        <v>143427448</v>
      </c>
      <c r="AF22" s="27" t="s">
        <v>2332</v>
      </c>
      <c r="AG22" s="27" t="s">
        <v>2334</v>
      </c>
      <c r="AH22" s="79">
        <v>14.658872077028899</v>
      </c>
      <c r="AI22" s="83">
        <v>39.219512195122</v>
      </c>
      <c r="AJ22" s="80">
        <v>27.6099585062241</v>
      </c>
      <c r="AK22" s="80">
        <v>8.1514522821576794</v>
      </c>
      <c r="AL22" s="27">
        <v>36</v>
      </c>
      <c r="AM22" s="97">
        <f t="shared" si="0"/>
        <v>1.125E-2</v>
      </c>
      <c r="AN22" s="27" t="s">
        <v>548</v>
      </c>
      <c r="AO22" s="27">
        <v>106</v>
      </c>
      <c r="AP22" s="27">
        <v>24</v>
      </c>
      <c r="AQ22" s="27">
        <v>68</v>
      </c>
      <c r="AR22" s="27">
        <f>SUM(AO22:AQ22)</f>
        <v>198</v>
      </c>
      <c r="AS22" s="27" t="s">
        <v>6591</v>
      </c>
      <c r="AT22" s="27" t="s">
        <v>6317</v>
      </c>
      <c r="AU22" s="84" t="s">
        <v>4842</v>
      </c>
      <c r="AV22" s="77"/>
      <c r="AW22" s="77"/>
      <c r="AX22" s="77"/>
      <c r="AY22" s="77"/>
      <c r="AZ22" s="77"/>
      <c r="BA22" s="77"/>
      <c r="BB22" s="77"/>
      <c r="BC22" s="77"/>
      <c r="BD22" s="77"/>
      <c r="BE22" s="77"/>
      <c r="BF22" s="77"/>
      <c r="BG22" s="77"/>
      <c r="BH22" s="77"/>
      <c r="BI22" s="77"/>
      <c r="BJ22" s="77"/>
      <c r="BK22" s="77"/>
      <c r="BL22" s="77"/>
      <c r="BM22" s="77"/>
      <c r="BN22" s="16"/>
      <c r="BO22" s="16"/>
      <c r="BP22" s="16"/>
      <c r="BQ22" s="77"/>
      <c r="BR22" s="77"/>
      <c r="BS22" s="77"/>
      <c r="BT22" s="77"/>
      <c r="BU22" s="77"/>
      <c r="BV22" s="77"/>
      <c r="BW22" s="77"/>
      <c r="BX22" s="77"/>
      <c r="BY22" s="77"/>
      <c r="BZ22" s="77"/>
      <c r="CA22" s="77"/>
      <c r="CB22" s="77"/>
      <c r="CC22" s="77"/>
      <c r="CD22" s="77"/>
      <c r="CE22" s="77"/>
      <c r="CF22" s="77"/>
      <c r="CG22" s="77"/>
      <c r="CH22" s="77"/>
      <c r="CI22" s="77"/>
      <c r="CJ22" s="77"/>
      <c r="CK22" s="16"/>
      <c r="CL22" s="16"/>
      <c r="CM22" s="16"/>
      <c r="CN22" s="16"/>
      <c r="CO22" s="16"/>
      <c r="CP22" s="16"/>
      <c r="CQ22" s="16"/>
      <c r="CR22" s="16"/>
      <c r="CS22" s="16"/>
      <c r="CT22" s="16"/>
      <c r="CU22" s="16"/>
      <c r="CV22" s="16"/>
      <c r="CW22" s="16"/>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77"/>
      <c r="FA22" s="77"/>
      <c r="FB22" s="77"/>
      <c r="FC22" s="77"/>
      <c r="FD22" s="77"/>
      <c r="FE22" s="77"/>
      <c r="FF22" s="77"/>
      <c r="FG22" s="77"/>
      <c r="FH22" s="77"/>
      <c r="FI22" s="77"/>
      <c r="FJ22" s="77"/>
      <c r="FK22" s="77"/>
      <c r="FL22" s="77"/>
      <c r="FM22" s="77"/>
      <c r="FN22" s="77"/>
      <c r="FO22" s="77"/>
      <c r="FP22" s="77"/>
      <c r="FQ22" s="77"/>
      <c r="FR22" s="77"/>
      <c r="FS22" s="77"/>
      <c r="FT22" s="77"/>
      <c r="FU22" s="77"/>
      <c r="FV22" s="77"/>
      <c r="FW22" s="77"/>
      <c r="FX22" s="77"/>
      <c r="FY22" s="77"/>
      <c r="FZ22" s="77"/>
      <c r="GA22" s="77"/>
      <c r="GB22" s="77"/>
      <c r="GC22" s="77"/>
      <c r="GD22" s="77"/>
      <c r="GE22" s="77"/>
      <c r="GF22" s="77"/>
      <c r="GG22" s="77"/>
      <c r="GH22" s="77"/>
      <c r="GI22" s="77"/>
      <c r="GJ22" s="77"/>
      <c r="GK22" s="77"/>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77"/>
      <c r="HM22" s="77"/>
      <c r="HN22" s="77"/>
      <c r="HO22" s="77"/>
      <c r="HP22" s="77"/>
      <c r="HQ22" s="77"/>
      <c r="HR22" s="77"/>
      <c r="HS22" s="77"/>
      <c r="HT22" s="77"/>
      <c r="HU22" s="77"/>
      <c r="HV22" s="77"/>
      <c r="HW22" s="77"/>
      <c r="HX22" s="77"/>
      <c r="HY22" s="77"/>
      <c r="HZ22" s="77"/>
      <c r="IA22" s="77"/>
      <c r="IB22" s="77"/>
      <c r="IC22" s="77"/>
      <c r="ID22" s="77"/>
      <c r="IE22" s="77"/>
      <c r="IF22" s="77"/>
      <c r="IG22" s="77"/>
      <c r="IH22" s="77"/>
      <c r="II22" s="77"/>
      <c r="IJ22" s="77"/>
      <c r="IK22" s="77"/>
      <c r="IL22" s="77"/>
      <c r="IM22" s="77"/>
      <c r="IN22" s="77"/>
      <c r="IO22" s="77"/>
      <c r="IP22" s="77"/>
      <c r="IQ22" s="77"/>
      <c r="IR22" s="77"/>
      <c r="IS22" s="77"/>
      <c r="IT22" s="77"/>
      <c r="IU22" s="77"/>
      <c r="IV22" s="77"/>
      <c r="IW22" s="77"/>
      <c r="IX22" s="77"/>
      <c r="IY22" s="77"/>
      <c r="IZ22" s="77"/>
      <c r="JA22" s="77"/>
      <c r="JB22" s="77"/>
      <c r="JC22" s="77"/>
      <c r="JD22" s="77"/>
      <c r="JE22" s="77"/>
      <c r="JF22" s="77"/>
      <c r="JG22" s="77"/>
      <c r="JH22" s="77"/>
      <c r="JI22" s="77"/>
      <c r="JJ22" s="77"/>
      <c r="JK22" s="77"/>
      <c r="JL22" s="77"/>
      <c r="JM22" s="77"/>
      <c r="JN22" s="77"/>
      <c r="JO22" s="77"/>
      <c r="JP22" s="77"/>
      <c r="JQ22" s="77"/>
      <c r="JR22" s="77"/>
      <c r="JS22" s="77"/>
      <c r="JT22" s="77"/>
      <c r="JU22" s="77"/>
      <c r="JV22" s="77"/>
      <c r="JW22" s="77"/>
      <c r="JX22" s="77"/>
      <c r="JY22" s="77"/>
      <c r="JZ22" s="77"/>
      <c r="KA22" s="77"/>
      <c r="KB22" s="77"/>
      <c r="KC22" s="77"/>
      <c r="KD22" s="77"/>
      <c r="KE22" s="77"/>
      <c r="KF22" s="77"/>
      <c r="KG22" s="77"/>
      <c r="KH22" s="77"/>
      <c r="KI22" s="77"/>
      <c r="KJ22" s="77"/>
      <c r="KK22" s="77"/>
      <c r="KL22" s="77"/>
      <c r="KM22" s="77"/>
      <c r="KN22" s="77"/>
      <c r="KO22" s="77"/>
      <c r="KP22" s="77"/>
      <c r="KQ22" s="77"/>
      <c r="KR22" s="77"/>
      <c r="KS22" s="77"/>
      <c r="KT22" s="77"/>
      <c r="KU22" s="77"/>
      <c r="KV22" s="77"/>
      <c r="KW22" s="77"/>
      <c r="KX22" s="77"/>
      <c r="KY22" s="77"/>
      <c r="KZ22" s="77"/>
      <c r="LA22" s="77"/>
      <c r="LB22" s="77"/>
      <c r="LC22" s="77"/>
      <c r="LD22" s="77"/>
      <c r="LE22" s="77"/>
      <c r="LF22" s="77"/>
      <c r="LG22" s="77"/>
      <c r="LH22" s="77"/>
      <c r="LI22" s="77"/>
      <c r="LJ22" s="77"/>
      <c r="LK22" s="77"/>
      <c r="LL22" s="16"/>
      <c r="LM22" s="16"/>
      <c r="LN22" s="16"/>
      <c r="LO22" s="16"/>
      <c r="LP22" s="16"/>
      <c r="LQ22" s="16"/>
      <c r="LR22" s="16"/>
      <c r="LS22" s="16"/>
      <c r="LT22" s="16"/>
      <c r="LU22" s="16"/>
      <c r="LV22" s="16"/>
      <c r="LY22" s="16"/>
      <c r="LZ22" s="16"/>
      <c r="MA22" s="16"/>
      <c r="MB22" s="16"/>
      <c r="MC22" s="16"/>
      <c r="MD22" s="16"/>
      <c r="ME22" s="16"/>
      <c r="MF22" s="16"/>
      <c r="MG22" s="16"/>
      <c r="MH22" s="16"/>
      <c r="MI22" s="16"/>
      <c r="MJ22" s="16"/>
      <c r="MK22" s="16"/>
      <c r="ML22" s="16"/>
      <c r="MM22" s="16"/>
      <c r="MN22" s="16"/>
      <c r="MO22" s="16"/>
      <c r="MP22" s="16"/>
      <c r="MQ22" s="16"/>
      <c r="MR22" s="16"/>
      <c r="MS22" s="77"/>
    </row>
    <row r="23" spans="1:368" ht="18.600000000000001" customHeight="1" x14ac:dyDescent="0.25">
      <c r="A23" s="119" t="s">
        <v>501</v>
      </c>
      <c r="B23" s="27" t="s">
        <v>2152</v>
      </c>
      <c r="C23" s="27" t="s">
        <v>6424</v>
      </c>
      <c r="D23" s="30" t="str">
        <f>HYPERLINK("https://twitter.com/MID_RF","https://twitter.com/MID_RF")</f>
        <v>https://twitter.com/MID_RF</v>
      </c>
      <c r="E23" s="30" t="str">
        <f>HYPERLINK("http://twiplomacy.com/info/europe/Russia","http://twiplomacy.com/info/europe/Russia")</f>
        <v>http://twiplomacy.com/info/europe/Russia</v>
      </c>
      <c r="F23" s="10" t="s">
        <v>332</v>
      </c>
      <c r="G23" s="10" t="s">
        <v>496</v>
      </c>
      <c r="H23" s="10" t="s">
        <v>795</v>
      </c>
      <c r="I23" s="10" t="s">
        <v>782</v>
      </c>
      <c r="J23" s="27" t="s">
        <v>1420</v>
      </c>
      <c r="K23" s="15" t="s">
        <v>777</v>
      </c>
      <c r="L23" s="10" t="s">
        <v>771</v>
      </c>
      <c r="M23" s="10" t="s">
        <v>770</v>
      </c>
      <c r="N23" s="30" t="str">
        <f>HYPERLINK("https://twitter.com/MID_RF/statuses/85937470172180481","https://twitter.com/MID_RF/statuses/85937470172180481")</f>
        <v>https://twitter.com/MID_RF/statuses/85937470172180481</v>
      </c>
      <c r="O23" s="30" t="str">
        <f>HYPERLINK("https://twitter.com/MID_RF/statuses/558329985631813633","https://twitter.com/MID_RF/statuses/558329985631813633")</f>
        <v>https://twitter.com/MID_RF/statuses/558329985631813633</v>
      </c>
      <c r="P23" s="46">
        <v>613</v>
      </c>
      <c r="Q23" s="46">
        <v>80</v>
      </c>
      <c r="R23" s="27" t="s">
        <v>2994</v>
      </c>
      <c r="S23" s="30" t="str">
        <f>HYPERLINK("https://twitter.com/MID_RF/lists","https://twitter.com/MID_RF/lists")</f>
        <v>https://twitter.com/MID_RF/lists</v>
      </c>
      <c r="T23" s="10">
        <v>22</v>
      </c>
      <c r="U23" s="10" t="s">
        <v>771</v>
      </c>
      <c r="V23" s="30" t="str">
        <f>HYPERLINK("https://twitter.com/MID_RF/lists/b-%D0%9F%D0%BE%D1%81%D0%BE%D0%BB%D1%8C%D1%81%D1%82%D0%B2%D0%B0-%D0%B8-%D0%BC%D0%B8%D1%81%D1%81%D0%B8%D0%B8/members","https://twitter.com/MID_RF/lists/b-%D0%9F%D0%BE%D1%81%D0%BE%D0%BB%D1%8C%D1%81%D1%82%D0%B2%D0%B0-%D0%B8-%D0%BC%D0%B8%D1%81%D1%81%D0%B8%D0%B8/members")</f>
        <v>https://twitter.com/MID_RF/lists/b-%D0%9F%D0%BE%D1%81%D0%BE%D0%BB%D1%8C%D1%81%D1%82%D0%B2%D0%B0-%D0%B8-%D0%BC%D0%B8%D1%81%D1%81%D0%B8%D0%B8/members</v>
      </c>
      <c r="W23" s="10">
        <v>125</v>
      </c>
      <c r="X23" s="27" t="s">
        <v>501</v>
      </c>
      <c r="Y23" s="27" t="s">
        <v>2152</v>
      </c>
      <c r="Z23" s="80">
        <v>31416</v>
      </c>
      <c r="AA23" s="27">
        <v>1076</v>
      </c>
      <c r="AB23" s="80">
        <v>1090042</v>
      </c>
      <c r="AC23" s="27">
        <v>1151</v>
      </c>
      <c r="AD23" s="27" t="s">
        <v>4108</v>
      </c>
      <c r="AE23" s="27">
        <v>255493944</v>
      </c>
      <c r="AF23" s="27" t="s">
        <v>6424</v>
      </c>
      <c r="AG23" s="27" t="s">
        <v>2151</v>
      </c>
      <c r="AH23" s="79">
        <v>16.5629942013706</v>
      </c>
      <c r="AI23" s="83">
        <v>29.4862385321101</v>
      </c>
      <c r="AJ23" s="80">
        <v>27.930395593390099</v>
      </c>
      <c r="AK23" s="80">
        <v>18.141712568853301</v>
      </c>
      <c r="AL23" s="27">
        <v>2</v>
      </c>
      <c r="AM23" s="97">
        <f t="shared" si="0"/>
        <v>6.2500000000000001E-4</v>
      </c>
      <c r="AN23" s="27" t="s">
        <v>501</v>
      </c>
      <c r="AO23" s="27">
        <v>180</v>
      </c>
      <c r="AP23" s="27">
        <v>4</v>
      </c>
      <c r="AQ23" s="27">
        <v>44</v>
      </c>
      <c r="AR23" s="27">
        <f>SUM(AO23:AQ23)</f>
        <v>228</v>
      </c>
      <c r="AS23" s="27" t="s">
        <v>6592</v>
      </c>
      <c r="AT23" s="27" t="s">
        <v>5321</v>
      </c>
      <c r="AU23" s="84" t="s">
        <v>5596</v>
      </c>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R23" s="77"/>
      <c r="ES23" s="77"/>
      <c r="ET23" s="77"/>
      <c r="EU23" s="77"/>
      <c r="EV23" s="77"/>
      <c r="EW23" s="77"/>
      <c r="EX23" s="77"/>
      <c r="EY23" s="77"/>
      <c r="EZ23" s="77"/>
      <c r="FA23" s="77"/>
      <c r="FB23" s="77"/>
      <c r="FC23" s="77"/>
      <c r="FD23" s="77"/>
      <c r="FE23" s="77"/>
      <c r="FF23" s="77"/>
      <c r="FG23" s="77"/>
      <c r="FH23" s="77"/>
      <c r="FI23" s="77"/>
      <c r="FJ23" s="77"/>
      <c r="FK23" s="77"/>
      <c r="FL23" s="77"/>
      <c r="FM23" s="77"/>
      <c r="FN23" s="77"/>
      <c r="FO23" s="77"/>
      <c r="FP23" s="77"/>
      <c r="FQ23" s="77"/>
      <c r="FR23" s="77"/>
      <c r="FS23" s="77"/>
      <c r="FT23" s="77"/>
      <c r="FU23" s="77"/>
      <c r="FV23" s="77"/>
      <c r="FW23" s="77"/>
      <c r="FX23" s="77"/>
      <c r="FY23" s="77"/>
      <c r="FZ23" s="77"/>
      <c r="GA23" s="77"/>
      <c r="GB23" s="77"/>
      <c r="GC23" s="77"/>
      <c r="GD23" s="77"/>
      <c r="GE23" s="77"/>
      <c r="GF23" s="77"/>
      <c r="GG23" s="77"/>
      <c r="GH23" s="77"/>
      <c r="GI23" s="77"/>
      <c r="GJ23" s="77"/>
      <c r="GK23" s="77"/>
      <c r="GL23" s="77"/>
      <c r="GM23" s="77"/>
      <c r="GN23" s="77"/>
      <c r="GO23" s="77"/>
      <c r="GP23" s="77"/>
      <c r="GQ23" s="77"/>
      <c r="GR23" s="77"/>
      <c r="GS23" s="77"/>
      <c r="GT23" s="77"/>
      <c r="GU23" s="77"/>
      <c r="GV23" s="77"/>
      <c r="GW23" s="77"/>
      <c r="GX23" s="77"/>
      <c r="GY23" s="77"/>
      <c r="GZ23" s="77"/>
      <c r="HA23" s="77"/>
      <c r="HB23" s="77"/>
      <c r="HC23" s="77"/>
      <c r="HD23" s="77"/>
      <c r="HE23" s="77"/>
      <c r="HF23" s="77"/>
      <c r="HG23" s="77"/>
      <c r="HH23" s="77"/>
      <c r="HI23" s="77"/>
      <c r="HJ23" s="77"/>
      <c r="HK23" s="77"/>
      <c r="ID23" s="77"/>
      <c r="IE23" s="77"/>
      <c r="JY23" s="77"/>
      <c r="JZ23" s="77"/>
      <c r="KA23" s="77"/>
      <c r="KB23" s="77"/>
      <c r="KC23" s="77"/>
      <c r="KD23" s="77"/>
      <c r="KE23" s="77"/>
      <c r="KF23" s="77"/>
      <c r="KG23" s="77"/>
      <c r="KH23" s="77"/>
      <c r="KI23" s="77"/>
      <c r="KJ23" s="77"/>
      <c r="KK23" s="77"/>
      <c r="KL23" s="77"/>
      <c r="KM23" s="77"/>
      <c r="KN23" s="77"/>
      <c r="KO23" s="77"/>
      <c r="KP23" s="77"/>
      <c r="KQ23" s="77"/>
      <c r="KR23" s="77"/>
      <c r="KS23" s="77"/>
      <c r="KT23" s="77"/>
      <c r="KU23" s="77"/>
      <c r="KV23" s="77"/>
      <c r="KW23" s="77"/>
      <c r="KX23" s="77"/>
      <c r="KY23" s="77"/>
      <c r="KZ23" s="77"/>
      <c r="LA23" s="77"/>
      <c r="LB23" s="77"/>
      <c r="LC23" s="77"/>
      <c r="LD23" s="77"/>
      <c r="LE23" s="77"/>
      <c r="LF23" s="77"/>
      <c r="LG23" s="77"/>
      <c r="LH23" s="77"/>
      <c r="LI23" s="77"/>
      <c r="LJ23" s="77"/>
      <c r="LK23" s="77"/>
      <c r="LL23" s="77"/>
      <c r="LM23" s="77"/>
      <c r="LN23" s="77"/>
      <c r="LO23" s="77"/>
      <c r="LP23" s="77"/>
      <c r="LQ23" s="77"/>
      <c r="LR23" s="77"/>
      <c r="LS23" s="77"/>
      <c r="LT23" s="77"/>
      <c r="LU23" s="77"/>
      <c r="LV23" s="77"/>
      <c r="ND23" s="77"/>
    </row>
    <row r="24" spans="1:368" ht="18.600000000000001" customHeight="1" x14ac:dyDescent="0.25">
      <c r="A24" s="119" t="s">
        <v>731</v>
      </c>
      <c r="B24" s="27" t="s">
        <v>2534</v>
      </c>
      <c r="C24" s="27" t="s">
        <v>2535</v>
      </c>
      <c r="D24" s="30" t="str">
        <f>HYPERLINK("https://twitter.com/fortalezapr","https://twitter.com/fortalezapr")</f>
        <v>https://twitter.com/fortalezapr</v>
      </c>
      <c r="E24" s="30" t="str">
        <f>HYPERLINK("http://twiplomacy.com/info/south-america/Puerto_Rico","http://twiplomacy.com/info/south-america/Puerto_Rico")</f>
        <v>http://twiplomacy.com/info/south-america/Puerto_Rico</v>
      </c>
      <c r="F24" s="10" t="s">
        <v>558</v>
      </c>
      <c r="G24" s="10" t="s">
        <v>729</v>
      </c>
      <c r="H24" s="10" t="s">
        <v>2536</v>
      </c>
      <c r="I24" s="10" t="s">
        <v>782</v>
      </c>
      <c r="J24" s="27" t="s">
        <v>789</v>
      </c>
      <c r="K24" s="10" t="s">
        <v>777</v>
      </c>
      <c r="L24" s="10" t="s">
        <v>771</v>
      </c>
      <c r="M24" s="10" t="s">
        <v>770</v>
      </c>
      <c r="N24" s="30" t="str">
        <f>HYPERLINK("https://twitter.com/fortalezapr/statuses/4530065915","https://twitter.com/fortalezapr/statuses/4530065915")</f>
        <v>https://twitter.com/fortalezapr/statuses/4530065915</v>
      </c>
      <c r="O24" s="30" t="str">
        <f>HYPERLINK("https://twitter.com/fortalezapr/statuses/375427954681331712","https://twitter.com/fortalezapr/statuses/375427954681331712")</f>
        <v>https://twitter.com/fortalezapr/statuses/375427954681331712</v>
      </c>
      <c r="P24" s="46">
        <v>441</v>
      </c>
      <c r="Q24" s="46"/>
      <c r="R24" s="27" t="s">
        <v>2995</v>
      </c>
      <c r="S24" s="30" t="str">
        <f>HYPERLINK("https://twitter.com/fortalezapr/lists","https://twitter.com/fortalezapr/lists")</f>
        <v>https://twitter.com/fortalezapr/lists</v>
      </c>
      <c r="T24" s="10" t="s">
        <v>771</v>
      </c>
      <c r="U24" s="10" t="s">
        <v>771</v>
      </c>
      <c r="V24" s="10" t="s">
        <v>771</v>
      </c>
      <c r="W24" s="10"/>
      <c r="X24" s="27" t="s">
        <v>731</v>
      </c>
      <c r="Y24" s="27" t="s">
        <v>2534</v>
      </c>
      <c r="Z24" s="80">
        <v>29287</v>
      </c>
      <c r="AA24" s="27">
        <v>315</v>
      </c>
      <c r="AB24" s="80">
        <v>53319</v>
      </c>
      <c r="AC24" s="27">
        <v>184</v>
      </c>
      <c r="AD24" s="27" t="s">
        <v>3704</v>
      </c>
      <c r="AE24" s="27">
        <v>78619678</v>
      </c>
      <c r="AF24" s="27" t="s">
        <v>2535</v>
      </c>
      <c r="AG24" s="27" t="s">
        <v>2537</v>
      </c>
      <c r="AH24" s="79">
        <v>12.1807980049875</v>
      </c>
      <c r="AI24" s="83">
        <v>36.528735632183903</v>
      </c>
      <c r="AJ24" s="80">
        <v>2.7158034528552499</v>
      </c>
      <c r="AK24" s="80">
        <v>2.45816733067729</v>
      </c>
      <c r="AL24" s="27">
        <v>1</v>
      </c>
      <c r="AM24" s="97">
        <f t="shared" si="0"/>
        <v>3.1250000000000001E-4</v>
      </c>
      <c r="AN24" s="27" t="s">
        <v>731</v>
      </c>
      <c r="AO24" s="27">
        <v>4</v>
      </c>
      <c r="AP24" s="27">
        <v>3</v>
      </c>
      <c r="AQ24" s="27">
        <v>3</v>
      </c>
      <c r="AR24" s="27">
        <f>SUM(AO24:AQ24)</f>
        <v>10</v>
      </c>
      <c r="AS24" s="27" t="s">
        <v>5127</v>
      </c>
      <c r="AT24" s="27" t="s">
        <v>6724</v>
      </c>
      <c r="AU24" s="84" t="s">
        <v>4724</v>
      </c>
      <c r="AV24" s="16"/>
      <c r="AW24" s="16"/>
      <c r="AX24" s="16"/>
      <c r="AY24" s="16"/>
      <c r="AZ24" s="16"/>
      <c r="BA24" s="16"/>
      <c r="BB24" s="16"/>
      <c r="BC24" s="16"/>
      <c r="BD24" s="16"/>
      <c r="BE24" s="16"/>
      <c r="BF24" s="16"/>
      <c r="BG24" s="16"/>
      <c r="BH24" s="16"/>
      <c r="BI24" s="16"/>
      <c r="BJ24" s="16"/>
      <c r="BK24" s="16"/>
      <c r="BL24" s="16"/>
      <c r="BM24" s="16"/>
      <c r="BN24" s="16"/>
      <c r="BO24" s="16"/>
      <c r="BP24" s="16"/>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HL24" s="77"/>
      <c r="HM24" s="77"/>
      <c r="HN24" s="77"/>
      <c r="HO24" s="77"/>
      <c r="HP24" s="77"/>
      <c r="HQ24" s="77"/>
      <c r="HR24" s="77"/>
      <c r="HS24" s="77"/>
      <c r="HT24" s="77"/>
      <c r="HU24" s="77"/>
      <c r="HV24" s="77"/>
      <c r="HW24" s="77"/>
      <c r="HX24" s="77"/>
      <c r="HY24" s="77"/>
      <c r="HZ24" s="77"/>
      <c r="IA24" s="77"/>
      <c r="IB24" s="77"/>
      <c r="IC24" s="77"/>
      <c r="IF24" s="77"/>
      <c r="IG24" s="77"/>
      <c r="IH24" s="77"/>
      <c r="II24" s="77"/>
      <c r="IJ24" s="77"/>
      <c r="IK24" s="77"/>
      <c r="IL24" s="77"/>
      <c r="IM24" s="77"/>
      <c r="IN24" s="77"/>
      <c r="IO24" s="77"/>
      <c r="IP24" s="77"/>
      <c r="IQ24" s="77"/>
      <c r="IR24" s="77"/>
      <c r="IS24" s="77"/>
      <c r="IT24" s="77"/>
      <c r="IU24" s="77"/>
      <c r="IV24" s="77"/>
      <c r="IW24" s="77"/>
      <c r="IX24" s="77"/>
      <c r="IY24" s="77"/>
      <c r="IZ24" s="77"/>
      <c r="JA24" s="77"/>
      <c r="JB24" s="77"/>
      <c r="JC24" s="77"/>
      <c r="JD24" s="77"/>
      <c r="JE24" s="77"/>
      <c r="JF24" s="77"/>
      <c r="JG24" s="77"/>
      <c r="JH24" s="77"/>
      <c r="JI24" s="77"/>
      <c r="JJ24" s="77"/>
      <c r="JK24" s="77"/>
      <c r="JL24" s="77"/>
      <c r="JM24" s="77"/>
      <c r="JN24" s="77"/>
      <c r="JO24" s="77"/>
      <c r="JP24" s="77"/>
      <c r="JQ24" s="77"/>
      <c r="JR24" s="77"/>
      <c r="JS24" s="77"/>
      <c r="JT24" s="77"/>
      <c r="JU24" s="77"/>
      <c r="JV24" s="77"/>
      <c r="JW24" s="77"/>
      <c r="JX24" s="77"/>
      <c r="JY24" s="77"/>
      <c r="JZ24" s="77"/>
      <c r="KA24" s="77"/>
      <c r="KB24" s="77"/>
      <c r="KC24" s="77"/>
      <c r="KD24" s="77"/>
      <c r="KE24" s="77"/>
      <c r="KF24" s="77"/>
      <c r="KG24" s="77"/>
      <c r="KH24" s="77"/>
      <c r="KI24" s="77"/>
      <c r="KJ24" s="77"/>
      <c r="KK24" s="77"/>
      <c r="KL24" s="77"/>
      <c r="KM24" s="77"/>
      <c r="KN24" s="77"/>
      <c r="KO24" s="77"/>
      <c r="KP24" s="77"/>
      <c r="KQ24" s="77"/>
      <c r="KR24" s="77"/>
      <c r="KS24" s="77"/>
      <c r="KT24" s="77"/>
      <c r="KU24" s="77"/>
      <c r="KV24" s="77"/>
      <c r="KW24" s="77"/>
      <c r="KX24" s="77"/>
      <c r="KY24" s="77"/>
      <c r="KZ24" s="77"/>
      <c r="LA24" s="77"/>
      <c r="LB24" s="77"/>
      <c r="LC24" s="77"/>
      <c r="LD24" s="77"/>
      <c r="LE24" s="77"/>
      <c r="LF24" s="77"/>
      <c r="LG24" s="77"/>
      <c r="LH24" s="77"/>
      <c r="LI24" s="77"/>
      <c r="LJ24" s="77"/>
      <c r="LK24" s="77"/>
      <c r="LL24" s="77"/>
      <c r="LM24" s="77"/>
      <c r="LN24" s="77"/>
      <c r="LO24" s="77"/>
      <c r="LP24" s="77"/>
      <c r="LQ24" s="77"/>
      <c r="LR24" s="77"/>
      <c r="LS24" s="77"/>
      <c r="LT24" s="77"/>
      <c r="LU24" s="77"/>
      <c r="LV24" s="77"/>
      <c r="LW24" s="77"/>
      <c r="LX24" s="77"/>
    </row>
    <row r="25" spans="1:368" ht="18.600000000000001" customHeight="1" x14ac:dyDescent="0.25">
      <c r="A25" s="119" t="s">
        <v>616</v>
      </c>
      <c r="B25" s="27" t="s">
        <v>2514</v>
      </c>
      <c r="C25" s="27" t="s">
        <v>4482</v>
      </c>
      <c r="D25" s="30" t="str">
        <f>HYPERLINK("https://twitter.com/SRE_mx","https://twitter.com/SRE_mx")</f>
        <v>https://twitter.com/SRE_mx</v>
      </c>
      <c r="E25" s="30" t="str">
        <f>HYPERLINK("http://twiplomacy.com/info/north-america/Mexico","http://twiplomacy.com/info/north-america/Mexico")</f>
        <v>http://twiplomacy.com/info/north-america/Mexico</v>
      </c>
      <c r="F25" s="10" t="s">
        <v>558</v>
      </c>
      <c r="G25" s="10" t="s">
        <v>611</v>
      </c>
      <c r="H25" s="10" t="s">
        <v>795</v>
      </c>
      <c r="I25" s="10" t="s">
        <v>782</v>
      </c>
      <c r="J25" s="27" t="s">
        <v>2226</v>
      </c>
      <c r="K25" s="15" t="s">
        <v>777</v>
      </c>
      <c r="L25" s="10" t="s">
        <v>771</v>
      </c>
      <c r="M25" s="10" t="s">
        <v>770</v>
      </c>
      <c r="N25" s="30" t="str">
        <f>HYPERLINK("https://twitter.com/SRE_mx/statuses/7496937367","https://twitter.com/SRE_mx/statuses/7496937367")</f>
        <v>https://twitter.com/SRE_mx/statuses/7496937367</v>
      </c>
      <c r="O25" s="30" t="str">
        <f>HYPERLINK("https://twitter.com/SRE_mx/statuses/471824447008014336","https://twitter.com/SRE_mx/statuses/471824447008014336")</f>
        <v>https://twitter.com/SRE_mx/statuses/471824447008014336</v>
      </c>
      <c r="P25" s="46">
        <v>1464</v>
      </c>
      <c r="Q25" s="46">
        <v>24</v>
      </c>
      <c r="R25" s="27" t="s">
        <v>2994</v>
      </c>
      <c r="S25" s="30" t="str">
        <f>HYPERLINK("https://twitter.com/SRE_mx/lists","https://twitter.com/SRE_mx/lists")</f>
        <v>https://twitter.com/SRE_mx/lists</v>
      </c>
      <c r="T25" s="10">
        <v>4</v>
      </c>
      <c r="U25" s="10" t="s">
        <v>771</v>
      </c>
      <c r="V25" s="30" t="str">
        <f>HYPERLINK("https://twitter.com/SRE_mx/embajadas/members","https://twitter.com/SRE_mx/embajadas/members")</f>
        <v>https://twitter.com/SRE_mx/embajadas/members</v>
      </c>
      <c r="W25" s="10">
        <v>75</v>
      </c>
      <c r="X25" s="27" t="s">
        <v>616</v>
      </c>
      <c r="Y25" s="27" t="s">
        <v>2514</v>
      </c>
      <c r="Z25" s="80">
        <v>27120</v>
      </c>
      <c r="AA25" s="27">
        <v>465</v>
      </c>
      <c r="AB25" s="80">
        <v>402545</v>
      </c>
      <c r="AC25" s="27">
        <v>902</v>
      </c>
      <c r="AD25" s="27" t="s">
        <v>4483</v>
      </c>
      <c r="AE25" s="27">
        <v>96144763</v>
      </c>
      <c r="AF25" s="27" t="s">
        <v>4482</v>
      </c>
      <c r="AG25" s="27" t="s">
        <v>2509</v>
      </c>
      <c r="AH25" s="79">
        <v>11.6195372750643</v>
      </c>
      <c r="AI25" s="83">
        <v>19.962962962963001</v>
      </c>
      <c r="AJ25" s="80">
        <v>20.165238678090599</v>
      </c>
      <c r="AK25" s="80">
        <v>13.3702570379437</v>
      </c>
      <c r="AL25" s="27">
        <v>12</v>
      </c>
      <c r="AM25" s="97">
        <f t="shared" si="0"/>
        <v>3.7499999999999999E-3</v>
      </c>
      <c r="AN25" s="27" t="s">
        <v>616</v>
      </c>
      <c r="AO25" s="27">
        <v>38</v>
      </c>
      <c r="AP25" s="27">
        <v>26</v>
      </c>
      <c r="AQ25" s="27">
        <v>23</v>
      </c>
      <c r="AR25" s="27">
        <f>SUM(AO25:AQ25)</f>
        <v>87</v>
      </c>
      <c r="AS25" s="27" t="s">
        <v>6626</v>
      </c>
      <c r="AT25" s="27" t="s">
        <v>6860</v>
      </c>
      <c r="AU25" s="84" t="s">
        <v>6536</v>
      </c>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16"/>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ID25" s="77"/>
      <c r="IE25" s="77"/>
      <c r="IF25" s="77"/>
      <c r="IG25" s="77"/>
      <c r="IH25" s="77"/>
      <c r="II25" s="77"/>
      <c r="IJ25" s="77"/>
      <c r="IK25" s="77"/>
      <c r="IL25" s="77"/>
      <c r="IM25" s="77"/>
      <c r="IN25" s="77"/>
      <c r="IO25" s="77"/>
      <c r="IP25" s="77"/>
      <c r="IQ25" s="77"/>
      <c r="IR25" s="77"/>
      <c r="IS25" s="77"/>
      <c r="IT25" s="77"/>
      <c r="IU25" s="77"/>
      <c r="IV25" s="77"/>
      <c r="IW25" s="77"/>
      <c r="IX25" s="77"/>
      <c r="IY25" s="77"/>
      <c r="IZ25" s="77"/>
      <c r="JA25" s="77"/>
      <c r="JB25" s="77"/>
      <c r="JC25" s="77"/>
      <c r="JD25" s="77"/>
      <c r="JE25" s="77"/>
      <c r="JF25" s="77"/>
      <c r="JG25" s="77"/>
      <c r="JH25" s="77"/>
      <c r="JI25" s="77"/>
      <c r="JJ25" s="77"/>
      <c r="JK25" s="77"/>
      <c r="JL25" s="77"/>
      <c r="JM25" s="77"/>
      <c r="JN25" s="77"/>
      <c r="JO25" s="77"/>
      <c r="JP25" s="77"/>
      <c r="JQ25" s="77"/>
      <c r="JR25" s="77"/>
      <c r="JS25" s="77"/>
      <c r="JT25" s="77"/>
      <c r="JU25" s="77"/>
      <c r="JV25" s="77"/>
      <c r="JW25" s="77"/>
      <c r="JX25" s="77"/>
    </row>
    <row r="26" spans="1:368" ht="18.600000000000001" customHeight="1" x14ac:dyDescent="0.25">
      <c r="A26" s="119" t="s">
        <v>713</v>
      </c>
      <c r="B26" s="27" t="s">
        <v>2787</v>
      </c>
      <c r="C26" s="27" t="s">
        <v>2788</v>
      </c>
      <c r="D26" s="30" t="str">
        <f>HYPERLINK("https://twitter.com/DrodriguezVen","https://twitter.com/DrodriguezVen")</f>
        <v>https://twitter.com/DrodriguezVen</v>
      </c>
      <c r="E26" s="30" t="str">
        <f>HYPERLINK("http://twiplomacy.com/info/south-america/Venezuela","http://twiplomacy.com/info/south-america/Venezuela")</f>
        <v>http://twiplomacy.com/info/south-america/Venezuela</v>
      </c>
      <c r="F26" s="10" t="s">
        <v>668</v>
      </c>
      <c r="G26" s="10" t="s">
        <v>710</v>
      </c>
      <c r="H26" s="10" t="s">
        <v>860</v>
      </c>
      <c r="I26" s="10" t="s">
        <v>773</v>
      </c>
      <c r="J26" s="27" t="s">
        <v>2226</v>
      </c>
      <c r="K26" s="10" t="s">
        <v>777</v>
      </c>
      <c r="L26" s="10" t="s">
        <v>771</v>
      </c>
      <c r="M26" s="10" t="s">
        <v>770</v>
      </c>
      <c r="N26" s="30" t="str">
        <f>HYPERLINK("https://twitter.com/DrodriguezVen/status/363889432094457857","https://twitter.com/DrodriguezVen/status/363889432094457857")</f>
        <v>https://twitter.com/DrodriguezVen/status/363889432094457857</v>
      </c>
      <c r="O26" s="30" t="str">
        <f>HYPERLINK("https://twitter.com/DrodriguezVen/statuses/518853139597103104","https://twitter.com/DrodriguezVen/statuses/518853139597103104")</f>
        <v>https://twitter.com/DrodriguezVen/statuses/518853139597103104</v>
      </c>
      <c r="P26" s="46">
        <v>1400</v>
      </c>
      <c r="Q26" s="46">
        <v>258</v>
      </c>
      <c r="R26" s="27" t="s">
        <v>2995</v>
      </c>
      <c r="S26" s="30" t="str">
        <f>HYPERLINK("https://twitter.com/DrodriguezVen/lists","https://twitter.com/DrodriguezVen/lists")</f>
        <v>https://twitter.com/DrodriguezVen/lists</v>
      </c>
      <c r="T26" s="10" t="s">
        <v>771</v>
      </c>
      <c r="U26" s="10" t="s">
        <v>771</v>
      </c>
      <c r="V26" s="10" t="s">
        <v>771</v>
      </c>
      <c r="W26" s="10"/>
      <c r="X26" s="27" t="s">
        <v>713</v>
      </c>
      <c r="Y26" s="27" t="s">
        <v>2787</v>
      </c>
      <c r="Z26" s="80">
        <v>26744</v>
      </c>
      <c r="AA26" s="27">
        <v>365</v>
      </c>
      <c r="AB26" s="80">
        <v>344874</v>
      </c>
      <c r="AC26" s="27">
        <v>33</v>
      </c>
      <c r="AD26" s="27" t="s">
        <v>3627</v>
      </c>
      <c r="AE26" s="27">
        <v>1644228493</v>
      </c>
      <c r="AF26" s="27" t="s">
        <v>2788</v>
      </c>
      <c r="AG26" s="27" t="s">
        <v>710</v>
      </c>
      <c r="AH26" s="79">
        <v>26.691616766467099</v>
      </c>
      <c r="AI26" s="83">
        <v>48.208955223880601</v>
      </c>
      <c r="AJ26" s="80">
        <v>300.44747081712097</v>
      </c>
      <c r="AK26" s="80">
        <v>56.007782101167301</v>
      </c>
      <c r="AL26" s="27">
        <v>5</v>
      </c>
      <c r="AM26" s="97">
        <f t="shared" si="0"/>
        <v>1.5625000000000001E-3</v>
      </c>
      <c r="AN26" s="27" t="s">
        <v>713</v>
      </c>
      <c r="AO26" s="27">
        <v>9</v>
      </c>
      <c r="AP26" s="27">
        <v>15</v>
      </c>
      <c r="AQ26" s="27">
        <v>11</v>
      </c>
      <c r="AR26" s="27">
        <f>SUM(AO26:AQ26)</f>
        <v>35</v>
      </c>
      <c r="AS26" s="27" t="s">
        <v>6559</v>
      </c>
      <c r="AT26" s="27" t="s">
        <v>5092</v>
      </c>
      <c r="AU26" s="84" t="s">
        <v>4701</v>
      </c>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16"/>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ID26" s="77"/>
      <c r="IE26" s="77"/>
      <c r="JY26" s="77"/>
      <c r="JZ26" s="77"/>
      <c r="KA26" s="77"/>
      <c r="KB26" s="77"/>
      <c r="KC26" s="77"/>
      <c r="KD26" s="77"/>
      <c r="KE26" s="77"/>
      <c r="KF26" s="77"/>
      <c r="KG26" s="77"/>
      <c r="KH26" s="77"/>
      <c r="KI26" s="77"/>
      <c r="KJ26" s="77"/>
      <c r="KK26" s="77"/>
      <c r="KL26" s="77"/>
    </row>
    <row r="27" spans="1:368" ht="18.600000000000001" customHeight="1" x14ac:dyDescent="0.25">
      <c r="A27" s="119" t="s">
        <v>680</v>
      </c>
      <c r="B27" s="27" t="s">
        <v>2712</v>
      </c>
      <c r="C27" s="27" t="s">
        <v>3729</v>
      </c>
      <c r="D27" s="30" t="str">
        <f>HYPERLINK("https://twitter.com/GobiernodeChile","https://twitter.com/GobiernodeChile")</f>
        <v>https://twitter.com/GobiernodeChile</v>
      </c>
      <c r="E27" s="30" t="str">
        <f>HYPERLINK("http://twiplomacy.com/info/south-america/Chile","http://twiplomacy.com/info/south-america/Chile")</f>
        <v>http://twiplomacy.com/info/south-america/Chile</v>
      </c>
      <c r="F27" s="10" t="s">
        <v>668</v>
      </c>
      <c r="G27" s="10" t="s">
        <v>678</v>
      </c>
      <c r="H27" s="10" t="s">
        <v>788</v>
      </c>
      <c r="I27" s="10" t="s">
        <v>782</v>
      </c>
      <c r="J27" s="27" t="s">
        <v>2226</v>
      </c>
      <c r="K27" s="15" t="s">
        <v>777</v>
      </c>
      <c r="L27" s="10" t="s">
        <v>771</v>
      </c>
      <c r="M27" s="10" t="s">
        <v>770</v>
      </c>
      <c r="N27" s="30" t="str">
        <f>HYPERLINK("https://twitter.com/GobiernodeChile/statuses/1898561246","https://twitter.com/GobiernodeChile/statuses/1898561246")</f>
        <v>https://twitter.com/GobiernodeChile/statuses/1898561246</v>
      </c>
      <c r="O27" s="30" t="str">
        <f>HYPERLINK("https://twitter.com/GobiernodeChile/statuses/483373950513467392","https://twitter.com/GobiernodeChile/statuses/483373950513467392")</f>
        <v>https://twitter.com/GobiernodeChile/statuses/483373950513467392</v>
      </c>
      <c r="P27" s="46">
        <v>897</v>
      </c>
      <c r="Q27" s="46">
        <v>489</v>
      </c>
      <c r="R27" s="27" t="s">
        <v>2994</v>
      </c>
      <c r="S27" s="30" t="str">
        <f>HYPERLINK("https://twitter.com/GobiernodeChile/lists","https://twitter.com/GobiernodeChile/lists")</f>
        <v>https://twitter.com/GobiernodeChile/lists</v>
      </c>
      <c r="T27" s="10">
        <v>4</v>
      </c>
      <c r="U27" s="10" t="s">
        <v>771</v>
      </c>
      <c r="V27" s="10" t="s">
        <v>771</v>
      </c>
      <c r="W27" s="10"/>
      <c r="X27" s="27" t="s">
        <v>680</v>
      </c>
      <c r="Y27" s="27" t="s">
        <v>2712</v>
      </c>
      <c r="Z27" s="80">
        <v>25485</v>
      </c>
      <c r="AA27" s="27">
        <v>281</v>
      </c>
      <c r="AB27" s="80">
        <v>930473</v>
      </c>
      <c r="AC27" s="27">
        <v>164</v>
      </c>
      <c r="AD27" s="27" t="s">
        <v>3730</v>
      </c>
      <c r="AE27" s="27">
        <v>42102939</v>
      </c>
      <c r="AF27" s="27" t="s">
        <v>3729</v>
      </c>
      <c r="AG27" s="27" t="s">
        <v>2713</v>
      </c>
      <c r="AH27" s="79">
        <v>10.0532544378698</v>
      </c>
      <c r="AI27" s="83">
        <v>8.8650137741046802</v>
      </c>
      <c r="AJ27" s="80">
        <v>49.3295622233153</v>
      </c>
      <c r="AK27" s="80">
        <v>21.851942941465801</v>
      </c>
      <c r="AL27" s="27">
        <v>18</v>
      </c>
      <c r="AM27" s="97">
        <f t="shared" si="0"/>
        <v>5.6249999999999998E-3</v>
      </c>
      <c r="AN27" s="27" t="s">
        <v>680</v>
      </c>
      <c r="AO27" s="27">
        <v>1</v>
      </c>
      <c r="AP27" s="27">
        <v>38</v>
      </c>
      <c r="AQ27" s="27">
        <v>2</v>
      </c>
      <c r="AR27" s="27">
        <f>SUM(AO27:AQ27)</f>
        <v>41</v>
      </c>
      <c r="AS27" s="27" t="s">
        <v>681</v>
      </c>
      <c r="AT27" s="27" t="s">
        <v>6732</v>
      </c>
      <c r="AU27" s="84" t="s">
        <v>4731</v>
      </c>
      <c r="AV27" s="16"/>
      <c r="AW27" s="16"/>
      <c r="AX27" s="16"/>
      <c r="AY27" s="16"/>
      <c r="AZ27" s="16"/>
      <c r="BA27" s="16"/>
      <c r="BB27" s="16"/>
      <c r="BC27" s="16"/>
      <c r="BD27" s="16"/>
      <c r="BE27" s="16"/>
      <c r="BF27" s="16"/>
      <c r="BG27" s="16"/>
      <c r="BH27" s="16"/>
      <c r="BI27" s="16"/>
      <c r="BJ27" s="16"/>
      <c r="BK27" s="16"/>
      <c r="BL27" s="16"/>
      <c r="BM27" s="16"/>
      <c r="BN27" s="16"/>
      <c r="BO27" s="16"/>
      <c r="BP27" s="16"/>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c r="DA27" s="77"/>
      <c r="DB27" s="77"/>
      <c r="DC27" s="77"/>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c r="EY27" s="77"/>
      <c r="EZ27" s="77"/>
      <c r="FA27" s="77"/>
      <c r="FB27" s="77"/>
      <c r="FC27" s="77"/>
      <c r="FD27" s="77"/>
      <c r="FE27" s="77"/>
      <c r="FF27" s="77"/>
      <c r="FG27" s="77"/>
      <c r="FH27" s="77"/>
      <c r="FI27" s="77"/>
      <c r="FJ27" s="77"/>
      <c r="FK27" s="77"/>
      <c r="FL27" s="77"/>
      <c r="FM27" s="77"/>
      <c r="FN27" s="77"/>
      <c r="FO27" s="77"/>
      <c r="FP27" s="77"/>
      <c r="FQ27" s="77"/>
      <c r="FR27" s="77"/>
      <c r="FS27" s="77"/>
      <c r="FT27" s="77"/>
      <c r="FU27" s="77"/>
      <c r="FV27" s="77"/>
      <c r="FW27" s="77"/>
      <c r="FX27" s="77"/>
      <c r="FY27" s="77"/>
      <c r="FZ27" s="77"/>
      <c r="GA27" s="77"/>
      <c r="GB27" s="77"/>
      <c r="GC27" s="77"/>
      <c r="GD27" s="77"/>
      <c r="GE27" s="77"/>
      <c r="GF27" s="77"/>
      <c r="GG27" s="77"/>
      <c r="GH27" s="77"/>
      <c r="GI27" s="77"/>
      <c r="GJ27" s="77"/>
      <c r="GK27" s="77"/>
      <c r="HL27" s="77"/>
      <c r="HM27" s="77"/>
      <c r="HN27" s="77"/>
      <c r="HO27" s="77"/>
      <c r="HP27" s="77"/>
      <c r="HQ27" s="77"/>
      <c r="HR27" s="77"/>
      <c r="HS27" s="77"/>
      <c r="HT27" s="77"/>
      <c r="HU27" s="77"/>
      <c r="HV27" s="77"/>
      <c r="HW27" s="77"/>
      <c r="HX27" s="77"/>
      <c r="HY27" s="77"/>
      <c r="HZ27" s="77"/>
      <c r="IA27" s="77"/>
      <c r="IB27" s="77"/>
      <c r="IC27" s="77"/>
      <c r="JY27" s="77"/>
      <c r="JZ27" s="77"/>
      <c r="KA27" s="77"/>
      <c r="KB27" s="77"/>
      <c r="KC27" s="77"/>
      <c r="KD27" s="77"/>
      <c r="KE27" s="77"/>
      <c r="KF27" s="77"/>
      <c r="KG27" s="77"/>
      <c r="KH27" s="77"/>
      <c r="KI27" s="77"/>
      <c r="KJ27" s="77"/>
      <c r="KK27" s="77"/>
      <c r="KL27" s="77"/>
      <c r="KM27" s="77"/>
      <c r="KN27" s="77"/>
      <c r="KO27" s="77"/>
      <c r="KP27" s="77"/>
      <c r="KQ27" s="77"/>
      <c r="KR27" s="77"/>
      <c r="KS27" s="77"/>
      <c r="KT27" s="77"/>
      <c r="KU27" s="77"/>
      <c r="KV27" s="77"/>
      <c r="KW27" s="77"/>
      <c r="KX27" s="77"/>
      <c r="KY27" s="77"/>
      <c r="KZ27" s="77"/>
      <c r="LA27" s="77"/>
      <c r="LB27" s="77"/>
      <c r="LC27" s="77"/>
      <c r="LD27" s="77"/>
      <c r="LE27" s="77"/>
      <c r="LF27" s="77"/>
      <c r="LG27" s="77"/>
      <c r="LH27" s="77"/>
      <c r="LI27" s="77"/>
      <c r="LJ27" s="77"/>
      <c r="LK27" s="77"/>
      <c r="LL27" s="77"/>
      <c r="LM27" s="77"/>
      <c r="LN27" s="77"/>
      <c r="LO27" s="77"/>
      <c r="LP27" s="77"/>
      <c r="LQ27" s="77"/>
      <c r="LR27" s="77"/>
      <c r="LS27" s="77"/>
      <c r="LT27" s="77"/>
      <c r="LU27" s="77"/>
      <c r="LV27" s="77"/>
      <c r="LW27" s="77"/>
      <c r="LX27" s="77"/>
      <c r="ND27" s="77"/>
    </row>
    <row r="28" spans="1:368" ht="18.600000000000001" customHeight="1" x14ac:dyDescent="0.25">
      <c r="A28" s="119" t="s">
        <v>553</v>
      </c>
      <c r="B28" s="27" t="s">
        <v>2351</v>
      </c>
      <c r="C28" s="27" t="s">
        <v>5652</v>
      </c>
      <c r="D28" s="30" t="str">
        <f>HYPERLINK("https://twitter.com/foreignoffice","https://twitter.com/foreignoffice")</f>
        <v>https://twitter.com/foreignoffice</v>
      </c>
      <c r="E28" s="30" t="str">
        <f>HYPERLINK("http://twiplomacy.com/info/europe/United-Kingdom","http://twiplomacy.com/info/europe/United-Kingdom")</f>
        <v>http://twiplomacy.com/info/europe/United-Kingdom</v>
      </c>
      <c r="F28" s="10" t="s">
        <v>332</v>
      </c>
      <c r="G28" s="10" t="s">
        <v>549</v>
      </c>
      <c r="H28" s="10" t="s">
        <v>795</v>
      </c>
      <c r="I28" s="10" t="s">
        <v>782</v>
      </c>
      <c r="J28" s="27" t="s">
        <v>789</v>
      </c>
      <c r="K28" s="15" t="s">
        <v>777</v>
      </c>
      <c r="L28" s="10" t="s">
        <v>771</v>
      </c>
      <c r="M28" s="10" t="s">
        <v>770</v>
      </c>
      <c r="N28" s="30" t="str">
        <f>HYPERLINK("https://twitter.com/foreignoffice/statuses/850060242","https://twitter.com/foreignoffice/statuses/850060242")</f>
        <v>https://twitter.com/foreignoffice/statuses/850060242</v>
      </c>
      <c r="O28" s="27" t="s">
        <v>5769</v>
      </c>
      <c r="P28" s="80">
        <v>1782</v>
      </c>
      <c r="Q28" s="80">
        <v>405</v>
      </c>
      <c r="R28" s="27" t="s">
        <v>2994</v>
      </c>
      <c r="S28" s="30" t="str">
        <f>HYPERLINK("https://twitter.com/foreignoffice/lists","https://twitter.com/foreignoffice/lists")</f>
        <v>https://twitter.com/foreignoffice/lists</v>
      </c>
      <c r="T28" s="10">
        <v>10</v>
      </c>
      <c r="U28" s="10">
        <v>19</v>
      </c>
      <c r="V28" s="30" t="str">
        <f>HYPERLINK("https://twitter.com/foreignoffice/foreign-office-on-twitter/members","https://twitter.com/foreignoffice/foreign-office-on-twitter/members")</f>
        <v>https://twitter.com/foreignoffice/foreign-office-on-twitter/members</v>
      </c>
      <c r="W28" s="10">
        <v>370</v>
      </c>
      <c r="X28" s="27" t="s">
        <v>553</v>
      </c>
      <c r="Y28" s="27" t="s">
        <v>2351</v>
      </c>
      <c r="Z28" s="80">
        <v>25171</v>
      </c>
      <c r="AA28" s="27">
        <v>29421</v>
      </c>
      <c r="AB28" s="80">
        <v>589292</v>
      </c>
      <c r="AC28" s="27">
        <v>297</v>
      </c>
      <c r="AD28" s="27" t="s">
        <v>3696</v>
      </c>
      <c r="AE28" s="27">
        <v>14353202</v>
      </c>
      <c r="AF28" s="27" t="s">
        <v>5652</v>
      </c>
      <c r="AG28" s="27" t="s">
        <v>890</v>
      </c>
      <c r="AH28" s="79">
        <v>8.5499320652173907</v>
      </c>
      <c r="AI28" s="83">
        <v>9.4705882352941195</v>
      </c>
      <c r="AJ28" s="80">
        <v>49.073113207547202</v>
      </c>
      <c r="AK28" s="80">
        <v>26.438679245283002</v>
      </c>
      <c r="AL28" s="27">
        <v>30</v>
      </c>
      <c r="AM28" s="97">
        <f t="shared" si="0"/>
        <v>9.3749999999999997E-3</v>
      </c>
      <c r="AN28" s="27" t="s">
        <v>553</v>
      </c>
      <c r="AO28" s="27">
        <v>101</v>
      </c>
      <c r="AP28" s="27">
        <v>72</v>
      </c>
      <c r="AQ28" s="27">
        <v>97</v>
      </c>
      <c r="AR28" s="27">
        <f>SUM(AO28:AQ28)</f>
        <v>270</v>
      </c>
      <c r="AS28" s="27" t="s">
        <v>6643</v>
      </c>
      <c r="AT28" s="27" t="s">
        <v>6723</v>
      </c>
      <c r="AU28" s="84" t="s">
        <v>6484</v>
      </c>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Q28" s="77"/>
      <c r="ER28" s="77"/>
      <c r="ES28" s="77"/>
      <c r="ET28" s="77"/>
      <c r="EU28" s="77"/>
      <c r="EV28" s="77"/>
      <c r="EW28" s="77"/>
      <c r="EX28" s="77"/>
      <c r="EY28" s="77"/>
      <c r="EZ28" s="77"/>
      <c r="FA28" s="77"/>
      <c r="FB28" s="77"/>
      <c r="FC28" s="77"/>
      <c r="FD28" s="77"/>
      <c r="FE28" s="77"/>
      <c r="FF28" s="77"/>
      <c r="FG28" s="77"/>
      <c r="FH28" s="77"/>
      <c r="FI28" s="77"/>
      <c r="FJ28" s="77"/>
      <c r="FK28" s="77"/>
      <c r="FL28" s="77"/>
      <c r="FM28" s="77"/>
      <c r="FN28" s="77"/>
      <c r="FO28" s="77"/>
      <c r="FP28" s="77"/>
      <c r="FQ28" s="77"/>
      <c r="FR28" s="77"/>
      <c r="FS28" s="77"/>
      <c r="FT28" s="77"/>
      <c r="FU28" s="77"/>
      <c r="FV28" s="77"/>
      <c r="FW28" s="77"/>
      <c r="FX28" s="77"/>
      <c r="FY28" s="77"/>
      <c r="FZ28" s="77"/>
      <c r="GA28" s="77"/>
      <c r="GB28" s="77"/>
      <c r="GC28" s="77"/>
      <c r="GD28" s="77"/>
      <c r="GE28" s="77"/>
      <c r="GF28" s="77"/>
      <c r="GG28" s="77"/>
      <c r="GH28" s="77"/>
      <c r="GI28" s="77"/>
      <c r="GJ28" s="77"/>
      <c r="GK28" s="77"/>
      <c r="GL28" s="77"/>
      <c r="GM28" s="77"/>
      <c r="GN28" s="77"/>
      <c r="GO28" s="77"/>
      <c r="GP28" s="77"/>
      <c r="GQ28" s="77"/>
      <c r="GR28" s="77"/>
      <c r="GS28" s="77"/>
      <c r="GT28" s="77"/>
      <c r="GU28" s="77"/>
      <c r="GV28" s="77"/>
      <c r="GW28" s="77"/>
      <c r="GX28" s="77"/>
      <c r="GY28" s="77"/>
      <c r="GZ28" s="77"/>
      <c r="HA28" s="77"/>
      <c r="HB28" s="77"/>
      <c r="HC28" s="77"/>
      <c r="HD28" s="77"/>
      <c r="HE28" s="77"/>
      <c r="HF28" s="77"/>
      <c r="HG28" s="77"/>
      <c r="HH28" s="77"/>
      <c r="HI28" s="77"/>
      <c r="HJ28" s="77"/>
      <c r="HK28" s="77"/>
      <c r="HL28" s="77"/>
      <c r="HM28" s="77"/>
      <c r="HN28" s="77"/>
      <c r="HO28" s="77"/>
      <c r="HP28" s="77"/>
      <c r="HQ28" s="77"/>
      <c r="HR28" s="77"/>
      <c r="HS28" s="77"/>
      <c r="HT28" s="77"/>
      <c r="HU28" s="77"/>
      <c r="HV28" s="77"/>
      <c r="HW28" s="77"/>
      <c r="HX28" s="77"/>
      <c r="HY28" s="77"/>
      <c r="HZ28" s="77"/>
      <c r="IA28" s="77"/>
      <c r="IB28" s="77"/>
      <c r="IC28" s="77"/>
      <c r="ID28" s="77"/>
      <c r="IE28" s="77"/>
      <c r="IF28" s="77"/>
      <c r="IG28" s="77"/>
      <c r="IH28" s="77"/>
      <c r="II28" s="77"/>
      <c r="IJ28" s="77"/>
      <c r="IK28" s="77"/>
      <c r="IL28" s="77"/>
      <c r="IM28" s="77"/>
      <c r="IN28" s="77"/>
      <c r="IO28" s="77"/>
      <c r="IP28" s="77"/>
      <c r="IQ28" s="77"/>
      <c r="IR28" s="77"/>
      <c r="IS28" s="77"/>
      <c r="IT28" s="77"/>
      <c r="IU28" s="77"/>
      <c r="IV28" s="77"/>
      <c r="IW28" s="77"/>
      <c r="IX28" s="77"/>
      <c r="IY28" s="77"/>
      <c r="IZ28" s="77"/>
      <c r="JA28" s="77"/>
      <c r="JB28" s="77"/>
      <c r="JC28" s="77"/>
      <c r="JD28" s="77"/>
      <c r="JE28" s="77"/>
      <c r="JF28" s="77"/>
      <c r="JG28" s="77"/>
      <c r="JH28" s="77"/>
      <c r="JI28" s="77"/>
      <c r="JJ28" s="77"/>
      <c r="JK28" s="77"/>
      <c r="JL28" s="77"/>
      <c r="JM28" s="77"/>
      <c r="JN28" s="77"/>
      <c r="JO28" s="77"/>
      <c r="JP28" s="77"/>
      <c r="JQ28" s="77"/>
      <c r="JR28" s="77"/>
      <c r="JS28" s="77"/>
      <c r="JT28" s="77"/>
      <c r="JU28" s="77"/>
      <c r="JV28" s="77"/>
      <c r="JW28" s="77"/>
      <c r="JX28" s="77"/>
      <c r="JY28" s="77"/>
      <c r="JZ28" s="77"/>
      <c r="KA28" s="77"/>
      <c r="KB28" s="77"/>
      <c r="KC28" s="77"/>
      <c r="KD28" s="77"/>
      <c r="KE28" s="77"/>
      <c r="KF28" s="77"/>
      <c r="KG28" s="77"/>
      <c r="KH28" s="77"/>
      <c r="KI28" s="77"/>
      <c r="KJ28" s="77"/>
      <c r="KK28" s="77"/>
      <c r="KL28" s="77"/>
      <c r="LL28" s="77"/>
      <c r="LM28" s="77"/>
      <c r="LN28" s="77"/>
      <c r="LO28" s="77"/>
      <c r="LP28" s="77"/>
      <c r="LQ28" s="77"/>
      <c r="LR28" s="77"/>
      <c r="LS28" s="77"/>
      <c r="LT28" s="77"/>
      <c r="LU28" s="77"/>
      <c r="LV28" s="77"/>
      <c r="LW28" s="77"/>
      <c r="LX28" s="77"/>
      <c r="LY28" s="77"/>
      <c r="LZ28" s="77"/>
      <c r="MA28" s="77"/>
      <c r="MB28" s="77"/>
      <c r="MC28" s="77"/>
      <c r="MD28" s="77"/>
      <c r="ME28" s="77"/>
      <c r="MF28" s="77"/>
      <c r="MG28" s="77"/>
      <c r="MH28" s="77"/>
      <c r="MI28" s="77"/>
      <c r="MJ28" s="77"/>
      <c r="MK28" s="77"/>
      <c r="ML28" s="77"/>
      <c r="MM28" s="77"/>
      <c r="MN28" s="77"/>
      <c r="MO28" s="77"/>
      <c r="MP28" s="77"/>
      <c r="MQ28" s="77"/>
      <c r="MR28" s="77"/>
      <c r="MS28" s="77"/>
      <c r="MT28" s="77"/>
      <c r="MU28" s="77"/>
      <c r="MV28" s="77"/>
      <c r="MW28" s="77"/>
      <c r="MX28" s="77"/>
      <c r="MY28" s="77"/>
      <c r="MZ28" s="77"/>
      <c r="NA28" s="77"/>
      <c r="NB28" s="77"/>
      <c r="NC28" s="77"/>
    </row>
    <row r="29" spans="1:368" ht="18.600000000000001" customHeight="1" x14ac:dyDescent="0.25">
      <c r="A29" s="119" t="s">
        <v>192</v>
      </c>
      <c r="B29" s="27" t="s">
        <v>1299</v>
      </c>
      <c r="C29" s="27" t="s">
        <v>4470</v>
      </c>
      <c r="D29" s="30" t="str">
        <f>HYPERLINK("https://twitter.com/setkabgoid","https://twitter.com/setkabgoid")</f>
        <v>https://twitter.com/setkabgoid</v>
      </c>
      <c r="E29" s="30" t="str">
        <f>HYPERLINK("http://twiplomacy.com/info/asia/Indonesia","http://twiplomacy.com/info/asia/Indonesia")</f>
        <v>http://twiplomacy.com/info/asia/Indonesia</v>
      </c>
      <c r="F29" s="10" t="s">
        <v>154</v>
      </c>
      <c r="G29" s="10" t="s">
        <v>189</v>
      </c>
      <c r="H29" s="10" t="s">
        <v>788</v>
      </c>
      <c r="I29" s="10" t="s">
        <v>782</v>
      </c>
      <c r="J29" s="27" t="s">
        <v>742</v>
      </c>
      <c r="K29" s="15" t="s">
        <v>777</v>
      </c>
      <c r="L29" s="10" t="s">
        <v>771</v>
      </c>
      <c r="M29" s="10" t="s">
        <v>770</v>
      </c>
      <c r="N29" s="30" t="str">
        <f>HYPERLINK("https://twitter.com/setkabgoid/statuses/43637617845207040","https://twitter.com/setkabgoid/statuses/43637617845207040")</f>
        <v>https://twitter.com/setkabgoid/statuses/43637617845207040</v>
      </c>
      <c r="O29" s="27" t="s">
        <v>6089</v>
      </c>
      <c r="P29" s="80">
        <v>335</v>
      </c>
      <c r="Q29" s="80">
        <v>51</v>
      </c>
      <c r="R29" s="27" t="s">
        <v>2994</v>
      </c>
      <c r="S29" s="30" t="str">
        <f>HYPERLINK("https://twitter.com/setkabgoid/lists","https://twitter.com/setkabgoid/lists")</f>
        <v>https://twitter.com/setkabgoid/lists</v>
      </c>
      <c r="T29" s="10">
        <v>1</v>
      </c>
      <c r="U29" s="10" t="s">
        <v>771</v>
      </c>
      <c r="V29" s="10" t="s">
        <v>771</v>
      </c>
      <c r="W29" s="10"/>
      <c r="X29" s="27" t="s">
        <v>192</v>
      </c>
      <c r="Y29" s="27" t="s">
        <v>1299</v>
      </c>
      <c r="Z29" s="80">
        <v>24718</v>
      </c>
      <c r="AA29" s="27">
        <v>81</v>
      </c>
      <c r="AB29" s="80">
        <v>334427</v>
      </c>
      <c r="AC29" s="27">
        <v>68</v>
      </c>
      <c r="AD29" s="27" t="s">
        <v>4471</v>
      </c>
      <c r="AE29" s="27">
        <v>260686783</v>
      </c>
      <c r="AF29" s="27" t="s">
        <v>4470</v>
      </c>
      <c r="AG29" s="27" t="s">
        <v>1294</v>
      </c>
      <c r="AH29" s="79">
        <v>13.1060445387063</v>
      </c>
      <c r="AI29" s="83">
        <v>12.2519083969466</v>
      </c>
      <c r="AJ29" s="80">
        <v>11.661778769525</v>
      </c>
      <c r="AK29" s="80">
        <v>5.3241950908511297</v>
      </c>
      <c r="AL29" s="27">
        <v>1</v>
      </c>
      <c r="AM29" s="97">
        <f t="shared" si="0"/>
        <v>3.1250000000000001E-4</v>
      </c>
      <c r="AN29" s="27" t="s">
        <v>192</v>
      </c>
      <c r="AO29" s="27">
        <v>1</v>
      </c>
      <c r="AP29" s="27">
        <v>4</v>
      </c>
      <c r="AQ29" s="27">
        <v>2</v>
      </c>
      <c r="AR29" s="27">
        <f>SUM(AO29:AQ29)</f>
        <v>7</v>
      </c>
      <c r="AS29" s="27" t="s">
        <v>634</v>
      </c>
      <c r="AT29" s="27" t="s">
        <v>5492</v>
      </c>
      <c r="AU29" s="84" t="s">
        <v>4950</v>
      </c>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HL29" s="77"/>
      <c r="HM29" s="77"/>
      <c r="HN29" s="77"/>
      <c r="HO29" s="77"/>
      <c r="HP29" s="77"/>
      <c r="HQ29" s="77"/>
      <c r="HR29" s="77"/>
      <c r="HS29" s="77"/>
      <c r="HT29" s="77"/>
      <c r="HU29" s="77"/>
      <c r="HV29" s="77"/>
      <c r="HW29" s="77"/>
      <c r="HX29" s="77"/>
      <c r="HY29" s="77"/>
      <c r="HZ29" s="77"/>
      <c r="IA29" s="77"/>
      <c r="IB29" s="77"/>
      <c r="IC29" s="77"/>
      <c r="ID29" s="77"/>
      <c r="IE29" s="77"/>
      <c r="IF29" s="77"/>
      <c r="IG29" s="77"/>
      <c r="IH29" s="77"/>
      <c r="II29" s="77"/>
      <c r="IJ29" s="77"/>
      <c r="IK29" s="77"/>
      <c r="IL29" s="77"/>
      <c r="IM29" s="77"/>
      <c r="IN29" s="77"/>
      <c r="IO29" s="77"/>
      <c r="IP29" s="77"/>
      <c r="IQ29" s="77"/>
      <c r="IR29" s="77"/>
      <c r="IS29" s="77"/>
      <c r="IT29" s="77"/>
      <c r="IU29" s="77"/>
      <c r="IV29" s="77"/>
      <c r="IW29" s="77"/>
      <c r="IX29" s="77"/>
      <c r="IY29" s="77"/>
      <c r="IZ29" s="77"/>
      <c r="JA29" s="77"/>
      <c r="JB29" s="77"/>
      <c r="JC29" s="77"/>
      <c r="JD29" s="77"/>
      <c r="JE29" s="77"/>
      <c r="JF29" s="77"/>
      <c r="JG29" s="77"/>
      <c r="JH29" s="77"/>
      <c r="JI29" s="77"/>
      <c r="JJ29" s="77"/>
      <c r="JK29" s="77"/>
      <c r="JL29" s="77"/>
      <c r="JM29" s="77"/>
      <c r="JN29" s="77"/>
      <c r="JO29" s="77"/>
      <c r="JP29" s="77"/>
      <c r="JQ29" s="77"/>
      <c r="JR29" s="77"/>
      <c r="JS29" s="77"/>
      <c r="JT29" s="77"/>
      <c r="JU29" s="77"/>
      <c r="JV29" s="77"/>
      <c r="JW29" s="77"/>
      <c r="JX29" s="77"/>
      <c r="KM29" s="77"/>
      <c r="KN29" s="77"/>
      <c r="KO29" s="77"/>
      <c r="KP29" s="77"/>
      <c r="KQ29" s="77"/>
      <c r="KR29" s="77"/>
      <c r="KS29" s="77"/>
      <c r="KT29" s="77"/>
      <c r="KU29" s="77"/>
      <c r="KV29" s="77"/>
      <c r="KW29" s="77"/>
      <c r="KX29" s="77"/>
      <c r="KY29" s="77"/>
      <c r="KZ29" s="77"/>
      <c r="LA29" s="77"/>
      <c r="LB29" s="77"/>
      <c r="LC29" s="77"/>
      <c r="LD29" s="77"/>
      <c r="LE29" s="77"/>
      <c r="LF29" s="77"/>
      <c r="LG29" s="77"/>
      <c r="LH29" s="77"/>
      <c r="LI29" s="77"/>
      <c r="LJ29" s="77"/>
      <c r="LK29" s="77"/>
      <c r="LL29" s="77"/>
      <c r="LM29" s="77"/>
      <c r="LN29" s="77"/>
      <c r="LO29" s="77"/>
      <c r="LP29" s="77"/>
      <c r="LQ29" s="77"/>
      <c r="LR29" s="77"/>
      <c r="LS29" s="77"/>
      <c r="LT29" s="77"/>
      <c r="LU29" s="77"/>
      <c r="LV29" s="77"/>
      <c r="LY29" s="77"/>
      <c r="LZ29" s="77"/>
      <c r="MA29" s="77"/>
      <c r="MB29" s="77"/>
      <c r="MC29" s="77"/>
      <c r="MD29" s="77"/>
      <c r="ME29" s="77"/>
      <c r="MF29" s="77"/>
      <c r="MG29" s="77"/>
      <c r="MH29" s="77"/>
      <c r="MI29" s="77"/>
      <c r="MJ29" s="77"/>
      <c r="MK29" s="77"/>
      <c r="ML29" s="77"/>
      <c r="MM29" s="77"/>
      <c r="MN29" s="77"/>
      <c r="MO29" s="77"/>
      <c r="MP29" s="77"/>
      <c r="MQ29" s="77"/>
      <c r="MR29" s="77"/>
    </row>
    <row r="30" spans="1:368" ht="18.600000000000001" customHeight="1" x14ac:dyDescent="0.25">
      <c r="A30" s="119" t="s">
        <v>635</v>
      </c>
      <c r="B30" s="27" t="s">
        <v>2567</v>
      </c>
      <c r="C30" s="27" t="s">
        <v>4599</v>
      </c>
      <c r="D30" s="30" t="str">
        <f>HYPERLINK("https://twitter.com/WhiteHouse","https://twitter.com/WhiteHouse")</f>
        <v>https://twitter.com/WhiteHouse</v>
      </c>
      <c r="E30" s="30" t="str">
        <f>HYPERLINK("http://twiplomacy.com/info/north-america/United-States","http://twiplomacy.com/info/north-america/United-States")</f>
        <v>http://twiplomacy.com/info/north-america/United-States</v>
      </c>
      <c r="F30" s="10" t="s">
        <v>558</v>
      </c>
      <c r="G30" s="10" t="s">
        <v>633</v>
      </c>
      <c r="H30" s="10" t="s">
        <v>781</v>
      </c>
      <c r="I30" s="10" t="s">
        <v>782</v>
      </c>
      <c r="J30" s="27" t="s">
        <v>789</v>
      </c>
      <c r="K30" s="15" t="s">
        <v>777</v>
      </c>
      <c r="L30" s="10" t="s">
        <v>771</v>
      </c>
      <c r="M30" s="10" t="s">
        <v>770</v>
      </c>
      <c r="N30" s="30" t="str">
        <f>HYPERLINK("https://twitter.com/#!/whitehouse/statuses/1670203165","https://twitter.com/#!/whitehouse/statuses/1670203165")</f>
        <v>https://twitter.com/#!/whitehouse/statuses/1670203165</v>
      </c>
      <c r="O30" s="11" t="s">
        <v>6133</v>
      </c>
      <c r="P30" s="80">
        <v>45544</v>
      </c>
      <c r="Q30" s="80">
        <v>62480</v>
      </c>
      <c r="R30" s="27" t="s">
        <v>2994</v>
      </c>
      <c r="S30" s="30" t="str">
        <f>HYPERLINK("https://twitter.com/WhiteHouse/lists","https://twitter.com/WhiteHouse/lists")</f>
        <v>https://twitter.com/WhiteHouse/lists</v>
      </c>
      <c r="T30" s="10">
        <v>5</v>
      </c>
      <c r="U30" s="10">
        <v>1</v>
      </c>
      <c r="V30" s="10" t="s">
        <v>771</v>
      </c>
      <c r="W30" s="10"/>
      <c r="X30" s="27" t="s">
        <v>635</v>
      </c>
      <c r="Y30" s="27" t="s">
        <v>2567</v>
      </c>
      <c r="Z30" s="80">
        <v>24699</v>
      </c>
      <c r="AA30" s="27">
        <v>223</v>
      </c>
      <c r="AB30" s="80">
        <v>10224334</v>
      </c>
      <c r="AC30" s="27">
        <v>0</v>
      </c>
      <c r="AD30" s="27" t="s">
        <v>4600</v>
      </c>
      <c r="AE30" s="27">
        <v>30313925</v>
      </c>
      <c r="AF30" s="27" t="s">
        <v>4599</v>
      </c>
      <c r="AG30" s="27" t="s">
        <v>2565</v>
      </c>
      <c r="AH30" s="79">
        <v>9.5806826997672605</v>
      </c>
      <c r="AI30" s="83">
        <v>15.2405660377358</v>
      </c>
      <c r="AJ30" s="80">
        <v>622.065718489456</v>
      </c>
      <c r="AK30" s="80">
        <v>942.42373712604206</v>
      </c>
      <c r="AL30" s="13">
        <v>0</v>
      </c>
      <c r="AM30" s="97">
        <f t="shared" si="0"/>
        <v>0</v>
      </c>
      <c r="AN30" s="27" t="s">
        <v>635</v>
      </c>
      <c r="AO30" s="27">
        <v>1</v>
      </c>
      <c r="AP30" s="27">
        <v>234</v>
      </c>
      <c r="AQ30" s="27">
        <v>6</v>
      </c>
      <c r="AR30" s="27">
        <f>SUM(AO30:AQ30)</f>
        <v>241</v>
      </c>
      <c r="AS30" s="27" t="s">
        <v>638</v>
      </c>
      <c r="AT30" s="27" t="s">
        <v>6875</v>
      </c>
      <c r="AU30" s="84" t="s">
        <v>4993</v>
      </c>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c r="HH30" s="77"/>
      <c r="HI30" s="77"/>
      <c r="HJ30" s="77"/>
      <c r="HK30" s="77"/>
      <c r="HL30" s="77"/>
      <c r="HM30" s="77"/>
      <c r="HN30" s="77"/>
      <c r="HO30" s="77"/>
      <c r="HP30" s="77"/>
      <c r="HQ30" s="77"/>
      <c r="HR30" s="77"/>
      <c r="HS30" s="77"/>
      <c r="HT30" s="77"/>
      <c r="HU30" s="77"/>
      <c r="HV30" s="77"/>
      <c r="HW30" s="77"/>
      <c r="HX30" s="77"/>
      <c r="HY30" s="77"/>
      <c r="HZ30" s="77"/>
      <c r="IA30" s="77"/>
      <c r="IB30" s="77"/>
      <c r="IC30" s="77"/>
      <c r="IF30" s="77"/>
      <c r="IG30" s="77"/>
      <c r="IH30" s="77"/>
      <c r="II30" s="77"/>
      <c r="IJ30" s="77"/>
      <c r="IK30" s="77"/>
      <c r="IL30" s="77"/>
      <c r="IM30" s="77"/>
      <c r="IN30" s="77"/>
      <c r="IO30" s="77"/>
      <c r="IP30" s="77"/>
      <c r="IQ30" s="77"/>
      <c r="IR30" s="77"/>
      <c r="IS30" s="77"/>
      <c r="IT30" s="77"/>
      <c r="IU30" s="77"/>
      <c r="IV30" s="77"/>
      <c r="IW30" s="77"/>
      <c r="IX30" s="77"/>
      <c r="IY30" s="77"/>
      <c r="IZ30" s="77"/>
      <c r="JA30" s="77"/>
      <c r="JB30" s="77"/>
      <c r="JC30" s="77"/>
      <c r="JD30" s="77"/>
      <c r="JE30" s="77"/>
      <c r="JF30" s="77"/>
      <c r="JG30" s="77"/>
      <c r="JH30" s="77"/>
      <c r="JI30" s="77"/>
      <c r="JJ30" s="77"/>
      <c r="JK30" s="77"/>
      <c r="JL30" s="77"/>
      <c r="JM30" s="77"/>
      <c r="JN30" s="77"/>
      <c r="JO30" s="77"/>
      <c r="JP30" s="77"/>
      <c r="JQ30" s="77"/>
      <c r="JR30" s="77"/>
      <c r="JS30" s="77"/>
      <c r="JT30" s="77"/>
      <c r="JU30" s="77"/>
      <c r="JV30" s="77"/>
      <c r="JW30" s="77"/>
      <c r="JX30" s="77"/>
      <c r="JY30" s="77"/>
      <c r="JZ30" s="77"/>
      <c r="KA30" s="77"/>
      <c r="KB30" s="77"/>
      <c r="KC30" s="77"/>
      <c r="KD30" s="77"/>
      <c r="KE30" s="77"/>
      <c r="KF30" s="77"/>
      <c r="KG30" s="77"/>
      <c r="KH30" s="77"/>
      <c r="KI30" s="77"/>
      <c r="KJ30" s="77"/>
      <c r="KK30" s="77"/>
      <c r="KL30" s="77"/>
      <c r="LL30" s="77"/>
      <c r="LM30" s="77"/>
      <c r="LN30" s="77"/>
      <c r="LO30" s="77"/>
      <c r="LP30" s="77"/>
      <c r="LQ30" s="77"/>
      <c r="LR30" s="77"/>
      <c r="LS30" s="77"/>
      <c r="LT30" s="77"/>
      <c r="LU30" s="77"/>
      <c r="LV30" s="77"/>
      <c r="LW30" s="77"/>
      <c r="LX30" s="77"/>
      <c r="ND30" s="77"/>
    </row>
    <row r="31" spans="1:368" ht="18.600000000000001" customHeight="1" x14ac:dyDescent="0.25">
      <c r="A31" s="119" t="s">
        <v>704</v>
      </c>
      <c r="B31" s="27" t="s">
        <v>2767</v>
      </c>
      <c r="C31" s="27" t="s">
        <v>6437</v>
      </c>
      <c r="D31" s="30" t="str">
        <f>HYPERLINK("https://twitter.com/pcmperu","https://twitter.com/pcmperu")</f>
        <v>https://twitter.com/pcmperu</v>
      </c>
      <c r="E31" s="30" t="str">
        <f>HYPERLINK("http://twiplomacy.com/info/south-america/Peru","http://twiplomacy.com/info/south-america/Peru")</f>
        <v>http://twiplomacy.com/info/south-america/Peru</v>
      </c>
      <c r="F31" s="10" t="s">
        <v>668</v>
      </c>
      <c r="G31" s="10" t="s">
        <v>701</v>
      </c>
      <c r="H31" s="10" t="s">
        <v>788</v>
      </c>
      <c r="I31" s="10" t="s">
        <v>782</v>
      </c>
      <c r="J31" s="27" t="s">
        <v>2226</v>
      </c>
      <c r="K31" s="15" t="s">
        <v>777</v>
      </c>
      <c r="L31" s="10" t="s">
        <v>771</v>
      </c>
      <c r="M31" s="10" t="s">
        <v>770</v>
      </c>
      <c r="N31" s="30" t="str">
        <f>HYPERLINK("https://twitter.com/pcmperu/statuses/20996198569","https://twitter.com/pcmperu/statuses/20996198569")</f>
        <v>https://twitter.com/pcmperu/statuses/20996198569</v>
      </c>
      <c r="O31" s="27" t="s">
        <v>6005</v>
      </c>
      <c r="P31" s="80">
        <v>82</v>
      </c>
      <c r="Q31" s="80">
        <v>0</v>
      </c>
      <c r="R31" s="27" t="s">
        <v>2995</v>
      </c>
      <c r="S31" s="30" t="str">
        <f>HYPERLINK("https://twitter.com/pcmperu/lists","https://twitter.com/pcmperu/lists")</f>
        <v>https://twitter.com/pcmperu/lists</v>
      </c>
      <c r="T31" s="10">
        <v>2</v>
      </c>
      <c r="U31" s="10">
        <v>3</v>
      </c>
      <c r="V31" s="10" t="s">
        <v>771</v>
      </c>
      <c r="W31" s="10"/>
      <c r="X31" s="27" t="s">
        <v>704</v>
      </c>
      <c r="Y31" s="27" t="s">
        <v>2767</v>
      </c>
      <c r="Z31" s="80">
        <v>23231</v>
      </c>
      <c r="AA31" s="27">
        <v>695</v>
      </c>
      <c r="AB31" s="80">
        <v>182972</v>
      </c>
      <c r="AC31" s="27">
        <v>4295</v>
      </c>
      <c r="AD31" s="27" t="s">
        <v>4239</v>
      </c>
      <c r="AE31" s="27">
        <v>173020528</v>
      </c>
      <c r="AF31" s="27" t="s">
        <v>6437</v>
      </c>
      <c r="AG31" s="27" t="s">
        <v>2768</v>
      </c>
      <c r="AH31" s="79">
        <v>11.053282588011401</v>
      </c>
      <c r="AI31" s="83">
        <v>21.025974025974001</v>
      </c>
      <c r="AJ31" s="80">
        <v>6.7155858930603003</v>
      </c>
      <c r="AK31" s="80">
        <v>6.56769055745165</v>
      </c>
      <c r="AL31" s="27">
        <v>10</v>
      </c>
      <c r="AM31" s="97">
        <f t="shared" si="0"/>
        <v>3.1250000000000002E-3</v>
      </c>
      <c r="AN31" s="27" t="s">
        <v>704</v>
      </c>
      <c r="AO31" s="27">
        <v>31</v>
      </c>
      <c r="AP31" s="27">
        <v>3</v>
      </c>
      <c r="AQ31" s="27">
        <v>4</v>
      </c>
      <c r="AR31" s="27">
        <f>SUM(AO31:AQ31)</f>
        <v>38</v>
      </c>
      <c r="AS31" s="27" t="s">
        <v>6658</v>
      </c>
      <c r="AT31" s="27" t="s">
        <v>5384</v>
      </c>
      <c r="AU31" s="84" t="s">
        <v>6524</v>
      </c>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16"/>
      <c r="ER31" s="77"/>
      <c r="ES31" s="77"/>
      <c r="ET31" s="77"/>
      <c r="EU31" s="77"/>
      <c r="EV31" s="77"/>
      <c r="EW31" s="77"/>
      <c r="EX31" s="77"/>
      <c r="EY31" s="77"/>
      <c r="EZ31" s="77"/>
      <c r="FA31" s="77"/>
      <c r="FB31" s="77"/>
      <c r="FC31" s="77"/>
      <c r="FD31" s="77"/>
      <c r="FE31" s="77"/>
      <c r="FF31" s="77"/>
      <c r="FG31" s="77"/>
      <c r="FH31" s="77"/>
      <c r="FI31" s="77"/>
      <c r="FJ31" s="77"/>
      <c r="FK31" s="77"/>
      <c r="FL31" s="77"/>
      <c r="FM31" s="77"/>
      <c r="FN31" s="77"/>
      <c r="FO31" s="77"/>
      <c r="FP31" s="77"/>
      <c r="FQ31" s="77"/>
      <c r="FR31" s="77"/>
      <c r="FS31" s="77"/>
      <c r="FT31" s="77"/>
      <c r="FU31" s="77"/>
      <c r="FV31" s="77"/>
      <c r="FW31" s="77"/>
      <c r="FX31" s="77"/>
      <c r="FY31" s="77"/>
      <c r="FZ31" s="77"/>
      <c r="GA31" s="77"/>
      <c r="GB31" s="77"/>
      <c r="GC31" s="77"/>
      <c r="GD31" s="77"/>
      <c r="GE31" s="77"/>
      <c r="GF31" s="77"/>
      <c r="GG31" s="77"/>
      <c r="GH31" s="77"/>
      <c r="GI31" s="77"/>
      <c r="GJ31" s="77"/>
      <c r="GK31" s="77"/>
      <c r="GL31" s="77"/>
      <c r="GM31" s="77"/>
      <c r="GN31" s="77"/>
      <c r="GO31" s="77"/>
      <c r="GP31" s="77"/>
      <c r="GQ31" s="77"/>
      <c r="GR31" s="77"/>
      <c r="GS31" s="77"/>
      <c r="GT31" s="77"/>
      <c r="GU31" s="77"/>
      <c r="GV31" s="77"/>
      <c r="GW31" s="77"/>
      <c r="GX31" s="77"/>
      <c r="GY31" s="77"/>
      <c r="GZ31" s="77"/>
      <c r="HA31" s="77"/>
      <c r="HB31" s="77"/>
      <c r="HC31" s="77"/>
      <c r="HD31" s="77"/>
      <c r="HE31" s="77"/>
      <c r="HF31" s="77"/>
      <c r="HG31" s="77"/>
      <c r="HH31" s="77"/>
      <c r="HI31" s="77"/>
      <c r="HJ31" s="77"/>
      <c r="HK31" s="77"/>
      <c r="HL31" s="77"/>
      <c r="HM31" s="77"/>
      <c r="HN31" s="77"/>
      <c r="HO31" s="77"/>
      <c r="HP31" s="77"/>
      <c r="HQ31" s="77"/>
      <c r="HR31" s="77"/>
      <c r="HS31" s="77"/>
      <c r="HT31" s="77"/>
      <c r="HU31" s="77"/>
      <c r="HV31" s="77"/>
      <c r="HW31" s="77"/>
      <c r="HX31" s="77"/>
      <c r="HY31" s="77"/>
      <c r="HZ31" s="77"/>
      <c r="IA31" s="77"/>
      <c r="IB31" s="77"/>
      <c r="IC31" s="77"/>
      <c r="ID31" s="77"/>
      <c r="IE31" s="77"/>
      <c r="KM31" s="77"/>
      <c r="KN31" s="77"/>
      <c r="KO31" s="77"/>
      <c r="KP31" s="77"/>
      <c r="KQ31" s="77"/>
      <c r="KR31" s="77"/>
      <c r="KS31" s="77"/>
      <c r="KT31" s="77"/>
      <c r="KU31" s="77"/>
      <c r="KV31" s="77"/>
      <c r="KW31" s="77"/>
      <c r="KX31" s="77"/>
      <c r="KY31" s="77"/>
      <c r="KZ31" s="77"/>
      <c r="LA31" s="77"/>
      <c r="LB31" s="77"/>
      <c r="LC31" s="77"/>
      <c r="LD31" s="77"/>
      <c r="LE31" s="77"/>
      <c r="LF31" s="77"/>
      <c r="LG31" s="77"/>
      <c r="LH31" s="77"/>
      <c r="LI31" s="77"/>
      <c r="LJ31" s="77"/>
      <c r="LK31" s="77"/>
      <c r="LL31" s="77"/>
      <c r="LM31" s="77"/>
      <c r="LN31" s="77"/>
      <c r="LO31" s="77"/>
      <c r="LP31" s="77"/>
      <c r="LQ31" s="77"/>
      <c r="LR31" s="77"/>
      <c r="LS31" s="77"/>
      <c r="LT31" s="77"/>
      <c r="LU31" s="77"/>
      <c r="LV31" s="77"/>
    </row>
    <row r="32" spans="1:368" ht="18.600000000000001" customHeight="1" x14ac:dyDescent="0.25">
      <c r="A32" s="119" t="s">
        <v>705</v>
      </c>
      <c r="B32" s="27" t="s">
        <v>2769</v>
      </c>
      <c r="C32" s="27" t="s">
        <v>3561</v>
      </c>
      <c r="D32" s="30" t="str">
        <f>HYPERLINK("https://twitter.com/CancilleriaPeru","https://twitter.com/CancilleriaPeru")</f>
        <v>https://twitter.com/CancilleriaPeru</v>
      </c>
      <c r="E32" s="30" t="str">
        <f>HYPERLINK("http://twiplomacy.com/info/south-america/Peru","http://twiplomacy.com/info/south-america/Peru")</f>
        <v>http://twiplomacy.com/info/south-america/Peru</v>
      </c>
      <c r="F32" s="10" t="s">
        <v>668</v>
      </c>
      <c r="G32" s="10" t="s">
        <v>701</v>
      </c>
      <c r="H32" s="10" t="s">
        <v>795</v>
      </c>
      <c r="I32" s="10" t="s">
        <v>782</v>
      </c>
      <c r="J32" s="27" t="s">
        <v>2226</v>
      </c>
      <c r="K32" s="15" t="s">
        <v>777</v>
      </c>
      <c r="L32" s="10" t="s">
        <v>771</v>
      </c>
      <c r="M32" s="10" t="s">
        <v>770</v>
      </c>
      <c r="N32" s="30" t="str">
        <f>HYPERLINK("https://twitter.com/CancilleriaPeru/statuses/11674423529","https://twitter.com/CancilleriaPeru/statuses/11674423529")</f>
        <v>https://twitter.com/CancilleriaPeru/statuses/11674423529</v>
      </c>
      <c r="O32" s="30" t="str">
        <f>HYPERLINK("https://twitter.com/CancilleriaPeru/statuses/427843615964946432","https://twitter.com/CancilleriaPeru/statuses/427843615964946432")</f>
        <v>https://twitter.com/CancilleriaPeru/statuses/427843615964946432</v>
      </c>
      <c r="P32" s="46">
        <v>406</v>
      </c>
      <c r="Q32" s="46">
        <v>112</v>
      </c>
      <c r="R32" s="27" t="s">
        <v>2994</v>
      </c>
      <c r="S32" s="30" t="str">
        <f>HYPERLINK("https://twitter.com/CancilleriaPeru/lists","https://twitter.com/CancilleriaPeru/lists")</f>
        <v>https://twitter.com/CancilleriaPeru/lists</v>
      </c>
      <c r="T32" s="10">
        <v>1</v>
      </c>
      <c r="U32" s="10">
        <v>4</v>
      </c>
      <c r="V32" s="30" t="str">
        <f>HYPERLINK("https://twitter.com/CancilleriaPeru/lists/misiones-diplom%C3%A1ticas","https://twitter.com/CancilleriaPeru/lists/misiones-diplom%C3%A1ticas")</f>
        <v>https://twitter.com/CancilleriaPeru/lists/misiones-diplom%C3%A1ticas</v>
      </c>
      <c r="W32" s="10">
        <v>38</v>
      </c>
      <c r="X32" s="27" t="s">
        <v>705</v>
      </c>
      <c r="Y32" s="27" t="s">
        <v>2769</v>
      </c>
      <c r="Z32" s="80">
        <v>22933</v>
      </c>
      <c r="AA32" s="27">
        <v>2949</v>
      </c>
      <c r="AB32" s="80">
        <v>128323</v>
      </c>
      <c r="AC32" s="27">
        <v>2367</v>
      </c>
      <c r="AD32" s="27" t="s">
        <v>3562</v>
      </c>
      <c r="AE32" s="27">
        <v>87808060</v>
      </c>
      <c r="AF32" s="27" t="s">
        <v>3561</v>
      </c>
      <c r="AG32" s="27" t="s">
        <v>3563</v>
      </c>
      <c r="AH32" s="79">
        <v>9.6789029535864994</v>
      </c>
      <c r="AI32" s="83">
        <v>14.410714285714301</v>
      </c>
      <c r="AJ32" s="80">
        <v>5.2054074352234299</v>
      </c>
      <c r="AK32" s="80">
        <v>4.44986856928276</v>
      </c>
      <c r="AL32" s="27">
        <v>60</v>
      </c>
      <c r="AM32" s="97">
        <f t="shared" si="0"/>
        <v>1.8749999999999999E-2</v>
      </c>
      <c r="AN32" s="27" t="s">
        <v>705</v>
      </c>
      <c r="AO32" s="27">
        <v>509</v>
      </c>
      <c r="AP32" s="27">
        <v>0</v>
      </c>
      <c r="AQ32" s="27">
        <v>75</v>
      </c>
      <c r="AR32" s="27">
        <f>SUM(AO32:AQ32)</f>
        <v>584</v>
      </c>
      <c r="AS32" s="39" t="s">
        <v>6929</v>
      </c>
      <c r="AT32" s="27"/>
      <c r="AU32" s="84" t="s">
        <v>6473</v>
      </c>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GL32" s="77"/>
      <c r="GM32" s="77"/>
      <c r="GN32" s="77"/>
      <c r="GO32" s="77"/>
      <c r="GP32" s="77"/>
      <c r="GQ32" s="77"/>
      <c r="GR32" s="77"/>
      <c r="GS32" s="77"/>
      <c r="GT32" s="77"/>
      <c r="GU32" s="77"/>
      <c r="GV32" s="77"/>
      <c r="GW32" s="77"/>
      <c r="GX32" s="77"/>
      <c r="GY32" s="77"/>
      <c r="GZ32" s="77"/>
      <c r="HA32" s="77"/>
      <c r="HB32" s="77"/>
      <c r="HC32" s="77"/>
      <c r="HD32" s="77"/>
      <c r="HE32" s="77"/>
      <c r="HF32" s="77"/>
      <c r="HG32" s="77"/>
      <c r="HH32" s="77"/>
      <c r="HI32" s="77"/>
      <c r="HJ32" s="77"/>
      <c r="HK32" s="77"/>
      <c r="ID32" s="77"/>
      <c r="IE32" s="77"/>
      <c r="IF32" s="77"/>
      <c r="IG32" s="77"/>
      <c r="IH32" s="77"/>
      <c r="II32" s="77"/>
      <c r="IJ32" s="77"/>
      <c r="IK32" s="77"/>
      <c r="IL32" s="77"/>
      <c r="IM32" s="77"/>
      <c r="IN32" s="77"/>
      <c r="IO32" s="77"/>
      <c r="IP32" s="77"/>
      <c r="IQ32" s="77"/>
      <c r="IR32" s="77"/>
      <c r="IS32" s="77"/>
      <c r="IT32" s="77"/>
      <c r="IU32" s="77"/>
      <c r="IV32" s="77"/>
      <c r="IW32" s="77"/>
      <c r="IX32" s="77"/>
      <c r="IY32" s="77"/>
      <c r="IZ32" s="77"/>
      <c r="JA32" s="77"/>
      <c r="JB32" s="77"/>
      <c r="JC32" s="77"/>
      <c r="JD32" s="77"/>
      <c r="JE32" s="77"/>
      <c r="JF32" s="77"/>
      <c r="JG32" s="77"/>
      <c r="JH32" s="77"/>
      <c r="JI32" s="77"/>
      <c r="JJ32" s="77"/>
      <c r="JK32" s="77"/>
      <c r="JL32" s="77"/>
      <c r="JM32" s="77"/>
      <c r="JN32" s="77"/>
      <c r="JO32" s="77"/>
      <c r="JP32" s="77"/>
      <c r="JQ32" s="77"/>
      <c r="JR32" s="77"/>
      <c r="JS32" s="77"/>
      <c r="JT32" s="77"/>
      <c r="JU32" s="77"/>
      <c r="JV32" s="77"/>
      <c r="JW32" s="77"/>
      <c r="JX32" s="77"/>
      <c r="JY32" s="77"/>
      <c r="JZ32" s="77"/>
      <c r="KA32" s="77"/>
      <c r="KB32" s="77"/>
      <c r="KC32" s="77"/>
      <c r="KD32" s="77"/>
      <c r="KE32" s="77"/>
      <c r="KF32" s="77"/>
      <c r="KG32" s="77"/>
      <c r="KH32" s="77"/>
      <c r="KI32" s="77"/>
      <c r="KJ32" s="77"/>
      <c r="KK32" s="77"/>
      <c r="KL32" s="77"/>
      <c r="LW32" s="77"/>
      <c r="LX32" s="77"/>
      <c r="ND32" s="16"/>
    </row>
    <row r="33" spans="1:368" ht="18.600000000000001" customHeight="1" x14ac:dyDescent="0.25">
      <c r="A33" s="119" t="s">
        <v>2162</v>
      </c>
      <c r="B33" s="27" t="s">
        <v>2163</v>
      </c>
      <c r="C33" s="27" t="s">
        <v>6420</v>
      </c>
      <c r="D33" s="30" t="str">
        <f>HYPERLINK("https://twitter.com/mfa_russia","https://twitter.com/mfa_russia")</f>
        <v>https://twitter.com/mfa_russia</v>
      </c>
      <c r="E33" s="30" t="str">
        <f>HYPERLINK("http://twiplomacy.com/info/europe/Russia","http://twiplomacy.com/info/europe/Russia")</f>
        <v>http://twiplomacy.com/info/europe/Russia</v>
      </c>
      <c r="F33" s="10" t="s">
        <v>332</v>
      </c>
      <c r="G33" s="10" t="s">
        <v>496</v>
      </c>
      <c r="H33" s="10" t="s">
        <v>795</v>
      </c>
      <c r="I33" s="10" t="s">
        <v>782</v>
      </c>
      <c r="J33" s="27" t="s">
        <v>1420</v>
      </c>
      <c r="K33" s="15" t="s">
        <v>777</v>
      </c>
      <c r="L33" s="10" t="s">
        <v>771</v>
      </c>
      <c r="M33" s="10" t="s">
        <v>770</v>
      </c>
      <c r="N33" s="30" t="str">
        <f>HYPERLINK("https://twitter.com/mfa_russia/statuses/83789018361364480","https://twitter.com/mfa_russia/statuses/83789018361364480")</f>
        <v>https://twitter.com/mfa_russia/statuses/83789018361364480</v>
      </c>
      <c r="O33" s="30" t="str">
        <f>HYPERLINK("https://twitter.com/mfa_russia/statuses/444458229859225600","https://twitter.com/mfa_russia/statuses/444458229859225600")</f>
        <v>https://twitter.com/mfa_russia/statuses/444458229859225600</v>
      </c>
      <c r="P33" s="46">
        <v>691</v>
      </c>
      <c r="Q33" s="46">
        <v>245</v>
      </c>
      <c r="R33" s="27" t="s">
        <v>2994</v>
      </c>
      <c r="S33" s="30" t="str">
        <f>HYPERLINK("https://twitter.com/mfa_russia/lists","https://twitter.com/mfa_russia/lists")</f>
        <v>https://twitter.com/mfa_russia/lists</v>
      </c>
      <c r="T33" s="10">
        <v>19</v>
      </c>
      <c r="U33" s="10" t="s">
        <v>771</v>
      </c>
      <c r="V33" s="30" t="str">
        <f>HYPERLINK("https://twitter.com/mfa_russia/lists/russian-representations/members","https://twitter.com/mfa_russia/lists/russian-representations/members")</f>
        <v>https://twitter.com/mfa_russia/lists/russian-representations/members</v>
      </c>
      <c r="W33" s="10">
        <v>243</v>
      </c>
      <c r="X33" s="27" t="s">
        <v>2162</v>
      </c>
      <c r="Y33" s="27" t="s">
        <v>2163</v>
      </c>
      <c r="Z33" s="80">
        <v>22928</v>
      </c>
      <c r="AA33" s="27">
        <v>1027</v>
      </c>
      <c r="AB33" s="80">
        <v>111404</v>
      </c>
      <c r="AC33" s="27">
        <v>653</v>
      </c>
      <c r="AD33" s="27" t="s">
        <v>4062</v>
      </c>
      <c r="AE33" s="27">
        <v>255471924</v>
      </c>
      <c r="AF33" s="27" t="s">
        <v>6420</v>
      </c>
      <c r="AG33" s="27" t="s">
        <v>496</v>
      </c>
      <c r="AH33" s="79">
        <v>12.088033737480201</v>
      </c>
      <c r="AI33" s="83">
        <v>19.993827160493801</v>
      </c>
      <c r="AJ33" s="80">
        <v>28.059800664451799</v>
      </c>
      <c r="AK33" s="80">
        <v>14.209302325581399</v>
      </c>
      <c r="AL33" s="27">
        <v>4</v>
      </c>
      <c r="AM33" s="97">
        <f t="shared" si="0"/>
        <v>1.25E-3</v>
      </c>
      <c r="AN33" s="27" t="s">
        <v>2162</v>
      </c>
      <c r="AO33" s="27">
        <v>127</v>
      </c>
      <c r="AP33" s="27">
        <v>21</v>
      </c>
      <c r="AQ33" s="27">
        <v>112</v>
      </c>
      <c r="AR33" s="27">
        <f>SUM(AO33:AQ33)</f>
        <v>260</v>
      </c>
      <c r="AS33" s="27" t="s">
        <v>6653</v>
      </c>
      <c r="AT33" s="27" t="s">
        <v>5295</v>
      </c>
      <c r="AU33" s="84" t="s">
        <v>6506</v>
      </c>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HL33" s="77"/>
      <c r="HM33" s="77"/>
      <c r="HN33" s="77"/>
      <c r="HO33" s="77"/>
      <c r="HP33" s="77"/>
      <c r="HQ33" s="77"/>
      <c r="HR33" s="77"/>
      <c r="HS33" s="77"/>
      <c r="HT33" s="77"/>
      <c r="HU33" s="77"/>
      <c r="HV33" s="77"/>
      <c r="HW33" s="77"/>
      <c r="HX33" s="77"/>
      <c r="HY33" s="77"/>
      <c r="HZ33" s="77"/>
      <c r="IA33" s="77"/>
      <c r="IB33" s="77"/>
      <c r="IC33" s="77"/>
      <c r="ID33" s="77"/>
      <c r="IE33" s="77"/>
      <c r="LL33" s="77"/>
      <c r="LM33" s="77"/>
      <c r="LN33" s="77"/>
      <c r="LO33" s="77"/>
      <c r="LP33" s="77"/>
      <c r="LQ33" s="77"/>
      <c r="LR33" s="77"/>
      <c r="LS33" s="77"/>
      <c r="LT33" s="77"/>
      <c r="LU33" s="77"/>
      <c r="LV33" s="77"/>
      <c r="LW33" s="77"/>
      <c r="LX33" s="77"/>
    </row>
    <row r="34" spans="1:368" ht="18.600000000000001" customHeight="1" x14ac:dyDescent="0.25">
      <c r="A34" s="119" t="s">
        <v>207</v>
      </c>
      <c r="B34" s="27" t="s">
        <v>1359</v>
      </c>
      <c r="C34" s="27" t="s">
        <v>6402</v>
      </c>
      <c r="D34" s="30" t="str">
        <f>HYPERLINK("https://twitter.com/Israel","https://twitter.com/Israel")</f>
        <v>https://twitter.com/Israel</v>
      </c>
      <c r="E34" s="30" t="str">
        <f>HYPERLINK("http://twiplomacy.com/info/asia/Israel","http://twiplomacy.com/info/asia/Israel")</f>
        <v>http://twiplomacy.com/info/asia/Israel</v>
      </c>
      <c r="F34" s="10" t="s">
        <v>154</v>
      </c>
      <c r="G34" s="10" t="s">
        <v>207</v>
      </c>
      <c r="H34" s="10" t="s">
        <v>795</v>
      </c>
      <c r="I34" s="10" t="s">
        <v>782</v>
      </c>
      <c r="J34" s="27" t="s">
        <v>789</v>
      </c>
      <c r="K34" s="15" t="s">
        <v>777</v>
      </c>
      <c r="L34" s="10" t="s">
        <v>771</v>
      </c>
      <c r="M34" s="10" t="s">
        <v>770</v>
      </c>
      <c r="N34" s="30" t="str">
        <f>HYPERLINK("https://twitter.com/Israel/statuses/2417273993","https://twitter.com/Israel/statuses/2417273993")</f>
        <v>https://twitter.com/Israel/statuses/2417273993</v>
      </c>
      <c r="O34" s="20" t="s">
        <v>1360</v>
      </c>
      <c r="P34" s="46">
        <v>1918</v>
      </c>
      <c r="Q34" s="46">
        <v>956</v>
      </c>
      <c r="R34" s="27" t="s">
        <v>2994</v>
      </c>
      <c r="S34" s="30" t="str">
        <f>HYPERLINK("https://twitter.com/Israel/lists","https://twitter.com/Israel/lists")</f>
        <v>https://twitter.com/Israel/lists</v>
      </c>
      <c r="T34" s="10">
        <v>16</v>
      </c>
      <c r="U34" s="10">
        <v>1</v>
      </c>
      <c r="V34" s="30" t="str">
        <f>HYPERLINK("https://twitter.com/Israel/mfa-missions/members","https://twitter.com/Israel/mfa-missions/members")</f>
        <v>https://twitter.com/Israel/mfa-missions/members</v>
      </c>
      <c r="W34" s="10">
        <v>114</v>
      </c>
      <c r="X34" s="27" t="s">
        <v>207</v>
      </c>
      <c r="Y34" s="27" t="s">
        <v>1359</v>
      </c>
      <c r="Z34" s="80">
        <v>22851</v>
      </c>
      <c r="AA34" s="27">
        <v>5144</v>
      </c>
      <c r="AB34" s="80">
        <v>313935</v>
      </c>
      <c r="AC34" s="27">
        <v>545</v>
      </c>
      <c r="AD34" s="27" t="s">
        <v>3848</v>
      </c>
      <c r="AE34" s="27">
        <v>52660746</v>
      </c>
      <c r="AF34" s="27" t="s">
        <v>6402</v>
      </c>
      <c r="AG34" s="27" t="s">
        <v>1350</v>
      </c>
      <c r="AH34" s="79">
        <v>9.1513816579895906</v>
      </c>
      <c r="AI34" s="83">
        <v>5.9907063197025998</v>
      </c>
      <c r="AJ34" s="80">
        <v>39.5869082840237</v>
      </c>
      <c r="AK34" s="80">
        <v>45.040680473372802</v>
      </c>
      <c r="AL34" s="27">
        <v>39</v>
      </c>
      <c r="AM34" s="97">
        <f t="shared" si="0"/>
        <v>1.21875E-2</v>
      </c>
      <c r="AN34" s="27" t="s">
        <v>207</v>
      </c>
      <c r="AO34" s="27">
        <v>96</v>
      </c>
      <c r="AP34" s="27">
        <v>11</v>
      </c>
      <c r="AQ34" s="27">
        <v>56</v>
      </c>
      <c r="AR34" s="27">
        <f>SUM(AO34:AQ34)</f>
        <v>163</v>
      </c>
      <c r="AS34" s="27" t="s">
        <v>6572</v>
      </c>
      <c r="AT34" s="27" t="s">
        <v>6297</v>
      </c>
      <c r="AU34" s="84" t="s">
        <v>6160</v>
      </c>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GA34" s="77"/>
      <c r="GB34" s="77"/>
      <c r="GC34" s="77"/>
      <c r="GD34" s="77"/>
      <c r="GE34" s="77"/>
      <c r="GF34" s="77"/>
      <c r="GG34" s="77"/>
      <c r="GH34" s="77"/>
      <c r="GI34" s="77"/>
      <c r="GJ34" s="77"/>
      <c r="GK34" s="77"/>
      <c r="ID34" s="77"/>
      <c r="IE34" s="77"/>
      <c r="IF34" s="77"/>
      <c r="IG34" s="77"/>
      <c r="IH34" s="77"/>
      <c r="II34" s="77"/>
      <c r="IJ34" s="77"/>
      <c r="IK34" s="77"/>
      <c r="IL34" s="77"/>
      <c r="IM34" s="77"/>
      <c r="IN34" s="77"/>
      <c r="IO34" s="77"/>
      <c r="IP34" s="77"/>
      <c r="IQ34" s="77"/>
      <c r="IR34" s="77"/>
      <c r="IS34" s="77"/>
      <c r="IT34" s="77"/>
      <c r="IU34" s="77"/>
      <c r="IV34" s="77"/>
      <c r="IW34" s="77"/>
      <c r="IX34" s="77"/>
      <c r="IY34" s="77"/>
      <c r="IZ34" s="77"/>
      <c r="JA34" s="77"/>
      <c r="JB34" s="77"/>
      <c r="JC34" s="77"/>
      <c r="JD34" s="77"/>
      <c r="JE34" s="77"/>
      <c r="JF34" s="77"/>
      <c r="JG34" s="77"/>
      <c r="JH34" s="77"/>
      <c r="JI34" s="77"/>
      <c r="JJ34" s="77"/>
      <c r="JK34" s="77"/>
      <c r="JL34" s="77"/>
      <c r="JM34" s="77"/>
      <c r="JN34" s="77"/>
      <c r="JO34" s="77"/>
      <c r="JP34" s="77"/>
      <c r="JQ34" s="77"/>
      <c r="JR34" s="77"/>
      <c r="JS34" s="77"/>
      <c r="JT34" s="77"/>
      <c r="JU34" s="77"/>
      <c r="JV34" s="77"/>
      <c r="JW34" s="77"/>
      <c r="JX34" s="77"/>
      <c r="JY34" s="77"/>
      <c r="JZ34" s="77"/>
      <c r="KA34" s="77"/>
      <c r="KB34" s="77"/>
      <c r="KC34" s="77"/>
      <c r="KD34" s="77"/>
      <c r="KE34" s="77"/>
      <c r="KF34" s="77"/>
      <c r="KG34" s="77"/>
      <c r="KH34" s="77"/>
      <c r="KI34" s="77"/>
      <c r="KJ34" s="77"/>
      <c r="KK34" s="77"/>
      <c r="KL34" s="77"/>
      <c r="LW34" s="77"/>
      <c r="LX34" s="77"/>
      <c r="LY34" s="77"/>
      <c r="LZ34" s="77"/>
      <c r="MA34" s="77"/>
      <c r="MB34" s="77"/>
      <c r="MC34" s="77"/>
      <c r="MD34" s="77"/>
      <c r="ME34" s="77"/>
      <c r="MF34" s="77"/>
      <c r="MG34" s="77"/>
      <c r="MH34" s="77"/>
      <c r="MI34" s="77"/>
      <c r="MJ34" s="77"/>
      <c r="MK34" s="77"/>
      <c r="ML34" s="77"/>
      <c r="MM34" s="77"/>
      <c r="MN34" s="77"/>
      <c r="MO34" s="77"/>
      <c r="MP34" s="77"/>
      <c r="MQ34" s="77"/>
      <c r="MR34" s="77"/>
      <c r="MT34" s="77"/>
      <c r="MU34" s="77"/>
      <c r="MV34" s="77"/>
      <c r="MW34" s="77"/>
      <c r="MX34" s="77"/>
      <c r="MY34" s="77"/>
      <c r="MZ34" s="77"/>
      <c r="NA34" s="77"/>
      <c r="NB34" s="77"/>
      <c r="NC34" s="77"/>
    </row>
    <row r="35" spans="1:368" ht="18.600000000000001" customHeight="1" x14ac:dyDescent="0.25">
      <c r="A35" s="119" t="s">
        <v>708</v>
      </c>
      <c r="B35" s="27" t="s">
        <v>2772</v>
      </c>
      <c r="C35" s="27" t="s">
        <v>6451</v>
      </c>
      <c r="D35" s="30" t="str">
        <f>HYPERLINK("https://twitter.com/Scpresidenciauy","https://twitter.com/SCpresidenciauy")</f>
        <v>https://twitter.com/SCpresidenciauy</v>
      </c>
      <c r="E35" s="30" t="str">
        <f>HYPERLINK("http://twiplomacy.com/info/south-america/Uruguay","http://twiplomacy.com/info/south-america/Uruguay")</f>
        <v>http://twiplomacy.com/info/south-america/Uruguay</v>
      </c>
      <c r="F35" s="10" t="s">
        <v>668</v>
      </c>
      <c r="G35" s="10" t="s">
        <v>706</v>
      </c>
      <c r="H35" s="10" t="s">
        <v>781</v>
      </c>
      <c r="I35" s="10" t="s">
        <v>782</v>
      </c>
      <c r="J35" s="27" t="s">
        <v>2226</v>
      </c>
      <c r="K35" s="15" t="s">
        <v>777</v>
      </c>
      <c r="L35" s="10" t="s">
        <v>771</v>
      </c>
      <c r="M35" s="10" t="s">
        <v>770</v>
      </c>
      <c r="N35" s="30" t="str">
        <f>HYPERLINK("https://twitter.com/SCpresidenciauy/statuses/121180717467185152","https://twitter.com/SCpresidenciauy/statuses/121180717467185152")</f>
        <v>https://twitter.com/SCpresidenciauy/statuses/121180717467185152</v>
      </c>
      <c r="O35" s="27" t="s">
        <v>6086</v>
      </c>
      <c r="P35" s="80">
        <v>131</v>
      </c>
      <c r="Q35" s="80">
        <v>60</v>
      </c>
      <c r="R35" s="27" t="s">
        <v>2994</v>
      </c>
      <c r="S35" s="30" t="str">
        <f>HYPERLINK("https://twitter.com/SCpresidenciauy/lists","https://twitter.com/SCpresidenciauy/lists")</f>
        <v>https://twitter.com/SCpresidenciauy/lists</v>
      </c>
      <c r="T35" s="10" t="s">
        <v>771</v>
      </c>
      <c r="U35" s="10">
        <v>19</v>
      </c>
      <c r="V35" s="10" t="s">
        <v>771</v>
      </c>
      <c r="W35" s="10"/>
      <c r="X35" s="27" t="s">
        <v>708</v>
      </c>
      <c r="Y35" s="27" t="s">
        <v>2772</v>
      </c>
      <c r="Z35" s="80">
        <v>22795</v>
      </c>
      <c r="AA35" s="27">
        <v>821</v>
      </c>
      <c r="AB35" s="80">
        <v>63048</v>
      </c>
      <c r="AC35" s="27">
        <v>2261</v>
      </c>
      <c r="AD35" s="27" t="s">
        <v>4464</v>
      </c>
      <c r="AE35" s="27">
        <v>380961080</v>
      </c>
      <c r="AF35" s="27" t="s">
        <v>6451</v>
      </c>
      <c r="AG35" s="27" t="s">
        <v>2773</v>
      </c>
      <c r="AH35" s="79">
        <v>13.5765336509827</v>
      </c>
      <c r="AI35" s="83">
        <v>15.4428571428571</v>
      </c>
      <c r="AJ35" s="80">
        <v>6.3942111699959199</v>
      </c>
      <c r="AK35" s="80">
        <v>4.4415002038320397</v>
      </c>
      <c r="AL35" s="27">
        <v>228</v>
      </c>
      <c r="AM35" s="97">
        <f t="shared" si="0"/>
        <v>7.1249999999999994E-2</v>
      </c>
      <c r="AN35" s="27" t="s">
        <v>708</v>
      </c>
      <c r="AO35" s="27">
        <v>4</v>
      </c>
      <c r="AP35" s="27">
        <v>17</v>
      </c>
      <c r="AQ35" s="27">
        <v>6</v>
      </c>
      <c r="AR35" s="27">
        <f>SUM(AO35:AQ35)</f>
        <v>27</v>
      </c>
      <c r="AS35" s="27" t="s">
        <v>6624</v>
      </c>
      <c r="AT35" s="27" t="s">
        <v>5631</v>
      </c>
      <c r="AU35" s="84" t="s">
        <v>4948</v>
      </c>
      <c r="AV35" s="77"/>
      <c r="AW35" s="77"/>
      <c r="AX35" s="77"/>
      <c r="AY35" s="77"/>
      <c r="AZ35" s="77"/>
      <c r="BA35" s="77"/>
      <c r="BB35" s="77"/>
      <c r="BC35" s="77"/>
      <c r="BD35" s="77"/>
      <c r="BE35" s="77"/>
      <c r="BF35" s="77"/>
      <c r="BG35" s="77"/>
      <c r="BH35" s="77"/>
      <c r="BI35" s="77"/>
      <c r="BJ35" s="77"/>
      <c r="BK35" s="77"/>
      <c r="BL35" s="77"/>
      <c r="BM35" s="77"/>
      <c r="BN35" s="77"/>
      <c r="BO35" s="77"/>
      <c r="BP35" s="77"/>
      <c r="CC35" s="77"/>
      <c r="CD35" s="77"/>
      <c r="CE35" s="77"/>
      <c r="CF35" s="77"/>
      <c r="CG35" s="77"/>
      <c r="CH35" s="77"/>
      <c r="CI35" s="77"/>
      <c r="CJ35" s="77"/>
      <c r="CK35" s="16"/>
      <c r="CL35" s="16"/>
      <c r="CM35" s="16"/>
      <c r="CN35" s="16"/>
      <c r="CO35" s="16"/>
      <c r="CP35" s="16"/>
      <c r="CQ35" s="16"/>
      <c r="CR35" s="16"/>
      <c r="CS35" s="16"/>
      <c r="CT35" s="16"/>
      <c r="CU35" s="16"/>
      <c r="CV35" s="16"/>
      <c r="CW35" s="16"/>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c r="JG35" s="77"/>
      <c r="JH35" s="77"/>
      <c r="JI35" s="77"/>
      <c r="JJ35" s="77"/>
      <c r="JK35" s="77"/>
      <c r="JL35" s="77"/>
      <c r="JM35" s="77"/>
      <c r="JN35" s="77"/>
      <c r="JO35" s="77"/>
      <c r="JP35" s="77"/>
      <c r="JQ35" s="77"/>
      <c r="JR35" s="77"/>
      <c r="JS35" s="77"/>
      <c r="JT35" s="77"/>
      <c r="JU35" s="77"/>
      <c r="JV35" s="77"/>
      <c r="JW35" s="77"/>
      <c r="JX35" s="77"/>
      <c r="JY35" s="77"/>
      <c r="JZ35" s="77"/>
      <c r="KA35" s="77"/>
      <c r="KB35" s="77"/>
      <c r="KC35" s="77"/>
      <c r="KD35" s="77"/>
      <c r="KE35" s="77"/>
      <c r="KF35" s="77"/>
      <c r="KG35" s="77"/>
      <c r="KH35" s="77"/>
      <c r="KI35" s="77"/>
      <c r="KJ35" s="77"/>
      <c r="KK35" s="77"/>
      <c r="KL35" s="77"/>
      <c r="KM35" s="77"/>
      <c r="KN35" s="77"/>
      <c r="KO35" s="77"/>
      <c r="KP35" s="77"/>
      <c r="KQ35" s="77"/>
      <c r="KR35" s="77"/>
      <c r="KS35" s="77"/>
      <c r="KT35" s="77"/>
      <c r="KU35" s="77"/>
      <c r="KV35" s="77"/>
      <c r="KW35" s="77"/>
      <c r="KX35" s="77"/>
      <c r="KY35" s="77"/>
      <c r="KZ35" s="77"/>
      <c r="LA35" s="77"/>
      <c r="LB35" s="77"/>
      <c r="LC35" s="77"/>
      <c r="LD35" s="77"/>
      <c r="LE35" s="77"/>
      <c r="LF35" s="77"/>
      <c r="LG35" s="77"/>
      <c r="LH35" s="77"/>
      <c r="LI35" s="77"/>
      <c r="LJ35" s="77"/>
      <c r="LK35" s="77"/>
      <c r="LL35" s="77"/>
      <c r="LM35" s="77"/>
      <c r="LN35" s="77"/>
      <c r="LO35" s="77"/>
      <c r="LP35" s="77"/>
      <c r="LQ35" s="77"/>
      <c r="LR35" s="77"/>
      <c r="LS35" s="77"/>
      <c r="LT35" s="77"/>
      <c r="LU35" s="77"/>
      <c r="LV35" s="77"/>
    </row>
    <row r="36" spans="1:368" ht="18.600000000000001" customHeight="1" x14ac:dyDescent="0.25">
      <c r="A36" s="119" t="s">
        <v>400</v>
      </c>
      <c r="B36" s="27" t="s">
        <v>1896</v>
      </c>
      <c r="C36" s="27" t="s">
        <v>3705</v>
      </c>
      <c r="D36" s="30" t="str">
        <f>HYPERLINK("https://twitter.com/francediplo","https://twitter.com/francediplo")</f>
        <v>https://twitter.com/francediplo</v>
      </c>
      <c r="E36" s="30" t="str">
        <f>HYPERLINK("http://twiplomacy.com/info/europe/France","http://twiplomacy.com/info/europe/France")</f>
        <v>http://twiplomacy.com/info/europe/France</v>
      </c>
      <c r="F36" s="10" t="s">
        <v>332</v>
      </c>
      <c r="G36" s="10" t="s">
        <v>395</v>
      </c>
      <c r="H36" s="10" t="s">
        <v>795</v>
      </c>
      <c r="I36" s="10" t="s">
        <v>782</v>
      </c>
      <c r="J36" s="27" t="s">
        <v>779</v>
      </c>
      <c r="K36" s="15" t="s">
        <v>777</v>
      </c>
      <c r="L36" s="10" t="s">
        <v>771</v>
      </c>
      <c r="M36" s="10" t="s">
        <v>770</v>
      </c>
      <c r="N36" s="30" t="str">
        <f>HYPERLINK("https://twitter.com/francediplo/statuses/1476413603","https://twitter.com/francediplo/statuses/1476413603")</f>
        <v>https://twitter.com/francediplo/statuses/1476413603</v>
      </c>
      <c r="O36" s="27" t="s">
        <v>5774</v>
      </c>
      <c r="P36" s="80">
        <v>858</v>
      </c>
      <c r="Q36" s="80">
        <v>534</v>
      </c>
      <c r="R36" s="27" t="s">
        <v>2994</v>
      </c>
      <c r="S36" s="30" t="str">
        <f>HYPERLINK("https://twitter.com/francediplo/lists","https://twitter.com/francediplo/lists")</f>
        <v>https://twitter.com/francediplo/lists</v>
      </c>
      <c r="T36" s="10">
        <v>9</v>
      </c>
      <c r="U36" s="10">
        <v>2</v>
      </c>
      <c r="V36" s="30" t="str">
        <f>HYPERLINK("https://twitter.com/francediplo/ambassades-et-consulats/members","https://twitter.com/francediplo/ambassades-et-consulats/members")</f>
        <v>https://twitter.com/francediplo/ambassades-et-consulats/members</v>
      </c>
      <c r="W36" s="10">
        <v>128</v>
      </c>
      <c r="X36" s="27" t="s">
        <v>400</v>
      </c>
      <c r="Y36" s="27" t="s">
        <v>1896</v>
      </c>
      <c r="Z36" s="80">
        <v>22684</v>
      </c>
      <c r="AA36" s="27">
        <v>1595</v>
      </c>
      <c r="AB36" s="80">
        <v>858733</v>
      </c>
      <c r="AC36" s="27">
        <v>490</v>
      </c>
      <c r="AD36" s="27" t="s">
        <v>3706</v>
      </c>
      <c r="AE36" s="27">
        <v>29701712</v>
      </c>
      <c r="AF36" s="27" t="s">
        <v>3705</v>
      </c>
      <c r="AG36" s="27" t="s">
        <v>1897</v>
      </c>
      <c r="AH36" s="79">
        <v>8.7892289810151105</v>
      </c>
      <c r="AI36" s="83">
        <v>9.7387387387387392</v>
      </c>
      <c r="AJ36" s="80">
        <v>28.368282402529001</v>
      </c>
      <c r="AK36" s="80">
        <v>15.3962065331928</v>
      </c>
      <c r="AL36" s="27">
        <v>133</v>
      </c>
      <c r="AM36" s="97">
        <f t="shared" si="0"/>
        <v>4.1562500000000002E-2</v>
      </c>
      <c r="AN36" s="27" t="s">
        <v>400</v>
      </c>
      <c r="AO36" s="27">
        <v>93</v>
      </c>
      <c r="AP36" s="27">
        <v>41</v>
      </c>
      <c r="AQ36" s="27">
        <v>94</v>
      </c>
      <c r="AR36" s="27">
        <f>SUM(AO36:AQ36)</f>
        <v>228</v>
      </c>
      <c r="AS36" s="27" t="s">
        <v>6919</v>
      </c>
      <c r="AT36" s="27" t="s">
        <v>6725</v>
      </c>
      <c r="AU36" s="84" t="s">
        <v>6485</v>
      </c>
      <c r="AV36" s="77"/>
      <c r="AW36" s="77"/>
      <c r="AX36" s="77"/>
      <c r="AY36" s="77"/>
      <c r="AZ36" s="77"/>
      <c r="BA36" s="77"/>
      <c r="BB36" s="77"/>
      <c r="BC36" s="77"/>
      <c r="BD36" s="77"/>
      <c r="BE36" s="77"/>
      <c r="BF36" s="77"/>
      <c r="BG36" s="77"/>
      <c r="BH36" s="77"/>
      <c r="BI36" s="77"/>
      <c r="BJ36" s="77"/>
      <c r="BK36" s="77"/>
      <c r="BL36" s="77"/>
      <c r="BM36" s="77"/>
      <c r="BN36" s="77"/>
      <c r="BO36" s="77"/>
      <c r="BP36" s="77"/>
      <c r="BQ36" s="16"/>
      <c r="BR36" s="16"/>
      <c r="BS36" s="16"/>
      <c r="BT36" s="16"/>
      <c r="BU36" s="16"/>
      <c r="BV36" s="16"/>
      <c r="BW36" s="16"/>
      <c r="BX36" s="16"/>
      <c r="BY36" s="16"/>
      <c r="BZ36" s="16"/>
      <c r="CA36" s="16"/>
      <c r="CB36" s="16"/>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7"/>
      <c r="HN36" s="77"/>
      <c r="HO36" s="77"/>
      <c r="HP36" s="77"/>
      <c r="HQ36" s="77"/>
      <c r="HR36" s="77"/>
      <c r="HS36" s="77"/>
      <c r="HT36" s="77"/>
      <c r="HU36" s="77"/>
      <c r="HV36" s="77"/>
      <c r="HW36" s="77"/>
      <c r="HX36" s="77"/>
      <c r="HY36" s="77"/>
      <c r="HZ36" s="77"/>
      <c r="IA36" s="77"/>
      <c r="IB36" s="77"/>
      <c r="IC36" s="77"/>
      <c r="ID36" s="16"/>
      <c r="IE36" s="16"/>
      <c r="IF36" s="77"/>
      <c r="IG36" s="77"/>
      <c r="IH36" s="77"/>
      <c r="II36" s="77"/>
      <c r="IJ36" s="77"/>
      <c r="IK36" s="77"/>
      <c r="IL36" s="77"/>
      <c r="IM36" s="77"/>
      <c r="IN36" s="77"/>
      <c r="IO36" s="77"/>
      <c r="IP36" s="77"/>
      <c r="IQ36" s="77"/>
      <c r="IR36" s="77"/>
      <c r="IS36" s="77"/>
      <c r="IT36" s="77"/>
      <c r="IU36" s="77"/>
      <c r="IV36" s="77"/>
      <c r="IW36" s="77"/>
      <c r="IX36" s="77"/>
      <c r="IY36" s="77"/>
      <c r="IZ36" s="77"/>
      <c r="JA36" s="77"/>
      <c r="JB36" s="77"/>
      <c r="JC36" s="77"/>
      <c r="JD36" s="77"/>
      <c r="JE36" s="77"/>
      <c r="JF36" s="77"/>
      <c r="JG36" s="77"/>
      <c r="JH36" s="77"/>
      <c r="JI36" s="77"/>
      <c r="JJ36" s="77"/>
      <c r="JK36" s="77"/>
      <c r="JL36" s="77"/>
      <c r="JM36" s="77"/>
      <c r="JN36" s="77"/>
      <c r="JO36" s="77"/>
      <c r="JP36" s="77"/>
      <c r="JQ36" s="77"/>
      <c r="JR36" s="77"/>
      <c r="JS36" s="77"/>
      <c r="JT36" s="77"/>
      <c r="JU36" s="77"/>
      <c r="JV36" s="77"/>
      <c r="JW36" s="77"/>
      <c r="JX36" s="77"/>
      <c r="JY36" s="77"/>
      <c r="JZ36" s="77"/>
      <c r="KA36" s="77"/>
      <c r="KB36" s="77"/>
      <c r="KC36" s="77"/>
      <c r="KD36" s="77"/>
      <c r="KE36" s="77"/>
      <c r="KF36" s="77"/>
      <c r="KG36" s="77"/>
      <c r="KH36" s="77"/>
      <c r="KI36" s="77"/>
      <c r="KJ36" s="77"/>
      <c r="KK36" s="77"/>
      <c r="KL36" s="77"/>
      <c r="KM36" s="77"/>
      <c r="KN36" s="77"/>
      <c r="KO36" s="77"/>
      <c r="KP36" s="77"/>
      <c r="KQ36" s="77"/>
      <c r="KR36" s="77"/>
      <c r="KS36" s="77"/>
      <c r="KT36" s="77"/>
      <c r="KU36" s="77"/>
      <c r="KV36" s="77"/>
      <c r="KW36" s="77"/>
      <c r="KX36" s="77"/>
      <c r="KY36" s="77"/>
      <c r="KZ36" s="77"/>
      <c r="LA36" s="77"/>
      <c r="LB36" s="77"/>
      <c r="LC36" s="77"/>
      <c r="LD36" s="77"/>
      <c r="LE36" s="77"/>
      <c r="LF36" s="77"/>
      <c r="LG36" s="77"/>
      <c r="LH36" s="77"/>
      <c r="LI36" s="77"/>
      <c r="LJ36" s="77"/>
      <c r="LK36" s="77"/>
      <c r="MT36" s="77"/>
      <c r="MU36" s="77"/>
      <c r="MV36" s="77"/>
      <c r="MW36" s="77"/>
      <c r="MX36" s="77"/>
      <c r="MY36" s="77"/>
      <c r="MZ36" s="77"/>
      <c r="NA36" s="77"/>
      <c r="NB36" s="77"/>
      <c r="NC36" s="77"/>
    </row>
    <row r="37" spans="1:368" ht="18.600000000000001" customHeight="1" x14ac:dyDescent="0.25">
      <c r="A37" s="119" t="s">
        <v>5663</v>
      </c>
      <c r="B37" s="27" t="s">
        <v>5648</v>
      </c>
      <c r="C37" s="27" t="s">
        <v>3526</v>
      </c>
      <c r="D37" s="12" t="s">
        <v>5664</v>
      </c>
      <c r="E37" s="30" t="str">
        <f>HYPERLINK("http://twiplomacy.com/info/europe/United-Kingdom","http://twiplomacy.com/info/europe/United-Kingdom")</f>
        <v>http://twiplomacy.com/info/europe/United-Kingdom</v>
      </c>
      <c r="F37" s="10" t="s">
        <v>332</v>
      </c>
      <c r="G37" s="10" t="s">
        <v>549</v>
      </c>
      <c r="H37" s="10" t="s">
        <v>2224</v>
      </c>
      <c r="I37" s="10" t="s">
        <v>782</v>
      </c>
      <c r="J37" s="27" t="s">
        <v>789</v>
      </c>
      <c r="K37" s="15" t="s">
        <v>777</v>
      </c>
      <c r="L37" s="10" t="s">
        <v>771</v>
      </c>
      <c r="M37" s="10" t="s">
        <v>770</v>
      </c>
      <c r="N37" s="30" t="str">
        <f>HYPERLINK("https://twitter.com/RoyalFamily/statuses/1642207999","https://twitter.com/RoyalFamily/statuses/1642207999")</f>
        <v>https://twitter.com/RoyalFamily/statuses/1642207999</v>
      </c>
      <c r="O37" s="12" t="str">
        <f>HYPERLINK("https://twitter.com/RoyalFamily/statuses/525596327674400768","https://twitter.com/RoyalFamily/statuses/525596327674400768")</f>
        <v>https://twitter.com/RoyalFamily/statuses/525596327674400768</v>
      </c>
      <c r="P37" s="46">
        <v>42478</v>
      </c>
      <c r="Q37" s="46">
        <v>46825</v>
      </c>
      <c r="R37" s="27" t="s">
        <v>2994</v>
      </c>
      <c r="S37" s="30" t="s">
        <v>6890</v>
      </c>
      <c r="T37" s="10">
        <v>3</v>
      </c>
      <c r="U37" s="10">
        <v>1</v>
      </c>
      <c r="V37" s="10" t="s">
        <v>771</v>
      </c>
      <c r="W37" s="10"/>
      <c r="X37" s="27" t="s">
        <v>5663</v>
      </c>
      <c r="Y37" s="27" t="s">
        <v>5648</v>
      </c>
      <c r="Z37" s="80">
        <v>22635</v>
      </c>
      <c r="AA37" s="27">
        <v>460</v>
      </c>
      <c r="AB37" s="80">
        <v>2246284</v>
      </c>
      <c r="AC37" s="27">
        <v>187</v>
      </c>
      <c r="AD37" s="27" t="s">
        <v>3527</v>
      </c>
      <c r="AE37" s="27">
        <v>36042554</v>
      </c>
      <c r="AF37" s="27" t="s">
        <v>3526</v>
      </c>
      <c r="AG37" s="27" t="s">
        <v>549</v>
      </c>
      <c r="AH37" s="79">
        <v>8.8383443967200304</v>
      </c>
      <c r="AI37" s="83">
        <v>7.0700218818380698</v>
      </c>
      <c r="AJ37" s="80">
        <v>137.87989417989399</v>
      </c>
      <c r="AK37" s="80">
        <v>318.39365079365098</v>
      </c>
      <c r="AL37" s="27">
        <v>88</v>
      </c>
      <c r="AM37" s="97">
        <f t="shared" si="0"/>
        <v>2.75E-2</v>
      </c>
      <c r="AN37" s="27" t="s">
        <v>5663</v>
      </c>
      <c r="AO37" s="27">
        <v>14</v>
      </c>
      <c r="AP37" s="27">
        <v>48</v>
      </c>
      <c r="AQ37" s="27">
        <v>8</v>
      </c>
      <c r="AR37" s="27">
        <f>SUM(AO37:AQ37)</f>
        <v>70</v>
      </c>
      <c r="AS37" s="27" t="s">
        <v>6255</v>
      </c>
      <c r="AT37" s="27" t="s">
        <v>6848</v>
      </c>
      <c r="AU37" s="84" t="s">
        <v>6183</v>
      </c>
      <c r="AV37" s="43"/>
      <c r="AW37" s="43"/>
      <c r="AX37" s="43"/>
      <c r="AY37" s="43"/>
      <c r="AZ37" s="43"/>
      <c r="BA37" s="43"/>
      <c r="BB37" s="43"/>
      <c r="BC37" s="43"/>
      <c r="BD37" s="43"/>
      <c r="BE37" s="43"/>
      <c r="BF37" s="43"/>
      <c r="BG37" s="43"/>
      <c r="BH37" s="43"/>
      <c r="BI37" s="43"/>
      <c r="BJ37" s="43"/>
      <c r="BK37" s="43"/>
      <c r="BL37" s="43"/>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16"/>
      <c r="HM37" s="16"/>
      <c r="HN37" s="16"/>
      <c r="HO37" s="16"/>
      <c r="HP37" s="16"/>
      <c r="HQ37" s="16"/>
      <c r="HR37" s="16"/>
      <c r="HS37" s="16"/>
      <c r="HT37" s="16"/>
      <c r="HU37" s="16"/>
      <c r="HV37" s="16"/>
      <c r="HW37" s="16"/>
      <c r="HX37" s="16"/>
      <c r="HY37" s="16"/>
      <c r="HZ37" s="16"/>
      <c r="IA37" s="16"/>
      <c r="IB37" s="16"/>
      <c r="IC37" s="16"/>
      <c r="ID37" s="77"/>
      <c r="IE37" s="77"/>
      <c r="KM37" s="77"/>
      <c r="KN37" s="77"/>
      <c r="KO37" s="77"/>
      <c r="KP37" s="77"/>
      <c r="KQ37" s="77"/>
      <c r="KR37" s="77"/>
      <c r="KS37" s="77"/>
      <c r="KT37" s="77"/>
      <c r="KU37" s="77"/>
      <c r="KV37" s="77"/>
      <c r="KW37" s="77"/>
      <c r="KX37" s="77"/>
      <c r="KY37" s="77"/>
      <c r="KZ37" s="77"/>
      <c r="LA37" s="77"/>
      <c r="LB37" s="77"/>
      <c r="LC37" s="77"/>
      <c r="LD37" s="77"/>
      <c r="LE37" s="77"/>
      <c r="LF37" s="77"/>
      <c r="LG37" s="77"/>
      <c r="LH37" s="77"/>
      <c r="LI37" s="77"/>
      <c r="LJ37" s="77"/>
      <c r="LK37" s="77"/>
      <c r="LL37" s="77"/>
      <c r="LM37" s="77"/>
      <c r="LN37" s="77"/>
      <c r="LO37" s="77"/>
      <c r="LP37" s="77"/>
      <c r="LQ37" s="77"/>
      <c r="LR37" s="77"/>
      <c r="LS37" s="77"/>
      <c r="LT37" s="77"/>
      <c r="LU37" s="77"/>
      <c r="LV37" s="77"/>
      <c r="LW37" s="77"/>
      <c r="LX37" s="77"/>
    </row>
    <row r="38" spans="1:368" ht="18.600000000000001" customHeight="1" x14ac:dyDescent="0.25">
      <c r="A38" s="119" t="s">
        <v>485</v>
      </c>
      <c r="B38" s="27" t="s">
        <v>2116</v>
      </c>
      <c r="C38" s="27" t="s">
        <v>2117</v>
      </c>
      <c r="D38" s="30" t="str">
        <f>HYPERLINK("https://twitter.com/MSZ_RP","https://twitter.com/MSZ_RP")</f>
        <v>https://twitter.com/MSZ_RP</v>
      </c>
      <c r="E38" s="30" t="str">
        <f>HYPERLINK("http://twiplomacy.com/info/europe/Poland","http://twiplomacy.com/info/europe/Poland")</f>
        <v>http://twiplomacy.com/info/europe/Poland</v>
      </c>
      <c r="F38" s="10" t="s">
        <v>332</v>
      </c>
      <c r="G38" s="10" t="s">
        <v>480</v>
      </c>
      <c r="H38" s="10" t="s">
        <v>795</v>
      </c>
      <c r="I38" s="10" t="s">
        <v>782</v>
      </c>
      <c r="J38" s="27" t="s">
        <v>2115</v>
      </c>
      <c r="K38" s="15" t="s">
        <v>777</v>
      </c>
      <c r="L38" s="10" t="s">
        <v>771</v>
      </c>
      <c r="M38" s="10" t="s">
        <v>771</v>
      </c>
      <c r="N38" s="30" t="str">
        <f>HYPERLINK("https://twitter.com/MSZ_RP/statuses/100872051941847040","https://twitter.com/MSZ_RP/statuses/100872051941847040")</f>
        <v>https://twitter.com/MSZ_RP/statuses/100872051941847040</v>
      </c>
      <c r="O38" s="30" t="str">
        <f>HYPERLINK("https://twitter.com/MSZ_RP/statuses/495064988680478722","https://twitter.com/MSZ_RP/statuses/495064988680478722")</f>
        <v>https://twitter.com/MSZ_RP/statuses/495064988680478722</v>
      </c>
      <c r="P38" s="46">
        <v>129</v>
      </c>
      <c r="Q38" s="46">
        <v>46</v>
      </c>
      <c r="R38" s="27" t="s">
        <v>2994</v>
      </c>
      <c r="S38" s="30" t="str">
        <f>HYPERLINK("https://twitter.com/MSZ_RP/lists","https://twitter.com/MSZ_RP/lists")</f>
        <v>https://twitter.com/MSZ_RP/lists</v>
      </c>
      <c r="T38" s="14" t="s">
        <v>771</v>
      </c>
      <c r="U38" s="14">
        <v>1</v>
      </c>
      <c r="V38" s="10" t="s">
        <v>771</v>
      </c>
      <c r="W38" s="42"/>
      <c r="X38" s="27" t="s">
        <v>485</v>
      </c>
      <c r="Y38" s="27" t="s">
        <v>2116</v>
      </c>
      <c r="Z38" s="80">
        <v>22285</v>
      </c>
      <c r="AA38" s="27">
        <v>350</v>
      </c>
      <c r="AB38" s="80">
        <v>47535</v>
      </c>
      <c r="AC38" s="27">
        <v>190</v>
      </c>
      <c r="AD38" s="27" t="s">
        <v>4174</v>
      </c>
      <c r="AE38" s="27">
        <v>350770729</v>
      </c>
      <c r="AF38" s="27" t="s">
        <v>2117</v>
      </c>
      <c r="AG38" s="27" t="s">
        <v>2109</v>
      </c>
      <c r="AH38" s="79">
        <v>12.8895315211105</v>
      </c>
      <c r="AI38" s="83">
        <v>10.4308681672026</v>
      </c>
      <c r="AJ38" s="80">
        <v>6.8060344827586201</v>
      </c>
      <c r="AK38" s="80">
        <v>7.9418103448275899</v>
      </c>
      <c r="AL38" s="27">
        <v>18</v>
      </c>
      <c r="AM38" s="97">
        <f t="shared" si="0"/>
        <v>5.6249999999999998E-3</v>
      </c>
      <c r="AN38" s="27" t="s">
        <v>485</v>
      </c>
      <c r="AO38" s="27">
        <v>7</v>
      </c>
      <c r="AP38" s="27">
        <v>28</v>
      </c>
      <c r="AQ38" s="27">
        <v>9</v>
      </c>
      <c r="AR38" s="27">
        <f>SUM(AO38:AQ38)</f>
        <v>44</v>
      </c>
      <c r="AS38" s="27" t="s">
        <v>5353</v>
      </c>
      <c r="AT38" s="27" t="s">
        <v>6324</v>
      </c>
      <c r="AU38" s="84" t="s">
        <v>4873</v>
      </c>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16"/>
      <c r="HM38" s="16"/>
      <c r="HN38" s="16"/>
      <c r="HO38" s="16"/>
      <c r="HP38" s="16"/>
      <c r="HQ38" s="16"/>
      <c r="HR38" s="16"/>
      <c r="HS38" s="16"/>
      <c r="HT38" s="16"/>
      <c r="HU38" s="16"/>
      <c r="HV38" s="16"/>
      <c r="HW38" s="16"/>
      <c r="HX38" s="16"/>
      <c r="HY38" s="16"/>
      <c r="HZ38" s="16"/>
      <c r="IA38" s="16"/>
      <c r="IB38" s="16"/>
      <c r="IC38" s="16"/>
      <c r="JY38" s="77"/>
      <c r="JZ38" s="77"/>
      <c r="KA38" s="77"/>
      <c r="KB38" s="77"/>
      <c r="KC38" s="77"/>
      <c r="KD38" s="77"/>
      <c r="KE38" s="77"/>
      <c r="KF38" s="77"/>
      <c r="KG38" s="77"/>
      <c r="KH38" s="77"/>
      <c r="KI38" s="77"/>
      <c r="KJ38" s="77"/>
      <c r="KK38" s="77"/>
      <c r="KL38" s="77"/>
      <c r="KM38" s="77"/>
      <c r="KN38" s="77"/>
      <c r="KO38" s="77"/>
      <c r="KP38" s="77"/>
      <c r="KQ38" s="77"/>
      <c r="KR38" s="77"/>
      <c r="KS38" s="77"/>
      <c r="KT38" s="77"/>
      <c r="KU38" s="77"/>
      <c r="KV38" s="77"/>
      <c r="KW38" s="77"/>
      <c r="KX38" s="77"/>
      <c r="KY38" s="77"/>
      <c r="KZ38" s="77"/>
      <c r="LA38" s="77"/>
      <c r="LB38" s="77"/>
      <c r="LC38" s="77"/>
      <c r="LD38" s="77"/>
      <c r="LE38" s="77"/>
      <c r="LF38" s="77"/>
      <c r="LG38" s="77"/>
      <c r="LH38" s="77"/>
      <c r="LI38" s="77"/>
      <c r="LJ38" s="77"/>
      <c r="LK38" s="77"/>
      <c r="LL38" s="77"/>
      <c r="LM38" s="77"/>
      <c r="LN38" s="77"/>
      <c r="LO38" s="77"/>
      <c r="LP38" s="77"/>
      <c r="LQ38" s="77"/>
      <c r="LR38" s="77"/>
      <c r="LS38" s="77"/>
      <c r="LT38" s="77"/>
      <c r="LU38" s="77"/>
      <c r="LV38" s="77"/>
      <c r="LW38" s="16"/>
      <c r="LX38" s="16"/>
      <c r="MS38" s="77"/>
      <c r="MT38" s="77"/>
      <c r="MU38" s="77"/>
      <c r="MV38" s="77"/>
      <c r="MW38" s="77"/>
      <c r="MX38" s="77"/>
      <c r="MY38" s="77"/>
      <c r="MZ38" s="77"/>
      <c r="NA38" s="77"/>
      <c r="NB38" s="77"/>
      <c r="NC38" s="77"/>
      <c r="ND38" s="77"/>
    </row>
    <row r="39" spans="1:368" ht="18.600000000000001" customHeight="1" x14ac:dyDescent="0.25">
      <c r="A39" s="119" t="s">
        <v>3222</v>
      </c>
      <c r="B39" s="27" t="s">
        <v>4243</v>
      </c>
      <c r="C39" s="27" t="s">
        <v>5660</v>
      </c>
      <c r="D39" s="104" t="s">
        <v>3221</v>
      </c>
      <c r="E39" s="30" t="str">
        <f>HYPERLINK("http://twiplomacy.com/info/europe/Kosovo","http://twiplomacy.com/info/europe/Kosovo")</f>
        <v>http://twiplomacy.com/info/europe/Kosovo</v>
      </c>
      <c r="F39" s="10" t="s">
        <v>332</v>
      </c>
      <c r="G39" s="10" t="s">
        <v>716</v>
      </c>
      <c r="H39" s="10" t="s">
        <v>860</v>
      </c>
      <c r="I39" s="10" t="s">
        <v>773</v>
      </c>
      <c r="J39" s="27" t="s">
        <v>789</v>
      </c>
      <c r="K39" s="15" t="s">
        <v>777</v>
      </c>
      <c r="L39" s="10" t="s">
        <v>770</v>
      </c>
      <c r="M39" s="10" t="s">
        <v>770</v>
      </c>
      <c r="N39" s="30" t="s">
        <v>3223</v>
      </c>
      <c r="O39" s="27" t="s">
        <v>6008</v>
      </c>
      <c r="P39" s="80">
        <v>135</v>
      </c>
      <c r="Q39" s="80">
        <v>129</v>
      </c>
      <c r="R39" s="27" t="s">
        <v>2994</v>
      </c>
      <c r="S39" s="12" t="s">
        <v>3224</v>
      </c>
      <c r="T39" s="10">
        <v>1</v>
      </c>
      <c r="U39" s="10">
        <v>1</v>
      </c>
      <c r="V39" s="10" t="s">
        <v>771</v>
      </c>
      <c r="W39" s="10"/>
      <c r="X39" s="27" t="s">
        <v>3222</v>
      </c>
      <c r="Y39" s="27" t="s">
        <v>4243</v>
      </c>
      <c r="Z39" s="80">
        <v>21125</v>
      </c>
      <c r="AA39" s="27">
        <v>1554</v>
      </c>
      <c r="AB39" s="80">
        <v>26639</v>
      </c>
      <c r="AC39" s="27">
        <v>3666</v>
      </c>
      <c r="AD39" s="27" t="s">
        <v>4244</v>
      </c>
      <c r="AE39" s="27">
        <v>4212061</v>
      </c>
      <c r="AF39" s="27" t="s">
        <v>5660</v>
      </c>
      <c r="AG39" s="27" t="s">
        <v>716</v>
      </c>
      <c r="AH39" s="79">
        <v>6.3841039588999697</v>
      </c>
      <c r="AI39" s="83">
        <v>9.3695014662756595</v>
      </c>
      <c r="AJ39" s="80">
        <v>3.54526462395543</v>
      </c>
      <c r="AK39" s="80">
        <v>6.5201949860724202</v>
      </c>
      <c r="AL39" s="27">
        <v>608</v>
      </c>
      <c r="AM39" s="97">
        <f t="shared" si="0"/>
        <v>0.19</v>
      </c>
      <c r="AN39" s="27" t="s">
        <v>3222</v>
      </c>
      <c r="AO39" s="27">
        <v>75</v>
      </c>
      <c r="AP39" s="27">
        <v>3</v>
      </c>
      <c r="AQ39" s="27">
        <v>17</v>
      </c>
      <c r="AR39" s="27">
        <f>SUM(AO39:AQ39)</f>
        <v>95</v>
      </c>
      <c r="AS39" s="27" t="s">
        <v>5388</v>
      </c>
      <c r="AT39" s="27" t="s">
        <v>6815</v>
      </c>
      <c r="AU39" s="84" t="s">
        <v>4889</v>
      </c>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EM39" s="16"/>
      <c r="EN39" s="16"/>
      <c r="EO39" s="16"/>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LL39" s="77"/>
      <c r="LM39" s="77"/>
      <c r="LN39" s="77"/>
      <c r="LO39" s="77"/>
      <c r="LP39" s="77"/>
      <c r="LQ39" s="77"/>
      <c r="LR39" s="77"/>
      <c r="LS39" s="77"/>
      <c r="LT39" s="77"/>
      <c r="LU39" s="77"/>
      <c r="LV39" s="77"/>
    </row>
    <row r="40" spans="1:368" ht="18.600000000000001" customHeight="1" x14ac:dyDescent="0.25">
      <c r="A40" s="119" t="s">
        <v>726</v>
      </c>
      <c r="B40" s="27" t="s">
        <v>1849</v>
      </c>
      <c r="C40" s="27" t="s">
        <v>5650</v>
      </c>
      <c r="D40" s="30" t="str">
        <f>HYPERLINK("https://twitter.com/EU_Commission","https://twitter.com/EU_Commission")</f>
        <v>https://twitter.com/EU_Commission</v>
      </c>
      <c r="E40" s="30" t="str">
        <f>HYPERLINK("http://twiplomacy.com/info/europe/Europe","http://twiplomacy.com/info/europe/Europe")</f>
        <v>http://twiplomacy.com/info/europe/Europe</v>
      </c>
      <c r="F40" s="10" t="s">
        <v>332</v>
      </c>
      <c r="G40" s="10" t="s">
        <v>1837</v>
      </c>
      <c r="H40" s="10" t="s">
        <v>1850</v>
      </c>
      <c r="I40" s="10" t="s">
        <v>782</v>
      </c>
      <c r="J40" s="27" t="s">
        <v>789</v>
      </c>
      <c r="K40" s="15" t="s">
        <v>777</v>
      </c>
      <c r="L40" s="10" t="s">
        <v>771</v>
      </c>
      <c r="M40" s="10" t="s">
        <v>770</v>
      </c>
      <c r="N40" s="30" t="str">
        <f>HYPERLINK("https://twitter.com/EU_Commission/statuses/16849399954","https://twitter.com/EU_Commission/statuses/16849399954")</f>
        <v>https://twitter.com/EU_Commission/statuses/16849399954</v>
      </c>
      <c r="O40" s="27" t="s">
        <v>5748</v>
      </c>
      <c r="P40" s="80">
        <v>1370</v>
      </c>
      <c r="Q40" s="80">
        <v>864</v>
      </c>
      <c r="R40" s="27" t="s">
        <v>2994</v>
      </c>
      <c r="S40" s="30" t="str">
        <f>HYPERLINK("https://twitter.com/EU_Commission/lists","https://twitter.com/EU_Commission/lists")</f>
        <v>https://twitter.com/EU_Commission/lists</v>
      </c>
      <c r="T40" s="10">
        <v>11</v>
      </c>
      <c r="U40" s="10">
        <v>9</v>
      </c>
      <c r="V40" s="30" t="str">
        <f>HYPERLINK("https://twitter.com/EU_Commission/lists/ec-representations","https://twitter.com/EU_Commission/lists/ec-representations")</f>
        <v>https://twitter.com/EU_Commission/lists/ec-representations</v>
      </c>
      <c r="W40" s="10">
        <v>49</v>
      </c>
      <c r="X40" s="27" t="s">
        <v>726</v>
      </c>
      <c r="Y40" s="27" t="s">
        <v>1849</v>
      </c>
      <c r="Z40" s="80">
        <v>20987</v>
      </c>
      <c r="AA40" s="27">
        <v>1077</v>
      </c>
      <c r="AB40" s="80">
        <v>568650</v>
      </c>
      <c r="AC40" s="27">
        <v>3931</v>
      </c>
      <c r="AD40" s="27" t="s">
        <v>3662</v>
      </c>
      <c r="AE40" s="27">
        <v>157981564</v>
      </c>
      <c r="AF40" s="27" t="s">
        <v>5650</v>
      </c>
      <c r="AG40" s="27" t="s">
        <v>1845</v>
      </c>
      <c r="AH40" s="79">
        <v>9.7987861811391195</v>
      </c>
      <c r="AI40" s="83">
        <v>12.359073359073401</v>
      </c>
      <c r="AJ40" s="80">
        <v>54.010016694490801</v>
      </c>
      <c r="AK40" s="80">
        <v>32.1402337228715</v>
      </c>
      <c r="AL40" s="27">
        <v>117</v>
      </c>
      <c r="AM40" s="97">
        <f t="shared" si="0"/>
        <v>3.6562499999999998E-2</v>
      </c>
      <c r="AN40" s="27" t="s">
        <v>726</v>
      </c>
      <c r="AO40" s="27">
        <v>21</v>
      </c>
      <c r="AP40" s="27">
        <v>114</v>
      </c>
      <c r="AQ40" s="27">
        <v>79</v>
      </c>
      <c r="AR40" s="27">
        <f>SUM(AO40:AQ40)</f>
        <v>214</v>
      </c>
      <c r="AS40" s="27" t="s">
        <v>6562</v>
      </c>
      <c r="AT40" s="27" t="s">
        <v>6712</v>
      </c>
      <c r="AU40" s="84" t="s">
        <v>4711</v>
      </c>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ID40" s="77"/>
      <c r="IE40" s="77"/>
      <c r="JY40" s="77"/>
      <c r="JZ40" s="77"/>
      <c r="KA40" s="77"/>
      <c r="KB40" s="77"/>
      <c r="KC40" s="77"/>
      <c r="KD40" s="77"/>
      <c r="KE40" s="77"/>
      <c r="KF40" s="77"/>
      <c r="KG40" s="77"/>
      <c r="KH40" s="77"/>
      <c r="KI40" s="77"/>
      <c r="KJ40" s="77"/>
      <c r="KK40" s="77"/>
      <c r="KL40" s="77"/>
      <c r="LL40" s="77"/>
      <c r="LM40" s="77"/>
      <c r="LN40" s="77"/>
      <c r="LO40" s="77"/>
      <c r="LP40" s="77"/>
      <c r="LQ40" s="77"/>
      <c r="LR40" s="77"/>
      <c r="LS40" s="77"/>
      <c r="LT40" s="77"/>
      <c r="LU40" s="77"/>
      <c r="LV40" s="77"/>
      <c r="LW40" s="77"/>
      <c r="LX40" s="77"/>
      <c r="LY40" s="77"/>
      <c r="LZ40" s="77"/>
      <c r="MA40" s="77"/>
      <c r="MB40" s="77"/>
      <c r="MC40" s="77"/>
      <c r="MD40" s="77"/>
      <c r="ME40" s="77"/>
      <c r="MF40" s="77"/>
      <c r="MG40" s="77"/>
      <c r="MH40" s="77"/>
      <c r="MI40" s="77"/>
      <c r="MJ40" s="77"/>
      <c r="MK40" s="77"/>
      <c r="ML40" s="77"/>
      <c r="MM40" s="77"/>
      <c r="MN40" s="77"/>
      <c r="MO40" s="77"/>
      <c r="MP40" s="77"/>
      <c r="MQ40" s="77"/>
      <c r="MR40" s="77"/>
      <c r="ND40" s="77"/>
    </row>
    <row r="41" spans="1:368" ht="18.600000000000001" customHeight="1" x14ac:dyDescent="0.25">
      <c r="A41" s="119" t="s">
        <v>525</v>
      </c>
      <c r="B41" s="27" t="s">
        <v>2229</v>
      </c>
      <c r="C41" s="27" t="s">
        <v>6381</v>
      </c>
      <c r="D41" s="30" t="str">
        <f>HYPERLINK("https://twitter.com/desdelamoncloa","https://twitter.com/desdelamoncloa")</f>
        <v>https://twitter.com/desdelamoncloa</v>
      </c>
      <c r="E41" s="30" t="str">
        <f>HYPERLINK("http://twiplomacy.com/info/europe/Spain","http://twiplomacy.com/info/europe/Spain")</f>
        <v>http://twiplomacy.com/info/europe/Spain</v>
      </c>
      <c r="F41" s="10" t="s">
        <v>332</v>
      </c>
      <c r="G41" s="10" t="s">
        <v>522</v>
      </c>
      <c r="H41" s="10" t="s">
        <v>788</v>
      </c>
      <c r="I41" s="10" t="s">
        <v>782</v>
      </c>
      <c r="J41" s="27" t="s">
        <v>2226</v>
      </c>
      <c r="K41" s="15" t="s">
        <v>777</v>
      </c>
      <c r="L41" s="10" t="s">
        <v>771</v>
      </c>
      <c r="M41" s="10" t="s">
        <v>770</v>
      </c>
      <c r="N41" s="30" t="str">
        <f>HYPERLINK("https://twitter.com/desdelamoncloa/statuses/2735348665","https://twitter.com/desdelamoncloa/statuses/2735348665")</f>
        <v>https://twitter.com/desdelamoncloa/statuses/2735348665</v>
      </c>
      <c r="O41" s="30" t="str">
        <f>HYPERLINK("https://twitter.com/desdelamoncloa/statuses/46209277114851329","https://twitter.com/desdelamoncloa/statuses/46209277114851329")</f>
        <v>https://twitter.com/desdelamoncloa/statuses/46209277114851329</v>
      </c>
      <c r="P41" s="35">
        <v>442</v>
      </c>
      <c r="Q41" s="46"/>
      <c r="R41" s="27" t="s">
        <v>2994</v>
      </c>
      <c r="S41" s="30" t="str">
        <f>HYPERLINK("https://twitter.com/desdelamoncloa/lists","https://twitter.com/desdelamoncloa/lists")</f>
        <v>https://twitter.com/desdelamoncloa/lists</v>
      </c>
      <c r="T41" s="10" t="s">
        <v>771</v>
      </c>
      <c r="U41" s="10" t="s">
        <v>771</v>
      </c>
      <c r="V41" s="30" t="str">
        <f>HYPERLINK("https://twitter.com/desdelamoncloa/instituciones-int/members","No")</f>
        <v>No</v>
      </c>
      <c r="W41" s="10"/>
      <c r="X41" s="27" t="s">
        <v>525</v>
      </c>
      <c r="Y41" s="27" t="s">
        <v>2229</v>
      </c>
      <c r="Z41" s="80">
        <v>20476</v>
      </c>
      <c r="AA41" s="27">
        <v>41</v>
      </c>
      <c r="AB41" s="80">
        <v>479243</v>
      </c>
      <c r="AC41" s="27">
        <v>0</v>
      </c>
      <c r="AD41" s="27" t="s">
        <v>3606</v>
      </c>
      <c r="AE41" s="27">
        <v>58417540</v>
      </c>
      <c r="AF41" s="27" t="s">
        <v>6381</v>
      </c>
      <c r="AG41" s="27" t="s">
        <v>2230</v>
      </c>
      <c r="AH41" s="79">
        <v>8.26311541565779</v>
      </c>
      <c r="AI41" s="83">
        <v>14.104347826087</v>
      </c>
      <c r="AJ41" s="80">
        <v>26.5144124168514</v>
      </c>
      <c r="AK41" s="80">
        <v>16.990022172949001</v>
      </c>
      <c r="AL41" s="27">
        <v>1</v>
      </c>
      <c r="AM41" s="97">
        <f t="shared" si="0"/>
        <v>3.1250000000000001E-4</v>
      </c>
      <c r="AN41" s="27" t="s">
        <v>525</v>
      </c>
      <c r="AO41" s="27">
        <v>0</v>
      </c>
      <c r="AP41" s="27">
        <v>34</v>
      </c>
      <c r="AQ41" s="27">
        <v>3</v>
      </c>
      <c r="AR41" s="27">
        <f>SUM(AO41:AQ41)</f>
        <v>37</v>
      </c>
      <c r="AS41" s="27"/>
      <c r="AT41" s="27" t="s">
        <v>6698</v>
      </c>
      <c r="AU41" s="84" t="s">
        <v>4691</v>
      </c>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ID41" s="16"/>
      <c r="IE41" s="16"/>
      <c r="IF41" s="77"/>
      <c r="IG41" s="77"/>
      <c r="IH41" s="77"/>
      <c r="II41" s="77"/>
      <c r="IJ41" s="77"/>
      <c r="IK41" s="77"/>
      <c r="IL41" s="77"/>
      <c r="IM41" s="77"/>
      <c r="IN41" s="77"/>
      <c r="IO41" s="77"/>
      <c r="IP41" s="77"/>
      <c r="IQ41" s="77"/>
      <c r="IR41" s="77"/>
      <c r="IS41" s="77"/>
      <c r="IT41" s="77"/>
      <c r="IU41" s="77"/>
      <c r="IV41" s="77"/>
      <c r="IW41" s="77"/>
      <c r="IX41" s="77"/>
      <c r="IY41" s="77"/>
      <c r="IZ41" s="77"/>
      <c r="JA41" s="77"/>
      <c r="JB41" s="77"/>
      <c r="JC41" s="77"/>
      <c r="JD41" s="77"/>
      <c r="JE41" s="77"/>
      <c r="JF41" s="77"/>
      <c r="JG41" s="77"/>
      <c r="JH41" s="77"/>
      <c r="JI41" s="77"/>
      <c r="JJ41" s="77"/>
      <c r="JK41" s="77"/>
      <c r="JL41" s="77"/>
      <c r="JM41" s="77"/>
      <c r="JN41" s="77"/>
      <c r="JO41" s="77"/>
      <c r="JP41" s="77"/>
      <c r="JQ41" s="77"/>
      <c r="JR41" s="77"/>
      <c r="JS41" s="77"/>
      <c r="JT41" s="77"/>
      <c r="JU41" s="77"/>
      <c r="JV41" s="77"/>
      <c r="JW41" s="77"/>
      <c r="JX41" s="77"/>
      <c r="JY41" s="77"/>
      <c r="JZ41" s="77"/>
      <c r="KA41" s="77"/>
      <c r="KB41" s="77"/>
      <c r="KC41" s="77"/>
      <c r="KD41" s="77"/>
      <c r="KE41" s="77"/>
      <c r="KF41" s="77"/>
      <c r="KG41" s="77"/>
      <c r="KH41" s="77"/>
      <c r="KI41" s="77"/>
      <c r="KJ41" s="77"/>
      <c r="KK41" s="77"/>
      <c r="KL41" s="77"/>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row>
    <row r="42" spans="1:368" ht="18.600000000000001" customHeight="1" x14ac:dyDescent="0.25">
      <c r="A42" s="119" t="s">
        <v>2337</v>
      </c>
      <c r="B42" s="27" t="s">
        <v>2338</v>
      </c>
      <c r="C42" s="27" t="s">
        <v>2339</v>
      </c>
      <c r="D42" s="30" t="str">
        <f>HYPERLINK("https://twitter.com/Kabmin_UA_r","https://twitter.com/Kabmin_UA_r")</f>
        <v>https://twitter.com/Kabmin_UA_r</v>
      </c>
      <c r="E42" s="30" t="str">
        <f>HYPERLINK("http://twiplomacy.com/info/europe/Ukraine","http://twiplomacy.com/info/europe/Ukraine")</f>
        <v>http://twiplomacy.com/info/europe/Ukraine</v>
      </c>
      <c r="F42" s="10" t="s">
        <v>332</v>
      </c>
      <c r="G42" s="10" t="s">
        <v>543</v>
      </c>
      <c r="H42" s="10" t="s">
        <v>788</v>
      </c>
      <c r="I42" s="10" t="s">
        <v>782</v>
      </c>
      <c r="J42" s="27" t="s">
        <v>1420</v>
      </c>
      <c r="K42" s="15" t="s">
        <v>777</v>
      </c>
      <c r="L42" s="10" t="s">
        <v>771</v>
      </c>
      <c r="M42" s="10" t="s">
        <v>771</v>
      </c>
      <c r="N42" s="30" t="str">
        <f>HYPERLINK("https://twitter.com/Kabmin_UA_r/statuses/89251307961073664","https://twitter.com/Kabmin_UA_r/statuses/89251307961073664")</f>
        <v>https://twitter.com/Kabmin_UA_r/statuses/89251307961073664</v>
      </c>
      <c r="O42" s="20" t="s">
        <v>2340</v>
      </c>
      <c r="P42" s="46">
        <v>34</v>
      </c>
      <c r="Q42" s="46">
        <v>3</v>
      </c>
      <c r="R42" s="27" t="s">
        <v>2994</v>
      </c>
      <c r="S42" s="10" t="s">
        <v>2341</v>
      </c>
      <c r="T42" s="10" t="s">
        <v>771</v>
      </c>
      <c r="U42" s="10" t="s">
        <v>771</v>
      </c>
      <c r="V42" s="10" t="s">
        <v>771</v>
      </c>
      <c r="W42" s="10"/>
      <c r="X42" s="27" t="s">
        <v>2337</v>
      </c>
      <c r="Y42" s="27" t="s">
        <v>2338</v>
      </c>
      <c r="Z42" s="80">
        <v>18731</v>
      </c>
      <c r="AA42" s="27">
        <v>3</v>
      </c>
      <c r="AB42" s="80">
        <v>10486</v>
      </c>
      <c r="AC42" s="27">
        <v>0</v>
      </c>
      <c r="AD42" s="27" t="s">
        <v>3918</v>
      </c>
      <c r="AE42" s="27">
        <v>331502948</v>
      </c>
      <c r="AF42" s="27" t="s">
        <v>2339</v>
      </c>
      <c r="AG42" s="27" t="s">
        <v>2311</v>
      </c>
      <c r="AH42" s="79">
        <v>10.642613636363601</v>
      </c>
      <c r="AI42" s="83">
        <v>11.2816901408451</v>
      </c>
      <c r="AJ42" s="80">
        <v>0.19569288389513101</v>
      </c>
      <c r="AK42" s="80">
        <v>1.2125468164794</v>
      </c>
      <c r="AL42" s="13">
        <v>0</v>
      </c>
      <c r="AM42" s="97">
        <f t="shared" si="0"/>
        <v>0</v>
      </c>
      <c r="AN42" s="27" t="s">
        <v>2337</v>
      </c>
      <c r="AO42" s="27">
        <v>0</v>
      </c>
      <c r="AP42" s="27">
        <v>5</v>
      </c>
      <c r="AQ42" s="27">
        <v>2</v>
      </c>
      <c r="AR42" s="27">
        <f>SUM(AO42:AQ42)</f>
        <v>7</v>
      </c>
      <c r="AS42" s="27"/>
      <c r="AT42" s="27" t="s">
        <v>5227</v>
      </c>
      <c r="AU42" s="84" t="s">
        <v>4788</v>
      </c>
      <c r="BM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LW42" s="77"/>
      <c r="LX42" s="77"/>
    </row>
    <row r="43" spans="1:368" ht="18.600000000000001" customHeight="1" x14ac:dyDescent="0.25">
      <c r="A43" s="119" t="s">
        <v>1434</v>
      </c>
      <c r="B43" s="27" t="s">
        <v>1434</v>
      </c>
      <c r="C43" s="27" t="s">
        <v>1435</v>
      </c>
      <c r="D43" s="30" t="str">
        <f>HYPERLINK("https://twitter.com/ortcomkz","https://twitter.com/ortcomkz")</f>
        <v>https://twitter.com/ortcomkz</v>
      </c>
      <c r="E43" s="30" t="str">
        <f>HYPERLINK("http://twiplomacy.com/info/asia/Kazakhstan","http://twiplomacy.com/info/asia/Kazakhstan")</f>
        <v>http://twiplomacy.com/info/asia/Kazakhstan</v>
      </c>
      <c r="F43" s="10" t="s">
        <v>154</v>
      </c>
      <c r="G43" s="10" t="s">
        <v>224</v>
      </c>
      <c r="H43" s="10" t="s">
        <v>781</v>
      </c>
      <c r="I43" s="10" t="s">
        <v>782</v>
      </c>
      <c r="J43" s="27" t="s">
        <v>1420</v>
      </c>
      <c r="K43" s="15" t="s">
        <v>777</v>
      </c>
      <c r="L43" s="10" t="s">
        <v>771</v>
      </c>
      <c r="M43" s="10" t="s">
        <v>770</v>
      </c>
      <c r="N43" s="30" t="str">
        <f>HYPERLINK("https://twitter.com/ortcomkz/statuses/284567719632830464","https://twitter.com/ortcomkz/statuses/284567719632830464")</f>
        <v>https://twitter.com/ortcomkz/statuses/284567719632830464</v>
      </c>
      <c r="O43" s="30" t="str">
        <f>HYPERLINK("https://twitter.com/ortcomkz/statuses/428472219162128384","https://twitter.com/ortcomkz/statuses/428472219162128384")</f>
        <v>https://twitter.com/ortcomkz/statuses/428472219162128384</v>
      </c>
      <c r="P43" s="46">
        <v>14</v>
      </c>
      <c r="Q43" s="46">
        <v>0</v>
      </c>
      <c r="R43" s="27" t="s">
        <v>2995</v>
      </c>
      <c r="S43" s="10" t="s">
        <v>1436</v>
      </c>
      <c r="T43" s="10" t="s">
        <v>771</v>
      </c>
      <c r="U43" s="10" t="s">
        <v>771</v>
      </c>
      <c r="V43" s="10" t="s">
        <v>771</v>
      </c>
      <c r="W43" s="10"/>
      <c r="X43" s="27" t="s">
        <v>1434</v>
      </c>
      <c r="Y43" s="27" t="s">
        <v>1434</v>
      </c>
      <c r="Z43" s="80">
        <v>18726</v>
      </c>
      <c r="AA43" s="27">
        <v>642</v>
      </c>
      <c r="AB43" s="80">
        <v>13982</v>
      </c>
      <c r="AC43" s="27">
        <v>0</v>
      </c>
      <c r="AD43" s="27" t="s">
        <v>4221</v>
      </c>
      <c r="AE43" s="27">
        <v>926894935</v>
      </c>
      <c r="AF43" s="27" t="s">
        <v>1435</v>
      </c>
      <c r="AG43" s="27"/>
      <c r="AH43" s="79">
        <v>14.6985871271586</v>
      </c>
      <c r="AI43" s="83">
        <v>8.2219387755101998</v>
      </c>
      <c r="AJ43" s="80">
        <v>0.18404717566728701</v>
      </c>
      <c r="AK43" s="80">
        <v>8.1315952824332696E-2</v>
      </c>
      <c r="AL43" s="27">
        <v>6</v>
      </c>
      <c r="AM43" s="97">
        <f t="shared" si="0"/>
        <v>1.8749999999999999E-3</v>
      </c>
      <c r="AN43" s="27" t="s">
        <v>1434</v>
      </c>
      <c r="AO43" s="27">
        <v>7</v>
      </c>
      <c r="AP43" s="27">
        <v>3</v>
      </c>
      <c r="AQ43" s="27">
        <v>3</v>
      </c>
      <c r="AR43" s="27">
        <f>SUM(AO43:AQ43)</f>
        <v>13</v>
      </c>
      <c r="AS43" s="27" t="s">
        <v>5374</v>
      </c>
      <c r="AT43" s="27" t="s">
        <v>5375</v>
      </c>
      <c r="AU43" s="84" t="s">
        <v>4884</v>
      </c>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16"/>
      <c r="CD43" s="16"/>
      <c r="CE43" s="16"/>
      <c r="CF43" s="16"/>
      <c r="CG43" s="16"/>
      <c r="CH43" s="16"/>
      <c r="CI43" s="16"/>
      <c r="CJ43" s="16"/>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c r="JG43" s="77"/>
      <c r="JH43" s="77"/>
      <c r="JI43" s="77"/>
      <c r="JJ43" s="77"/>
      <c r="JK43" s="77"/>
      <c r="JL43" s="77"/>
      <c r="JM43" s="77"/>
      <c r="JN43" s="77"/>
      <c r="JO43" s="77"/>
      <c r="JP43" s="77"/>
      <c r="JQ43" s="77"/>
      <c r="JR43" s="77"/>
      <c r="JS43" s="77"/>
      <c r="JT43" s="77"/>
      <c r="JU43" s="77"/>
      <c r="JV43" s="77"/>
      <c r="JW43" s="77"/>
      <c r="JX43" s="77"/>
      <c r="JY43" s="77"/>
      <c r="JZ43" s="77"/>
      <c r="KA43" s="77"/>
      <c r="KB43" s="77"/>
      <c r="KC43" s="77"/>
      <c r="KD43" s="77"/>
      <c r="KE43" s="77"/>
      <c r="KF43" s="77"/>
      <c r="KG43" s="77"/>
      <c r="KH43" s="77"/>
      <c r="KI43" s="77"/>
      <c r="KJ43" s="77"/>
      <c r="KK43" s="77"/>
      <c r="KL43" s="77"/>
      <c r="KM43" s="77"/>
      <c r="KN43" s="77"/>
      <c r="KO43" s="77"/>
      <c r="KP43" s="77"/>
      <c r="KQ43" s="77"/>
      <c r="KR43" s="77"/>
      <c r="KS43" s="77"/>
      <c r="KT43" s="77"/>
      <c r="KU43" s="77"/>
      <c r="KV43" s="77"/>
      <c r="KW43" s="77"/>
      <c r="KX43" s="77"/>
      <c r="KY43" s="77"/>
      <c r="KZ43" s="77"/>
      <c r="LA43" s="77"/>
      <c r="LB43" s="77"/>
      <c r="LC43" s="77"/>
      <c r="LD43" s="77"/>
      <c r="LE43" s="77"/>
      <c r="LF43" s="77"/>
      <c r="LG43" s="77"/>
      <c r="LH43" s="77"/>
      <c r="LI43" s="77"/>
      <c r="LJ43" s="77"/>
      <c r="LK43" s="77"/>
      <c r="LY43" s="77"/>
      <c r="LZ43" s="77"/>
      <c r="MA43" s="77"/>
      <c r="MB43" s="77"/>
      <c r="MC43" s="77"/>
      <c r="MD43" s="77"/>
      <c r="ME43" s="77"/>
      <c r="MF43" s="77"/>
      <c r="MG43" s="77"/>
      <c r="MH43" s="77"/>
      <c r="MI43" s="77"/>
      <c r="MJ43" s="77"/>
      <c r="MK43" s="77"/>
      <c r="ML43" s="77"/>
      <c r="MM43" s="77"/>
      <c r="MN43" s="77"/>
      <c r="MO43" s="77"/>
      <c r="MP43" s="77"/>
      <c r="MQ43" s="77"/>
      <c r="MR43" s="77"/>
    </row>
    <row r="44" spans="1:368" ht="18.600000000000001" customHeight="1" x14ac:dyDescent="0.25">
      <c r="A44" s="119" t="s">
        <v>589</v>
      </c>
      <c r="B44" s="27" t="s">
        <v>4456</v>
      </c>
      <c r="C44" s="27" t="s">
        <v>4457</v>
      </c>
      <c r="D44" s="30" t="str">
        <f>HYPERLINK("https://twitter.com/sanchezceren","https://twitter.com/sanchezceren")</f>
        <v>https://twitter.com/sanchezceren</v>
      </c>
      <c r="E44" s="30" t="str">
        <f>HYPERLINK("http://twiplomacy.com/info/north-america/El-Salvador","http://twiplomacy.com/info/north-america/El-Salvador")</f>
        <v>http://twiplomacy.com/info/north-america/El-Salvador</v>
      </c>
      <c r="F44" s="10" t="s">
        <v>558</v>
      </c>
      <c r="G44" s="10" t="s">
        <v>588</v>
      </c>
      <c r="H44" s="10" t="s">
        <v>772</v>
      </c>
      <c r="I44" s="10" t="s">
        <v>773</v>
      </c>
      <c r="J44" s="27" t="s">
        <v>2226</v>
      </c>
      <c r="K44" s="15" t="s">
        <v>777</v>
      </c>
      <c r="L44" s="15"/>
      <c r="M44" s="10" t="s">
        <v>770</v>
      </c>
      <c r="N44" s="30" t="str">
        <f>HYPERLINK("https://twitter.com/sanchezceren/statuses/18615678565","https://twitter.com/sanchezceren/statuses/18615678565")</f>
        <v>https://twitter.com/sanchezceren/statuses/18615678565</v>
      </c>
      <c r="O44" s="30" t="str">
        <f>HYPERLINK("https://twitter.com/sanchezceren/statuses/442898833769775104","https://twitter.com/sanchezceren/statuses/442898833769775104")</f>
        <v>https://twitter.com/sanchezceren/statuses/442898833769775104</v>
      </c>
      <c r="P44" s="35">
        <v>542</v>
      </c>
      <c r="Q44" s="46"/>
      <c r="R44" s="27" t="s">
        <v>2995</v>
      </c>
      <c r="S44" s="10" t="s">
        <v>2474</v>
      </c>
      <c r="T44" s="10" t="s">
        <v>771</v>
      </c>
      <c r="U44" s="10" t="s">
        <v>771</v>
      </c>
      <c r="V44" s="10" t="s">
        <v>771</v>
      </c>
      <c r="W44" s="10"/>
      <c r="X44" s="27" t="s">
        <v>589</v>
      </c>
      <c r="Y44" s="27" t="s">
        <v>4456</v>
      </c>
      <c r="Z44" s="80">
        <v>18573</v>
      </c>
      <c r="AA44" s="27">
        <v>532</v>
      </c>
      <c r="AB44" s="80">
        <v>80433</v>
      </c>
      <c r="AC44" s="27">
        <v>369</v>
      </c>
      <c r="AD44" s="27" t="s">
        <v>4458</v>
      </c>
      <c r="AE44" s="27">
        <v>148776931</v>
      </c>
      <c r="AF44" s="27" t="s">
        <v>4457</v>
      </c>
      <c r="AG44" s="27" t="s">
        <v>588</v>
      </c>
      <c r="AH44" s="79">
        <v>8.5809875403784002</v>
      </c>
      <c r="AI44" s="83">
        <v>6.7745302713987501</v>
      </c>
      <c r="AJ44" s="80">
        <v>15.055644901897701</v>
      </c>
      <c r="AK44" s="80">
        <v>9.6410421357349598</v>
      </c>
      <c r="AL44" s="27">
        <v>17</v>
      </c>
      <c r="AM44" s="97">
        <f t="shared" si="0"/>
        <v>5.3125000000000004E-3</v>
      </c>
      <c r="AN44" s="27" t="s">
        <v>589</v>
      </c>
      <c r="AO44" s="27">
        <v>19</v>
      </c>
      <c r="AP44" s="27">
        <v>11</v>
      </c>
      <c r="AQ44" s="27">
        <v>14</v>
      </c>
      <c r="AR44" s="27">
        <f>SUM(AO44:AQ44)</f>
        <v>44</v>
      </c>
      <c r="AS44" s="27" t="s">
        <v>6665</v>
      </c>
      <c r="AT44" s="27" t="s">
        <v>6854</v>
      </c>
      <c r="AU44" s="84" t="s">
        <v>4947</v>
      </c>
      <c r="AV44" s="77"/>
      <c r="AW44" s="77"/>
      <c r="AX44" s="77"/>
      <c r="AY44" s="77"/>
      <c r="AZ44" s="77"/>
      <c r="BA44" s="77"/>
      <c r="BB44" s="77"/>
      <c r="BC44" s="77"/>
      <c r="BD44" s="77"/>
      <c r="BE44" s="77"/>
      <c r="BF44" s="77"/>
      <c r="BG44" s="77"/>
      <c r="BH44" s="77"/>
      <c r="BI44" s="77"/>
      <c r="BJ44" s="77"/>
      <c r="BK44" s="77"/>
      <c r="BL44" s="77"/>
      <c r="BM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JY44" s="77"/>
      <c r="JZ44" s="77"/>
      <c r="KA44" s="77"/>
      <c r="KB44" s="77"/>
      <c r="KC44" s="77"/>
      <c r="KD44" s="77"/>
      <c r="KE44" s="77"/>
      <c r="KF44" s="77"/>
      <c r="KG44" s="77"/>
      <c r="KH44" s="77"/>
      <c r="KI44" s="77"/>
      <c r="KJ44" s="77"/>
      <c r="KK44" s="77"/>
      <c r="KL44" s="77"/>
    </row>
    <row r="45" spans="1:368" ht="18.600000000000001" customHeight="1" x14ac:dyDescent="0.25">
      <c r="A45" s="119" t="s">
        <v>316</v>
      </c>
      <c r="B45" s="27" t="s">
        <v>1652</v>
      </c>
      <c r="C45" s="27" t="s">
        <v>1653</v>
      </c>
      <c r="D45" s="30" t="str">
        <f>HYPERLINK("https://twitter.com/ThaiKhuFah","https://twitter.com/ThaiKhuFah")</f>
        <v>https://twitter.com/ThaiKhuFah</v>
      </c>
      <c r="E45" s="30" t="str">
        <f>HYPERLINK("http://twiplomacy.com/info/asia/Thailand","http://twiplomacy.com/info/asia/Thailand")</f>
        <v>http://twiplomacy.com/info/asia/Thailand</v>
      </c>
      <c r="F45" s="10" t="s">
        <v>154</v>
      </c>
      <c r="G45" s="10" t="s">
        <v>313</v>
      </c>
      <c r="H45" s="10" t="s">
        <v>788</v>
      </c>
      <c r="I45" s="10" t="s">
        <v>782</v>
      </c>
      <c r="J45" s="27" t="s">
        <v>1656</v>
      </c>
      <c r="K45" s="15" t="s">
        <v>4629</v>
      </c>
      <c r="L45" s="10" t="s">
        <v>771</v>
      </c>
      <c r="M45" s="10" t="s">
        <v>770</v>
      </c>
      <c r="N45" s="30" t="str">
        <f>HYPERLINK("https://twitter.com/ThaiKhuFah/status/17000137862","https://twitter.com/ThaiKhuFah/status/17000137862")</f>
        <v>https://twitter.com/ThaiKhuFah/status/17000137862</v>
      </c>
      <c r="O45" s="27" t="s">
        <v>1654</v>
      </c>
      <c r="P45" s="80">
        <v>1059</v>
      </c>
      <c r="Q45" s="80">
        <v>78</v>
      </c>
      <c r="R45" s="27" t="s">
        <v>2995</v>
      </c>
      <c r="S45" s="30" t="str">
        <f>HYPERLINK("https://twitter.com/ThaiKhuFah/lists","https://twitter.com/ThaiKhuFah/lists")</f>
        <v>https://twitter.com/ThaiKhuFah/lists</v>
      </c>
      <c r="T45" s="10" t="s">
        <v>771</v>
      </c>
      <c r="U45" s="10" t="s">
        <v>771</v>
      </c>
      <c r="V45" s="10" t="s">
        <v>771</v>
      </c>
      <c r="W45" s="10"/>
      <c r="X45" s="27" t="s">
        <v>316</v>
      </c>
      <c r="Y45" s="27" t="s">
        <v>1652</v>
      </c>
      <c r="Z45" s="80">
        <v>17766</v>
      </c>
      <c r="AA45" s="27">
        <v>3</v>
      </c>
      <c r="AB45" s="80">
        <v>45127</v>
      </c>
      <c r="AC45" s="27">
        <v>0</v>
      </c>
      <c r="AD45" s="27" t="s">
        <v>4521</v>
      </c>
      <c r="AE45" s="27">
        <v>159062306</v>
      </c>
      <c r="AF45" s="27" t="s">
        <v>1653</v>
      </c>
      <c r="AG45" s="27" t="s">
        <v>1655</v>
      </c>
      <c r="AH45" s="79">
        <v>8.3057503506311399</v>
      </c>
      <c r="AI45" s="83">
        <v>2.9038112522685999</v>
      </c>
      <c r="AJ45" s="80">
        <v>2.9675456389452299</v>
      </c>
      <c r="AK45" s="80">
        <v>1.15659229208925</v>
      </c>
      <c r="AL45" s="27">
        <v>7</v>
      </c>
      <c r="AM45" s="97">
        <f t="shared" si="0"/>
        <v>2.1875000000000002E-3</v>
      </c>
      <c r="AN45" s="27" t="s">
        <v>316</v>
      </c>
      <c r="AO45" s="27">
        <v>1</v>
      </c>
      <c r="AP45" s="27">
        <v>1</v>
      </c>
      <c r="AQ45" s="27">
        <v>1</v>
      </c>
      <c r="AR45" s="27">
        <f>SUM(AO45:AQ45)</f>
        <v>3</v>
      </c>
      <c r="AS45" s="27" t="s">
        <v>1665</v>
      </c>
      <c r="AT45" s="27" t="s">
        <v>705</v>
      </c>
      <c r="AU45" s="84" t="s">
        <v>315</v>
      </c>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16"/>
      <c r="JZ45" s="16"/>
      <c r="KA45" s="16"/>
      <c r="KB45" s="16"/>
      <c r="KC45" s="16"/>
      <c r="KD45" s="16"/>
      <c r="KE45" s="16"/>
      <c r="KF45" s="16"/>
      <c r="KG45" s="16"/>
      <c r="KH45" s="16"/>
      <c r="KI45" s="16"/>
      <c r="KJ45" s="16"/>
      <c r="KK45" s="16"/>
      <c r="KL45" s="16"/>
      <c r="LW45" s="77"/>
      <c r="LX45" s="77"/>
      <c r="LY45" s="77"/>
      <c r="LZ45" s="77"/>
      <c r="MA45" s="77"/>
      <c r="MB45" s="77"/>
      <c r="MC45" s="77"/>
      <c r="MD45" s="77"/>
      <c r="ME45" s="77"/>
      <c r="MF45" s="77"/>
      <c r="MG45" s="77"/>
      <c r="MH45" s="77"/>
      <c r="MI45" s="77"/>
      <c r="MJ45" s="77"/>
      <c r="MK45" s="77"/>
      <c r="ML45" s="77"/>
      <c r="MM45" s="77"/>
      <c r="MN45" s="77"/>
      <c r="MO45" s="77"/>
      <c r="MP45" s="77"/>
      <c r="MQ45" s="77"/>
      <c r="MR45" s="77"/>
    </row>
    <row r="46" spans="1:368" ht="18.600000000000001" customHeight="1" x14ac:dyDescent="0.25">
      <c r="A46" s="119" t="s">
        <v>450</v>
      </c>
      <c r="B46" s="27" t="s">
        <v>2041</v>
      </c>
      <c r="C46" s="27" t="s">
        <v>2042</v>
      </c>
      <c r="D46" s="30" t="str">
        <f>HYPERLINK("https://twitter.com/JosephMuscat_JM","https://twitter.com/JosephMuscat_JM")</f>
        <v>https://twitter.com/JosephMuscat_JM</v>
      </c>
      <c r="E46" s="30" t="s">
        <v>2043</v>
      </c>
      <c r="F46" s="10" t="s">
        <v>332</v>
      </c>
      <c r="G46" s="10" t="s">
        <v>448</v>
      </c>
      <c r="H46" s="10" t="s">
        <v>776</v>
      </c>
      <c r="I46" s="10" t="s">
        <v>773</v>
      </c>
      <c r="J46" s="27" t="s">
        <v>789</v>
      </c>
      <c r="K46" s="15" t="s">
        <v>777</v>
      </c>
      <c r="L46" s="10" t="s">
        <v>770</v>
      </c>
      <c r="M46" s="10" t="s">
        <v>771</v>
      </c>
      <c r="N46" s="30" t="str">
        <f>HYPERLINK("https://twitter.com/JosephMuscat_JM/statuses/1470076166","https://twitter.com/JosephMuscat_JM/statuses/1470076166")</f>
        <v>https://twitter.com/JosephMuscat_JM/statuses/1470076166</v>
      </c>
      <c r="O46" s="20" t="s">
        <v>2044</v>
      </c>
      <c r="P46" s="46">
        <v>173</v>
      </c>
      <c r="Q46" s="46">
        <v>70</v>
      </c>
      <c r="R46" s="27" t="s">
        <v>2994</v>
      </c>
      <c r="S46" s="10" t="s">
        <v>2045</v>
      </c>
      <c r="T46" s="10" t="s">
        <v>771</v>
      </c>
      <c r="U46" s="10" t="s">
        <v>771</v>
      </c>
      <c r="V46" s="10" t="s">
        <v>771</v>
      </c>
      <c r="W46" s="10"/>
      <c r="X46" s="27" t="s">
        <v>450</v>
      </c>
      <c r="Y46" s="27" t="s">
        <v>2041</v>
      </c>
      <c r="Z46" s="80">
        <v>17688</v>
      </c>
      <c r="AA46" s="27">
        <v>194</v>
      </c>
      <c r="AB46" s="80">
        <v>29315</v>
      </c>
      <c r="AC46" s="27">
        <v>14</v>
      </c>
      <c r="AD46" s="27" t="s">
        <v>3899</v>
      </c>
      <c r="AE46" s="27">
        <v>29466039</v>
      </c>
      <c r="AF46" s="27" t="s">
        <v>2042</v>
      </c>
      <c r="AG46" s="27" t="s">
        <v>448</v>
      </c>
      <c r="AH46" s="79">
        <v>6.8508907823392704</v>
      </c>
      <c r="AI46" s="83">
        <v>18.514285714285698</v>
      </c>
      <c r="AJ46" s="80">
        <v>22.176666666666701</v>
      </c>
      <c r="AK46" s="80">
        <v>21.126666666666701</v>
      </c>
      <c r="AL46" s="27">
        <v>30</v>
      </c>
      <c r="AM46" s="97">
        <f t="shared" si="0"/>
        <v>9.3749999999999997E-3</v>
      </c>
      <c r="AN46" s="27" t="s">
        <v>450</v>
      </c>
      <c r="AO46" s="27">
        <v>7</v>
      </c>
      <c r="AP46" s="27">
        <v>28</v>
      </c>
      <c r="AQ46" s="27">
        <v>7</v>
      </c>
      <c r="AR46" s="27">
        <f>SUM(AO46:AQ46)</f>
        <v>42</v>
      </c>
      <c r="AS46" s="27" t="s">
        <v>5220</v>
      </c>
      <c r="AT46" s="27" t="s">
        <v>6759</v>
      </c>
      <c r="AU46" s="84" t="s">
        <v>4781</v>
      </c>
      <c r="AV46" s="77"/>
      <c r="AW46" s="77"/>
      <c r="AX46" s="77"/>
      <c r="AY46" s="77"/>
      <c r="AZ46" s="77"/>
      <c r="BA46" s="77"/>
      <c r="BB46" s="77"/>
      <c r="BC46" s="77"/>
      <c r="BD46" s="77"/>
      <c r="BE46" s="77"/>
      <c r="BF46" s="77"/>
      <c r="BG46" s="77"/>
      <c r="BH46" s="77"/>
      <c r="BI46" s="77"/>
      <c r="BJ46" s="77"/>
      <c r="BK46" s="77"/>
      <c r="BL46" s="77"/>
      <c r="BM46" s="77"/>
      <c r="BN46" s="71"/>
      <c r="BO46" s="71"/>
      <c r="BP46" s="71"/>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JY46" s="77"/>
      <c r="JZ46" s="77"/>
      <c r="KA46" s="77"/>
      <c r="KB46" s="77"/>
      <c r="KC46" s="77"/>
      <c r="KD46" s="77"/>
      <c r="KE46" s="77"/>
      <c r="KF46" s="77"/>
      <c r="KG46" s="77"/>
      <c r="KH46" s="77"/>
      <c r="KI46" s="77"/>
      <c r="KJ46" s="77"/>
      <c r="KK46" s="77"/>
      <c r="KL46" s="77"/>
      <c r="KM46" s="77"/>
      <c r="KN46" s="77"/>
      <c r="KO46" s="77"/>
      <c r="KP46" s="77"/>
      <c r="KQ46" s="77"/>
      <c r="KR46" s="77"/>
      <c r="KS46" s="77"/>
      <c r="KT46" s="77"/>
      <c r="KU46" s="77"/>
      <c r="KV46" s="77"/>
      <c r="KW46" s="77"/>
      <c r="KX46" s="77"/>
      <c r="KY46" s="77"/>
      <c r="KZ46" s="77"/>
      <c r="LA46" s="77"/>
      <c r="LB46" s="77"/>
      <c r="LC46" s="77"/>
      <c r="LD46" s="77"/>
      <c r="LE46" s="77"/>
      <c r="LF46" s="77"/>
      <c r="LG46" s="77"/>
      <c r="LH46" s="77"/>
      <c r="LI46" s="77"/>
      <c r="LJ46" s="77"/>
      <c r="LK46" s="77"/>
      <c r="LL46" s="77"/>
      <c r="LM46" s="77"/>
      <c r="LN46" s="77"/>
      <c r="LO46" s="77"/>
      <c r="LP46" s="77"/>
      <c r="LQ46" s="77"/>
      <c r="LR46" s="77"/>
      <c r="LS46" s="77"/>
      <c r="LT46" s="77"/>
      <c r="LU46" s="77"/>
      <c r="LV46" s="77"/>
      <c r="LW46" s="77"/>
      <c r="LX46" s="77"/>
      <c r="LY46" s="77"/>
      <c r="LZ46" s="77"/>
      <c r="MA46" s="77"/>
      <c r="MB46" s="77"/>
      <c r="MC46" s="77"/>
      <c r="MD46" s="77"/>
      <c r="ME46" s="77"/>
      <c r="MF46" s="77"/>
      <c r="MG46" s="77"/>
      <c r="MH46" s="77"/>
      <c r="MI46" s="77"/>
      <c r="MJ46" s="77"/>
      <c r="MK46" s="77"/>
      <c r="ML46" s="77"/>
      <c r="MM46" s="77"/>
      <c r="MN46" s="77"/>
      <c r="MO46" s="77"/>
      <c r="MP46" s="77"/>
      <c r="MQ46" s="77"/>
      <c r="MR46" s="77"/>
    </row>
    <row r="47" spans="1:368" ht="18.600000000000001" customHeight="1" x14ac:dyDescent="0.25">
      <c r="A47" s="119" t="s">
        <v>2623</v>
      </c>
      <c r="B47" s="27" t="s">
        <v>2624</v>
      </c>
      <c r="C47" s="27" t="s">
        <v>2625</v>
      </c>
      <c r="D47" s="30" t="str">
        <f>HYPERLINK("https://twitter.com/USAbilAraby","https://twitter.com/USAbilAraby")</f>
        <v>https://twitter.com/USAbilAraby</v>
      </c>
      <c r="E47" s="30" t="str">
        <f>HYPERLINK("http://twiplomacy.com/info/north-america/United-States","http://twiplomacy.com/info/north-america/United-States")</f>
        <v>http://twiplomacy.com/info/north-america/United-States</v>
      </c>
      <c r="F47" s="10" t="s">
        <v>558</v>
      </c>
      <c r="G47" s="10" t="s">
        <v>633</v>
      </c>
      <c r="H47" s="10" t="s">
        <v>2539</v>
      </c>
      <c r="I47" s="10" t="s">
        <v>782</v>
      </c>
      <c r="J47" s="27" t="s">
        <v>789</v>
      </c>
      <c r="K47" s="15" t="s">
        <v>777</v>
      </c>
      <c r="L47" s="10" t="s">
        <v>771</v>
      </c>
      <c r="M47" s="10" t="s">
        <v>770</v>
      </c>
      <c r="N47" s="30" t="str">
        <f>HYPERLINK("https://twitter.com/USAbilAraby/statuses/35229519610773504","https://twitter.com/USAbilAraby/statuses/35229519610773504")</f>
        <v>https://twitter.com/USAbilAraby/statuses/35229519610773504</v>
      </c>
      <c r="O47" s="20" t="s">
        <v>2626</v>
      </c>
      <c r="P47" s="46">
        <v>982</v>
      </c>
      <c r="Q47" s="46">
        <v>133</v>
      </c>
      <c r="R47" s="27" t="s">
        <v>2994</v>
      </c>
      <c r="S47" s="30" t="str">
        <f>HYPERLINK("https://twitter.com/USAbilAraby/lists","https://twitter.com/USAbilAraby/lists")</f>
        <v>https://twitter.com/USAbilAraby/lists</v>
      </c>
      <c r="T47" s="10" t="s">
        <v>771</v>
      </c>
      <c r="U47" s="10">
        <v>3</v>
      </c>
      <c r="V47" s="10" t="s">
        <v>771</v>
      </c>
      <c r="W47" s="10"/>
      <c r="X47" s="27" t="s">
        <v>2623</v>
      </c>
      <c r="Y47" s="27" t="s">
        <v>2624</v>
      </c>
      <c r="Z47" s="80">
        <v>17665</v>
      </c>
      <c r="AA47" s="27">
        <v>474</v>
      </c>
      <c r="AB47" s="80">
        <v>461777</v>
      </c>
      <c r="AC47" s="27">
        <v>9</v>
      </c>
      <c r="AD47" s="27" t="s">
        <v>4561</v>
      </c>
      <c r="AE47" s="27">
        <v>249409411</v>
      </c>
      <c r="AF47" s="27" t="s">
        <v>2625</v>
      </c>
      <c r="AG47" s="27"/>
      <c r="AH47" s="79">
        <v>9.2535358826610796</v>
      </c>
      <c r="AI47" s="83">
        <v>13.677966101694899</v>
      </c>
      <c r="AJ47" s="80">
        <v>8.2734909769757294</v>
      </c>
      <c r="AK47" s="80">
        <v>12.4878655880523</v>
      </c>
      <c r="AL47" s="96">
        <v>46</v>
      </c>
      <c r="AM47" s="97">
        <f t="shared" si="0"/>
        <v>1.4375000000000001E-2</v>
      </c>
      <c r="AN47" s="27" t="s">
        <v>2623</v>
      </c>
      <c r="AO47" s="27">
        <v>16</v>
      </c>
      <c r="AP47" s="27">
        <v>6</v>
      </c>
      <c r="AQ47" s="27">
        <v>11</v>
      </c>
      <c r="AR47" s="27">
        <f>SUM(AO47:AQ47)</f>
        <v>33</v>
      </c>
      <c r="AS47" s="27" t="s">
        <v>5542</v>
      </c>
      <c r="AT47" s="27" t="s">
        <v>5543</v>
      </c>
      <c r="AU47" s="84" t="s">
        <v>4982</v>
      </c>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c r="KJ47" s="77"/>
      <c r="KK47" s="77"/>
      <c r="KL47" s="77"/>
      <c r="LW47" s="77"/>
      <c r="LX47" s="77"/>
      <c r="LY47" s="77"/>
      <c r="LZ47" s="77"/>
      <c r="MA47" s="77"/>
      <c r="MB47" s="77"/>
      <c r="MC47" s="77"/>
      <c r="MD47" s="77"/>
      <c r="ME47" s="77"/>
      <c r="MF47" s="77"/>
      <c r="MG47" s="77"/>
      <c r="MH47" s="77"/>
      <c r="MI47" s="77"/>
      <c r="MJ47" s="77"/>
      <c r="MK47" s="77"/>
      <c r="ML47" s="77"/>
      <c r="MM47" s="77"/>
      <c r="MN47" s="77"/>
      <c r="MO47" s="77"/>
      <c r="MP47" s="77"/>
      <c r="MQ47" s="77"/>
      <c r="MR47" s="77"/>
    </row>
    <row r="48" spans="1:368" ht="18.600000000000001" customHeight="1" x14ac:dyDescent="0.25">
      <c r="A48" s="119" t="s">
        <v>267</v>
      </c>
      <c r="B48" s="27" t="s">
        <v>1531</v>
      </c>
      <c r="C48" s="27" t="s">
        <v>1533</v>
      </c>
      <c r="D48" s="12" t="s">
        <v>3090</v>
      </c>
      <c r="E48" s="30" t="str">
        <f>HYPERLINK("http://twiplomacy.com/info/asia/Pakistan","http://twiplomacy.com/info/asia/Pakistan")</f>
        <v>http://twiplomacy.com/info/asia/Pakistan</v>
      </c>
      <c r="F48" s="10" t="s">
        <v>154</v>
      </c>
      <c r="G48" s="10" t="s">
        <v>265</v>
      </c>
      <c r="H48" s="10" t="s">
        <v>788</v>
      </c>
      <c r="I48" s="10" t="s">
        <v>782</v>
      </c>
      <c r="J48" s="27" t="s">
        <v>789</v>
      </c>
      <c r="K48" s="15" t="s">
        <v>777</v>
      </c>
      <c r="L48" s="10" t="s">
        <v>771</v>
      </c>
      <c r="M48" s="10" t="s">
        <v>771</v>
      </c>
      <c r="N48" s="30" t="s">
        <v>1532</v>
      </c>
      <c r="O48" s="27" t="s">
        <v>6010</v>
      </c>
      <c r="P48" s="80">
        <v>29</v>
      </c>
      <c r="Q48" s="80">
        <v>28</v>
      </c>
      <c r="R48" s="27" t="s">
        <v>2995</v>
      </c>
      <c r="S48" s="30" t="str">
        <f>HYPERLINK("https://twitter.com/PIDPakistan/lists","https://twitter.com/pid_gov/lists")</f>
        <v>https://twitter.com/pid_gov/lists</v>
      </c>
      <c r="T48" s="10" t="s">
        <v>771</v>
      </c>
      <c r="U48" s="10" t="s">
        <v>771</v>
      </c>
      <c r="V48" s="10" t="s">
        <v>771</v>
      </c>
      <c r="W48" s="10"/>
      <c r="X48" s="27" t="s">
        <v>267</v>
      </c>
      <c r="Y48" s="27" t="s">
        <v>1531</v>
      </c>
      <c r="Z48" s="80">
        <v>17570</v>
      </c>
      <c r="AA48" s="27">
        <v>75</v>
      </c>
      <c r="AB48" s="80">
        <v>15068</v>
      </c>
      <c r="AC48" s="27">
        <v>3</v>
      </c>
      <c r="AD48" s="27" t="s">
        <v>4248</v>
      </c>
      <c r="AE48" s="27">
        <v>352184105</v>
      </c>
      <c r="AF48" s="27" t="s">
        <v>1533</v>
      </c>
      <c r="AG48" s="27" t="s">
        <v>1534</v>
      </c>
      <c r="AH48" s="79">
        <v>10.1737116386798</v>
      </c>
      <c r="AI48" s="83">
        <v>7.7679425837320597</v>
      </c>
      <c r="AJ48" s="80">
        <v>0.72592592592592597</v>
      </c>
      <c r="AK48" s="80">
        <v>0.88919753086419795</v>
      </c>
      <c r="AL48" s="27">
        <v>2</v>
      </c>
      <c r="AM48" s="97">
        <f t="shared" si="0"/>
        <v>6.2500000000000001E-4</v>
      </c>
      <c r="AN48" s="27" t="s">
        <v>267</v>
      </c>
      <c r="AO48" s="27">
        <v>1</v>
      </c>
      <c r="AP48" s="27">
        <v>1</v>
      </c>
      <c r="AQ48" s="27">
        <v>1</v>
      </c>
      <c r="AR48" s="27">
        <f>SUM(AO48:AQ48)</f>
        <v>3</v>
      </c>
      <c r="AS48" s="27" t="s">
        <v>266</v>
      </c>
      <c r="AT48" s="27" t="s">
        <v>268</v>
      </c>
      <c r="AU48" s="84" t="s">
        <v>1539</v>
      </c>
      <c r="AV48" s="77"/>
      <c r="AW48" s="77"/>
      <c r="AX48" s="77"/>
      <c r="AY48" s="77"/>
      <c r="AZ48" s="77"/>
      <c r="BA48" s="77"/>
      <c r="BB48" s="77"/>
      <c r="BC48" s="77"/>
      <c r="BD48" s="77"/>
      <c r="BE48" s="77"/>
      <c r="BF48" s="77"/>
      <c r="BG48" s="77"/>
      <c r="BH48" s="77"/>
      <c r="BI48" s="77"/>
      <c r="BJ48" s="77"/>
      <c r="BK48" s="77"/>
      <c r="BL48" s="77"/>
      <c r="BM48" s="43"/>
      <c r="BN48" s="77"/>
      <c r="BO48" s="77"/>
      <c r="BP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7"/>
      <c r="GD48" s="77"/>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ID48" s="77"/>
      <c r="IE48" s="77"/>
      <c r="KM48" s="16"/>
      <c r="KN48" s="16"/>
      <c r="KO48" s="16"/>
      <c r="KP48" s="16"/>
      <c r="KQ48" s="16"/>
      <c r="KR48" s="16"/>
      <c r="KS48" s="16"/>
      <c r="KT48" s="16"/>
      <c r="KU48" s="16"/>
      <c r="KV48" s="16"/>
      <c r="KW48" s="16"/>
      <c r="KX48" s="16"/>
      <c r="KY48" s="16"/>
      <c r="KZ48" s="16"/>
      <c r="LA48" s="16"/>
      <c r="LB48" s="16"/>
      <c r="LC48" s="16"/>
      <c r="LD48" s="16"/>
      <c r="LE48" s="16"/>
      <c r="LF48" s="16"/>
      <c r="LG48" s="16"/>
      <c r="LH48" s="16"/>
      <c r="LI48" s="16"/>
      <c r="LJ48" s="16"/>
      <c r="LK48" s="16"/>
      <c r="LL48" s="77"/>
      <c r="LM48" s="77"/>
      <c r="LN48" s="77"/>
      <c r="LO48" s="77"/>
      <c r="LP48" s="77"/>
      <c r="LQ48" s="77"/>
      <c r="LR48" s="77"/>
      <c r="LS48" s="77"/>
      <c r="LT48" s="77"/>
      <c r="LU48" s="77"/>
      <c r="LV48" s="77"/>
      <c r="LW48" s="77"/>
      <c r="LX48" s="77"/>
    </row>
    <row r="49" spans="1:368" ht="18.600000000000001" customHeight="1" x14ac:dyDescent="0.25">
      <c r="A49" s="119" t="s">
        <v>379</v>
      </c>
      <c r="B49" s="27" t="s">
        <v>1819</v>
      </c>
      <c r="C49" s="27" t="s">
        <v>1820</v>
      </c>
      <c r="D49" s="30" t="str">
        <f>HYPERLINK("https://twitter.com/IlvesToomas","https://twitter.com/IlvesToomas")</f>
        <v>https://twitter.com/IlvesToomas</v>
      </c>
      <c r="E49" s="30" t="str">
        <f>HYPERLINK("http://twiplomacy.com/info/europe/Estonia","http://twiplomacy.com/info/europe/Estonia")</f>
        <v>http://twiplomacy.com/info/europe/Estonia</v>
      </c>
      <c r="F49" s="10" t="s">
        <v>332</v>
      </c>
      <c r="G49" s="10" t="s">
        <v>378</v>
      </c>
      <c r="H49" s="10" t="s">
        <v>772</v>
      </c>
      <c r="I49" s="10" t="s">
        <v>773</v>
      </c>
      <c r="J49" s="27" t="s">
        <v>789</v>
      </c>
      <c r="K49" s="15" t="s">
        <v>777</v>
      </c>
      <c r="L49" s="10" t="s">
        <v>905</v>
      </c>
      <c r="M49" s="10" t="s">
        <v>771</v>
      </c>
      <c r="N49" s="30" t="str">
        <f>HYPERLINK("https://twitter.com/IlvesToomas/statuses/202478265955393536","https://twitter.com/IlvesToomas/statuses/202478265955393536")</f>
        <v>https://twitter.com/IlvesToomas/statuses/202478265955393536</v>
      </c>
      <c r="O49" s="27" t="s">
        <v>5872</v>
      </c>
      <c r="P49" s="80">
        <v>424</v>
      </c>
      <c r="Q49" s="80">
        <v>139</v>
      </c>
      <c r="R49" s="27" t="s">
        <v>2994</v>
      </c>
      <c r="S49" s="30" t="str">
        <f>HYPERLINK("https://twitter.com/IlvesToomas/lists","https://twitter.com/IlvesToomas/lists")</f>
        <v>https://twitter.com/IlvesToomas/lists</v>
      </c>
      <c r="T49" s="10" t="s">
        <v>771</v>
      </c>
      <c r="U49" s="10">
        <v>1</v>
      </c>
      <c r="V49" s="10" t="s">
        <v>771</v>
      </c>
      <c r="W49" s="10"/>
      <c r="X49" s="27" t="s">
        <v>379</v>
      </c>
      <c r="Y49" s="27" t="s">
        <v>1819</v>
      </c>
      <c r="Z49" s="80">
        <v>17487</v>
      </c>
      <c r="AA49" s="27">
        <v>856</v>
      </c>
      <c r="AB49" s="80">
        <v>68578</v>
      </c>
      <c r="AC49" s="27">
        <v>119</v>
      </c>
      <c r="AD49" s="27" t="s">
        <v>3832</v>
      </c>
      <c r="AE49" s="27">
        <v>579747564</v>
      </c>
      <c r="AF49" s="27" t="s">
        <v>1820</v>
      </c>
      <c r="AG49" s="27" t="s">
        <v>378</v>
      </c>
      <c r="AH49" s="79">
        <v>12.068322981366499</v>
      </c>
      <c r="AI49" s="83">
        <v>6.7903563941299803</v>
      </c>
      <c r="AJ49" s="80">
        <v>17.8012048192771</v>
      </c>
      <c r="AK49" s="80">
        <v>12.284638554216899</v>
      </c>
      <c r="AL49" s="27">
        <v>176</v>
      </c>
      <c r="AM49" s="97">
        <f t="shared" si="0"/>
        <v>5.5E-2</v>
      </c>
      <c r="AN49" s="27" t="s">
        <v>379</v>
      </c>
      <c r="AO49" s="27">
        <v>3</v>
      </c>
      <c r="AP49" s="27">
        <v>44</v>
      </c>
      <c r="AQ49" s="27">
        <v>8</v>
      </c>
      <c r="AR49" s="27">
        <f>SUM(AO49:AQ49)</f>
        <v>55</v>
      </c>
      <c r="AS49" s="27" t="s">
        <v>5192</v>
      </c>
      <c r="AT49" s="27" t="s">
        <v>5193</v>
      </c>
      <c r="AU49" s="84" t="s">
        <v>4762</v>
      </c>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HL49" s="77"/>
      <c r="HM49" s="77"/>
      <c r="HN49" s="77"/>
      <c r="HO49" s="77"/>
      <c r="HP49" s="77"/>
      <c r="HQ49" s="77"/>
      <c r="HR49" s="77"/>
      <c r="HS49" s="77"/>
      <c r="HT49" s="77"/>
      <c r="HU49" s="77"/>
      <c r="HV49" s="77"/>
      <c r="HW49" s="77"/>
      <c r="HX49" s="77"/>
      <c r="HY49" s="77"/>
      <c r="HZ49" s="77"/>
      <c r="IA49" s="77"/>
      <c r="IB49" s="77"/>
      <c r="IC49" s="77"/>
      <c r="ID49" s="77"/>
      <c r="IE49" s="77"/>
      <c r="IF49" s="77"/>
      <c r="IG49" s="77"/>
      <c r="IH49" s="77"/>
      <c r="II49" s="77"/>
      <c r="IJ49" s="77"/>
      <c r="IK49" s="77"/>
      <c r="IL49" s="77"/>
      <c r="IM49" s="77"/>
      <c r="IN49" s="77"/>
      <c r="IO49" s="77"/>
      <c r="IP49" s="77"/>
      <c r="IQ49" s="77"/>
      <c r="IR49" s="77"/>
      <c r="IS49" s="77"/>
      <c r="IT49" s="77"/>
      <c r="IU49" s="77"/>
      <c r="IV49" s="77"/>
      <c r="IW49" s="77"/>
      <c r="IX49" s="77"/>
      <c r="IY49" s="77"/>
      <c r="IZ49" s="77"/>
      <c r="JA49" s="77"/>
      <c r="JB49" s="77"/>
      <c r="JC49" s="77"/>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c r="KJ49" s="77"/>
      <c r="KK49" s="77"/>
      <c r="KL49" s="77"/>
      <c r="KM49" s="77"/>
      <c r="KN49" s="77"/>
      <c r="KO49" s="77"/>
      <c r="KP49" s="77"/>
      <c r="KQ49" s="77"/>
      <c r="KR49" s="77"/>
      <c r="KS49" s="77"/>
      <c r="KT49" s="77"/>
      <c r="KU49" s="77"/>
      <c r="KV49" s="77"/>
      <c r="KW49" s="77"/>
      <c r="KX49" s="77"/>
      <c r="KY49" s="77"/>
      <c r="KZ49" s="77"/>
      <c r="LA49" s="77"/>
      <c r="LB49" s="77"/>
      <c r="LC49" s="77"/>
      <c r="LD49" s="77"/>
      <c r="LE49" s="77"/>
      <c r="LF49" s="77"/>
      <c r="LG49" s="77"/>
      <c r="LH49" s="77"/>
      <c r="LI49" s="77"/>
      <c r="LJ49" s="77"/>
      <c r="LK49" s="77"/>
      <c r="LL49" s="77"/>
      <c r="LM49" s="77"/>
      <c r="LN49" s="77"/>
      <c r="LO49" s="77"/>
      <c r="LP49" s="77"/>
      <c r="LQ49" s="77"/>
      <c r="LR49" s="77"/>
      <c r="LS49" s="77"/>
      <c r="LT49" s="77"/>
      <c r="LU49" s="77"/>
      <c r="LV49" s="77"/>
      <c r="LY49" s="77"/>
      <c r="LZ49" s="77"/>
      <c r="MA49" s="77"/>
      <c r="MB49" s="77"/>
      <c r="MC49" s="77"/>
      <c r="MD49" s="77"/>
      <c r="ME49" s="77"/>
      <c r="MF49" s="77"/>
      <c r="MG49" s="77"/>
      <c r="MH49" s="77"/>
      <c r="MI49" s="77"/>
      <c r="MJ49" s="77"/>
      <c r="MK49" s="77"/>
      <c r="ML49" s="77"/>
      <c r="MM49" s="77"/>
      <c r="MN49" s="77"/>
      <c r="MO49" s="77"/>
      <c r="MP49" s="77"/>
      <c r="MQ49" s="77"/>
      <c r="MR49" s="77"/>
      <c r="MT49" s="77"/>
      <c r="MU49" s="77"/>
      <c r="MV49" s="77"/>
      <c r="MW49" s="77"/>
      <c r="MX49" s="77"/>
      <c r="MY49" s="77"/>
      <c r="MZ49" s="77"/>
      <c r="NA49" s="77"/>
      <c r="NB49" s="77"/>
      <c r="NC49" s="77"/>
    </row>
    <row r="50" spans="1:368" ht="18.600000000000001" customHeight="1" x14ac:dyDescent="0.25">
      <c r="A50" s="119" t="s">
        <v>676</v>
      </c>
      <c r="B50" s="27" t="s">
        <v>2698</v>
      </c>
      <c r="C50" s="27" t="s">
        <v>3872</v>
      </c>
      <c r="D50" s="30" t="str">
        <f>HYPERLINK("https://twitter.com/ItamaratyGovBr","https://twitter.com/ItamaratyGovBr")</f>
        <v>https://twitter.com/ItamaratyGovBr</v>
      </c>
      <c r="E50" s="30" t="str">
        <f>HYPERLINK("http://twiplomacy.com/info/south-america/Brazil","http://twiplomacy.com/info/south-america/Brazil")</f>
        <v>http://twiplomacy.com/info/south-america/Brazil</v>
      </c>
      <c r="F50" s="10" t="s">
        <v>668</v>
      </c>
      <c r="G50" s="10" t="s">
        <v>673</v>
      </c>
      <c r="H50" s="10" t="s">
        <v>795</v>
      </c>
      <c r="I50" s="10" t="s">
        <v>782</v>
      </c>
      <c r="J50" s="27" t="s">
        <v>785</v>
      </c>
      <c r="K50" s="15" t="s">
        <v>777</v>
      </c>
      <c r="L50" s="10" t="s">
        <v>771</v>
      </c>
      <c r="M50" s="10" t="s">
        <v>770</v>
      </c>
      <c r="N50" s="30" t="str">
        <f>HYPERLINK("https://twitter.com/ItamaratyGovBr/statuses/2298675106","https://twitter.com/ItamaratyGovBr/statuses/2298675106")</f>
        <v>https://twitter.com/ItamaratyGovBr/statuses/2298675106</v>
      </c>
      <c r="O50" s="27" t="s">
        <v>5886</v>
      </c>
      <c r="P50" s="80">
        <v>269</v>
      </c>
      <c r="Q50" s="80">
        <v>47</v>
      </c>
      <c r="R50" s="27" t="s">
        <v>2994</v>
      </c>
      <c r="S50" s="30" t="str">
        <f>HYPERLINK("https://twitter.com/ItamaratyGovBr/lists","https://twitter.com/ItamaratyGovBr/lists")</f>
        <v>https://twitter.com/ItamaratyGovBr/lists</v>
      </c>
      <c r="T50" s="10">
        <v>6</v>
      </c>
      <c r="U50" s="10">
        <v>1</v>
      </c>
      <c r="V50" s="10" t="s">
        <v>771</v>
      </c>
      <c r="W50" s="10"/>
      <c r="X50" s="27" t="s">
        <v>676</v>
      </c>
      <c r="Y50" s="27" t="s">
        <v>2698</v>
      </c>
      <c r="Z50" s="80">
        <v>17447</v>
      </c>
      <c r="AA50" s="27">
        <v>728</v>
      </c>
      <c r="AB50" s="80">
        <v>135395</v>
      </c>
      <c r="AC50" s="27">
        <v>1192</v>
      </c>
      <c r="AD50" s="27" t="s">
        <v>3873</v>
      </c>
      <c r="AE50" s="27">
        <v>49762925</v>
      </c>
      <c r="AF50" s="27" t="s">
        <v>3872</v>
      </c>
      <c r="AG50" s="27" t="s">
        <v>2699</v>
      </c>
      <c r="AH50" s="79">
        <v>6.9648702594810397</v>
      </c>
      <c r="AI50" s="83">
        <v>9.5529411764705898</v>
      </c>
      <c r="AJ50" s="80">
        <v>5.1659369527145396</v>
      </c>
      <c r="AK50" s="80">
        <v>5.0284588441331</v>
      </c>
      <c r="AL50" s="27">
        <v>442</v>
      </c>
      <c r="AM50" s="97">
        <f t="shared" si="0"/>
        <v>0.138125</v>
      </c>
      <c r="AN50" s="27" t="s">
        <v>676</v>
      </c>
      <c r="AO50" s="27">
        <v>212</v>
      </c>
      <c r="AP50" s="27">
        <v>4</v>
      </c>
      <c r="AQ50" s="27">
        <v>74</v>
      </c>
      <c r="AR50" s="27">
        <f>SUM(AO50:AQ50)</f>
        <v>290</v>
      </c>
      <c r="AS50" s="27" t="s">
        <v>6926</v>
      </c>
      <c r="AT50" s="27" t="s">
        <v>5212</v>
      </c>
      <c r="AU50" s="84" t="s">
        <v>6496</v>
      </c>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EP50" s="77"/>
      <c r="EQ50" s="77"/>
      <c r="ER50" s="77"/>
      <c r="ES50" s="77"/>
      <c r="ET50" s="77"/>
      <c r="EU50" s="77"/>
      <c r="EV50" s="77"/>
      <c r="EW50" s="77"/>
      <c r="EX50" s="77"/>
      <c r="EY50" s="77"/>
      <c r="EZ50" s="77"/>
      <c r="FA50" s="77"/>
      <c r="FB50" s="77"/>
      <c r="FC50" s="77"/>
      <c r="FD50" s="77"/>
      <c r="FE50" s="77"/>
      <c r="FF50" s="77"/>
      <c r="FG50" s="77"/>
      <c r="FH50" s="77"/>
      <c r="FI50" s="77"/>
      <c r="FJ50" s="77"/>
      <c r="FK50" s="77"/>
      <c r="FL50" s="77"/>
      <c r="FM50" s="77"/>
      <c r="FN50" s="77"/>
      <c r="FO50" s="77"/>
      <c r="FP50" s="77"/>
      <c r="FQ50" s="77"/>
      <c r="FR50" s="77"/>
      <c r="FS50" s="77"/>
      <c r="FT50" s="77"/>
      <c r="FU50" s="77"/>
      <c r="FV50" s="77"/>
      <c r="FW50" s="77"/>
      <c r="FX50" s="77"/>
      <c r="FY50" s="77"/>
      <c r="FZ50" s="77"/>
      <c r="GA50" s="77"/>
      <c r="GB50" s="77"/>
      <c r="GC50" s="77"/>
      <c r="GD50" s="77"/>
      <c r="GE50" s="77"/>
      <c r="GF50" s="77"/>
      <c r="GG50" s="77"/>
      <c r="GH50" s="77"/>
      <c r="GI50" s="77"/>
      <c r="GJ50" s="77"/>
      <c r="GK50" s="77"/>
      <c r="HL50" s="77"/>
      <c r="HM50" s="77"/>
      <c r="HN50" s="77"/>
      <c r="HO50" s="77"/>
      <c r="HP50" s="77"/>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77"/>
      <c r="IQ50" s="77"/>
      <c r="IR50" s="77"/>
      <c r="IS50" s="77"/>
      <c r="IT50" s="77"/>
      <c r="IU50" s="77"/>
      <c r="IV50" s="77"/>
      <c r="IW50" s="77"/>
      <c r="IX50" s="77"/>
      <c r="IY50" s="77"/>
      <c r="IZ50" s="77"/>
      <c r="JA50" s="77"/>
      <c r="JB50" s="77"/>
      <c r="JC50" s="77"/>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c r="KJ50" s="77"/>
      <c r="KK50" s="77"/>
      <c r="KL50" s="77"/>
      <c r="KM50" s="77"/>
      <c r="KN50" s="77"/>
      <c r="KO50" s="77"/>
      <c r="KP50" s="77"/>
      <c r="KQ50" s="77"/>
      <c r="KR50" s="77"/>
      <c r="KS50" s="77"/>
      <c r="KT50" s="77"/>
      <c r="KU50" s="77"/>
      <c r="KV50" s="77"/>
      <c r="KW50" s="77"/>
      <c r="KX50" s="77"/>
      <c r="KY50" s="77"/>
      <c r="KZ50" s="77"/>
      <c r="LA50" s="77"/>
      <c r="LB50" s="77"/>
      <c r="LC50" s="77"/>
      <c r="LD50" s="77"/>
      <c r="LE50" s="77"/>
      <c r="LF50" s="77"/>
      <c r="LG50" s="77"/>
      <c r="LH50" s="77"/>
      <c r="LI50" s="77"/>
      <c r="LJ50" s="77"/>
      <c r="LK50" s="77"/>
      <c r="LL50" s="77"/>
      <c r="LM50" s="77"/>
      <c r="LN50" s="77"/>
      <c r="LO50" s="77"/>
      <c r="LP50" s="77"/>
      <c r="LQ50" s="77"/>
      <c r="LR50" s="77"/>
      <c r="LS50" s="77"/>
      <c r="LT50" s="77"/>
      <c r="LU50" s="77"/>
      <c r="LV50" s="77"/>
      <c r="MS50" s="77"/>
    </row>
    <row r="51" spans="1:368" ht="18.600000000000001" customHeight="1" x14ac:dyDescent="0.25">
      <c r="A51" s="119" t="s">
        <v>686</v>
      </c>
      <c r="B51" s="27" t="s">
        <v>2720</v>
      </c>
      <c r="C51" s="27" t="s">
        <v>2721</v>
      </c>
      <c r="D51" s="30" t="str">
        <f>HYPERLINK("https://twitter.com/CancilleriaCol","https://twitter.com/CancilleriaCol")</f>
        <v>https://twitter.com/CancilleriaCol</v>
      </c>
      <c r="E51" s="30" t="str">
        <f>HYPERLINK("http://twiplomacy.com/info/south-america/Colombia","http://twiplomacy.com/info/south-america/Colombia")</f>
        <v>http://twiplomacy.com/info/south-america/Colombia</v>
      </c>
      <c r="F51" s="10" t="s">
        <v>668</v>
      </c>
      <c r="G51" s="10" t="s">
        <v>683</v>
      </c>
      <c r="H51" s="10" t="s">
        <v>795</v>
      </c>
      <c r="I51" s="10" t="s">
        <v>782</v>
      </c>
      <c r="J51" s="27" t="s">
        <v>2226</v>
      </c>
      <c r="K51" s="15" t="s">
        <v>777</v>
      </c>
      <c r="L51" s="10" t="s">
        <v>771</v>
      </c>
      <c r="M51" s="10" t="s">
        <v>771</v>
      </c>
      <c r="N51" s="30" t="str">
        <f>HYPERLINK("https://twitter.com/CancilleriaCol/statuses/108231508430561280","https://twitter.com/CancilleriaCol/statuses/108231508430561280")</f>
        <v>https://twitter.com/CancilleriaCol/statuses/108231508430561280</v>
      </c>
      <c r="O51" s="27" t="s">
        <v>5728</v>
      </c>
      <c r="P51" s="80">
        <v>292</v>
      </c>
      <c r="Q51" s="80">
        <v>48</v>
      </c>
      <c r="R51" s="27" t="s">
        <v>2994</v>
      </c>
      <c r="S51" s="10" t="s">
        <v>2722</v>
      </c>
      <c r="T51" s="10" t="s">
        <v>771</v>
      </c>
      <c r="U51" s="10" t="s">
        <v>771</v>
      </c>
      <c r="V51" s="10" t="s">
        <v>771</v>
      </c>
      <c r="W51" s="10"/>
      <c r="X51" s="27" t="s">
        <v>686</v>
      </c>
      <c r="Y51" s="27" t="s">
        <v>2720</v>
      </c>
      <c r="Z51" s="80">
        <v>16956</v>
      </c>
      <c r="AA51" s="27">
        <v>934</v>
      </c>
      <c r="AB51" s="80">
        <v>147334</v>
      </c>
      <c r="AC51" s="27">
        <v>252</v>
      </c>
      <c r="AD51" s="27" t="s">
        <v>3556</v>
      </c>
      <c r="AE51" s="27">
        <v>262398126</v>
      </c>
      <c r="AF51" s="27" t="s">
        <v>2721</v>
      </c>
      <c r="AG51" s="27" t="s">
        <v>6375</v>
      </c>
      <c r="AH51" s="79">
        <v>9.0132766861391396</v>
      </c>
      <c r="AI51" s="83">
        <v>21.090909090909101</v>
      </c>
      <c r="AJ51" s="80">
        <v>2.8358064516128998</v>
      </c>
      <c r="AK51" s="80">
        <v>2.39</v>
      </c>
      <c r="AL51" s="27">
        <v>1224</v>
      </c>
      <c r="AM51" s="97">
        <f t="shared" si="0"/>
        <v>0.38250000000000001</v>
      </c>
      <c r="AN51" s="27" t="s">
        <v>686</v>
      </c>
      <c r="AO51" s="27">
        <v>9</v>
      </c>
      <c r="AP51" s="27">
        <v>38</v>
      </c>
      <c r="AQ51" s="27">
        <v>14</v>
      </c>
      <c r="AR51" s="27">
        <f>SUM(AO51:AQ51)</f>
        <v>61</v>
      </c>
      <c r="AS51" s="27" t="s">
        <v>6549</v>
      </c>
      <c r="AT51" s="27" t="s">
        <v>6685</v>
      </c>
      <c r="AU51" s="84" t="s">
        <v>4676</v>
      </c>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7"/>
      <c r="HN51" s="77"/>
      <c r="HO51" s="77"/>
      <c r="HP51" s="77"/>
      <c r="HQ51" s="77"/>
      <c r="HR51" s="77"/>
      <c r="HS51" s="77"/>
      <c r="HT51" s="77"/>
      <c r="HU51" s="77"/>
      <c r="HV51" s="77"/>
      <c r="HW51" s="77"/>
      <c r="HX51" s="77"/>
      <c r="HY51" s="77"/>
      <c r="HZ51" s="77"/>
      <c r="IA51" s="77"/>
      <c r="IB51" s="77"/>
      <c r="IC51" s="77"/>
      <c r="ID51" s="77"/>
      <c r="IE51" s="77"/>
      <c r="IF51" s="77"/>
      <c r="IG51" s="77"/>
      <c r="IH51" s="77"/>
      <c r="II51" s="77"/>
      <c r="IJ51" s="77"/>
      <c r="IK51" s="77"/>
      <c r="IL51" s="77"/>
      <c r="IM51" s="77"/>
      <c r="IN51" s="77"/>
      <c r="IO51" s="77"/>
      <c r="IP51" s="77"/>
      <c r="IQ51" s="77"/>
      <c r="IR51" s="77"/>
      <c r="IS51" s="77"/>
      <c r="IT51" s="77"/>
      <c r="IU51" s="77"/>
      <c r="IV51" s="77"/>
      <c r="IW51" s="77"/>
      <c r="IX51" s="77"/>
      <c r="IY51" s="77"/>
      <c r="IZ51" s="77"/>
      <c r="JA51" s="77"/>
      <c r="JB51" s="77"/>
      <c r="JC51" s="77"/>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c r="KJ51" s="77"/>
      <c r="KK51" s="77"/>
      <c r="KL51" s="77"/>
    </row>
    <row r="52" spans="1:368" ht="18.600000000000001" customHeight="1" x14ac:dyDescent="0.25">
      <c r="A52" s="119" t="s">
        <v>215</v>
      </c>
      <c r="B52" s="27" t="s">
        <v>1388</v>
      </c>
      <c r="C52" s="27" t="s">
        <v>6428</v>
      </c>
      <c r="D52" s="30" t="str">
        <f>HYPERLINK("https://twitter.com/MofaJapan_jp","https://twitter.com/MofaJapan_jp")</f>
        <v>https://twitter.com/MofaJapan_jp</v>
      </c>
      <c r="E52" s="30" t="str">
        <f>HYPERLINK("http://twiplomacy.com/info/asia/japan/","http://twiplomacy.com/info/asia/japan/")</f>
        <v>http://twiplomacy.com/info/asia/japan/</v>
      </c>
      <c r="F52" s="10" t="s">
        <v>154</v>
      </c>
      <c r="G52" s="10" t="s">
        <v>213</v>
      </c>
      <c r="H52" s="10" t="s">
        <v>795</v>
      </c>
      <c r="I52" s="10" t="s">
        <v>782</v>
      </c>
      <c r="J52" s="27" t="s">
        <v>1382</v>
      </c>
      <c r="K52" s="15" t="s">
        <v>777</v>
      </c>
      <c r="L52" s="10" t="s">
        <v>771</v>
      </c>
      <c r="M52" s="10" t="s">
        <v>771</v>
      </c>
      <c r="N52" s="30" t="str">
        <f>HYPERLINK("https://twitter.com/MofaJapan_jp/statuses/75720393121464320","https://twitter.com/MofaJapan_jp/statuses/75720393121464320")</f>
        <v>https://twitter.com/MofaJapan_jp/statuses/75720393121464320</v>
      </c>
      <c r="O52" s="27" t="s">
        <v>5971</v>
      </c>
      <c r="P52" s="80">
        <v>5403</v>
      </c>
      <c r="Q52" s="80">
        <v>3374</v>
      </c>
      <c r="R52" s="27" t="s">
        <v>2994</v>
      </c>
      <c r="S52" s="10" t="s">
        <v>1389</v>
      </c>
      <c r="T52" s="10" t="s">
        <v>771</v>
      </c>
      <c r="U52" s="10" t="s">
        <v>771</v>
      </c>
      <c r="V52" s="10" t="s">
        <v>771</v>
      </c>
      <c r="W52" s="10"/>
      <c r="X52" s="27" t="s">
        <v>215</v>
      </c>
      <c r="Y52" s="27" t="s">
        <v>1388</v>
      </c>
      <c r="Z52" s="80">
        <v>16885</v>
      </c>
      <c r="AA52" s="27">
        <v>36</v>
      </c>
      <c r="AB52" s="80">
        <v>194613</v>
      </c>
      <c r="AC52" s="27">
        <v>1</v>
      </c>
      <c r="AD52" s="27" t="s">
        <v>4145</v>
      </c>
      <c r="AE52" s="27">
        <v>303730149</v>
      </c>
      <c r="AF52" s="27" t="s">
        <v>6428</v>
      </c>
      <c r="AG52" s="27" t="s">
        <v>1390</v>
      </c>
      <c r="AH52" s="79">
        <v>9.3493909191583597</v>
      </c>
      <c r="AI52" s="83">
        <v>10.5098684210526</v>
      </c>
      <c r="AJ52" s="80">
        <v>21.177669902912601</v>
      </c>
      <c r="AK52" s="80">
        <v>19.3417475728155</v>
      </c>
      <c r="AL52" s="27">
        <v>1</v>
      </c>
      <c r="AM52" s="97">
        <f t="shared" si="0"/>
        <v>3.1250000000000001E-4</v>
      </c>
      <c r="AN52" s="27" t="s">
        <v>215</v>
      </c>
      <c r="AO52" s="27">
        <v>1</v>
      </c>
      <c r="AP52" s="27">
        <v>11</v>
      </c>
      <c r="AQ52" s="27">
        <v>3</v>
      </c>
      <c r="AR52" s="27">
        <f>SUM(AO52:AQ52)</f>
        <v>15</v>
      </c>
      <c r="AS52" s="27" t="s">
        <v>1396</v>
      </c>
      <c r="AT52" s="27" t="s">
        <v>5340</v>
      </c>
      <c r="AU52" s="84" t="s">
        <v>4865</v>
      </c>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K52" s="77"/>
      <c r="CL52" s="77"/>
      <c r="CM52" s="77"/>
      <c r="CN52" s="77"/>
      <c r="CO52" s="77"/>
      <c r="CP52" s="77"/>
      <c r="CQ52" s="77"/>
      <c r="CR52" s="77"/>
      <c r="CS52" s="77"/>
      <c r="CT52" s="77"/>
      <c r="CU52" s="77"/>
      <c r="CV52" s="77"/>
      <c r="CW52" s="77"/>
      <c r="EM52" s="77"/>
      <c r="EN52" s="77"/>
      <c r="EO52" s="77"/>
      <c r="EP52" s="16"/>
      <c r="EQ52" s="77"/>
      <c r="ER52" s="77"/>
      <c r="ES52" s="77"/>
      <c r="ET52" s="77"/>
      <c r="EU52" s="77"/>
      <c r="EV52" s="77"/>
      <c r="EW52" s="77"/>
      <c r="EX52" s="77"/>
      <c r="EY52" s="77"/>
      <c r="EZ52" s="77"/>
      <c r="FA52" s="77"/>
      <c r="FB52" s="77"/>
      <c r="FC52" s="77"/>
      <c r="FD52" s="77"/>
      <c r="FE52" s="77"/>
      <c r="FF52" s="77"/>
      <c r="FG52" s="77"/>
      <c r="FH52" s="77"/>
      <c r="FI52" s="77"/>
      <c r="FJ52" s="77"/>
      <c r="FK52" s="77"/>
      <c r="FL52" s="77"/>
      <c r="FM52" s="77"/>
      <c r="FN52" s="77"/>
      <c r="FO52" s="77"/>
      <c r="FP52" s="77"/>
      <c r="FQ52" s="77"/>
      <c r="FR52" s="77"/>
      <c r="FS52" s="77"/>
      <c r="FT52" s="77"/>
      <c r="FU52" s="77"/>
      <c r="FV52" s="77"/>
      <c r="FW52" s="77"/>
      <c r="FX52" s="77"/>
      <c r="FY52" s="77"/>
      <c r="FZ52" s="77"/>
      <c r="GA52" s="77"/>
      <c r="GB52" s="77"/>
      <c r="GC52" s="77"/>
      <c r="GD52" s="77"/>
      <c r="GE52" s="77"/>
      <c r="GF52" s="77"/>
      <c r="GG52" s="77"/>
      <c r="GH52" s="77"/>
      <c r="GI52" s="77"/>
      <c r="GJ52" s="77"/>
      <c r="GK52" s="77"/>
      <c r="GL52" s="77"/>
      <c r="GM52" s="77"/>
      <c r="GN52" s="77"/>
      <c r="GO52" s="77"/>
      <c r="GP52" s="77"/>
      <c r="GQ52" s="77"/>
      <c r="GR52" s="77"/>
      <c r="GS52" s="77"/>
      <c r="GT52" s="77"/>
      <c r="GU52" s="77"/>
      <c r="GV52" s="77"/>
      <c r="GW52" s="77"/>
      <c r="GX52" s="77"/>
      <c r="GY52" s="77"/>
      <c r="GZ52" s="77"/>
      <c r="HA52" s="77"/>
      <c r="HB52" s="77"/>
      <c r="HC52" s="77"/>
      <c r="HD52" s="77"/>
      <c r="HE52" s="77"/>
      <c r="HF52" s="77"/>
      <c r="HG52" s="77"/>
      <c r="HH52" s="77"/>
      <c r="HI52" s="77"/>
      <c r="HJ52" s="77"/>
      <c r="HK52" s="77"/>
      <c r="HL52" s="77"/>
      <c r="HM52" s="77"/>
      <c r="HN52" s="77"/>
      <c r="HO52" s="77"/>
      <c r="HP52" s="77"/>
      <c r="HQ52" s="77"/>
      <c r="HR52" s="77"/>
      <c r="HS52" s="77"/>
      <c r="HT52" s="77"/>
      <c r="HU52" s="77"/>
      <c r="HV52" s="77"/>
      <c r="HW52" s="77"/>
      <c r="HX52" s="77"/>
      <c r="HY52" s="77"/>
      <c r="HZ52" s="77"/>
      <c r="IA52" s="77"/>
      <c r="IB52" s="77"/>
      <c r="IC52" s="77"/>
      <c r="KM52" s="77"/>
      <c r="KN52" s="77"/>
      <c r="KO52" s="77"/>
      <c r="KP52" s="77"/>
      <c r="KQ52" s="77"/>
      <c r="KR52" s="77"/>
      <c r="KS52" s="77"/>
      <c r="KT52" s="77"/>
      <c r="KU52" s="77"/>
      <c r="KV52" s="77"/>
      <c r="KW52" s="77"/>
      <c r="KX52" s="77"/>
      <c r="KY52" s="77"/>
      <c r="KZ52" s="77"/>
      <c r="LA52" s="77"/>
      <c r="LB52" s="77"/>
      <c r="LC52" s="77"/>
      <c r="LD52" s="77"/>
      <c r="LE52" s="77"/>
      <c r="LF52" s="77"/>
      <c r="LG52" s="77"/>
      <c r="LH52" s="77"/>
      <c r="LI52" s="77"/>
      <c r="LJ52" s="77"/>
      <c r="LK52" s="77"/>
      <c r="LY52" s="77"/>
      <c r="LZ52" s="77"/>
      <c r="MA52" s="77"/>
      <c r="MB52" s="77"/>
      <c r="MC52" s="77"/>
      <c r="MD52" s="77"/>
      <c r="ME52" s="77"/>
      <c r="MF52" s="77"/>
      <c r="MG52" s="77"/>
      <c r="MH52" s="77"/>
      <c r="MI52" s="77"/>
      <c r="MJ52" s="77"/>
      <c r="MK52" s="77"/>
      <c r="ML52" s="77"/>
      <c r="MM52" s="77"/>
      <c r="MN52" s="77"/>
      <c r="MO52" s="77"/>
      <c r="MP52" s="77"/>
      <c r="MQ52" s="77"/>
      <c r="MR52" s="77"/>
    </row>
    <row r="53" spans="1:368" ht="18.600000000000001" customHeight="1" x14ac:dyDescent="0.25">
      <c r="A53" s="119" t="s">
        <v>2594</v>
      </c>
      <c r="B53" s="27" t="s">
        <v>2595</v>
      </c>
      <c r="C53" s="27" t="s">
        <v>2596</v>
      </c>
      <c r="D53" s="30" t="str">
        <f>HYPERLINK("https://twitter.com/USAemPortugues","https://twitter.com/USAemPortugues")</f>
        <v>https://twitter.com/USAemPortugues</v>
      </c>
      <c r="E53" s="30" t="str">
        <f>HYPERLINK("http://twiplomacy.com/info/north-america/United-States","http://twiplomacy.com/info/north-america/United-States")</f>
        <v>http://twiplomacy.com/info/north-america/United-States</v>
      </c>
      <c r="F53" s="10" t="s">
        <v>558</v>
      </c>
      <c r="G53" s="10" t="s">
        <v>633</v>
      </c>
      <c r="H53" s="10" t="s">
        <v>2539</v>
      </c>
      <c r="I53" s="10" t="s">
        <v>782</v>
      </c>
      <c r="J53" s="27" t="s">
        <v>789</v>
      </c>
      <c r="K53" s="15" t="s">
        <v>777</v>
      </c>
      <c r="L53" s="10" t="s">
        <v>771</v>
      </c>
      <c r="M53" s="10" t="s">
        <v>770</v>
      </c>
      <c r="N53" s="30" t="str">
        <f>HYPERLINK("https://twitter.com/USAemPortugues/statuses/47733781511155713","https://twitter.com/USAemPortugues/statuses/47733781511155713")</f>
        <v>https://twitter.com/USAemPortugues/statuses/47733781511155713</v>
      </c>
      <c r="O53" s="20" t="s">
        <v>2597</v>
      </c>
      <c r="P53" s="46">
        <v>30</v>
      </c>
      <c r="Q53" s="46">
        <v>6</v>
      </c>
      <c r="R53" s="27" t="s">
        <v>2994</v>
      </c>
      <c r="S53" s="10" t="s">
        <v>2598</v>
      </c>
      <c r="T53" s="10" t="s">
        <v>771</v>
      </c>
      <c r="U53" s="10" t="s">
        <v>771</v>
      </c>
      <c r="V53" s="10" t="s">
        <v>771</v>
      </c>
      <c r="W53" s="10"/>
      <c r="X53" s="27" t="s">
        <v>2594</v>
      </c>
      <c r="Y53" s="27" t="s">
        <v>2595</v>
      </c>
      <c r="Z53" s="80">
        <v>16823</v>
      </c>
      <c r="AA53" s="27">
        <v>169</v>
      </c>
      <c r="AB53" s="80">
        <v>6364</v>
      </c>
      <c r="AC53" s="27">
        <v>56</v>
      </c>
      <c r="AD53" s="27" t="s">
        <v>4563</v>
      </c>
      <c r="AE53" s="27">
        <v>264344384</v>
      </c>
      <c r="AF53" s="27" t="s">
        <v>2596</v>
      </c>
      <c r="AG53" s="27"/>
      <c r="AH53" s="79">
        <v>8.9579339723109701</v>
      </c>
      <c r="AI53" s="83">
        <v>23.8161764705882</v>
      </c>
      <c r="AJ53" s="80">
        <v>0.47882314904623302</v>
      </c>
      <c r="AK53" s="80">
        <v>0.73035887487875895</v>
      </c>
      <c r="AL53" s="96">
        <v>21</v>
      </c>
      <c r="AM53" s="97">
        <f t="shared" si="0"/>
        <v>6.5624999999999998E-3</v>
      </c>
      <c r="AN53" s="27" t="s">
        <v>2594</v>
      </c>
      <c r="AO53" s="27">
        <v>6</v>
      </c>
      <c r="AP53" s="27">
        <v>7</v>
      </c>
      <c r="AQ53" s="27">
        <v>6</v>
      </c>
      <c r="AR53" s="27">
        <f>SUM(AO53:AQ53)</f>
        <v>19</v>
      </c>
      <c r="AS53" s="27" t="s">
        <v>6633</v>
      </c>
      <c r="AT53" s="27" t="s">
        <v>6354</v>
      </c>
      <c r="AU53" s="84" t="s">
        <v>4983</v>
      </c>
      <c r="AV53" s="77"/>
      <c r="AW53" s="77"/>
      <c r="AX53" s="77"/>
      <c r="AY53" s="77"/>
      <c r="AZ53" s="77"/>
      <c r="BA53" s="77"/>
      <c r="BB53" s="77"/>
      <c r="BC53" s="77"/>
      <c r="BD53" s="77"/>
      <c r="BE53" s="77"/>
      <c r="BF53" s="77"/>
      <c r="BG53" s="77"/>
      <c r="BH53" s="77"/>
      <c r="BI53" s="77"/>
      <c r="BJ53" s="77"/>
      <c r="BK53" s="77"/>
      <c r="BL53" s="77"/>
      <c r="BM53" s="77"/>
      <c r="BN53" s="77"/>
      <c r="BO53" s="77"/>
      <c r="BP53" s="77"/>
      <c r="BQ53" s="75"/>
      <c r="BR53" s="75"/>
      <c r="BS53" s="75"/>
      <c r="BT53" s="75"/>
      <c r="BU53" s="75"/>
      <c r="BV53" s="75"/>
      <c r="BW53" s="75"/>
      <c r="BX53" s="75"/>
      <c r="BY53" s="75"/>
      <c r="BZ53" s="75"/>
      <c r="CA53" s="75"/>
      <c r="CB53" s="75"/>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77"/>
      <c r="EN53" s="77"/>
      <c r="EO53" s="77"/>
      <c r="EP53" s="77"/>
      <c r="EQ53" s="77"/>
      <c r="GL53" s="77"/>
      <c r="GM53" s="77"/>
      <c r="GN53" s="77"/>
      <c r="GO53" s="77"/>
      <c r="GP53" s="77"/>
      <c r="GQ53" s="77"/>
      <c r="GR53" s="77"/>
      <c r="GS53" s="77"/>
      <c r="GT53" s="77"/>
      <c r="GU53" s="77"/>
      <c r="GV53" s="77"/>
      <c r="GW53" s="77"/>
      <c r="GX53" s="77"/>
      <c r="GY53" s="77"/>
      <c r="GZ53" s="77"/>
      <c r="HA53" s="77"/>
      <c r="HB53" s="77"/>
      <c r="HC53" s="77"/>
      <c r="HD53" s="77"/>
      <c r="HE53" s="77"/>
      <c r="HF53" s="77"/>
      <c r="HG53" s="77"/>
      <c r="HH53" s="77"/>
      <c r="HI53" s="77"/>
      <c r="HJ53" s="77"/>
      <c r="HK53" s="77"/>
      <c r="HL53" s="77"/>
      <c r="HM53" s="77"/>
      <c r="HN53" s="77"/>
      <c r="HO53" s="77"/>
      <c r="HP53" s="77"/>
      <c r="HQ53" s="77"/>
      <c r="HR53" s="77"/>
      <c r="HS53" s="77"/>
      <c r="HT53" s="77"/>
      <c r="HU53" s="77"/>
      <c r="HV53" s="77"/>
      <c r="HW53" s="77"/>
      <c r="HX53" s="77"/>
      <c r="HY53" s="77"/>
      <c r="HZ53" s="77"/>
      <c r="IA53" s="77"/>
      <c r="IB53" s="77"/>
      <c r="IC53" s="77"/>
      <c r="IF53" s="77"/>
      <c r="IG53" s="77"/>
      <c r="IH53" s="77"/>
      <c r="II53" s="77"/>
      <c r="IJ53" s="77"/>
      <c r="IK53" s="77"/>
      <c r="IL53" s="77"/>
      <c r="IM53" s="77"/>
      <c r="IN53" s="77"/>
      <c r="IO53" s="77"/>
      <c r="IP53" s="77"/>
      <c r="IQ53" s="77"/>
      <c r="IR53" s="77"/>
      <c r="IS53" s="77"/>
      <c r="IT53" s="77"/>
      <c r="IU53" s="77"/>
      <c r="IV53" s="77"/>
      <c r="IW53" s="77"/>
      <c r="IX53" s="77"/>
      <c r="IY53" s="77"/>
      <c r="IZ53" s="77"/>
      <c r="JA53" s="77"/>
      <c r="JB53" s="77"/>
      <c r="JC53" s="77"/>
      <c r="JD53" s="77"/>
      <c r="JE53" s="77"/>
      <c r="JF53" s="77"/>
      <c r="JG53" s="77"/>
      <c r="JH53" s="77"/>
      <c r="JI53" s="77"/>
      <c r="JJ53" s="77"/>
      <c r="JK53" s="77"/>
      <c r="JL53" s="77"/>
      <c r="JM53" s="77"/>
      <c r="JN53" s="77"/>
      <c r="JO53" s="77"/>
      <c r="JP53" s="77"/>
      <c r="JQ53" s="77"/>
      <c r="JR53" s="77"/>
      <c r="JS53" s="77"/>
      <c r="JT53" s="77"/>
      <c r="JU53" s="77"/>
      <c r="JV53" s="77"/>
      <c r="JW53" s="77"/>
      <c r="JX53" s="77"/>
      <c r="LW53" s="77"/>
      <c r="LX53" s="77"/>
      <c r="MS53" s="77"/>
    </row>
    <row r="54" spans="1:368" ht="18.600000000000001" customHeight="1" x14ac:dyDescent="0.25">
      <c r="A54" s="119" t="s">
        <v>575</v>
      </c>
      <c r="B54" s="27" t="s">
        <v>2440</v>
      </c>
      <c r="C54" s="27" t="s">
        <v>2441</v>
      </c>
      <c r="D54" s="30" t="str">
        <f>HYPERLINK("https://twitter.com/luisguillermosr","https://twitter.com/luisguillermosr")</f>
        <v>https://twitter.com/luisguillermosr</v>
      </c>
      <c r="E54" s="30" t="str">
        <f>HYPERLINK("http://twiplomacy.com/info/north-america/Costa-Rica","http://twiplomacy.com/info/north-america/Costa-Rica")</f>
        <v>http://twiplomacy.com/info/north-america/Costa-Rica</v>
      </c>
      <c r="F54" s="10" t="s">
        <v>558</v>
      </c>
      <c r="G54" s="10" t="s">
        <v>574</v>
      </c>
      <c r="H54" s="10" t="s">
        <v>772</v>
      </c>
      <c r="I54" s="10" t="s">
        <v>773</v>
      </c>
      <c r="J54" s="27" t="s">
        <v>2226</v>
      </c>
      <c r="K54" s="15" t="s">
        <v>777</v>
      </c>
      <c r="L54" s="10"/>
      <c r="M54" s="10" t="s">
        <v>770</v>
      </c>
      <c r="N54" s="30" t="str">
        <f>HYPERLINK("https://twitter.com/luisguillermosr/statuses/273420990778859521","https://twitter.com/luisguillermosr/statuses/273420990778859521")</f>
        <v>https://twitter.com/luisguillermosr/statuses/273420990778859521</v>
      </c>
      <c r="O54" s="30" t="str">
        <f>HYPERLINK("https://twitter.com/luisguillermosr/statuses/485559398652059648","https://twitter.com/luisguillermosr/statuses/485559398652059648")</f>
        <v>https://twitter.com/luisguillermosr/statuses/485559398652059648</v>
      </c>
      <c r="P54" s="46">
        <v>830</v>
      </c>
      <c r="Q54" s="46">
        <v>999</v>
      </c>
      <c r="R54" s="27" t="s">
        <v>2994</v>
      </c>
      <c r="S54" s="30" t="str">
        <f>HYPERLINK("https://twitter.com/luisguillermosr/lists","https://twitter.com/luisguillermosr/lists")</f>
        <v>https://twitter.com/luisguillermosr/lists</v>
      </c>
      <c r="T54" s="10">
        <v>3</v>
      </c>
      <c r="U54" s="10" t="s">
        <v>771</v>
      </c>
      <c r="V54" s="10" t="s">
        <v>771</v>
      </c>
      <c r="W54" s="10"/>
      <c r="X54" s="27" t="s">
        <v>575</v>
      </c>
      <c r="Y54" s="27" t="s">
        <v>2440</v>
      </c>
      <c r="Z54" s="80">
        <v>16602</v>
      </c>
      <c r="AA54" s="27">
        <v>1676</v>
      </c>
      <c r="AB54" s="80">
        <v>192202</v>
      </c>
      <c r="AC54" s="27">
        <v>577</v>
      </c>
      <c r="AD54" s="27" t="s">
        <v>3978</v>
      </c>
      <c r="AE54" s="27">
        <v>524571803</v>
      </c>
      <c r="AF54" s="27" t="s">
        <v>2441</v>
      </c>
      <c r="AG54" s="27" t="s">
        <v>574</v>
      </c>
      <c r="AH54" s="79">
        <v>10.994701986755</v>
      </c>
      <c r="AI54" s="83">
        <v>11.830882352941201</v>
      </c>
      <c r="AJ54" s="80">
        <v>5.0091185410334296</v>
      </c>
      <c r="AK54" s="80">
        <v>9.6018237082066893</v>
      </c>
      <c r="AL54" s="27">
        <v>73</v>
      </c>
      <c r="AM54" s="97">
        <f t="shared" si="0"/>
        <v>2.2812499999999999E-2</v>
      </c>
      <c r="AN54" s="27" t="s">
        <v>575</v>
      </c>
      <c r="AO54" s="27">
        <v>19</v>
      </c>
      <c r="AP54" s="27">
        <v>15</v>
      </c>
      <c r="AQ54" s="27">
        <v>19</v>
      </c>
      <c r="AR54" s="27">
        <f>SUM(AO54:AQ54)</f>
        <v>53</v>
      </c>
      <c r="AS54" s="27" t="s">
        <v>6649</v>
      </c>
      <c r="AT54" s="27" t="s">
        <v>6776</v>
      </c>
      <c r="AU54" s="84" t="s">
        <v>6501</v>
      </c>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c r="CX54" s="77"/>
      <c r="CY54" s="77"/>
      <c r="CZ54" s="77"/>
      <c r="DA54" s="77"/>
      <c r="DB54" s="77"/>
      <c r="DC54" s="77"/>
      <c r="DD54" s="77"/>
      <c r="DE54" s="77"/>
      <c r="DF54" s="77"/>
      <c r="DG54" s="77"/>
      <c r="DH54" s="77"/>
      <c r="DI54" s="77"/>
      <c r="DJ54" s="77"/>
      <c r="DK54" s="77"/>
      <c r="DL54" s="77"/>
      <c r="DM54" s="77"/>
      <c r="DN54" s="77"/>
      <c r="DO54" s="77"/>
      <c r="DP54" s="77"/>
      <c r="DQ54" s="77"/>
      <c r="DR54" s="77"/>
      <c r="DS54" s="77"/>
      <c r="DT54" s="77"/>
      <c r="DU54" s="77"/>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c r="EY54" s="77"/>
      <c r="EZ54" s="77"/>
      <c r="FA54" s="77"/>
      <c r="FB54" s="77"/>
      <c r="FC54" s="77"/>
      <c r="FD54" s="77"/>
      <c r="FE54" s="77"/>
      <c r="FF54" s="77"/>
      <c r="FG54" s="77"/>
      <c r="FH54" s="77"/>
      <c r="FI54" s="77"/>
      <c r="FJ54" s="77"/>
      <c r="FK54" s="77"/>
      <c r="FL54" s="77"/>
      <c r="FM54" s="77"/>
      <c r="FN54" s="77"/>
      <c r="FO54" s="77"/>
      <c r="FP54" s="77"/>
      <c r="FQ54" s="77"/>
      <c r="FR54" s="77"/>
      <c r="FS54" s="77"/>
      <c r="FT54" s="77"/>
      <c r="FU54" s="77"/>
      <c r="FV54" s="77"/>
      <c r="FW54" s="77"/>
      <c r="FX54" s="77"/>
      <c r="FY54" s="77"/>
      <c r="FZ54" s="77"/>
      <c r="GA54" s="77"/>
      <c r="GB54" s="77"/>
      <c r="GC54" s="77"/>
      <c r="GD54" s="77"/>
      <c r="GE54" s="77"/>
      <c r="GF54" s="77"/>
      <c r="GG54" s="77"/>
      <c r="GH54" s="77"/>
      <c r="GI54" s="77"/>
      <c r="GJ54" s="77"/>
      <c r="GK54" s="77"/>
      <c r="GL54" s="77"/>
      <c r="GM54" s="77"/>
      <c r="GN54" s="77"/>
      <c r="GO54" s="77"/>
      <c r="GP54" s="77"/>
      <c r="GQ54" s="77"/>
      <c r="GR54" s="77"/>
      <c r="GS54" s="77"/>
      <c r="GT54" s="77"/>
      <c r="GU54" s="77"/>
      <c r="GV54" s="77"/>
      <c r="GW54" s="77"/>
      <c r="GX54" s="77"/>
      <c r="GY54" s="77"/>
      <c r="GZ54" s="77"/>
      <c r="HA54" s="77"/>
      <c r="HB54" s="77"/>
      <c r="HC54" s="77"/>
      <c r="HD54" s="77"/>
      <c r="HE54" s="77"/>
      <c r="HF54" s="77"/>
      <c r="HG54" s="77"/>
      <c r="HH54" s="77"/>
      <c r="HI54" s="77"/>
      <c r="HJ54" s="77"/>
      <c r="HK54" s="77"/>
      <c r="HL54" s="77"/>
      <c r="HM54" s="77"/>
      <c r="HN54" s="77"/>
      <c r="HO54" s="77"/>
      <c r="HP54" s="77"/>
      <c r="HQ54" s="77"/>
      <c r="HR54" s="77"/>
      <c r="HS54" s="77"/>
      <c r="HT54" s="77"/>
      <c r="HU54" s="77"/>
      <c r="HV54" s="77"/>
      <c r="HW54" s="77"/>
      <c r="HX54" s="77"/>
      <c r="HY54" s="77"/>
      <c r="HZ54" s="77"/>
      <c r="IA54" s="77"/>
      <c r="IB54" s="77"/>
      <c r="IC54" s="77"/>
      <c r="ID54" s="77"/>
      <c r="IE54" s="77"/>
      <c r="IF54" s="77"/>
      <c r="IG54" s="77"/>
      <c r="IH54" s="77"/>
      <c r="II54" s="77"/>
      <c r="IJ54" s="77"/>
      <c r="IK54" s="77"/>
      <c r="IL54" s="77"/>
      <c r="IM54" s="77"/>
      <c r="IN54" s="77"/>
      <c r="IO54" s="77"/>
      <c r="IP54" s="77"/>
      <c r="IQ54" s="77"/>
      <c r="IR54" s="77"/>
      <c r="IS54" s="77"/>
      <c r="IT54" s="77"/>
      <c r="IU54" s="77"/>
      <c r="IV54" s="77"/>
      <c r="IW54" s="77"/>
      <c r="IX54" s="77"/>
      <c r="IY54" s="77"/>
      <c r="IZ54" s="77"/>
      <c r="JA54" s="77"/>
      <c r="JB54" s="77"/>
      <c r="JC54" s="77"/>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c r="KJ54" s="77"/>
      <c r="KK54" s="77"/>
      <c r="KL54" s="77"/>
      <c r="KM54" s="77"/>
      <c r="KN54" s="77"/>
      <c r="KO54" s="77"/>
      <c r="KP54" s="77"/>
      <c r="KQ54" s="77"/>
      <c r="KR54" s="77"/>
      <c r="KS54" s="77"/>
      <c r="KT54" s="77"/>
      <c r="KU54" s="77"/>
      <c r="KV54" s="77"/>
      <c r="KW54" s="77"/>
      <c r="KX54" s="77"/>
      <c r="KY54" s="77"/>
      <c r="KZ54" s="77"/>
      <c r="LA54" s="77"/>
      <c r="LB54" s="77"/>
      <c r="LC54" s="77"/>
      <c r="LD54" s="77"/>
      <c r="LE54" s="77"/>
      <c r="LF54" s="77"/>
      <c r="LG54" s="77"/>
      <c r="LH54" s="77"/>
      <c r="LI54" s="77"/>
      <c r="LJ54" s="77"/>
      <c r="LK54" s="77"/>
      <c r="LL54" s="77"/>
      <c r="LM54" s="77"/>
      <c r="LN54" s="77"/>
      <c r="LO54" s="77"/>
      <c r="LP54" s="77"/>
      <c r="LQ54" s="77"/>
      <c r="LR54" s="77"/>
      <c r="LS54" s="77"/>
      <c r="LT54" s="77"/>
      <c r="LU54" s="77"/>
      <c r="LV54" s="77"/>
    </row>
    <row r="55" spans="1:368" ht="18.600000000000001" customHeight="1" x14ac:dyDescent="0.25">
      <c r="A55" s="119" t="s">
        <v>399</v>
      </c>
      <c r="B55" s="27" t="s">
        <v>1894</v>
      </c>
      <c r="C55" s="27" t="s">
        <v>3741</v>
      </c>
      <c r="D55" s="30" t="str">
        <f>HYPERLINK("https://twitter.com/fil_gouv","https://twitter.com/gouvernementFR")</f>
        <v>https://twitter.com/gouvernementFR</v>
      </c>
      <c r="E55" s="30" t="str">
        <f>HYPERLINK("http://twiplomacy.com/info/europe/France","http://twiplomacy.com/info/europe/France")</f>
        <v>http://twiplomacy.com/info/europe/France</v>
      </c>
      <c r="F55" s="10" t="s">
        <v>332</v>
      </c>
      <c r="G55" s="10" t="s">
        <v>395</v>
      </c>
      <c r="H55" s="10" t="s">
        <v>788</v>
      </c>
      <c r="I55" s="10" t="s">
        <v>782</v>
      </c>
      <c r="J55" s="27" t="s">
        <v>779</v>
      </c>
      <c r="K55" s="15" t="s">
        <v>777</v>
      </c>
      <c r="L55" s="10" t="s">
        <v>771</v>
      </c>
      <c r="M55" s="10" t="s">
        <v>771</v>
      </c>
      <c r="N55" s="30" t="str">
        <f>HYPERLINK("https://twitter.com/gouvernementFR/statuses/287214093667024896","https://twitter.com/gouvernementFR/statuses/287214093667024896")</f>
        <v>https://twitter.com/gouvernementFR/statuses/287214093667024896</v>
      </c>
      <c r="O55" s="30" t="str">
        <f>HYPERLINK("https://twitter.com/gouvernementFR/statuses/553609545076199426","https://twitter.com/gouvernementFR/statuses/553609545076199426")</f>
        <v>https://twitter.com/gouvernementFR/statuses/553609545076199426</v>
      </c>
      <c r="P55" s="46">
        <v>12904</v>
      </c>
      <c r="Q55" s="46">
        <v>5207</v>
      </c>
      <c r="R55" s="27" t="s">
        <v>2994</v>
      </c>
      <c r="S55" s="30" t="str">
        <f>HYPERLINK("https://twitter.com/gouvernementFR/lists","https://twitter.com/gouvernementFR/lists")</f>
        <v>https://twitter.com/gouvernementFR/lists</v>
      </c>
      <c r="T55" s="10">
        <v>3</v>
      </c>
      <c r="U55" s="10" t="s">
        <v>771</v>
      </c>
      <c r="V55" s="10" t="s">
        <v>771</v>
      </c>
      <c r="W55" s="10"/>
      <c r="X55" s="27" t="s">
        <v>399</v>
      </c>
      <c r="Y55" s="27" t="s">
        <v>1894</v>
      </c>
      <c r="Z55" s="80">
        <v>16414</v>
      </c>
      <c r="AA55" s="27">
        <v>1380</v>
      </c>
      <c r="AB55" s="80">
        <v>323007</v>
      </c>
      <c r="AC55" s="27">
        <v>503</v>
      </c>
      <c r="AD55" s="27" t="s">
        <v>3742</v>
      </c>
      <c r="AE55" s="27">
        <v>951480480</v>
      </c>
      <c r="AF55" s="27" t="s">
        <v>3741</v>
      </c>
      <c r="AG55" s="27" t="s">
        <v>1895</v>
      </c>
      <c r="AH55" s="79">
        <v>12.996832937450501</v>
      </c>
      <c r="AI55" s="83">
        <v>21.6174496644295</v>
      </c>
      <c r="AJ55" s="80">
        <v>91.359106529209598</v>
      </c>
      <c r="AK55" s="80">
        <v>59.806701030927798</v>
      </c>
      <c r="AL55" s="27">
        <v>174</v>
      </c>
      <c r="AM55" s="97">
        <f t="shared" si="0"/>
        <v>5.4375E-2</v>
      </c>
      <c r="AN55" s="27" t="s">
        <v>399</v>
      </c>
      <c r="AO55" s="27">
        <v>6</v>
      </c>
      <c r="AP55" s="27">
        <v>38</v>
      </c>
      <c r="AQ55" s="27">
        <v>12</v>
      </c>
      <c r="AR55" s="27">
        <f>SUM(AO55:AQ55)</f>
        <v>56</v>
      </c>
      <c r="AS55" s="27" t="s">
        <v>5143</v>
      </c>
      <c r="AT55" s="27" t="s">
        <v>6735</v>
      </c>
      <c r="AU55" s="84" t="s">
        <v>4735</v>
      </c>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7"/>
      <c r="GD55" s="77"/>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7"/>
      <c r="HN55" s="77"/>
      <c r="HO55" s="77"/>
      <c r="HP55" s="77"/>
      <c r="HQ55" s="77"/>
      <c r="HR55" s="77"/>
      <c r="HS55" s="77"/>
      <c r="HT55" s="77"/>
      <c r="HU55" s="77"/>
      <c r="HV55" s="77"/>
      <c r="HW55" s="77"/>
      <c r="HX55" s="77"/>
      <c r="HY55" s="77"/>
      <c r="HZ55" s="77"/>
      <c r="IA55" s="77"/>
      <c r="IB55" s="77"/>
      <c r="IC55" s="77"/>
      <c r="ID55" s="16"/>
      <c r="IE55" s="16"/>
      <c r="IF55" s="77"/>
      <c r="IG55" s="77"/>
      <c r="IH55" s="77"/>
      <c r="II55" s="77"/>
      <c r="IJ55" s="77"/>
      <c r="IK55" s="77"/>
      <c r="IL55" s="77"/>
      <c r="IM55" s="77"/>
      <c r="IN55" s="77"/>
      <c r="IO55" s="77"/>
      <c r="IP55" s="77"/>
      <c r="IQ55" s="77"/>
      <c r="IR55" s="77"/>
      <c r="IS55" s="77"/>
      <c r="IT55" s="77"/>
      <c r="IU55" s="77"/>
      <c r="IV55" s="77"/>
      <c r="IW55" s="77"/>
      <c r="IX55" s="77"/>
      <c r="IY55" s="77"/>
      <c r="IZ55" s="77"/>
      <c r="JA55" s="77"/>
      <c r="JB55" s="77"/>
      <c r="JC55" s="77"/>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c r="KJ55" s="77"/>
      <c r="KK55" s="77"/>
      <c r="KL55" s="77"/>
      <c r="KM55" s="77"/>
      <c r="KN55" s="77"/>
      <c r="KO55" s="77"/>
      <c r="KP55" s="77"/>
      <c r="KQ55" s="77"/>
      <c r="KR55" s="77"/>
      <c r="KS55" s="77"/>
      <c r="KT55" s="77"/>
      <c r="KU55" s="77"/>
      <c r="KV55" s="77"/>
      <c r="KW55" s="77"/>
      <c r="KX55" s="77"/>
      <c r="KY55" s="77"/>
      <c r="KZ55" s="77"/>
      <c r="LA55" s="77"/>
      <c r="LB55" s="77"/>
      <c r="LC55" s="77"/>
      <c r="LD55" s="77"/>
      <c r="LE55" s="77"/>
      <c r="LF55" s="77"/>
      <c r="LG55" s="77"/>
      <c r="LH55" s="77"/>
      <c r="LI55" s="77"/>
      <c r="LJ55" s="77"/>
      <c r="LK55" s="77"/>
      <c r="MS55" s="77"/>
    </row>
    <row r="56" spans="1:368" ht="18.600000000000001" customHeight="1" x14ac:dyDescent="0.25">
      <c r="A56" s="119" t="s">
        <v>193</v>
      </c>
      <c r="B56" s="27" t="s">
        <v>1300</v>
      </c>
      <c r="C56" s="27" t="s">
        <v>1301</v>
      </c>
      <c r="D56" s="30" t="str">
        <f>HYPERLINK("https://twitter.com/Portal_Kemlu_RI","https://twitter.com/Portal_Kemlu_RI")</f>
        <v>https://twitter.com/Portal_Kemlu_RI</v>
      </c>
      <c r="E56" s="30" t="str">
        <f>HYPERLINK("http://twiplomacy.com/info/asia/Indonesia","http://twiplomacy.com/info/asia/Indonesia")</f>
        <v>http://twiplomacy.com/info/asia/Indonesia</v>
      </c>
      <c r="F56" s="10" t="s">
        <v>154</v>
      </c>
      <c r="G56" s="10" t="s">
        <v>189</v>
      </c>
      <c r="H56" s="10" t="s">
        <v>795</v>
      </c>
      <c r="I56" s="10" t="s">
        <v>782</v>
      </c>
      <c r="J56" s="27" t="s">
        <v>789</v>
      </c>
      <c r="K56" s="15" t="s">
        <v>777</v>
      </c>
      <c r="L56" s="10" t="s">
        <v>771</v>
      </c>
      <c r="M56" s="10" t="s">
        <v>770</v>
      </c>
      <c r="N56" s="30" t="str">
        <f>HYPERLINK("https://twitter.com/Portal_Kemlu_RI/statuses/17319696171","https://twitter.com/Portal_Kemlu_RI/statuses/17319696171")</f>
        <v>https://twitter.com/Portal_Kemlu_RI/statuses/17319696171</v>
      </c>
      <c r="O56" s="27" t="s">
        <v>6024</v>
      </c>
      <c r="P56" s="80">
        <v>335</v>
      </c>
      <c r="Q56" s="80">
        <v>0</v>
      </c>
      <c r="R56" s="27" t="s">
        <v>2994</v>
      </c>
      <c r="S56" s="30" t="str">
        <f>HYPERLINK("https://twitter.com/Portal_Kemlu_RI/lists","https://twitter.com/Portal_Kemlu_RI/lists")</f>
        <v>https://twitter.com/Portal_Kemlu_RI/lists</v>
      </c>
      <c r="T56" s="10" t="s">
        <v>771</v>
      </c>
      <c r="U56" s="10">
        <v>20</v>
      </c>
      <c r="V56" s="10" t="s">
        <v>771</v>
      </c>
      <c r="W56" s="10"/>
      <c r="X56" s="27" t="s">
        <v>193</v>
      </c>
      <c r="Y56" s="27" t="s">
        <v>1300</v>
      </c>
      <c r="Z56" s="80">
        <v>16273</v>
      </c>
      <c r="AA56" s="27">
        <v>126</v>
      </c>
      <c r="AB56" s="80">
        <v>62139</v>
      </c>
      <c r="AC56" s="27">
        <v>65</v>
      </c>
      <c r="AD56" s="27" t="s">
        <v>4289</v>
      </c>
      <c r="AE56" s="27">
        <v>160858057</v>
      </c>
      <c r="AF56" s="27" t="s">
        <v>1301</v>
      </c>
      <c r="AG56" s="27" t="s">
        <v>1294</v>
      </c>
      <c r="AH56" s="79">
        <v>7.6255857544517296</v>
      </c>
      <c r="AI56" s="83">
        <v>17.0265957446809</v>
      </c>
      <c r="AJ56" s="80">
        <v>8.3272569444444393</v>
      </c>
      <c r="AK56" s="80">
        <v>2.66015625</v>
      </c>
      <c r="AL56" s="27">
        <v>225</v>
      </c>
      <c r="AM56" s="97">
        <f t="shared" si="0"/>
        <v>7.03125E-2</v>
      </c>
      <c r="AN56" s="27" t="s">
        <v>193</v>
      </c>
      <c r="AO56" s="27">
        <v>5</v>
      </c>
      <c r="AP56" s="27">
        <v>30</v>
      </c>
      <c r="AQ56" s="27">
        <v>3</v>
      </c>
      <c r="AR56" s="27">
        <f>SUM(AO56:AQ56)</f>
        <v>38</v>
      </c>
      <c r="AS56" s="27" t="s">
        <v>5406</v>
      </c>
      <c r="AT56" s="27" t="s">
        <v>6824</v>
      </c>
      <c r="AU56" s="84" t="s">
        <v>6527</v>
      </c>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7"/>
      <c r="HN56" s="77"/>
      <c r="HO56" s="77"/>
      <c r="HP56" s="77"/>
      <c r="HQ56" s="77"/>
      <c r="HR56" s="77"/>
      <c r="HS56" s="77"/>
      <c r="HT56" s="77"/>
      <c r="HU56" s="77"/>
      <c r="HV56" s="77"/>
      <c r="HW56" s="77"/>
      <c r="HX56" s="77"/>
      <c r="HY56" s="77"/>
      <c r="HZ56" s="77"/>
      <c r="IA56" s="77"/>
      <c r="IB56" s="77"/>
      <c r="IC56" s="77"/>
      <c r="ID56" s="77"/>
      <c r="IE56" s="77"/>
      <c r="LW56" s="77"/>
      <c r="LX56" s="77"/>
      <c r="MT56" s="77"/>
      <c r="MU56" s="77"/>
      <c r="MV56" s="77"/>
      <c r="MW56" s="77"/>
      <c r="MX56" s="77"/>
      <c r="MY56" s="77"/>
      <c r="MZ56" s="77"/>
      <c r="NA56" s="77"/>
      <c r="NB56" s="77"/>
      <c r="NC56" s="77"/>
    </row>
    <row r="57" spans="1:368" s="58" customFormat="1" ht="18.600000000000001" customHeight="1" x14ac:dyDescent="0.25">
      <c r="A57" s="119" t="s">
        <v>397</v>
      </c>
      <c r="B57" s="27" t="s">
        <v>1891</v>
      </c>
      <c r="C57" s="27" t="s">
        <v>3643</v>
      </c>
      <c r="D57" s="30" t="str">
        <f>HYPERLINK("https://twitter.com/Elysee","https://twitter.com/Elysee")</f>
        <v>https://twitter.com/Elysee</v>
      </c>
      <c r="E57" s="30" t="str">
        <f>HYPERLINK("http://twiplomacy.com/info/europe/France","http://twiplomacy.com/info/europe/France")</f>
        <v>http://twiplomacy.com/info/europe/France</v>
      </c>
      <c r="F57" s="10" t="s">
        <v>332</v>
      </c>
      <c r="G57" s="10" t="s">
        <v>395</v>
      </c>
      <c r="H57" s="10" t="s">
        <v>781</v>
      </c>
      <c r="I57" s="10" t="s">
        <v>782</v>
      </c>
      <c r="J57" s="27" t="s">
        <v>779</v>
      </c>
      <c r="K57" s="15" t="s">
        <v>777</v>
      </c>
      <c r="L57" s="10" t="s">
        <v>771</v>
      </c>
      <c r="M57" s="10" t="s">
        <v>770</v>
      </c>
      <c r="N57" s="30" t="str">
        <f>HYPERLINK("https://twitter.com/Elysee/statuses/11476186343","https://twitter.com/Elysee/statuses/11476186343")</f>
        <v>https://twitter.com/Elysee/statuses/11476186343</v>
      </c>
      <c r="O57" s="27" t="s">
        <v>5739</v>
      </c>
      <c r="P57" s="80">
        <v>8239</v>
      </c>
      <c r="Q57" s="80">
        <v>2054</v>
      </c>
      <c r="R57" s="27" t="s">
        <v>2994</v>
      </c>
      <c r="S57" s="30" t="str">
        <f>HYPERLINK("https://twitter.com/Elysee/lists","https://twitter.com/Elysee/lists")</f>
        <v>https://twitter.com/Elysee/lists</v>
      </c>
      <c r="T57" s="10" t="s">
        <v>771</v>
      </c>
      <c r="U57" s="10">
        <v>3</v>
      </c>
      <c r="V57" s="10" t="s">
        <v>771</v>
      </c>
      <c r="W57" s="10"/>
      <c r="X57" s="27" t="s">
        <v>397</v>
      </c>
      <c r="Y57" s="27" t="s">
        <v>1891</v>
      </c>
      <c r="Z57" s="80">
        <v>16011</v>
      </c>
      <c r="AA57" s="27">
        <v>206</v>
      </c>
      <c r="AB57" s="80">
        <v>1269723</v>
      </c>
      <c r="AC57" s="27">
        <v>0</v>
      </c>
      <c r="AD57" s="27" t="s">
        <v>3644</v>
      </c>
      <c r="AE57" s="27">
        <v>16717501</v>
      </c>
      <c r="AF57" s="27" t="s">
        <v>3643</v>
      </c>
      <c r="AG57" s="27" t="s">
        <v>395</v>
      </c>
      <c r="AH57" s="79">
        <v>5.8035520115984101</v>
      </c>
      <c r="AI57" s="83">
        <v>17.703296703296701</v>
      </c>
      <c r="AJ57" s="80">
        <v>75.4666905444126</v>
      </c>
      <c r="AK57" s="80">
        <v>45.303008595988501</v>
      </c>
      <c r="AL57" s="27">
        <v>352</v>
      </c>
      <c r="AM57" s="97">
        <f t="shared" si="0"/>
        <v>0.11</v>
      </c>
      <c r="AN57" s="27" t="s">
        <v>397</v>
      </c>
      <c r="AO57" s="27">
        <v>22</v>
      </c>
      <c r="AP57" s="27">
        <v>95</v>
      </c>
      <c r="AQ57" s="27">
        <v>27</v>
      </c>
      <c r="AR57" s="27">
        <f>SUM(AO57:AQ57)</f>
        <v>144</v>
      </c>
      <c r="AS57" s="27" t="s">
        <v>5102</v>
      </c>
      <c r="AT57" s="27" t="s">
        <v>6285</v>
      </c>
      <c r="AU57" s="84" t="s">
        <v>6155</v>
      </c>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7"/>
      <c r="CW57" s="77"/>
      <c r="CX57" s="77"/>
      <c r="CY57" s="77"/>
      <c r="CZ57" s="77"/>
      <c r="DA57" s="77"/>
      <c r="DB57" s="77"/>
      <c r="DC57" s="77"/>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c r="EC57" s="77"/>
      <c r="ED57" s="77"/>
      <c r="EE57" s="77"/>
      <c r="EF57" s="77"/>
      <c r="EG57" s="77"/>
      <c r="EH57" s="77"/>
      <c r="EI57" s="77"/>
      <c r="EJ57" s="77"/>
      <c r="EK57" s="77"/>
      <c r="EL57" s="77"/>
      <c r="EP57" s="77"/>
      <c r="ER57" s="77"/>
      <c r="ES57" s="77"/>
      <c r="ET57" s="77"/>
      <c r="EU57" s="77"/>
      <c r="EV57" s="77"/>
      <c r="EW57" s="77"/>
      <c r="EX57" s="77"/>
      <c r="EY57" s="77"/>
      <c r="EZ57" s="77"/>
      <c r="FA57" s="77"/>
      <c r="FB57" s="77"/>
      <c r="FC57" s="77"/>
      <c r="FD57" s="77"/>
      <c r="FE57" s="77"/>
      <c r="FF57" s="77"/>
      <c r="FG57" s="77"/>
      <c r="FH57" s="77"/>
      <c r="FI57" s="77"/>
      <c r="FJ57" s="77"/>
      <c r="FK57" s="77"/>
      <c r="FL57" s="77"/>
      <c r="FM57" s="77"/>
      <c r="FN57" s="77"/>
      <c r="FO57" s="77"/>
      <c r="FP57" s="77"/>
      <c r="FQ57" s="77"/>
      <c r="FR57" s="77"/>
      <c r="FS57" s="77"/>
      <c r="FT57" s="77"/>
      <c r="FU57" s="77"/>
      <c r="FV57" s="77"/>
      <c r="FW57" s="77"/>
      <c r="FX57" s="77"/>
      <c r="FY57" s="77"/>
      <c r="FZ57" s="77"/>
      <c r="GA57" s="77"/>
      <c r="GB57" s="77"/>
      <c r="GC57" s="77"/>
      <c r="GD57" s="77"/>
      <c r="GE57" s="77"/>
      <c r="GF57" s="77"/>
      <c r="GG57" s="77"/>
      <c r="GH57" s="77"/>
      <c r="GI57" s="77"/>
      <c r="GJ57" s="77"/>
      <c r="GK57" s="77"/>
      <c r="GL57" s="77"/>
      <c r="GM57" s="77"/>
      <c r="GN57" s="77"/>
      <c r="GO57" s="77"/>
      <c r="GP57" s="77"/>
      <c r="GQ57" s="77"/>
      <c r="GR57" s="77"/>
      <c r="GS57" s="77"/>
      <c r="GT57" s="77"/>
      <c r="GU57" s="77"/>
      <c r="GV57" s="77"/>
      <c r="GW57" s="77"/>
      <c r="GX57" s="77"/>
      <c r="GY57" s="77"/>
      <c r="GZ57" s="77"/>
      <c r="HA57" s="77"/>
      <c r="HB57" s="77"/>
      <c r="HC57" s="77"/>
      <c r="HD57" s="77"/>
      <c r="HE57" s="77"/>
      <c r="HF57" s="77"/>
      <c r="HG57" s="77"/>
      <c r="HH57" s="77"/>
      <c r="HI57" s="77"/>
      <c r="HJ57" s="77"/>
      <c r="HK57" s="77"/>
      <c r="HL57" s="77"/>
      <c r="HM57" s="77"/>
      <c r="HN57" s="77"/>
      <c r="HO57" s="77"/>
      <c r="HP57" s="77"/>
      <c r="HQ57" s="77"/>
      <c r="HR57" s="77"/>
      <c r="HS57" s="77"/>
      <c r="HT57" s="77"/>
      <c r="HU57" s="77"/>
      <c r="HV57" s="77"/>
      <c r="HW57" s="77"/>
      <c r="HX57" s="77"/>
      <c r="HY57" s="77"/>
      <c r="HZ57" s="77"/>
      <c r="IA57" s="77"/>
      <c r="IB57" s="77"/>
      <c r="IC57" s="77"/>
      <c r="ID57" s="77"/>
      <c r="IE57" s="77"/>
      <c r="IF57" s="77"/>
      <c r="IG57" s="77"/>
      <c r="IH57" s="77"/>
      <c r="II57" s="77"/>
      <c r="IJ57" s="77"/>
      <c r="IK57" s="77"/>
      <c r="IL57" s="77"/>
      <c r="IM57" s="77"/>
      <c r="IN57" s="77"/>
      <c r="IO57" s="77"/>
      <c r="IP57" s="77"/>
      <c r="IQ57" s="77"/>
      <c r="IR57" s="77"/>
      <c r="IS57" s="77"/>
      <c r="IT57" s="77"/>
      <c r="IU57" s="77"/>
      <c r="IV57" s="77"/>
      <c r="IW57" s="77"/>
      <c r="IX57" s="77"/>
      <c r="IY57" s="77"/>
      <c r="IZ57" s="77"/>
      <c r="JA57" s="77"/>
      <c r="JB57" s="77"/>
      <c r="JC57" s="77"/>
      <c r="JD57" s="77"/>
      <c r="JE57" s="77"/>
      <c r="JF57" s="77"/>
      <c r="JG57" s="77"/>
      <c r="JH57" s="77"/>
      <c r="JI57" s="77"/>
      <c r="JJ57" s="77"/>
      <c r="JK57" s="77"/>
      <c r="JL57" s="77"/>
      <c r="JM57" s="77"/>
      <c r="JN57" s="77"/>
      <c r="JO57" s="77"/>
      <c r="JP57" s="77"/>
      <c r="JQ57" s="77"/>
      <c r="JR57" s="77"/>
      <c r="JS57" s="77"/>
      <c r="JT57" s="77"/>
      <c r="JU57" s="77"/>
      <c r="JV57" s="77"/>
      <c r="JW57" s="77"/>
      <c r="JX57" s="77"/>
      <c r="LL57" s="77"/>
      <c r="LM57" s="77"/>
      <c r="LN57" s="77"/>
      <c r="LO57" s="77"/>
      <c r="LP57" s="77"/>
      <c r="LQ57" s="77"/>
      <c r="LR57" s="77"/>
      <c r="LS57" s="77"/>
      <c r="LT57" s="77"/>
      <c r="LU57" s="77"/>
      <c r="LV57" s="77"/>
    </row>
    <row r="58" spans="1:368" ht="18.600000000000001" customHeight="1" x14ac:dyDescent="0.25">
      <c r="A58" s="119" t="s">
        <v>131</v>
      </c>
      <c r="B58" s="27" t="s">
        <v>1116</v>
      </c>
      <c r="C58" s="27" t="s">
        <v>1117</v>
      </c>
      <c r="D58" s="30" t="str">
        <f>HYPERLINK("https://twitter.com/republicoftogo","https://twitter.com/republicoftogo")</f>
        <v>https://twitter.com/republicoftogo</v>
      </c>
      <c r="E58" s="30" t="str">
        <f>HYPERLINK("http://twiplomacy.com/info/africa/Togo","http://twiplomacy.com/info/africa/Togo")</f>
        <v>http://twiplomacy.com/info/africa/Togo</v>
      </c>
      <c r="F58" s="20" t="s">
        <v>1</v>
      </c>
      <c r="G58" s="10" t="s">
        <v>129</v>
      </c>
      <c r="H58" s="10" t="s">
        <v>788</v>
      </c>
      <c r="I58" s="10" t="s">
        <v>782</v>
      </c>
      <c r="J58" s="27" t="s">
        <v>779</v>
      </c>
      <c r="K58" s="10" t="s">
        <v>777</v>
      </c>
      <c r="L58" s="10" t="s">
        <v>771</v>
      </c>
      <c r="M58" s="10" t="s">
        <v>770</v>
      </c>
      <c r="N58" s="30" t="str">
        <f>HYPERLINK("https://twitter.com/republicoftogo/status/1628411804","https://twitter.com/republicoftogo/status/1628411804")</f>
        <v>https://twitter.com/republicoftogo/status/1628411804</v>
      </c>
      <c r="O58" s="20" t="s">
        <v>1118</v>
      </c>
      <c r="P58" s="46">
        <v>18</v>
      </c>
      <c r="Q58" s="46">
        <v>4</v>
      </c>
      <c r="R58" s="27" t="s">
        <v>2995</v>
      </c>
      <c r="S58" s="30" t="str">
        <f>HYPERLINK("https://twitter.com/republicoftogo/lists","https://twitter.com/republicoftogo/lists")</f>
        <v>https://twitter.com/republicoftogo/lists</v>
      </c>
      <c r="T58" s="10" t="s">
        <v>771</v>
      </c>
      <c r="U58" s="10" t="s">
        <v>771</v>
      </c>
      <c r="V58" s="10" t="s">
        <v>771</v>
      </c>
      <c r="W58" s="10"/>
      <c r="X58" s="27" t="s">
        <v>131</v>
      </c>
      <c r="Y58" s="27" t="s">
        <v>1116</v>
      </c>
      <c r="Z58" s="80">
        <v>15949</v>
      </c>
      <c r="AA58" s="27">
        <v>11</v>
      </c>
      <c r="AB58" s="80">
        <v>4467</v>
      </c>
      <c r="AC58" s="27">
        <v>2</v>
      </c>
      <c r="AD58" s="27" t="s">
        <v>4416</v>
      </c>
      <c r="AE58" s="27">
        <v>35724812</v>
      </c>
      <c r="AF58" s="27" t="s">
        <v>1117</v>
      </c>
      <c r="AG58" s="27" t="s">
        <v>1116</v>
      </c>
      <c r="AH58" s="79">
        <v>6.2252146760343496</v>
      </c>
      <c r="AI58" s="83">
        <v>7.3835616438356197</v>
      </c>
      <c r="AJ58" s="80">
        <v>0.52535559678416799</v>
      </c>
      <c r="AK58" s="80">
        <v>0.24582560296846001</v>
      </c>
      <c r="AL58" s="13">
        <v>0</v>
      </c>
      <c r="AM58" s="97">
        <f t="shared" si="0"/>
        <v>0</v>
      </c>
      <c r="AN58" s="27" t="s">
        <v>131</v>
      </c>
      <c r="AO58" s="27">
        <v>1</v>
      </c>
      <c r="AP58" s="27">
        <v>3</v>
      </c>
      <c r="AQ58" s="27">
        <v>2</v>
      </c>
      <c r="AR58" s="27">
        <f>SUM(AO58:AQ58)</f>
        <v>6</v>
      </c>
      <c r="AS58" s="27" t="s">
        <v>432</v>
      </c>
      <c r="AT58" s="27" t="s">
        <v>6846</v>
      </c>
      <c r="AU58" s="84" t="s">
        <v>4937</v>
      </c>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c r="CX58" s="77"/>
      <c r="CY58" s="77"/>
      <c r="CZ58" s="77"/>
      <c r="DA58" s="77"/>
      <c r="DB58" s="77"/>
      <c r="DC58" s="77"/>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c r="EC58" s="77"/>
      <c r="ED58" s="77"/>
      <c r="EE58" s="77"/>
      <c r="EF58" s="77"/>
      <c r="EG58" s="77"/>
      <c r="EH58" s="77"/>
      <c r="EI58" s="77"/>
      <c r="EJ58" s="77"/>
      <c r="EK58" s="77"/>
      <c r="EL58" s="77"/>
      <c r="EM58" s="77"/>
      <c r="EN58" s="77"/>
      <c r="EO58" s="77"/>
      <c r="EP58" s="77"/>
      <c r="EQ58" s="77"/>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HL58" s="77"/>
      <c r="HM58" s="77"/>
      <c r="HN58" s="77"/>
      <c r="HO58" s="77"/>
      <c r="HP58" s="77"/>
      <c r="HQ58" s="77"/>
      <c r="HR58" s="77"/>
      <c r="HS58" s="77"/>
      <c r="HT58" s="77"/>
      <c r="HU58" s="77"/>
      <c r="HV58" s="77"/>
      <c r="HW58" s="77"/>
      <c r="HX58" s="77"/>
      <c r="HY58" s="77"/>
      <c r="HZ58" s="77"/>
      <c r="IA58" s="77"/>
      <c r="IB58" s="77"/>
      <c r="IC58" s="77"/>
      <c r="ID58" s="77"/>
      <c r="IE58" s="77"/>
      <c r="IF58" s="77"/>
      <c r="IG58" s="77"/>
      <c r="IH58" s="77"/>
      <c r="II58" s="77"/>
      <c r="IJ58" s="77"/>
      <c r="IK58" s="77"/>
      <c r="IL58" s="77"/>
      <c r="IM58" s="77"/>
      <c r="IN58" s="77"/>
      <c r="IO58" s="77"/>
      <c r="IP58" s="77"/>
      <c r="IQ58" s="77"/>
      <c r="IR58" s="77"/>
      <c r="IS58" s="77"/>
      <c r="IT58" s="77"/>
      <c r="IU58" s="77"/>
      <c r="IV58" s="77"/>
      <c r="IW58" s="77"/>
      <c r="IX58" s="77"/>
      <c r="IY58" s="77"/>
      <c r="IZ58" s="77"/>
      <c r="JA58" s="77"/>
      <c r="JB58" s="77"/>
      <c r="JC58" s="77"/>
      <c r="JD58" s="77"/>
      <c r="JE58" s="77"/>
      <c r="JF58" s="77"/>
      <c r="JG58" s="77"/>
      <c r="JH58" s="77"/>
      <c r="JI58" s="77"/>
      <c r="JJ58" s="77"/>
      <c r="JK58" s="77"/>
      <c r="JL58" s="77"/>
      <c r="JM58" s="77"/>
      <c r="JN58" s="77"/>
      <c r="JO58" s="77"/>
      <c r="JP58" s="77"/>
      <c r="JQ58" s="77"/>
      <c r="JR58" s="77"/>
      <c r="JS58" s="77"/>
      <c r="JT58" s="77"/>
      <c r="JU58" s="77"/>
      <c r="JV58" s="77"/>
      <c r="JW58" s="77"/>
      <c r="JX58" s="77"/>
      <c r="KM58" s="77"/>
      <c r="KN58" s="77"/>
      <c r="KO58" s="77"/>
      <c r="KP58" s="77"/>
      <c r="KQ58" s="77"/>
      <c r="KR58" s="77"/>
      <c r="KS58" s="77"/>
      <c r="KT58" s="77"/>
      <c r="KU58" s="77"/>
      <c r="KV58" s="77"/>
      <c r="KW58" s="77"/>
      <c r="KX58" s="77"/>
      <c r="KY58" s="77"/>
      <c r="KZ58" s="77"/>
      <c r="LA58" s="77"/>
      <c r="LB58" s="77"/>
      <c r="LC58" s="77"/>
      <c r="LD58" s="77"/>
      <c r="LE58" s="77"/>
      <c r="LF58" s="77"/>
      <c r="LG58" s="77"/>
      <c r="LH58" s="77"/>
      <c r="LI58" s="77"/>
      <c r="LJ58" s="77"/>
      <c r="LK58" s="77"/>
      <c r="LL58" s="77"/>
      <c r="LM58" s="77"/>
      <c r="LN58" s="77"/>
      <c r="LO58" s="77"/>
      <c r="LP58" s="77"/>
      <c r="LQ58" s="77"/>
      <c r="LR58" s="77"/>
      <c r="LS58" s="77"/>
      <c r="LT58" s="77"/>
      <c r="LU58" s="77"/>
      <c r="LV58" s="77"/>
      <c r="LW58" s="77"/>
      <c r="LX58" s="77"/>
    </row>
    <row r="59" spans="1:368" ht="18.600000000000001" customHeight="1" x14ac:dyDescent="0.25">
      <c r="A59" s="119" t="s">
        <v>524</v>
      </c>
      <c r="B59" s="27" t="s">
        <v>2227</v>
      </c>
      <c r="C59" s="27" t="s">
        <v>6417</v>
      </c>
      <c r="D59" s="30" t="str">
        <f>HYPERLINK("https://twitter.com/marianorajoy","https://twitter.com/marianorajoy")</f>
        <v>https://twitter.com/marianorajoy</v>
      </c>
      <c r="E59" s="30" t="str">
        <f>HYPERLINK("http://twiplomacy.com/info/europe/Spain","http://twiplomacy.com/info/europe/Spain")</f>
        <v>http://twiplomacy.com/info/europe/Spain</v>
      </c>
      <c r="F59" s="10" t="s">
        <v>332</v>
      </c>
      <c r="G59" s="10" t="s">
        <v>522</v>
      </c>
      <c r="H59" s="10" t="s">
        <v>776</v>
      </c>
      <c r="I59" s="10" t="s">
        <v>773</v>
      </c>
      <c r="J59" s="27" t="s">
        <v>2226</v>
      </c>
      <c r="K59" s="15" t="s">
        <v>777</v>
      </c>
      <c r="L59" s="10" t="s">
        <v>1020</v>
      </c>
      <c r="M59" s="10" t="s">
        <v>770</v>
      </c>
      <c r="N59" s="30" t="str">
        <f>HYPERLINK("https://twitter.com/marianorajoy/statuses/114294925620817923","https://twitter.com/marianorajoy/statuses/114294925620817923")</f>
        <v>https://twitter.com/marianorajoy/statuses/114294925620817923</v>
      </c>
      <c r="O59" s="11" t="s">
        <v>5926</v>
      </c>
      <c r="P59" s="80">
        <v>28022</v>
      </c>
      <c r="Q59" s="80">
        <v>18444</v>
      </c>
      <c r="R59" s="27" t="s">
        <v>2994</v>
      </c>
      <c r="S59" s="12" t="s">
        <v>2228</v>
      </c>
      <c r="T59" s="10" t="s">
        <v>771</v>
      </c>
      <c r="U59" s="10" t="s">
        <v>771</v>
      </c>
      <c r="V59" s="10" t="s">
        <v>771</v>
      </c>
      <c r="W59" s="10"/>
      <c r="X59" s="27" t="s">
        <v>524</v>
      </c>
      <c r="Y59" s="27" t="s">
        <v>2227</v>
      </c>
      <c r="Z59" s="80">
        <v>15859</v>
      </c>
      <c r="AA59" s="27">
        <v>10881</v>
      </c>
      <c r="AB59" s="80">
        <v>1196666</v>
      </c>
      <c r="AC59" s="27">
        <v>6019</v>
      </c>
      <c r="AD59" s="27" t="s">
        <v>4026</v>
      </c>
      <c r="AE59" s="27">
        <v>343447873</v>
      </c>
      <c r="AF59" s="27" t="s">
        <v>6417</v>
      </c>
      <c r="AG59" s="27"/>
      <c r="AH59" s="79">
        <v>9.1091326823664591</v>
      </c>
      <c r="AI59" s="83">
        <v>16.5927835051546</v>
      </c>
      <c r="AJ59" s="80">
        <v>319.79789631855698</v>
      </c>
      <c r="AK59" s="80">
        <v>259.47182569496601</v>
      </c>
      <c r="AL59" s="27">
        <v>5</v>
      </c>
      <c r="AM59" s="97">
        <f t="shared" si="0"/>
        <v>1.5625000000000001E-3</v>
      </c>
      <c r="AN59" s="27" t="s">
        <v>524</v>
      </c>
      <c r="AO59" s="27">
        <v>90</v>
      </c>
      <c r="AP59" s="27">
        <v>7</v>
      </c>
      <c r="AQ59" s="27">
        <v>65</v>
      </c>
      <c r="AR59" s="27">
        <f>SUM(AO59:AQ59)</f>
        <v>162</v>
      </c>
      <c r="AS59" s="27" t="s">
        <v>6229</v>
      </c>
      <c r="AT59" s="27" t="s">
        <v>5279</v>
      </c>
      <c r="AU59" s="84" t="s">
        <v>6504</v>
      </c>
      <c r="AV59" s="77"/>
      <c r="AW59" s="77"/>
      <c r="AX59" s="77"/>
      <c r="AY59" s="77"/>
      <c r="AZ59" s="77"/>
      <c r="BA59" s="77"/>
      <c r="BB59" s="77"/>
      <c r="BC59" s="77"/>
      <c r="BD59" s="77"/>
      <c r="BE59" s="77"/>
      <c r="BF59" s="77"/>
      <c r="BG59" s="77"/>
      <c r="BH59" s="77"/>
      <c r="BI59" s="77"/>
      <c r="BJ59" s="77"/>
      <c r="BK59" s="77"/>
      <c r="BL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c r="CZ59" s="77"/>
      <c r="DA59" s="77"/>
      <c r="DB59" s="77"/>
      <c r="DC59" s="77"/>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R59" s="77"/>
      <c r="ES59" s="77"/>
      <c r="ET59" s="77"/>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7"/>
      <c r="GD59" s="77"/>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7"/>
      <c r="HN59" s="77"/>
      <c r="HO59" s="77"/>
      <c r="HP59" s="77"/>
      <c r="HQ59" s="77"/>
      <c r="HR59" s="77"/>
      <c r="HS59" s="77"/>
      <c r="HT59" s="77"/>
      <c r="HU59" s="77"/>
      <c r="HV59" s="77"/>
      <c r="HW59" s="77"/>
      <c r="HX59" s="77"/>
      <c r="HY59" s="77"/>
      <c r="HZ59" s="77"/>
      <c r="IA59" s="77"/>
      <c r="IB59" s="77"/>
      <c r="IC59" s="77"/>
      <c r="ID59" s="77"/>
      <c r="IE59" s="77"/>
      <c r="KM59" s="77"/>
      <c r="KN59" s="77"/>
      <c r="KO59" s="77"/>
      <c r="KP59" s="77"/>
      <c r="KQ59" s="77"/>
      <c r="KR59" s="77"/>
      <c r="KS59" s="77"/>
      <c r="KT59" s="77"/>
      <c r="KU59" s="77"/>
      <c r="KV59" s="77"/>
      <c r="KW59" s="77"/>
      <c r="KX59" s="77"/>
      <c r="KY59" s="77"/>
      <c r="KZ59" s="77"/>
      <c r="LA59" s="77"/>
      <c r="LB59" s="77"/>
      <c r="LC59" s="77"/>
      <c r="LD59" s="77"/>
      <c r="LE59" s="77"/>
      <c r="LF59" s="77"/>
      <c r="LG59" s="77"/>
      <c r="LH59" s="77"/>
      <c r="LI59" s="77"/>
      <c r="LJ59" s="77"/>
      <c r="LK59" s="77"/>
      <c r="LY59" s="16"/>
      <c r="LZ59" s="16"/>
      <c r="MA59" s="16"/>
      <c r="MB59" s="16"/>
      <c r="MC59" s="16"/>
      <c r="MD59" s="16"/>
      <c r="ME59" s="16"/>
      <c r="MF59" s="16"/>
      <c r="MG59" s="16"/>
      <c r="MH59" s="16"/>
      <c r="MI59" s="16"/>
      <c r="MJ59" s="16"/>
      <c r="MK59" s="16"/>
      <c r="ML59" s="16"/>
      <c r="MM59" s="16"/>
      <c r="MN59" s="16"/>
      <c r="MO59" s="16"/>
      <c r="MP59" s="16"/>
      <c r="MQ59" s="16"/>
      <c r="MR59" s="16"/>
      <c r="MS59" s="77"/>
    </row>
    <row r="60" spans="1:368" ht="18.600000000000001" customHeight="1" x14ac:dyDescent="0.25">
      <c r="A60" s="119" t="s">
        <v>348</v>
      </c>
      <c r="B60" s="27" t="s">
        <v>1735</v>
      </c>
      <c r="C60" s="27" t="s">
        <v>1736</v>
      </c>
      <c r="D60" s="30" t="str">
        <f>HYPERLINK("https://twitter.com/dreynders","https://twitter.com/dreynders")</f>
        <v>https://twitter.com/dreynders</v>
      </c>
      <c r="E60" s="30" t="str">
        <f>HYPERLINK("http://twiplomacy.com/info/europe/Belgium","http://twiplomacy.com/info/europe/Belgium")</f>
        <v>http://twiplomacy.com/info/europe/Belgium</v>
      </c>
      <c r="F60" s="10" t="s">
        <v>332</v>
      </c>
      <c r="G60" s="10" t="s">
        <v>345</v>
      </c>
      <c r="H60" s="10" t="s">
        <v>860</v>
      </c>
      <c r="I60" s="10" t="s">
        <v>773</v>
      </c>
      <c r="J60" s="27" t="s">
        <v>779</v>
      </c>
      <c r="K60" s="10" t="s">
        <v>777</v>
      </c>
      <c r="L60" s="10" t="s">
        <v>770</v>
      </c>
      <c r="M60" s="10" t="s">
        <v>770</v>
      </c>
      <c r="N60" s="30" t="str">
        <f>HYPERLINK("https://twitter.com/dreynders/statuses/1681439845","https://twitter.com/dreynders/statuses/1681439845")</f>
        <v>https://twitter.com/dreynders/statuses/1681439845</v>
      </c>
      <c r="O60" s="30" t="str">
        <f>HYPERLINK("https://twitter.com/dreynders/statuses/470210880215736320","https://twitter.com/dreynders/statuses/470210880215736320")</f>
        <v>https://twitter.com/dreynders/statuses/470210880215736320</v>
      </c>
      <c r="P60" s="46">
        <v>255</v>
      </c>
      <c r="Q60" s="46">
        <v>56</v>
      </c>
      <c r="R60" s="27" t="s">
        <v>2995</v>
      </c>
      <c r="S60" s="10" t="s">
        <v>1737</v>
      </c>
      <c r="T60" s="10" t="s">
        <v>771</v>
      </c>
      <c r="U60" s="10" t="s">
        <v>771</v>
      </c>
      <c r="V60" s="10" t="s">
        <v>771</v>
      </c>
      <c r="W60" s="10"/>
      <c r="X60" s="27" t="s">
        <v>348</v>
      </c>
      <c r="Y60" s="27" t="s">
        <v>1735</v>
      </c>
      <c r="Z60" s="80">
        <v>15760</v>
      </c>
      <c r="AA60" s="27">
        <v>4568</v>
      </c>
      <c r="AB60" s="80">
        <v>83753</v>
      </c>
      <c r="AC60" s="27">
        <v>86</v>
      </c>
      <c r="AD60" s="27" t="s">
        <v>3626</v>
      </c>
      <c r="AE60" s="27">
        <v>37281164</v>
      </c>
      <c r="AF60" s="27" t="s">
        <v>1736</v>
      </c>
      <c r="AG60" s="27" t="s">
        <v>1738</v>
      </c>
      <c r="AH60" s="79">
        <v>6.1654929577464799</v>
      </c>
      <c r="AI60" s="83">
        <v>9.8632218844984791</v>
      </c>
      <c r="AJ60" s="80">
        <v>5.0343377715487003</v>
      </c>
      <c r="AK60" s="80">
        <v>5.5108619481429599</v>
      </c>
      <c r="AL60" s="27">
        <v>16</v>
      </c>
      <c r="AM60" s="97">
        <f t="shared" si="0"/>
        <v>5.0000000000000001E-3</v>
      </c>
      <c r="AN60" s="27" t="s">
        <v>348</v>
      </c>
      <c r="AO60" s="27">
        <v>8</v>
      </c>
      <c r="AP60" s="27">
        <v>52</v>
      </c>
      <c r="AQ60" s="27">
        <v>10</v>
      </c>
      <c r="AR60" s="27">
        <f>SUM(AO60:AQ60)</f>
        <v>70</v>
      </c>
      <c r="AS60" s="27" t="s">
        <v>5091</v>
      </c>
      <c r="AT60" s="27" t="s">
        <v>6705</v>
      </c>
      <c r="AU60" s="84" t="s">
        <v>4700</v>
      </c>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7"/>
      <c r="GD60" s="77"/>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7"/>
      <c r="HN60" s="77"/>
      <c r="HO60" s="77"/>
      <c r="HP60" s="77"/>
      <c r="HQ60" s="77"/>
      <c r="HR60" s="77"/>
      <c r="HS60" s="77"/>
      <c r="HT60" s="77"/>
      <c r="HU60" s="77"/>
      <c r="HV60" s="77"/>
      <c r="HW60" s="77"/>
      <c r="HX60" s="77"/>
      <c r="HY60" s="77"/>
      <c r="HZ60" s="77"/>
      <c r="IA60" s="77"/>
      <c r="IB60" s="77"/>
      <c r="IC60" s="77"/>
      <c r="ID60" s="77"/>
      <c r="IE60" s="77"/>
      <c r="IF60" s="77"/>
      <c r="IG60" s="77"/>
      <c r="IH60" s="77"/>
      <c r="II60" s="77"/>
      <c r="IJ60" s="77"/>
      <c r="IK60" s="77"/>
      <c r="IL60" s="77"/>
      <c r="IM60" s="77"/>
      <c r="IN60" s="77"/>
      <c r="IO60" s="77"/>
      <c r="IP60" s="77"/>
      <c r="IQ60" s="77"/>
      <c r="IR60" s="77"/>
      <c r="IS60" s="77"/>
      <c r="IT60" s="77"/>
      <c r="IU60" s="77"/>
      <c r="IV60" s="77"/>
      <c r="IW60" s="77"/>
      <c r="IX60" s="77"/>
      <c r="IY60" s="77"/>
      <c r="IZ60" s="77"/>
      <c r="JA60" s="77"/>
      <c r="JB60" s="77"/>
      <c r="JC60" s="77"/>
      <c r="JD60" s="77"/>
      <c r="JE60" s="77"/>
      <c r="JF60" s="77"/>
      <c r="JG60" s="77"/>
      <c r="JH60" s="77"/>
      <c r="JI60" s="77"/>
      <c r="JJ60" s="77"/>
      <c r="JK60" s="77"/>
      <c r="JL60" s="77"/>
      <c r="JM60" s="77"/>
      <c r="JN60" s="77"/>
      <c r="JO60" s="77"/>
      <c r="JP60" s="77"/>
      <c r="JQ60" s="77"/>
      <c r="JR60" s="77"/>
      <c r="JS60" s="77"/>
      <c r="JT60" s="77"/>
      <c r="JU60" s="77"/>
      <c r="JV60" s="77"/>
      <c r="JW60" s="77"/>
      <c r="JX60" s="77"/>
      <c r="KM60" s="77"/>
      <c r="KN60" s="77"/>
      <c r="KO60" s="77"/>
      <c r="KP60" s="77"/>
      <c r="KQ60" s="77"/>
      <c r="KR60" s="77"/>
      <c r="KS60" s="77"/>
      <c r="KT60" s="77"/>
      <c r="KU60" s="77"/>
      <c r="KV60" s="77"/>
      <c r="KW60" s="77"/>
      <c r="KX60" s="77"/>
      <c r="KY60" s="77"/>
      <c r="KZ60" s="77"/>
      <c r="LA60" s="77"/>
      <c r="LB60" s="77"/>
      <c r="LC60" s="77"/>
      <c r="LD60" s="77"/>
      <c r="LE60" s="77"/>
      <c r="LF60" s="77"/>
      <c r="LG60" s="77"/>
      <c r="LH60" s="77"/>
      <c r="LI60" s="77"/>
      <c r="LJ60" s="77"/>
      <c r="LK60" s="77"/>
      <c r="LL60" s="77"/>
      <c r="LM60" s="77"/>
      <c r="LN60" s="77"/>
      <c r="LO60" s="77"/>
      <c r="LP60" s="77"/>
      <c r="LQ60" s="77"/>
      <c r="LR60" s="77"/>
      <c r="LS60" s="77"/>
      <c r="LT60" s="77"/>
      <c r="LU60" s="77"/>
      <c r="LV60" s="77"/>
      <c r="LW60" s="77"/>
      <c r="LX60" s="77"/>
    </row>
    <row r="61" spans="1:368" ht="18.600000000000001" customHeight="1" x14ac:dyDescent="0.25">
      <c r="A61" s="119" t="s">
        <v>728</v>
      </c>
      <c r="B61" s="27" t="s">
        <v>1853</v>
      </c>
      <c r="C61" s="27" t="s">
        <v>3663</v>
      </c>
      <c r="D61" s="30" t="str">
        <f>HYPERLINK("https://twitter.com/eu_eeas","https://twitter.com/eu_eeas")</f>
        <v>https://twitter.com/eu_eeas</v>
      </c>
      <c r="E61" s="30" t="str">
        <f>HYPERLINK("http://twiplomacy.com/info/europe/Eu","http://twiplomacy.com/info/europe/Eu")</f>
        <v>http://twiplomacy.com/info/europe/Eu</v>
      </c>
      <c r="F61" s="10" t="s">
        <v>332</v>
      </c>
      <c r="G61" s="10" t="s">
        <v>1837</v>
      </c>
      <c r="H61" s="10" t="s">
        <v>795</v>
      </c>
      <c r="I61" s="10" t="s">
        <v>782</v>
      </c>
      <c r="J61" s="27" t="s">
        <v>789</v>
      </c>
      <c r="K61" s="15" t="s">
        <v>777</v>
      </c>
      <c r="L61" s="10" t="s">
        <v>771</v>
      </c>
      <c r="M61" s="10" t="s">
        <v>770</v>
      </c>
      <c r="N61" s="30" t="str">
        <f>HYPERLINK("https://twitter.com/eu_eeas/statuses/8239412582","https://twitter.com/eu_eeas/statuses/8239412582")</f>
        <v>https://twitter.com/eu_eeas/statuses/8239412582</v>
      </c>
      <c r="O61" s="30" t="str">
        <f>HYPERLINK("https://twitter.com/eu_eeas/statuses/469152982131814400","https://twitter.com/eu_eeas/statuses/469152982131814400")</f>
        <v>https://twitter.com/eu_eeas/statuses/469152982131814400</v>
      </c>
      <c r="P61" s="46">
        <v>535</v>
      </c>
      <c r="Q61" s="46">
        <v>13</v>
      </c>
      <c r="R61" s="27" t="s">
        <v>2994</v>
      </c>
      <c r="S61" s="30" t="str">
        <f>HYPERLINK("https://twitter.com/eu_eeas/lists","https://twitter.com/eu_eeas/lists")</f>
        <v>https://twitter.com/eu_eeas/lists</v>
      </c>
      <c r="T61" s="10">
        <v>8</v>
      </c>
      <c r="U61" s="10">
        <v>20</v>
      </c>
      <c r="V61" s="30" t="str">
        <f>HYPERLINK("https://twitter.com/eu_eeas/eu-delegations/members","https://twitter.com/eu_eeas/eu-delegations/members")</f>
        <v>https://twitter.com/eu_eeas/eu-delegations/members</v>
      </c>
      <c r="W61" s="10">
        <v>121</v>
      </c>
      <c r="X61" s="27" t="s">
        <v>728</v>
      </c>
      <c r="Y61" s="27" t="s">
        <v>1853</v>
      </c>
      <c r="Z61" s="80">
        <v>15534</v>
      </c>
      <c r="AA61" s="27">
        <v>1956</v>
      </c>
      <c r="AB61" s="80">
        <v>139667</v>
      </c>
      <c r="AC61" s="27">
        <v>66</v>
      </c>
      <c r="AD61" s="27" t="s">
        <v>3664</v>
      </c>
      <c r="AE61" s="27">
        <v>80803819</v>
      </c>
      <c r="AF61" s="27" t="s">
        <v>3663</v>
      </c>
      <c r="AG61" s="27" t="s">
        <v>1854</v>
      </c>
      <c r="AH61" s="79">
        <v>6.47519799916632</v>
      </c>
      <c r="AI61" s="83">
        <v>9.1183098591549303</v>
      </c>
      <c r="AJ61" s="80">
        <v>25.387741046832002</v>
      </c>
      <c r="AK61" s="80">
        <v>13.4683195592287</v>
      </c>
      <c r="AL61" s="27">
        <v>14</v>
      </c>
      <c r="AM61" s="97">
        <f t="shared" si="0"/>
        <v>4.3750000000000004E-3</v>
      </c>
      <c r="AN61" s="27" t="s">
        <v>728</v>
      </c>
      <c r="AO61" s="27">
        <v>115</v>
      </c>
      <c r="AP61" s="27">
        <v>29</v>
      </c>
      <c r="AQ61" s="27">
        <v>122</v>
      </c>
      <c r="AR61" s="27">
        <f>SUM(AO61:AQ61)</f>
        <v>266</v>
      </c>
      <c r="AS61" s="27" t="s">
        <v>6640</v>
      </c>
      <c r="AT61" s="27" t="s">
        <v>6713</v>
      </c>
      <c r="AU61" s="84" t="s">
        <v>4712</v>
      </c>
      <c r="AV61" s="29"/>
      <c r="AW61" s="29"/>
      <c r="AX61" s="29"/>
      <c r="AY61" s="29"/>
      <c r="AZ61" s="29"/>
      <c r="BA61" s="29"/>
      <c r="BB61" s="29"/>
      <c r="BC61" s="29"/>
      <c r="BD61" s="29"/>
      <c r="BE61" s="29"/>
      <c r="BF61" s="29"/>
      <c r="BG61" s="29"/>
      <c r="BH61" s="29"/>
      <c r="BI61" s="29"/>
      <c r="BJ61" s="29"/>
      <c r="BK61" s="29"/>
      <c r="BL61" s="29"/>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c r="FA61" s="77"/>
      <c r="FB61" s="77"/>
      <c r="FC61" s="77"/>
      <c r="FD61" s="77"/>
      <c r="FE61" s="77"/>
      <c r="FF61" s="77"/>
      <c r="FG61" s="77"/>
      <c r="FH61" s="77"/>
      <c r="FI61" s="77"/>
      <c r="FJ61" s="77"/>
      <c r="FK61" s="77"/>
      <c r="FL61" s="77"/>
      <c r="FM61" s="77"/>
      <c r="FN61" s="77"/>
      <c r="FO61" s="77"/>
      <c r="FP61" s="77"/>
      <c r="FQ61" s="77"/>
      <c r="FR61" s="77"/>
      <c r="FS61" s="77"/>
      <c r="FT61" s="77"/>
      <c r="FU61" s="77"/>
      <c r="FV61" s="77"/>
      <c r="FW61" s="77"/>
      <c r="FX61" s="77"/>
      <c r="FY61" s="77"/>
      <c r="FZ61" s="77"/>
      <c r="GA61" s="77"/>
      <c r="GB61" s="77"/>
      <c r="GC61" s="77"/>
      <c r="GD61" s="77"/>
      <c r="GE61" s="77"/>
      <c r="GF61" s="77"/>
      <c r="GG61" s="77"/>
      <c r="GH61" s="77"/>
      <c r="GI61" s="77"/>
      <c r="GJ61" s="77"/>
      <c r="GK61" s="77"/>
      <c r="GL61" s="77"/>
      <c r="GM61" s="77"/>
      <c r="GN61" s="77"/>
      <c r="GO61" s="77"/>
      <c r="GP61" s="77"/>
      <c r="GQ61" s="77"/>
      <c r="GR61" s="77"/>
      <c r="GS61" s="77"/>
      <c r="GT61" s="77"/>
      <c r="GU61" s="77"/>
      <c r="GV61" s="77"/>
      <c r="GW61" s="77"/>
      <c r="GX61" s="77"/>
      <c r="GY61" s="77"/>
      <c r="GZ61" s="77"/>
      <c r="HA61" s="77"/>
      <c r="HB61" s="77"/>
      <c r="HC61" s="77"/>
      <c r="HD61" s="77"/>
      <c r="HE61" s="77"/>
      <c r="HF61" s="77"/>
      <c r="HG61" s="77"/>
      <c r="HH61" s="77"/>
      <c r="HI61" s="77"/>
      <c r="HJ61" s="77"/>
      <c r="HK61" s="77"/>
      <c r="HL61" s="77"/>
      <c r="HM61" s="77"/>
      <c r="HN61" s="77"/>
      <c r="HO61" s="77"/>
      <c r="HP61" s="77"/>
      <c r="HQ61" s="77"/>
      <c r="HR61" s="77"/>
      <c r="HS61" s="77"/>
      <c r="HT61" s="77"/>
      <c r="HU61" s="77"/>
      <c r="HV61" s="77"/>
      <c r="HW61" s="77"/>
      <c r="HX61" s="77"/>
      <c r="HY61" s="77"/>
      <c r="HZ61" s="77"/>
      <c r="IA61" s="77"/>
      <c r="IB61" s="77"/>
      <c r="IC61" s="77"/>
      <c r="ID61" s="77"/>
      <c r="IE61" s="77"/>
      <c r="IF61" s="77"/>
      <c r="IG61" s="77"/>
      <c r="IH61" s="77"/>
      <c r="II61" s="77"/>
      <c r="IJ61" s="77"/>
      <c r="IK61" s="77"/>
      <c r="IL61" s="77"/>
      <c r="IM61" s="77"/>
      <c r="IN61" s="77"/>
      <c r="IO61" s="77"/>
      <c r="IP61" s="77"/>
      <c r="IQ61" s="77"/>
      <c r="IR61" s="77"/>
      <c r="IS61" s="77"/>
      <c r="IT61" s="77"/>
      <c r="IU61" s="77"/>
      <c r="IV61" s="77"/>
      <c r="IW61" s="77"/>
      <c r="IX61" s="77"/>
      <c r="IY61" s="77"/>
      <c r="IZ61" s="77"/>
      <c r="JA61" s="77"/>
      <c r="JB61" s="77"/>
      <c r="JC61" s="77"/>
      <c r="JD61" s="77"/>
      <c r="JE61" s="77"/>
      <c r="JF61" s="77"/>
      <c r="JG61" s="77"/>
      <c r="JH61" s="77"/>
      <c r="JI61" s="77"/>
      <c r="JJ61" s="77"/>
      <c r="JK61" s="77"/>
      <c r="JL61" s="77"/>
      <c r="JM61" s="77"/>
      <c r="JN61" s="77"/>
      <c r="JO61" s="77"/>
      <c r="JP61" s="77"/>
      <c r="JQ61" s="77"/>
      <c r="JR61" s="77"/>
      <c r="JS61" s="77"/>
      <c r="JT61" s="77"/>
      <c r="JU61" s="77"/>
      <c r="JV61" s="77"/>
      <c r="JW61" s="77"/>
      <c r="JX61" s="77"/>
      <c r="KM61" s="77"/>
      <c r="KN61" s="77"/>
      <c r="KO61" s="77"/>
      <c r="KP61" s="77"/>
      <c r="KQ61" s="77"/>
      <c r="KR61" s="77"/>
      <c r="KS61" s="77"/>
      <c r="KT61" s="77"/>
      <c r="KU61" s="77"/>
      <c r="KV61" s="77"/>
      <c r="KW61" s="77"/>
      <c r="KX61" s="77"/>
      <c r="KY61" s="77"/>
      <c r="KZ61" s="77"/>
      <c r="LA61" s="77"/>
      <c r="LB61" s="77"/>
      <c r="LC61" s="77"/>
      <c r="LD61" s="77"/>
      <c r="LE61" s="77"/>
      <c r="LF61" s="77"/>
      <c r="LG61" s="77"/>
      <c r="LH61" s="77"/>
      <c r="LI61" s="77"/>
      <c r="LJ61" s="77"/>
      <c r="LK61" s="77"/>
      <c r="LL61" s="77"/>
      <c r="LM61" s="77"/>
      <c r="LN61" s="77"/>
      <c r="LO61" s="77"/>
      <c r="LP61" s="77"/>
      <c r="LQ61" s="77"/>
      <c r="LR61" s="77"/>
      <c r="LS61" s="77"/>
      <c r="LT61" s="77"/>
      <c r="LU61" s="77"/>
      <c r="LV61" s="77"/>
      <c r="LY61" s="77"/>
      <c r="LZ61" s="77"/>
      <c r="MA61" s="77"/>
      <c r="MB61" s="77"/>
      <c r="MC61" s="77"/>
      <c r="MD61" s="77"/>
      <c r="ME61" s="77"/>
      <c r="MF61" s="77"/>
      <c r="MG61" s="77"/>
      <c r="MH61" s="77"/>
      <c r="MI61" s="77"/>
      <c r="MJ61" s="77"/>
      <c r="MK61" s="77"/>
      <c r="ML61" s="77"/>
      <c r="MM61" s="77"/>
      <c r="MN61" s="77"/>
      <c r="MO61" s="77"/>
      <c r="MP61" s="77"/>
      <c r="MQ61" s="77"/>
      <c r="MR61" s="77"/>
    </row>
    <row r="62" spans="1:368" ht="18.600000000000001" customHeight="1" x14ac:dyDescent="0.25">
      <c r="A62" s="119" t="s">
        <v>2270</v>
      </c>
      <c r="B62" s="27" t="s">
        <v>2271</v>
      </c>
      <c r="C62" s="27" t="s">
        <v>6372</v>
      </c>
      <c r="D62" s="30" t="str">
        <f>HYPERLINK("https://twitter.com/BasbakanlikKDK","https://twitter.com/BasbakanlikKDK")</f>
        <v>https://twitter.com/BasbakanlikKDK</v>
      </c>
      <c r="E62" s="30" t="str">
        <f>HYPERLINK("http://twiplomacy.com/info/europe/Turkey","http://twiplomacy.com/info/europe/Turkey")</f>
        <v>http://twiplomacy.com/info/europe/Turkey</v>
      </c>
      <c r="F62" s="10" t="s">
        <v>332</v>
      </c>
      <c r="G62" s="10" t="s">
        <v>536</v>
      </c>
      <c r="H62" s="10" t="s">
        <v>795</v>
      </c>
      <c r="I62" s="10" t="s">
        <v>782</v>
      </c>
      <c r="J62" s="27" t="s">
        <v>2254</v>
      </c>
      <c r="K62" s="10" t="s">
        <v>777</v>
      </c>
      <c r="L62" s="10" t="s">
        <v>771</v>
      </c>
      <c r="M62" s="10" t="s">
        <v>770</v>
      </c>
      <c r="N62" s="30" t="str">
        <f>HYPERLINK("https://twitter.com/BasbakanlikKDK/statuses/22581452210184192","https://twitter.com/BasbakanlikKDK/statuses/22581452210184192")</f>
        <v>https://twitter.com/BasbakanlikKDK/statuses/22581452210184192</v>
      </c>
      <c r="O62" s="27" t="s">
        <v>5702</v>
      </c>
      <c r="P62" s="80">
        <v>977</v>
      </c>
      <c r="Q62" s="80">
        <v>977</v>
      </c>
      <c r="R62" s="27" t="s">
        <v>2994</v>
      </c>
      <c r="S62" s="10" t="s">
        <v>2272</v>
      </c>
      <c r="T62" s="10" t="s">
        <v>771</v>
      </c>
      <c r="U62" s="10" t="s">
        <v>771</v>
      </c>
      <c r="V62" s="10" t="s">
        <v>771</v>
      </c>
      <c r="W62" s="10"/>
      <c r="X62" s="27" t="s">
        <v>2270</v>
      </c>
      <c r="Y62" s="27" t="s">
        <v>2271</v>
      </c>
      <c r="Z62" s="80">
        <v>15212</v>
      </c>
      <c r="AA62" s="27">
        <v>228</v>
      </c>
      <c r="AB62" s="80">
        <v>98414</v>
      </c>
      <c r="AC62" s="27">
        <v>71</v>
      </c>
      <c r="AD62" s="27" t="s">
        <v>3503</v>
      </c>
      <c r="AE62" s="27">
        <v>214433638</v>
      </c>
      <c r="AF62" s="27" t="s">
        <v>6372</v>
      </c>
      <c r="AG62" s="27" t="s">
        <v>2273</v>
      </c>
      <c r="AH62" s="79">
        <v>7.6113056528264096</v>
      </c>
      <c r="AI62" s="83">
        <v>6.83686440677966</v>
      </c>
      <c r="AJ62" s="80">
        <v>23.339190221543198</v>
      </c>
      <c r="AK62" s="80">
        <v>21.6103896103896</v>
      </c>
      <c r="AL62" s="27">
        <v>534</v>
      </c>
      <c r="AM62" s="97">
        <f t="shared" si="0"/>
        <v>0.166875</v>
      </c>
      <c r="AN62" s="27" t="s">
        <v>2270</v>
      </c>
      <c r="AO62" s="27">
        <v>5</v>
      </c>
      <c r="AP62" s="27">
        <v>7</v>
      </c>
      <c r="AQ62" s="27">
        <v>10</v>
      </c>
      <c r="AR62" s="27">
        <f>SUM(AO62:AQ62)</f>
        <v>22</v>
      </c>
      <c r="AS62" s="27" t="s">
        <v>5033</v>
      </c>
      <c r="AT62" s="27" t="s">
        <v>6273</v>
      </c>
      <c r="AU62" s="84" t="s">
        <v>4656</v>
      </c>
      <c r="AV62" s="16"/>
      <c r="AW62" s="16"/>
      <c r="AX62" s="16"/>
      <c r="AY62" s="16"/>
      <c r="AZ62" s="16"/>
      <c r="BA62" s="16"/>
      <c r="BB62" s="16"/>
      <c r="BC62" s="16"/>
      <c r="BD62" s="16"/>
      <c r="BE62" s="16"/>
      <c r="BF62" s="16"/>
      <c r="BG62" s="16"/>
      <c r="BH62" s="16"/>
      <c r="BI62" s="16"/>
      <c r="BJ62" s="16"/>
      <c r="BK62" s="16"/>
      <c r="BL62" s="16"/>
      <c r="BM62" s="16"/>
      <c r="BN62" s="16"/>
      <c r="BO62" s="16"/>
      <c r="BP62" s="16"/>
      <c r="BQ62" s="77"/>
      <c r="BR62" s="77"/>
      <c r="BS62" s="77"/>
      <c r="BT62" s="77"/>
      <c r="BU62" s="77"/>
      <c r="BV62" s="77"/>
      <c r="BW62" s="77"/>
      <c r="BX62" s="77"/>
      <c r="BY62" s="77"/>
      <c r="BZ62" s="77"/>
      <c r="CA62" s="77"/>
      <c r="CB62" s="77"/>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77"/>
      <c r="EN62" s="77"/>
      <c r="EO62" s="77"/>
      <c r="EP62" s="77"/>
      <c r="EQ62" s="77"/>
      <c r="ER62" s="77"/>
      <c r="ES62" s="77"/>
      <c r="ET62" s="77"/>
      <c r="EU62" s="77"/>
      <c r="EV62" s="77"/>
      <c r="EW62" s="77"/>
      <c r="EX62" s="77"/>
      <c r="EY62" s="77"/>
      <c r="EZ62" s="77"/>
      <c r="FA62" s="77"/>
      <c r="FB62" s="77"/>
      <c r="FC62" s="77"/>
      <c r="FD62" s="77"/>
      <c r="FE62" s="77"/>
      <c r="FF62" s="77"/>
      <c r="FG62" s="77"/>
      <c r="FH62" s="77"/>
      <c r="FI62" s="77"/>
      <c r="FJ62" s="77"/>
      <c r="FK62" s="77"/>
      <c r="FL62" s="77"/>
      <c r="FM62" s="77"/>
      <c r="FN62" s="77"/>
      <c r="FO62" s="77"/>
      <c r="FP62" s="77"/>
      <c r="FQ62" s="77"/>
      <c r="FR62" s="77"/>
      <c r="FS62" s="77"/>
      <c r="FT62" s="77"/>
      <c r="FU62" s="77"/>
      <c r="FV62" s="77"/>
      <c r="FW62" s="77"/>
      <c r="FX62" s="77"/>
      <c r="FY62" s="77"/>
      <c r="FZ62" s="77"/>
      <c r="GA62" s="77"/>
      <c r="GB62" s="77"/>
      <c r="GC62" s="77"/>
      <c r="GD62" s="77"/>
      <c r="GE62" s="77"/>
      <c r="GF62" s="77"/>
      <c r="GG62" s="77"/>
      <c r="GH62" s="77"/>
      <c r="GI62" s="77"/>
      <c r="GJ62" s="77"/>
      <c r="GK62" s="77"/>
      <c r="GL62" s="77"/>
      <c r="GM62" s="77"/>
      <c r="GN62" s="77"/>
      <c r="GO62" s="77"/>
      <c r="GP62" s="77"/>
      <c r="GQ62" s="77"/>
      <c r="GR62" s="77"/>
      <c r="GS62" s="77"/>
      <c r="GT62" s="77"/>
      <c r="GU62" s="77"/>
      <c r="GV62" s="77"/>
      <c r="GW62" s="77"/>
      <c r="GX62" s="77"/>
      <c r="GY62" s="77"/>
      <c r="GZ62" s="77"/>
      <c r="HA62" s="77"/>
      <c r="HB62" s="77"/>
      <c r="HC62" s="77"/>
      <c r="HD62" s="77"/>
      <c r="HE62" s="77"/>
      <c r="HF62" s="77"/>
      <c r="HG62" s="77"/>
      <c r="HH62" s="77"/>
      <c r="HI62" s="77"/>
      <c r="HJ62" s="77"/>
      <c r="HK62" s="77"/>
      <c r="LW62" s="77"/>
      <c r="LX62" s="77"/>
      <c r="ND62" s="77"/>
    </row>
    <row r="63" spans="1:368" ht="18.600000000000001" customHeight="1" x14ac:dyDescent="0.25">
      <c r="A63" s="119" t="s">
        <v>1044</v>
      </c>
      <c r="B63" s="27" t="s">
        <v>1045</v>
      </c>
      <c r="C63" s="27" t="s">
        <v>4443</v>
      </c>
      <c r="D63" s="30" t="str">
        <f>HYPERLINK("https://twitter.com/RwandaGov","https://twitter.com/RwandaGov")</f>
        <v>https://twitter.com/RwandaGov</v>
      </c>
      <c r="E63" s="30" t="str">
        <f>HYPERLINK("http://twiplomacy.com/info/africa/Rwanda","http://twiplomacy.com/info/africa/Rwanda")</f>
        <v>http://twiplomacy.com/info/africa/Rwanda</v>
      </c>
      <c r="F63" s="10" t="s">
        <v>1</v>
      </c>
      <c r="G63" s="10" t="s">
        <v>97</v>
      </c>
      <c r="H63" s="10" t="s">
        <v>788</v>
      </c>
      <c r="I63" s="10" t="s">
        <v>782</v>
      </c>
      <c r="J63" s="27" t="s">
        <v>789</v>
      </c>
      <c r="K63" s="15" t="s">
        <v>777</v>
      </c>
      <c r="L63" s="10" t="s">
        <v>771</v>
      </c>
      <c r="M63" s="10" t="s">
        <v>770</v>
      </c>
      <c r="N63" s="30" t="str">
        <f>HYPERLINK("https://twitter.com/RwandaGov/statuses/5866991989","https://twitter.com/RwandaGov/statuses/5866991989")</f>
        <v>https://twitter.com/RwandaGov/statuses/5866991989</v>
      </c>
      <c r="O63" s="27" t="s">
        <v>6077</v>
      </c>
      <c r="P63" s="80">
        <v>279</v>
      </c>
      <c r="Q63" s="80">
        <v>142</v>
      </c>
      <c r="R63" s="27" t="s">
        <v>2994</v>
      </c>
      <c r="S63" s="30" t="str">
        <f>HYPERLINK("https://twitter.com/RwandaGov/lists","https://twitter.com/RwandaGov/lists")</f>
        <v>https://twitter.com/RwandaGov/lists</v>
      </c>
      <c r="T63" s="10">
        <v>2</v>
      </c>
      <c r="U63" s="10">
        <v>7</v>
      </c>
      <c r="V63" s="10" t="s">
        <v>771</v>
      </c>
      <c r="W63" s="10"/>
      <c r="X63" s="27" t="s">
        <v>1044</v>
      </c>
      <c r="Y63" s="27" t="s">
        <v>1045</v>
      </c>
      <c r="Z63" s="80">
        <v>15032</v>
      </c>
      <c r="AA63" s="27">
        <v>286</v>
      </c>
      <c r="AB63" s="80">
        <v>104395</v>
      </c>
      <c r="AC63" s="27">
        <v>16</v>
      </c>
      <c r="AD63" s="27" t="s">
        <v>4444</v>
      </c>
      <c r="AE63" s="27">
        <v>85346528</v>
      </c>
      <c r="AF63" s="27" t="s">
        <v>4443</v>
      </c>
      <c r="AG63" s="27" t="s">
        <v>1042</v>
      </c>
      <c r="AH63" s="79">
        <v>6.3159663865546198</v>
      </c>
      <c r="AI63" s="83">
        <v>10.5737704918033</v>
      </c>
      <c r="AJ63" s="80">
        <v>19.6276771004942</v>
      </c>
      <c r="AK63" s="80">
        <v>9.1169686985173009</v>
      </c>
      <c r="AL63" s="27">
        <v>4</v>
      </c>
      <c r="AM63" s="97">
        <f t="shared" si="0"/>
        <v>1.25E-3</v>
      </c>
      <c r="AN63" s="27" t="s">
        <v>1044</v>
      </c>
      <c r="AO63" s="27">
        <v>6</v>
      </c>
      <c r="AP63" s="27">
        <v>21</v>
      </c>
      <c r="AQ63" s="27">
        <v>9</v>
      </c>
      <c r="AR63" s="27">
        <f>SUM(AO63:AQ63)</f>
        <v>36</v>
      </c>
      <c r="AS63" s="27" t="s">
        <v>5479</v>
      </c>
      <c r="AT63" s="27" t="s">
        <v>5480</v>
      </c>
      <c r="AU63" s="84" t="s">
        <v>4943</v>
      </c>
      <c r="AV63" s="77"/>
      <c r="AW63" s="77"/>
      <c r="AX63" s="77"/>
      <c r="AY63" s="77"/>
      <c r="AZ63" s="77"/>
      <c r="BA63" s="77"/>
      <c r="BB63" s="77"/>
      <c r="BC63" s="77"/>
      <c r="BD63" s="77"/>
      <c r="BE63" s="77"/>
      <c r="BF63" s="77"/>
      <c r="BG63" s="77"/>
      <c r="BH63" s="77"/>
      <c r="BI63" s="77"/>
      <c r="BJ63" s="77"/>
      <c r="BK63" s="77"/>
      <c r="BL63" s="77"/>
      <c r="BM63" s="43"/>
      <c r="BQ63" s="77"/>
      <c r="BR63" s="77"/>
      <c r="BS63" s="77"/>
      <c r="BT63" s="77"/>
      <c r="BU63" s="77"/>
      <c r="BV63" s="77"/>
      <c r="BW63" s="77"/>
      <c r="BX63" s="77"/>
      <c r="BY63" s="77"/>
      <c r="BZ63" s="77"/>
      <c r="CA63" s="77"/>
      <c r="CB63" s="77"/>
      <c r="EM63" s="77"/>
      <c r="EN63" s="77"/>
      <c r="EO63" s="77"/>
      <c r="EP63" s="77"/>
      <c r="EQ63" s="77"/>
      <c r="GL63" s="77"/>
      <c r="GM63" s="77"/>
      <c r="GN63" s="77"/>
      <c r="GO63" s="77"/>
      <c r="GP63" s="77"/>
      <c r="GQ63" s="77"/>
      <c r="GR63" s="77"/>
      <c r="GS63" s="77"/>
      <c r="GT63" s="77"/>
      <c r="GU63" s="77"/>
      <c r="GV63" s="77"/>
      <c r="GW63" s="77"/>
      <c r="GX63" s="77"/>
      <c r="GY63" s="77"/>
      <c r="GZ63" s="77"/>
      <c r="HA63" s="77"/>
      <c r="HB63" s="77"/>
      <c r="HC63" s="77"/>
      <c r="HD63" s="77"/>
      <c r="HE63" s="77"/>
      <c r="HF63" s="77"/>
      <c r="HG63" s="77"/>
      <c r="HH63" s="77"/>
      <c r="HI63" s="77"/>
      <c r="HJ63" s="77"/>
      <c r="HK63" s="77"/>
      <c r="HL63" s="77"/>
      <c r="HM63" s="77"/>
      <c r="HN63" s="77"/>
      <c r="HO63" s="77"/>
      <c r="HP63" s="77"/>
      <c r="HQ63" s="77"/>
      <c r="HR63" s="77"/>
      <c r="HS63" s="77"/>
      <c r="HT63" s="77"/>
      <c r="HU63" s="77"/>
      <c r="HV63" s="77"/>
      <c r="HW63" s="77"/>
      <c r="HX63" s="77"/>
      <c r="HY63" s="77"/>
      <c r="HZ63" s="77"/>
      <c r="IA63" s="77"/>
      <c r="IB63" s="77"/>
      <c r="IC63" s="77"/>
      <c r="JY63" s="77"/>
      <c r="JZ63" s="77"/>
      <c r="KA63" s="77"/>
      <c r="KB63" s="77"/>
      <c r="KC63" s="77"/>
      <c r="KD63" s="77"/>
      <c r="KE63" s="77"/>
      <c r="KF63" s="77"/>
      <c r="KG63" s="77"/>
      <c r="KH63" s="77"/>
      <c r="KI63" s="77"/>
      <c r="KJ63" s="77"/>
      <c r="KK63" s="77"/>
      <c r="KL63" s="77"/>
      <c r="KM63" s="77"/>
      <c r="KN63" s="77"/>
      <c r="KO63" s="77"/>
      <c r="KP63" s="77"/>
      <c r="KQ63" s="77"/>
      <c r="KR63" s="77"/>
      <c r="KS63" s="77"/>
      <c r="KT63" s="77"/>
      <c r="KU63" s="77"/>
      <c r="KV63" s="77"/>
      <c r="KW63" s="77"/>
      <c r="KX63" s="77"/>
      <c r="KY63" s="77"/>
      <c r="KZ63" s="77"/>
      <c r="LA63" s="77"/>
      <c r="LB63" s="77"/>
      <c r="LC63" s="77"/>
      <c r="LD63" s="77"/>
      <c r="LE63" s="77"/>
      <c r="LF63" s="77"/>
      <c r="LG63" s="77"/>
      <c r="LH63" s="77"/>
      <c r="LI63" s="77"/>
      <c r="LJ63" s="77"/>
      <c r="LK63" s="77"/>
      <c r="LL63" s="77"/>
      <c r="LM63" s="77"/>
      <c r="LN63" s="77"/>
      <c r="LO63" s="77"/>
      <c r="LP63" s="77"/>
      <c r="LQ63" s="77"/>
      <c r="LR63" s="77"/>
      <c r="LS63" s="77"/>
      <c r="LT63" s="77"/>
      <c r="LU63" s="77"/>
      <c r="LV63" s="77"/>
      <c r="LW63" s="77"/>
      <c r="LX63" s="77"/>
      <c r="LY63" s="77"/>
      <c r="LZ63" s="77"/>
      <c r="MA63" s="77"/>
      <c r="MB63" s="77"/>
      <c r="MC63" s="77"/>
      <c r="MD63" s="77"/>
      <c r="ME63" s="77"/>
      <c r="MF63" s="77"/>
      <c r="MG63" s="77"/>
      <c r="MH63" s="77"/>
      <c r="MI63" s="77"/>
      <c r="MJ63" s="77"/>
      <c r="MK63" s="77"/>
      <c r="ML63" s="77"/>
      <c r="MM63" s="77"/>
      <c r="MN63" s="77"/>
      <c r="MO63" s="77"/>
      <c r="MP63" s="77"/>
      <c r="MQ63" s="77"/>
      <c r="MR63" s="77"/>
      <c r="ND63" s="77"/>
    </row>
    <row r="64" spans="1:368" ht="18.600000000000001" customHeight="1" x14ac:dyDescent="0.25">
      <c r="A64" s="119" t="s">
        <v>484</v>
      </c>
      <c r="B64" s="27" t="s">
        <v>2113</v>
      </c>
      <c r="C64" s="27" t="s">
        <v>4297</v>
      </c>
      <c r="D64" s="30" t="str">
        <f>HYPERLINK("https://twitter.com/PremierRP","https://twitter.com/PremierRP")</f>
        <v>https://twitter.com/PremierRP</v>
      </c>
      <c r="E64" s="30" t="str">
        <f>HYPERLINK("http://twiplomacy.com/info/europe/Poland","http://twiplomacy.com/info/europe/Poland")</f>
        <v>http://twiplomacy.com/info/europe/Poland</v>
      </c>
      <c r="F64" s="10" t="s">
        <v>332</v>
      </c>
      <c r="G64" s="10" t="s">
        <v>480</v>
      </c>
      <c r="H64" s="10" t="s">
        <v>788</v>
      </c>
      <c r="I64" s="10" t="s">
        <v>782</v>
      </c>
      <c r="J64" s="27" t="s">
        <v>2115</v>
      </c>
      <c r="K64" s="15" t="s">
        <v>777</v>
      </c>
      <c r="L64" s="10" t="s">
        <v>771</v>
      </c>
      <c r="M64" s="10" t="s">
        <v>770</v>
      </c>
      <c r="N64" s="30" t="str">
        <f>HYPERLINK("https://twitter.com/PremierRP/statuses/6722040413","https://twitter.com/PremierRP/statuses/6722040413")</f>
        <v>https://twitter.com/PremierRP/statuses/6722040413</v>
      </c>
      <c r="O64" s="30" t="str">
        <f>HYPERLINK("https://twitter.com/PremierRP/statuses/436773503937687552","https://twitter.com/PremierRP/statuses/436773503937687552")</f>
        <v>https://twitter.com/PremierRP/statuses/436773503937687552</v>
      </c>
      <c r="P64" s="46">
        <v>450</v>
      </c>
      <c r="Q64" s="46">
        <v>102</v>
      </c>
      <c r="R64" s="27" t="s">
        <v>2994</v>
      </c>
      <c r="S64" s="10" t="s">
        <v>2114</v>
      </c>
      <c r="T64" s="10" t="s">
        <v>771</v>
      </c>
      <c r="U64" s="10" t="s">
        <v>771</v>
      </c>
      <c r="V64" s="10" t="s">
        <v>771</v>
      </c>
      <c r="W64" s="10"/>
      <c r="X64" s="27" t="s">
        <v>484</v>
      </c>
      <c r="Y64" s="27" t="s">
        <v>2113</v>
      </c>
      <c r="Z64" s="80">
        <v>14994</v>
      </c>
      <c r="AA64" s="27">
        <v>445</v>
      </c>
      <c r="AB64" s="80">
        <v>364405</v>
      </c>
      <c r="AC64" s="27">
        <v>513</v>
      </c>
      <c r="AD64" s="27" t="s">
        <v>4298</v>
      </c>
      <c r="AE64" s="27">
        <v>57626153</v>
      </c>
      <c r="AF64" s="27" t="s">
        <v>4297</v>
      </c>
      <c r="AG64" s="27" t="s">
        <v>1839</v>
      </c>
      <c r="AH64" s="79">
        <v>6.0439338976219297</v>
      </c>
      <c r="AI64" s="83">
        <v>13.315352697095401</v>
      </c>
      <c r="AJ64" s="80">
        <v>11.709398631616899</v>
      </c>
      <c r="AK64" s="80">
        <v>28.4681310767015</v>
      </c>
      <c r="AL64" s="27">
        <v>12</v>
      </c>
      <c r="AM64" s="97">
        <f t="shared" si="0"/>
        <v>3.7499999999999999E-3</v>
      </c>
      <c r="AN64" s="27" t="s">
        <v>484</v>
      </c>
      <c r="AO64" s="27">
        <v>8</v>
      </c>
      <c r="AP64" s="27">
        <v>17</v>
      </c>
      <c r="AQ64" s="27">
        <v>7</v>
      </c>
      <c r="AR64" s="27">
        <f>SUM(AO64:AQ64)</f>
        <v>32</v>
      </c>
      <c r="AS64" s="27" t="s">
        <v>5413</v>
      </c>
      <c r="AT64" s="27" t="s">
        <v>5414</v>
      </c>
      <c r="AU64" s="84" t="s">
        <v>4907</v>
      </c>
      <c r="AV64" s="77"/>
      <c r="AW64" s="77"/>
      <c r="AX64" s="77"/>
      <c r="AY64" s="77"/>
      <c r="AZ64" s="77"/>
      <c r="BA64" s="77"/>
      <c r="BB64" s="77"/>
      <c r="BC64" s="77"/>
      <c r="BD64" s="77"/>
      <c r="BE64" s="77"/>
      <c r="BF64" s="77"/>
      <c r="BG64" s="77"/>
      <c r="BH64" s="77"/>
      <c r="BI64" s="77"/>
      <c r="BJ64" s="77"/>
      <c r="BK64" s="77"/>
      <c r="BL64" s="77"/>
      <c r="BM64" s="77"/>
      <c r="BN64" s="77"/>
      <c r="BO64" s="77"/>
      <c r="BP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CZ64" s="77"/>
      <c r="DA64" s="77"/>
      <c r="DB64" s="77"/>
      <c r="DC64" s="77"/>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7"/>
      <c r="ET64" s="77"/>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7"/>
      <c r="GD64" s="77"/>
      <c r="GE64" s="77"/>
      <c r="GF64" s="77"/>
      <c r="GG64" s="77"/>
      <c r="GH64" s="77"/>
      <c r="GI64" s="77"/>
      <c r="GJ64" s="77"/>
      <c r="GK64" s="77"/>
      <c r="GL64" s="77"/>
      <c r="GM64" s="77"/>
      <c r="GN64" s="77"/>
      <c r="GO64" s="77"/>
      <c r="GP64" s="77"/>
      <c r="GQ64" s="77"/>
      <c r="GR64" s="77"/>
      <c r="GS64" s="77"/>
      <c r="GT64" s="77"/>
      <c r="GU64" s="77"/>
      <c r="GV64" s="77"/>
      <c r="GW64" s="77"/>
      <c r="GX64" s="77"/>
      <c r="GY64" s="77"/>
      <c r="GZ64" s="77"/>
      <c r="HA64" s="77"/>
      <c r="HB64" s="77"/>
      <c r="HC64" s="77"/>
      <c r="HD64" s="77"/>
      <c r="HE64" s="77"/>
      <c r="HF64" s="77"/>
      <c r="HG64" s="77"/>
      <c r="HH64" s="77"/>
      <c r="HI64" s="77"/>
      <c r="HJ64" s="77"/>
      <c r="HK64" s="77"/>
      <c r="HL64" s="77"/>
      <c r="HM64" s="77"/>
      <c r="HN64" s="77"/>
      <c r="HO64" s="77"/>
      <c r="HP64" s="77"/>
      <c r="HQ64" s="77"/>
      <c r="HR64" s="77"/>
      <c r="HS64" s="77"/>
      <c r="HT64" s="77"/>
      <c r="HU64" s="77"/>
      <c r="HV64" s="77"/>
      <c r="HW64" s="77"/>
      <c r="HX64" s="77"/>
      <c r="HY64" s="77"/>
      <c r="HZ64" s="77"/>
      <c r="IA64" s="77"/>
      <c r="IB64" s="77"/>
      <c r="IC64" s="77"/>
      <c r="ID64" s="77"/>
      <c r="IE64" s="77"/>
      <c r="JY64" s="77"/>
      <c r="JZ64" s="77"/>
      <c r="KA64" s="77"/>
      <c r="KB64" s="77"/>
      <c r="KC64" s="77"/>
      <c r="KD64" s="77"/>
      <c r="KE64" s="77"/>
      <c r="KF64" s="77"/>
      <c r="KG64" s="77"/>
      <c r="KH64" s="77"/>
      <c r="KI64" s="77"/>
      <c r="KJ64" s="77"/>
      <c r="KK64" s="77"/>
      <c r="KL64" s="77"/>
      <c r="KM64" s="77"/>
      <c r="KN64" s="77"/>
      <c r="KO64" s="77"/>
      <c r="KP64" s="77"/>
      <c r="KQ64" s="77"/>
      <c r="KR64" s="77"/>
      <c r="KS64" s="77"/>
      <c r="KT64" s="77"/>
      <c r="KU64" s="77"/>
      <c r="KV64" s="77"/>
      <c r="KW64" s="77"/>
      <c r="KX64" s="77"/>
      <c r="KY64" s="77"/>
      <c r="KZ64" s="77"/>
      <c r="LA64" s="77"/>
      <c r="LB64" s="77"/>
      <c r="LC64" s="77"/>
      <c r="LD64" s="77"/>
      <c r="LE64" s="77"/>
      <c r="LF64" s="77"/>
      <c r="LG64" s="77"/>
      <c r="LH64" s="77"/>
      <c r="LI64" s="77"/>
      <c r="LJ64" s="77"/>
      <c r="LK64" s="77"/>
      <c r="LW64" s="77"/>
      <c r="LX64" s="77"/>
      <c r="LY64" s="16"/>
      <c r="LZ64" s="16"/>
      <c r="MA64" s="16"/>
      <c r="MB64" s="16"/>
      <c r="MC64" s="16"/>
      <c r="MD64" s="16"/>
      <c r="ME64" s="16"/>
      <c r="MF64" s="16"/>
      <c r="MG64" s="16"/>
      <c r="MH64" s="16"/>
      <c r="MI64" s="16"/>
      <c r="MJ64" s="16"/>
      <c r="MK64" s="16"/>
      <c r="ML64" s="16"/>
      <c r="MM64" s="16"/>
      <c r="MN64" s="16"/>
      <c r="MO64" s="16"/>
      <c r="MP64" s="16"/>
      <c r="MQ64" s="16"/>
      <c r="MR64" s="16"/>
    </row>
    <row r="65" spans="1:368" ht="18.600000000000001" customHeight="1" x14ac:dyDescent="0.25">
      <c r="A65" s="119" t="s">
        <v>634</v>
      </c>
      <c r="B65" s="27" t="s">
        <v>2563</v>
      </c>
      <c r="C65" s="27" t="s">
        <v>2564</v>
      </c>
      <c r="D65" s="30" t="str">
        <f>HYPERLINK("https://twitter.com/BarackObama","https://twitter.com/BarackObama")</f>
        <v>https://twitter.com/BarackObama</v>
      </c>
      <c r="E65" s="30" t="str">
        <f>HYPERLINK("http://twiplomacy.com/info/north-america/United-States","http://twiplomacy.com/info/north-america/United-States")</f>
        <v>http://twiplomacy.com/info/north-america/United-States</v>
      </c>
      <c r="F65" s="10" t="s">
        <v>558</v>
      </c>
      <c r="G65" s="10" t="s">
        <v>633</v>
      </c>
      <c r="H65" s="10" t="s">
        <v>772</v>
      </c>
      <c r="I65" s="10" t="s">
        <v>773</v>
      </c>
      <c r="J65" s="27" t="s">
        <v>789</v>
      </c>
      <c r="K65" s="15" t="s">
        <v>777</v>
      </c>
      <c r="L65" s="10" t="s">
        <v>1020</v>
      </c>
      <c r="M65" s="10" t="s">
        <v>770</v>
      </c>
      <c r="N65" s="30" t="str">
        <f>HYPERLINK("https://twitter.com/barackobama/statuses/44240662","https://twitter.com/barackobama/statuses/44240662")</f>
        <v>https://twitter.com/barackobama/statuses/44240662</v>
      </c>
      <c r="O65" s="12" t="str">
        <f>HYPERLINK("https://twitter.com/BarackObama/status/266031293945503744","https://twitter.com/BarackObama/status/266031293945503744")</f>
        <v>https://twitter.com/BarackObama/status/266031293945503744</v>
      </c>
      <c r="P65" s="35">
        <v>775104</v>
      </c>
      <c r="Q65" s="46">
        <v>287625</v>
      </c>
      <c r="R65" s="27" t="s">
        <v>2994</v>
      </c>
      <c r="S65" s="30" t="str">
        <f>HYPERLINK("https://twitter.com/BarackObama/lists","https://twitter.com/BarackObama/lists")</f>
        <v>https://twitter.com/BarackObama/lists</v>
      </c>
      <c r="T65" s="10">
        <v>3</v>
      </c>
      <c r="U65" s="10" t="s">
        <v>771</v>
      </c>
      <c r="V65" s="10" t="s">
        <v>771</v>
      </c>
      <c r="W65" s="10"/>
      <c r="X65" s="27" t="s">
        <v>634</v>
      </c>
      <c r="Y65" s="27" t="s">
        <v>2563</v>
      </c>
      <c r="Z65" s="80">
        <v>14882</v>
      </c>
      <c r="AA65" s="27">
        <v>636399</v>
      </c>
      <c r="AB65" s="80">
        <v>74929116</v>
      </c>
      <c r="AC65" s="27">
        <v>10</v>
      </c>
      <c r="AD65" s="27" t="s">
        <v>3501</v>
      </c>
      <c r="AE65" s="27">
        <v>813286</v>
      </c>
      <c r="AF65" s="27" t="s">
        <v>2564</v>
      </c>
      <c r="AG65" s="27" t="s">
        <v>2565</v>
      </c>
      <c r="AH65" s="79">
        <v>4.4490284005979097</v>
      </c>
      <c r="AI65" s="83">
        <v>4.4016393442622999</v>
      </c>
      <c r="AJ65" s="80">
        <v>1571.55336105336</v>
      </c>
      <c r="AK65" s="80">
        <v>2560.6559251559302</v>
      </c>
      <c r="AL65" s="13">
        <v>0</v>
      </c>
      <c r="AM65" s="97">
        <f t="shared" si="0"/>
        <v>0</v>
      </c>
      <c r="AN65" s="27" t="s">
        <v>634</v>
      </c>
      <c r="AO65" s="27">
        <v>3</v>
      </c>
      <c r="AP65" s="27">
        <v>275</v>
      </c>
      <c r="AQ65" s="27">
        <v>5</v>
      </c>
      <c r="AR65" s="27">
        <f>SUM(AO65:AQ65)</f>
        <v>283</v>
      </c>
      <c r="AS65" s="27" t="s">
        <v>5031</v>
      </c>
      <c r="AT65" s="27" t="s">
        <v>6678</v>
      </c>
      <c r="AU65" s="84" t="s">
        <v>4655</v>
      </c>
      <c r="AV65" s="77"/>
      <c r="AW65" s="77"/>
      <c r="AX65" s="77"/>
      <c r="AY65" s="77"/>
      <c r="AZ65" s="77"/>
      <c r="BA65" s="77"/>
      <c r="BB65" s="77"/>
      <c r="BC65" s="77"/>
      <c r="BD65" s="77"/>
      <c r="BE65" s="77"/>
      <c r="BF65" s="77"/>
      <c r="BG65" s="77"/>
      <c r="BH65" s="77"/>
      <c r="BI65" s="77"/>
      <c r="BJ65" s="77"/>
      <c r="BK65" s="77"/>
      <c r="BL65" s="77"/>
      <c r="BM65" s="77"/>
      <c r="BN65" s="77"/>
      <c r="BO65" s="77"/>
      <c r="BP65" s="77"/>
      <c r="CC65" s="77"/>
      <c r="CD65" s="77"/>
      <c r="CE65" s="77"/>
      <c r="CF65" s="77"/>
      <c r="CG65" s="77"/>
      <c r="CH65" s="77"/>
      <c r="CI65" s="77"/>
      <c r="CJ65" s="77"/>
      <c r="CK65" s="77"/>
      <c r="CL65" s="77"/>
      <c r="CM65" s="77"/>
      <c r="CN65" s="77"/>
      <c r="CO65" s="77"/>
      <c r="CP65" s="77"/>
      <c r="CQ65" s="77"/>
      <c r="CR65" s="77"/>
      <c r="CS65" s="77"/>
      <c r="CT65" s="77"/>
      <c r="CU65" s="77"/>
      <c r="CV65" s="77"/>
      <c r="CW65" s="77"/>
      <c r="CX65" s="77"/>
      <c r="CY65" s="77"/>
      <c r="CZ65" s="77"/>
      <c r="DA65" s="77"/>
      <c r="DB65" s="77"/>
      <c r="DC65" s="77"/>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c r="EM65" s="77"/>
      <c r="EN65" s="77"/>
      <c r="EO65" s="77"/>
      <c r="EP65" s="77"/>
      <c r="EQ65" s="77"/>
      <c r="HL65" s="77"/>
      <c r="HM65" s="77"/>
      <c r="HN65" s="77"/>
      <c r="HO65" s="77"/>
      <c r="HP65" s="77"/>
      <c r="HQ65" s="77"/>
      <c r="HR65" s="77"/>
      <c r="HS65" s="77"/>
      <c r="HT65" s="77"/>
      <c r="HU65" s="77"/>
      <c r="HV65" s="77"/>
      <c r="HW65" s="77"/>
      <c r="HX65" s="77"/>
      <c r="HY65" s="77"/>
      <c r="HZ65" s="77"/>
      <c r="IA65" s="77"/>
      <c r="IB65" s="77"/>
      <c r="IC65" s="77"/>
      <c r="ID65" s="77"/>
      <c r="IE65" s="77"/>
      <c r="KM65" s="77"/>
      <c r="KN65" s="77"/>
      <c r="KO65" s="77"/>
      <c r="KP65" s="77"/>
      <c r="KQ65" s="77"/>
      <c r="KR65" s="77"/>
      <c r="KS65" s="77"/>
      <c r="KT65" s="77"/>
      <c r="KU65" s="77"/>
      <c r="KV65" s="77"/>
      <c r="KW65" s="77"/>
      <c r="KX65" s="77"/>
      <c r="KY65" s="77"/>
      <c r="KZ65" s="77"/>
      <c r="LA65" s="77"/>
      <c r="LB65" s="77"/>
      <c r="LC65" s="77"/>
      <c r="LD65" s="77"/>
      <c r="LE65" s="77"/>
      <c r="LF65" s="77"/>
      <c r="LG65" s="77"/>
      <c r="LH65" s="77"/>
      <c r="LI65" s="77"/>
      <c r="LJ65" s="77"/>
      <c r="LK65" s="77"/>
      <c r="LL65" s="77"/>
      <c r="LM65" s="77"/>
      <c r="LN65" s="77"/>
      <c r="LO65" s="77"/>
      <c r="LP65" s="77"/>
      <c r="LQ65" s="77"/>
      <c r="LR65" s="77"/>
      <c r="LS65" s="77"/>
      <c r="LT65" s="77"/>
      <c r="LU65" s="77"/>
      <c r="LV65" s="77"/>
      <c r="LW65" s="77"/>
      <c r="LX65" s="77"/>
      <c r="ND65" s="77"/>
    </row>
    <row r="66" spans="1:368" ht="18.600000000000001" customHeight="1" x14ac:dyDescent="0.25">
      <c r="A66" s="119" t="s">
        <v>61</v>
      </c>
      <c r="B66" s="27" t="s">
        <v>61</v>
      </c>
      <c r="C66" s="27" t="s">
        <v>5661</v>
      </c>
      <c r="D66" s="72" t="str">
        <f>HYPERLINK("https://twitter.com/Presidenceci","https://twitter.com/Presidenceci")</f>
        <v>https://twitter.com/Presidenceci</v>
      </c>
      <c r="E66" s="72" t="str">
        <f>HYPERLINK("http://twiplomacy.com/info/africa/Ivory-Coast","http://twiplomacy.com/info/africa/Ivory-Coast")</f>
        <v>http://twiplomacy.com/info/africa/Ivory-Coast</v>
      </c>
      <c r="F66" s="10" t="s">
        <v>1</v>
      </c>
      <c r="G66" s="10" t="s">
        <v>60</v>
      </c>
      <c r="H66" s="10" t="s">
        <v>781</v>
      </c>
      <c r="I66" s="10" t="s">
        <v>782</v>
      </c>
      <c r="J66" s="27" t="s">
        <v>779</v>
      </c>
      <c r="K66" s="15" t="s">
        <v>777</v>
      </c>
      <c r="L66" s="10" t="s">
        <v>771</v>
      </c>
      <c r="M66" s="10" t="s">
        <v>771</v>
      </c>
      <c r="N66" s="30" t="str">
        <f>HYPERLINK("https://twitter.com/Presidenceci/statuses/114354868436738050","https://twitter.com/Presidenceci/statuses/114354868436738050")</f>
        <v>https://twitter.com/Presidenceci/statuses/114354868436738050</v>
      </c>
      <c r="O66" s="20" t="s">
        <v>934</v>
      </c>
      <c r="P66" s="46">
        <v>135</v>
      </c>
      <c r="Q66" s="46">
        <v>33</v>
      </c>
      <c r="R66" s="27" t="s">
        <v>2994</v>
      </c>
      <c r="S66" s="10" t="s">
        <v>935</v>
      </c>
      <c r="T66" s="10" t="s">
        <v>771</v>
      </c>
      <c r="U66" s="10" t="s">
        <v>771</v>
      </c>
      <c r="V66" s="10" t="s">
        <v>771</v>
      </c>
      <c r="W66" s="10"/>
      <c r="X66" s="27" t="s">
        <v>61</v>
      </c>
      <c r="Y66" s="27" t="s">
        <v>61</v>
      </c>
      <c r="Z66" s="80">
        <v>14479</v>
      </c>
      <c r="AA66" s="27">
        <v>105</v>
      </c>
      <c r="AB66" s="80">
        <v>79665</v>
      </c>
      <c r="AC66" s="27">
        <v>11</v>
      </c>
      <c r="AD66" s="27" t="s">
        <v>4316</v>
      </c>
      <c r="AE66" s="27">
        <v>370809101</v>
      </c>
      <c r="AF66" s="27" t="s">
        <v>5661</v>
      </c>
      <c r="AG66" s="27" t="s">
        <v>936</v>
      </c>
      <c r="AH66" s="79">
        <v>8.5321154979375393</v>
      </c>
      <c r="AI66" s="83">
        <v>11.996282527881</v>
      </c>
      <c r="AJ66" s="80">
        <v>2.5897118066315499</v>
      </c>
      <c r="AK66" s="80">
        <v>2.2798264642082402</v>
      </c>
      <c r="AL66" s="13">
        <v>0</v>
      </c>
      <c r="AM66" s="97">
        <f t="shared" si="0"/>
        <v>0</v>
      </c>
      <c r="AN66" s="27" t="s">
        <v>61</v>
      </c>
      <c r="AO66" s="27">
        <v>9</v>
      </c>
      <c r="AP66" s="27">
        <v>15</v>
      </c>
      <c r="AQ66" s="27">
        <v>3</v>
      </c>
      <c r="AR66" s="27">
        <f>SUM(AO66:AQ66)</f>
        <v>27</v>
      </c>
      <c r="AS66" s="27" t="s">
        <v>6244</v>
      </c>
      <c r="AT66" s="27" t="s">
        <v>6829</v>
      </c>
      <c r="AU66" s="84" t="s">
        <v>4909</v>
      </c>
      <c r="AV66" s="71"/>
      <c r="AW66" s="71"/>
      <c r="AX66" s="71"/>
      <c r="AY66" s="71"/>
      <c r="AZ66" s="71"/>
      <c r="BA66" s="71"/>
      <c r="BB66" s="71"/>
      <c r="BC66" s="71"/>
      <c r="BD66" s="71"/>
      <c r="BE66" s="71"/>
      <c r="BF66" s="71"/>
      <c r="BG66" s="71"/>
      <c r="BH66" s="71"/>
      <c r="BI66" s="71"/>
      <c r="BJ66" s="71"/>
      <c r="BK66" s="71"/>
      <c r="BL66" s="71"/>
      <c r="BM66" s="71"/>
      <c r="BN66" s="71"/>
      <c r="BO66" s="71"/>
      <c r="BP66" s="71"/>
      <c r="BQ66" s="16"/>
      <c r="BR66" s="16"/>
      <c r="BS66" s="16"/>
      <c r="BT66" s="16"/>
      <c r="BU66" s="16"/>
      <c r="BV66" s="16"/>
      <c r="BW66" s="16"/>
      <c r="BX66" s="16"/>
      <c r="BY66" s="16"/>
      <c r="BZ66" s="16"/>
      <c r="CA66" s="16"/>
      <c r="CB66" s="16"/>
      <c r="CC66" s="77"/>
      <c r="CD66" s="77"/>
      <c r="CE66" s="77"/>
      <c r="CF66" s="77"/>
      <c r="CG66" s="77"/>
      <c r="CH66" s="77"/>
      <c r="CI66" s="77"/>
      <c r="CJ66" s="77"/>
      <c r="CK66" s="77"/>
      <c r="CL66" s="77"/>
      <c r="CM66" s="77"/>
      <c r="CN66" s="77"/>
      <c r="CO66" s="77"/>
      <c r="CP66" s="77"/>
      <c r="CQ66" s="77"/>
      <c r="CR66" s="77"/>
      <c r="CS66" s="77"/>
      <c r="CT66" s="77"/>
      <c r="CU66" s="77"/>
      <c r="CV66" s="77"/>
      <c r="CW66" s="77"/>
      <c r="CX66" s="77"/>
      <c r="CY66" s="77"/>
      <c r="CZ66" s="77"/>
      <c r="DA66" s="77"/>
      <c r="DB66" s="77"/>
      <c r="DC66" s="77"/>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c r="EC66" s="77"/>
      <c r="ED66" s="77"/>
      <c r="EE66" s="77"/>
      <c r="EF66" s="77"/>
      <c r="EG66" s="77"/>
      <c r="EH66" s="77"/>
      <c r="EI66" s="77"/>
      <c r="EJ66" s="77"/>
      <c r="EK66" s="77"/>
      <c r="EL66" s="77"/>
      <c r="EM66" s="77"/>
      <c r="EN66" s="77"/>
      <c r="EO66" s="77"/>
      <c r="EQ66" s="77"/>
      <c r="ER66" s="77"/>
      <c r="ES66" s="77"/>
      <c r="ET66" s="77"/>
      <c r="EU66" s="77"/>
      <c r="EV66" s="77"/>
      <c r="EW66" s="77"/>
      <c r="EX66" s="77"/>
      <c r="EY66" s="77"/>
      <c r="EZ66" s="77"/>
      <c r="FA66" s="77"/>
      <c r="FB66" s="77"/>
      <c r="FC66" s="77"/>
      <c r="FD66" s="77"/>
      <c r="FE66" s="77"/>
      <c r="FF66" s="77"/>
      <c r="FG66" s="77"/>
      <c r="FH66" s="77"/>
      <c r="FI66" s="77"/>
      <c r="FJ66" s="77"/>
      <c r="FK66" s="77"/>
      <c r="FL66" s="77"/>
      <c r="FM66" s="77"/>
      <c r="FN66" s="77"/>
      <c r="FO66" s="77"/>
      <c r="FP66" s="77"/>
      <c r="FQ66" s="77"/>
      <c r="FR66" s="77"/>
      <c r="FS66" s="77"/>
      <c r="FT66" s="77"/>
      <c r="FU66" s="77"/>
      <c r="FV66" s="77"/>
      <c r="FW66" s="77"/>
      <c r="FX66" s="77"/>
      <c r="FY66" s="77"/>
      <c r="FZ66" s="77"/>
      <c r="GA66" s="77"/>
      <c r="GB66" s="77"/>
      <c r="GC66" s="77"/>
      <c r="GD66" s="77"/>
      <c r="GE66" s="77"/>
      <c r="GF66" s="77"/>
      <c r="GG66" s="77"/>
      <c r="GH66" s="77"/>
      <c r="GI66" s="77"/>
      <c r="GJ66" s="77"/>
      <c r="GK66" s="77"/>
      <c r="GL66" s="77"/>
      <c r="GM66" s="77"/>
      <c r="GN66" s="77"/>
      <c r="GO66" s="77"/>
      <c r="GP66" s="77"/>
      <c r="GQ66" s="77"/>
      <c r="GR66" s="77"/>
      <c r="GS66" s="77"/>
      <c r="GT66" s="77"/>
      <c r="GU66" s="77"/>
      <c r="GV66" s="77"/>
      <c r="GW66" s="77"/>
      <c r="GX66" s="77"/>
      <c r="GY66" s="77"/>
      <c r="GZ66" s="77"/>
      <c r="HA66" s="77"/>
      <c r="HB66" s="77"/>
      <c r="HC66" s="77"/>
      <c r="HD66" s="77"/>
      <c r="HE66" s="77"/>
      <c r="HF66" s="77"/>
      <c r="HG66" s="77"/>
      <c r="HH66" s="77"/>
      <c r="HI66" s="77"/>
      <c r="HJ66" s="77"/>
      <c r="HK66" s="77"/>
      <c r="ID66" s="77"/>
      <c r="IE66" s="77"/>
      <c r="IF66" s="77"/>
      <c r="IG66" s="77"/>
      <c r="IH66" s="77"/>
      <c r="II66" s="77"/>
      <c r="IJ66" s="77"/>
      <c r="IK66" s="77"/>
      <c r="IL66" s="77"/>
      <c r="IM66" s="77"/>
      <c r="IN66" s="77"/>
      <c r="IO66" s="77"/>
      <c r="IP66" s="77"/>
      <c r="IQ66" s="77"/>
      <c r="IR66" s="77"/>
      <c r="IS66" s="77"/>
      <c r="IT66" s="77"/>
      <c r="IU66" s="77"/>
      <c r="IV66" s="77"/>
      <c r="IW66" s="77"/>
      <c r="IX66" s="77"/>
      <c r="IY66" s="77"/>
      <c r="IZ66" s="77"/>
      <c r="JA66" s="77"/>
      <c r="JB66" s="77"/>
      <c r="JC66" s="77"/>
      <c r="JD66" s="77"/>
      <c r="JE66" s="77"/>
      <c r="JF66" s="77"/>
      <c r="JG66" s="77"/>
      <c r="JH66" s="77"/>
      <c r="JI66" s="77"/>
      <c r="JJ66" s="77"/>
      <c r="JK66" s="77"/>
      <c r="JL66" s="77"/>
      <c r="JM66" s="77"/>
      <c r="JN66" s="77"/>
      <c r="JO66" s="77"/>
      <c r="JP66" s="77"/>
      <c r="JQ66" s="77"/>
      <c r="JR66" s="77"/>
      <c r="JS66" s="77"/>
      <c r="JT66" s="77"/>
      <c r="JU66" s="77"/>
      <c r="JV66" s="77"/>
      <c r="JW66" s="77"/>
      <c r="JX66" s="77"/>
      <c r="KM66" s="77"/>
      <c r="KN66" s="77"/>
      <c r="KO66" s="77"/>
      <c r="KP66" s="77"/>
      <c r="KQ66" s="77"/>
      <c r="KR66" s="77"/>
      <c r="KS66" s="77"/>
      <c r="KT66" s="77"/>
      <c r="KU66" s="77"/>
      <c r="KV66" s="77"/>
      <c r="KW66" s="77"/>
      <c r="KX66" s="77"/>
      <c r="KY66" s="77"/>
      <c r="KZ66" s="77"/>
      <c r="LA66" s="77"/>
      <c r="LB66" s="77"/>
      <c r="LC66" s="77"/>
      <c r="LD66" s="77"/>
      <c r="LE66" s="77"/>
      <c r="LF66" s="77"/>
      <c r="LG66" s="77"/>
      <c r="LH66" s="77"/>
      <c r="LI66" s="77"/>
      <c r="LJ66" s="77"/>
      <c r="LK66" s="77"/>
      <c r="LL66" s="77"/>
      <c r="LM66" s="77"/>
      <c r="LN66" s="77"/>
      <c r="LO66" s="77"/>
      <c r="LP66" s="77"/>
      <c r="LQ66" s="77"/>
      <c r="LR66" s="77"/>
      <c r="LS66" s="77"/>
      <c r="LT66" s="77"/>
      <c r="LU66" s="77"/>
      <c r="LV66" s="77"/>
      <c r="LW66" s="77"/>
      <c r="LX66" s="77"/>
      <c r="LY66" s="77"/>
      <c r="LZ66" s="77"/>
      <c r="MA66" s="77"/>
      <c r="MB66" s="77"/>
      <c r="MC66" s="77"/>
      <c r="MD66" s="77"/>
      <c r="ME66" s="77"/>
      <c r="MF66" s="77"/>
      <c r="MG66" s="77"/>
      <c r="MH66" s="77"/>
      <c r="MI66" s="77"/>
      <c r="MJ66" s="77"/>
      <c r="MK66" s="77"/>
      <c r="ML66" s="77"/>
      <c r="MM66" s="77"/>
      <c r="MN66" s="77"/>
      <c r="MO66" s="77"/>
      <c r="MP66" s="77"/>
      <c r="MQ66" s="77"/>
      <c r="MR66" s="77"/>
      <c r="MT66" s="77"/>
      <c r="MU66" s="77"/>
      <c r="MV66" s="77"/>
      <c r="MW66" s="77"/>
      <c r="MX66" s="77"/>
      <c r="MY66" s="77"/>
      <c r="MZ66" s="77"/>
      <c r="NA66" s="77"/>
      <c r="NB66" s="77"/>
      <c r="NC66" s="77"/>
    </row>
    <row r="67" spans="1:368" ht="18.600000000000001" customHeight="1" x14ac:dyDescent="0.25">
      <c r="A67" s="119" t="s">
        <v>486</v>
      </c>
      <c r="B67" s="27" t="s">
        <v>2118</v>
      </c>
      <c r="C67" s="27" t="s">
        <v>2119</v>
      </c>
      <c r="D67" s="30" t="str">
        <f>HYPERLINK("https://twitter.com/PolandMFA","https://twitter.com/PolandMFA")</f>
        <v>https://twitter.com/PolandMFA</v>
      </c>
      <c r="E67" s="30" t="str">
        <f>HYPERLINK("http://twiplomacy.com/info/europe/Poland","http://twiplomacy.com/info/europe/Poland")</f>
        <v>http://twiplomacy.com/info/europe/Poland</v>
      </c>
      <c r="F67" s="10" t="s">
        <v>332</v>
      </c>
      <c r="G67" s="10" t="s">
        <v>480</v>
      </c>
      <c r="H67" s="10" t="s">
        <v>795</v>
      </c>
      <c r="I67" s="10" t="s">
        <v>782</v>
      </c>
      <c r="J67" s="27" t="s">
        <v>789</v>
      </c>
      <c r="K67" s="15" t="s">
        <v>777</v>
      </c>
      <c r="L67" s="10" t="s">
        <v>771</v>
      </c>
      <c r="M67" s="10" t="s">
        <v>771</v>
      </c>
      <c r="N67" s="30" t="str">
        <f>HYPERLINK("https://twitter.com/PolandMFA/statuses/4730112083","https://twitter.com/PolandMFA/statuses/4730112083")</f>
        <v>https://twitter.com/PolandMFA/statuses/4730112083</v>
      </c>
      <c r="O67" s="27" t="s">
        <v>6017</v>
      </c>
      <c r="P67" s="80">
        <v>335</v>
      </c>
      <c r="Q67" s="80">
        <v>199</v>
      </c>
      <c r="R67" s="27" t="s">
        <v>2994</v>
      </c>
      <c r="S67" s="30" t="str">
        <f>HYPERLINK("https://twitter.com/PolandMFA/lists","https://twitter.com/PolandMFA/lists")</f>
        <v>https://twitter.com/PolandMFA/lists</v>
      </c>
      <c r="T67" s="10">
        <v>2</v>
      </c>
      <c r="U67" s="10">
        <v>1</v>
      </c>
      <c r="V67" s="30" t="str">
        <f>HYPERLINK("https://twitter.com/PolandMFA/pl-diplomatic-missions/members","https://twitter.com/PolandMFA/pl-diplomatic-missions/members")</f>
        <v>https://twitter.com/PolandMFA/pl-diplomatic-missions/members</v>
      </c>
      <c r="W67" s="10">
        <v>158</v>
      </c>
      <c r="X67" s="27" t="s">
        <v>486</v>
      </c>
      <c r="Y67" s="27" t="s">
        <v>2118</v>
      </c>
      <c r="Z67" s="80">
        <v>14362</v>
      </c>
      <c r="AA67" s="27">
        <v>427</v>
      </c>
      <c r="AB67" s="80">
        <v>21813</v>
      </c>
      <c r="AC67" s="27">
        <v>263</v>
      </c>
      <c r="AD67" s="27" t="s">
        <v>4278</v>
      </c>
      <c r="AE67" s="27">
        <v>81055599</v>
      </c>
      <c r="AF67" s="27" t="s">
        <v>2119</v>
      </c>
      <c r="AG67" s="27" t="s">
        <v>2120</v>
      </c>
      <c r="AH67" s="79">
        <v>5.9916562369628696</v>
      </c>
      <c r="AI67" s="83">
        <v>7.1655480984339999</v>
      </c>
      <c r="AJ67" s="80">
        <v>11.2121739130435</v>
      </c>
      <c r="AK67" s="80">
        <v>5.9252173913043498</v>
      </c>
      <c r="AL67" s="27">
        <v>6</v>
      </c>
      <c r="AM67" s="97">
        <f t="shared" ref="AM67:AM130" si="1">SUM(AL67/3200)</f>
        <v>1.8749999999999999E-3</v>
      </c>
      <c r="AN67" s="27" t="s">
        <v>486</v>
      </c>
      <c r="AO67" s="27">
        <v>21</v>
      </c>
      <c r="AP67" s="27">
        <v>50</v>
      </c>
      <c r="AQ67" s="27">
        <v>63</v>
      </c>
      <c r="AR67" s="27">
        <f>SUM(AO67:AQ67)</f>
        <v>134</v>
      </c>
      <c r="AS67" s="27" t="s">
        <v>6610</v>
      </c>
      <c r="AT67" s="27" t="s">
        <v>5402</v>
      </c>
      <c r="AU67" s="84" t="s">
        <v>4894</v>
      </c>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Q67" s="77"/>
      <c r="ER67" s="77"/>
      <c r="ES67" s="77"/>
      <c r="ET67" s="77"/>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7"/>
      <c r="GD67" s="77"/>
      <c r="GE67" s="77"/>
      <c r="GF67" s="77"/>
      <c r="GG67" s="77"/>
      <c r="GH67" s="77"/>
      <c r="GI67" s="77"/>
      <c r="GJ67" s="77"/>
      <c r="GK67" s="77"/>
      <c r="HL67" s="77"/>
      <c r="HM67" s="77"/>
      <c r="HN67" s="77"/>
      <c r="HO67" s="77"/>
      <c r="HP67" s="77"/>
      <c r="HQ67" s="77"/>
      <c r="HR67" s="77"/>
      <c r="HS67" s="77"/>
      <c r="HT67" s="77"/>
      <c r="HU67" s="77"/>
      <c r="HV67" s="77"/>
      <c r="HW67" s="77"/>
      <c r="HX67" s="77"/>
      <c r="HY67" s="77"/>
      <c r="HZ67" s="77"/>
      <c r="IA67" s="77"/>
      <c r="IB67" s="77"/>
      <c r="IC67" s="77"/>
      <c r="IF67" s="77"/>
      <c r="IG67" s="77"/>
      <c r="IH67" s="77"/>
      <c r="II67" s="77"/>
      <c r="IJ67" s="77"/>
      <c r="IK67" s="77"/>
      <c r="IL67" s="77"/>
      <c r="IM67" s="77"/>
      <c r="IN67" s="77"/>
      <c r="IO67" s="77"/>
      <c r="IP67" s="77"/>
      <c r="IQ67" s="77"/>
      <c r="IR67" s="77"/>
      <c r="IS67" s="77"/>
      <c r="IT67" s="77"/>
      <c r="IU67" s="77"/>
      <c r="IV67" s="77"/>
      <c r="IW67" s="77"/>
      <c r="IX67" s="77"/>
      <c r="IY67" s="77"/>
      <c r="IZ67" s="77"/>
      <c r="JA67" s="77"/>
      <c r="JB67" s="77"/>
      <c r="JC67" s="77"/>
      <c r="JD67" s="77"/>
      <c r="JE67" s="77"/>
      <c r="JF67" s="77"/>
      <c r="JG67" s="77"/>
      <c r="JH67" s="77"/>
      <c r="JI67" s="77"/>
      <c r="JJ67" s="77"/>
      <c r="JK67" s="77"/>
      <c r="JL67" s="77"/>
      <c r="JM67" s="77"/>
      <c r="JN67" s="77"/>
      <c r="JO67" s="77"/>
      <c r="JP67" s="77"/>
      <c r="JQ67" s="77"/>
      <c r="JR67" s="77"/>
      <c r="JS67" s="77"/>
      <c r="JT67" s="77"/>
      <c r="JU67" s="77"/>
      <c r="JV67" s="77"/>
      <c r="JW67" s="77"/>
      <c r="JX67" s="77"/>
      <c r="KM67" s="77"/>
      <c r="KN67" s="77"/>
      <c r="KO67" s="77"/>
      <c r="KP67" s="77"/>
      <c r="KQ67" s="77"/>
      <c r="KR67" s="77"/>
      <c r="KS67" s="77"/>
      <c r="KT67" s="77"/>
      <c r="KU67" s="77"/>
      <c r="KV67" s="77"/>
      <c r="KW67" s="77"/>
      <c r="KX67" s="77"/>
      <c r="KY67" s="77"/>
      <c r="KZ67" s="77"/>
      <c r="LA67" s="77"/>
      <c r="LB67" s="77"/>
      <c r="LC67" s="77"/>
      <c r="LD67" s="77"/>
      <c r="LE67" s="77"/>
      <c r="LF67" s="77"/>
      <c r="LG67" s="77"/>
      <c r="LH67" s="77"/>
      <c r="LI67" s="77"/>
      <c r="LJ67" s="77"/>
      <c r="LK67" s="77"/>
      <c r="LL67" s="77"/>
      <c r="LM67" s="77"/>
      <c r="LN67" s="77"/>
      <c r="LO67" s="77"/>
      <c r="LP67" s="77"/>
      <c r="LQ67" s="77"/>
      <c r="LR67" s="77"/>
      <c r="LS67" s="77"/>
      <c r="LT67" s="77"/>
      <c r="LU67" s="77"/>
      <c r="LV67" s="77"/>
      <c r="LW67" s="77"/>
      <c r="LX67" s="77"/>
      <c r="ND67" s="16"/>
    </row>
    <row r="68" spans="1:368" ht="18.600000000000001" customHeight="1" x14ac:dyDescent="0.25">
      <c r="A68" s="119" t="s">
        <v>1855</v>
      </c>
      <c r="B68" s="27" t="s">
        <v>1856</v>
      </c>
      <c r="C68" s="27" t="s">
        <v>1857</v>
      </c>
      <c r="D68" s="30" t="str">
        <f>HYPERLINK("https://twitter.com/EUCouncilTVNews","https://twitter.com/EUCouncilTVNews")</f>
        <v>https://twitter.com/EUCouncilTVNews</v>
      </c>
      <c r="E68" s="30" t="str">
        <f>HYPERLINK("http://twiplomacy.com/info/europe/Europe","http://twiplomacy.com/info/europe/Europe")</f>
        <v>http://twiplomacy.com/info/europe/Europe</v>
      </c>
      <c r="F68" s="10" t="s">
        <v>332</v>
      </c>
      <c r="G68" s="10" t="s">
        <v>1837</v>
      </c>
      <c r="H68" s="10" t="s">
        <v>1843</v>
      </c>
      <c r="I68" s="10" t="s">
        <v>782</v>
      </c>
      <c r="J68" s="27" t="s">
        <v>789</v>
      </c>
      <c r="K68" s="15" t="s">
        <v>777</v>
      </c>
      <c r="L68" s="10" t="s">
        <v>771</v>
      </c>
      <c r="M68" s="10" t="s">
        <v>770</v>
      </c>
      <c r="N68" s="30" t="str">
        <f>HYPERLINK("https://twitter.com/EUCouncilTVNews/status/2343199556","https://twitter.com/EUCouncilTVNews/status/2343199556")</f>
        <v>https://twitter.com/EUCouncilTVNews/status/2343199556</v>
      </c>
      <c r="O68" s="27" t="s">
        <v>5752</v>
      </c>
      <c r="P68" s="80">
        <v>138</v>
      </c>
      <c r="Q68" s="80">
        <v>51</v>
      </c>
      <c r="R68" s="27" t="s">
        <v>2994</v>
      </c>
      <c r="S68" s="30" t="str">
        <f>HYPERLINK("https://twitter.com/EUCouncilTVNews/lists","https://twitter.com/EUCouncilTVNews/lists")</f>
        <v>https://twitter.com/EUCouncilTVNews/lists</v>
      </c>
      <c r="T68" s="10" t="s">
        <v>771</v>
      </c>
      <c r="U68" s="10">
        <v>1</v>
      </c>
      <c r="V68" s="10" t="s">
        <v>771</v>
      </c>
      <c r="W68" s="10"/>
      <c r="X68" s="27" t="s">
        <v>1855</v>
      </c>
      <c r="Y68" s="27" t="s">
        <v>1856</v>
      </c>
      <c r="Z68" s="80">
        <v>14329</v>
      </c>
      <c r="AA68" s="27">
        <v>1116</v>
      </c>
      <c r="AB68" s="80">
        <v>22040</v>
      </c>
      <c r="AC68" s="27">
        <v>2</v>
      </c>
      <c r="AD68" s="27" t="s">
        <v>3669</v>
      </c>
      <c r="AE68" s="27">
        <v>50995683</v>
      </c>
      <c r="AF68" s="27" t="s">
        <v>1857</v>
      </c>
      <c r="AG68" s="27" t="s">
        <v>916</v>
      </c>
      <c r="AH68" s="79">
        <v>5.7270183852917702</v>
      </c>
      <c r="AI68" s="83">
        <v>9.3819241982507293</v>
      </c>
      <c r="AJ68" s="80">
        <v>3.5893689773080499</v>
      </c>
      <c r="AK68" s="80">
        <v>2.2210133664905198</v>
      </c>
      <c r="AL68" s="27">
        <v>51</v>
      </c>
      <c r="AM68" s="97">
        <f t="shared" si="1"/>
        <v>1.59375E-2</v>
      </c>
      <c r="AN68" s="27" t="s">
        <v>1855</v>
      </c>
      <c r="AO68" s="27">
        <v>34</v>
      </c>
      <c r="AP68" s="27">
        <v>13</v>
      </c>
      <c r="AQ68" s="27">
        <v>53</v>
      </c>
      <c r="AR68" s="27">
        <f>SUM(AO68:AQ68)</f>
        <v>100</v>
      </c>
      <c r="AS68" s="27" t="s">
        <v>5111</v>
      </c>
      <c r="AT68" s="27" t="s">
        <v>6716</v>
      </c>
      <c r="AU68" s="84" t="s">
        <v>4715</v>
      </c>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Q68" s="77"/>
      <c r="ER68" s="77"/>
      <c r="ES68" s="77"/>
      <c r="ET68" s="77"/>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7"/>
      <c r="GD68" s="77"/>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IF68" s="77"/>
      <c r="IG68" s="77"/>
      <c r="IH68" s="77"/>
      <c r="II68" s="77"/>
      <c r="IJ68" s="77"/>
      <c r="IK68" s="77"/>
      <c r="IL68" s="77"/>
      <c r="IM68" s="77"/>
      <c r="IN68" s="77"/>
      <c r="IO68" s="77"/>
      <c r="IP68" s="77"/>
      <c r="IQ68" s="77"/>
      <c r="IR68" s="77"/>
      <c r="IS68" s="77"/>
      <c r="IT68" s="77"/>
      <c r="IU68" s="77"/>
      <c r="IV68" s="77"/>
      <c r="IW68" s="77"/>
      <c r="IX68" s="77"/>
      <c r="IY68" s="77"/>
      <c r="IZ68" s="77"/>
      <c r="JA68" s="77"/>
      <c r="JB68" s="77"/>
      <c r="JC68" s="77"/>
      <c r="JD68" s="77"/>
      <c r="JE68" s="77"/>
      <c r="JF68" s="77"/>
      <c r="JG68" s="77"/>
      <c r="JH68" s="77"/>
      <c r="JI68" s="77"/>
      <c r="JJ68" s="77"/>
      <c r="JK68" s="77"/>
      <c r="JL68" s="77"/>
      <c r="JM68" s="77"/>
      <c r="JN68" s="77"/>
      <c r="JO68" s="77"/>
      <c r="JP68" s="77"/>
      <c r="JQ68" s="77"/>
      <c r="JR68" s="77"/>
      <c r="JS68" s="77"/>
      <c r="JT68" s="77"/>
      <c r="JU68" s="77"/>
      <c r="JV68" s="77"/>
      <c r="JW68" s="77"/>
      <c r="JX68" s="77"/>
      <c r="LL68" s="77"/>
      <c r="LM68" s="77"/>
      <c r="LN68" s="77"/>
      <c r="LO68" s="77"/>
      <c r="LP68" s="77"/>
      <c r="LQ68" s="77"/>
      <c r="LR68" s="77"/>
      <c r="LS68" s="77"/>
      <c r="LT68" s="77"/>
      <c r="LU68" s="77"/>
      <c r="LV68" s="77"/>
      <c r="LW68" s="77"/>
      <c r="LX68" s="77"/>
      <c r="MS68" s="77"/>
    </row>
    <row r="69" spans="1:368" ht="18.600000000000001" customHeight="1" x14ac:dyDescent="0.25">
      <c r="A69" s="119" t="s">
        <v>572</v>
      </c>
      <c r="B69" s="27" t="s">
        <v>3545</v>
      </c>
      <c r="C69" s="27" t="s">
        <v>3546</v>
      </c>
      <c r="D69" s="30" t="str">
        <f>HYPERLINK("https://twitter.com/CanadaFP","https://twitter.com/CanadaFP")</f>
        <v>https://twitter.com/CanadaFP</v>
      </c>
      <c r="E69" s="30" t="str">
        <f>HYPERLINK("http://twiplomacy.com/info/north-america/Canada","http://twiplomacy.com/info/north-america/Canada")</f>
        <v>http://twiplomacy.com/info/north-america/Canada</v>
      </c>
      <c r="F69" s="10" t="s">
        <v>558</v>
      </c>
      <c r="G69" s="10" t="s">
        <v>568</v>
      </c>
      <c r="H69" s="10" t="s">
        <v>795</v>
      </c>
      <c r="I69" s="10" t="s">
        <v>782</v>
      </c>
      <c r="J69" s="27" t="s">
        <v>789</v>
      </c>
      <c r="K69" s="15" t="s">
        <v>777</v>
      </c>
      <c r="L69" s="10" t="s">
        <v>771</v>
      </c>
      <c r="M69" s="10" t="s">
        <v>770</v>
      </c>
      <c r="N69" s="30" t="str">
        <f>HYPERLINK("https://twitter.com/CanadaFP/statuses/17432520570","https://twitter.com/CanadaFP/statuses/17432520570")</f>
        <v>https://twitter.com/CanadaFP/statuses/17432520570</v>
      </c>
      <c r="O69" s="30" t="str">
        <f>HYPERLINK("https://twitter.com/CanadaFP/statuses/504381532287803392","https://twitter.com/CanadaFP/statuses/504381532287803392")</f>
        <v>https://twitter.com/CanadaFP/statuses/504381532287803392</v>
      </c>
      <c r="P69" s="46">
        <v>504</v>
      </c>
      <c r="Q69" s="46">
        <v>128</v>
      </c>
      <c r="R69" s="27" t="s">
        <v>2994</v>
      </c>
      <c r="S69" s="30" t="str">
        <f>HYPERLINK("https://twitter.com/CanadaFP/lists","https://twitter.com/CanadaFP/lists")</f>
        <v>https://twitter.com/CanadaFP/lists</v>
      </c>
      <c r="T69" s="10">
        <v>5</v>
      </c>
      <c r="U69" s="10" t="s">
        <v>771</v>
      </c>
      <c r="V69" s="30" t="str">
        <f>HYPERLINK("https://twitter.com/CanadaFP/lists/canadian-missions-abroad","https://twitter.com/CanadaFP/lists/canadian-missions-abroad")</f>
        <v>https://twitter.com/CanadaFP/lists/canadian-missions-abroad</v>
      </c>
      <c r="W69" s="10">
        <v>149</v>
      </c>
      <c r="X69" s="27" t="s">
        <v>572</v>
      </c>
      <c r="Y69" s="27" t="s">
        <v>3545</v>
      </c>
      <c r="Z69" s="80">
        <v>14214</v>
      </c>
      <c r="AA69" s="27">
        <v>1150</v>
      </c>
      <c r="AB69" s="80">
        <v>46929</v>
      </c>
      <c r="AC69" s="27">
        <v>19</v>
      </c>
      <c r="AD69" s="27" t="s">
        <v>3547</v>
      </c>
      <c r="AE69" s="27">
        <v>121514648</v>
      </c>
      <c r="AF69" s="27" t="s">
        <v>3546</v>
      </c>
      <c r="AG69" s="27" t="s">
        <v>568</v>
      </c>
      <c r="AH69" s="79">
        <v>6.3285841495992896</v>
      </c>
      <c r="AI69" s="83">
        <v>8.8075880758807603</v>
      </c>
      <c r="AJ69" s="80">
        <v>13.389458272328</v>
      </c>
      <c r="AK69" s="80">
        <v>7.0124450951683697</v>
      </c>
      <c r="AL69" s="27">
        <v>3</v>
      </c>
      <c r="AM69" s="97">
        <f t="shared" si="1"/>
        <v>9.3749999999999997E-4</v>
      </c>
      <c r="AN69" s="27" t="s">
        <v>572</v>
      </c>
      <c r="AO69" s="27">
        <v>129</v>
      </c>
      <c r="AP69" s="27">
        <v>25</v>
      </c>
      <c r="AQ69" s="27">
        <v>61</v>
      </c>
      <c r="AR69" s="27">
        <f>SUM(AO69:AQ69)</f>
        <v>215</v>
      </c>
      <c r="AS69" s="27" t="s">
        <v>6925</v>
      </c>
      <c r="AT69" s="27" t="s">
        <v>6278</v>
      </c>
      <c r="AU69" s="84" t="s">
        <v>4673</v>
      </c>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7"/>
      <c r="CW69" s="77"/>
      <c r="CX69" s="77"/>
      <c r="CY69" s="77"/>
      <c r="CZ69" s="77"/>
      <c r="DA69" s="77"/>
      <c r="DB69" s="77"/>
      <c r="DC69" s="77"/>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c r="EC69" s="77"/>
      <c r="ED69" s="77"/>
      <c r="EE69" s="77"/>
      <c r="EF69" s="77"/>
      <c r="EG69" s="77"/>
      <c r="EH69" s="77"/>
      <c r="EI69" s="77"/>
      <c r="EJ69" s="77"/>
      <c r="EK69" s="77"/>
      <c r="EL69" s="77"/>
      <c r="EM69" s="77"/>
      <c r="EN69" s="77"/>
      <c r="EO69" s="77"/>
      <c r="EP69" s="77"/>
      <c r="EQ69" s="77"/>
      <c r="GL69" s="77"/>
      <c r="GM69" s="77"/>
      <c r="GN69" s="77"/>
      <c r="GO69" s="77"/>
      <c r="GP69" s="77"/>
      <c r="GQ69" s="77"/>
      <c r="GR69" s="77"/>
      <c r="GS69" s="77"/>
      <c r="GT69" s="77"/>
      <c r="GU69" s="77"/>
      <c r="GV69" s="77"/>
      <c r="GW69" s="77"/>
      <c r="GX69" s="77"/>
      <c r="GY69" s="77"/>
      <c r="GZ69" s="77"/>
      <c r="HA69" s="77"/>
      <c r="HB69" s="77"/>
      <c r="HC69" s="77"/>
      <c r="HD69" s="77"/>
      <c r="HE69" s="77"/>
      <c r="HF69" s="77"/>
      <c r="HG69" s="77"/>
      <c r="HH69" s="77"/>
      <c r="HI69" s="77"/>
      <c r="HJ69" s="77"/>
      <c r="HK69" s="77"/>
      <c r="HL69" s="77"/>
      <c r="HM69" s="77"/>
      <c r="HN69" s="77"/>
      <c r="HO69" s="77"/>
      <c r="HP69" s="77"/>
      <c r="HQ69" s="77"/>
      <c r="HR69" s="77"/>
      <c r="HS69" s="77"/>
      <c r="HT69" s="77"/>
      <c r="HU69" s="77"/>
      <c r="HV69" s="77"/>
      <c r="HW69" s="77"/>
      <c r="HX69" s="77"/>
      <c r="HY69" s="77"/>
      <c r="HZ69" s="77"/>
      <c r="IA69" s="77"/>
      <c r="IB69" s="77"/>
      <c r="IC69" s="77"/>
      <c r="ID69" s="77"/>
      <c r="IE69" s="77"/>
      <c r="KM69" s="16"/>
      <c r="KN69" s="16"/>
      <c r="KO69" s="16"/>
      <c r="KP69" s="16"/>
      <c r="KQ69" s="16"/>
      <c r="KR69" s="16"/>
      <c r="KS69" s="16"/>
      <c r="KT69" s="16"/>
      <c r="KU69" s="16"/>
      <c r="KV69" s="16"/>
      <c r="KW69" s="16"/>
      <c r="KX69" s="16"/>
      <c r="KY69" s="16"/>
      <c r="KZ69" s="16"/>
      <c r="LA69" s="16"/>
      <c r="LB69" s="16"/>
      <c r="LC69" s="16"/>
      <c r="LD69" s="16"/>
      <c r="LE69" s="16"/>
      <c r="LF69" s="16"/>
      <c r="LG69" s="16"/>
      <c r="LH69" s="16"/>
      <c r="LI69" s="16"/>
      <c r="LJ69" s="16"/>
      <c r="LK69" s="16"/>
      <c r="LL69" s="77"/>
      <c r="LM69" s="77"/>
      <c r="LN69" s="77"/>
      <c r="LO69" s="77"/>
      <c r="LP69" s="77"/>
      <c r="LQ69" s="77"/>
      <c r="LR69" s="77"/>
      <c r="LS69" s="77"/>
      <c r="LT69" s="77"/>
      <c r="LU69" s="77"/>
      <c r="LV69" s="77"/>
      <c r="LW69" s="77"/>
      <c r="LX69" s="77"/>
      <c r="LY69" s="77"/>
      <c r="LZ69" s="77"/>
      <c r="MA69" s="77"/>
      <c r="MB69" s="77"/>
      <c r="MC69" s="77"/>
      <c r="MD69" s="77"/>
      <c r="ME69" s="77"/>
      <c r="MF69" s="77"/>
      <c r="MG69" s="77"/>
      <c r="MH69" s="77"/>
      <c r="MI69" s="77"/>
      <c r="MJ69" s="77"/>
      <c r="MK69" s="77"/>
      <c r="ML69" s="77"/>
      <c r="MM69" s="77"/>
      <c r="MN69" s="77"/>
      <c r="MO69" s="77"/>
      <c r="MP69" s="77"/>
      <c r="MQ69" s="77"/>
      <c r="MR69" s="77"/>
    </row>
    <row r="70" spans="1:368" ht="18.600000000000001" customHeight="1" x14ac:dyDescent="0.25">
      <c r="A70" s="119" t="s">
        <v>581</v>
      </c>
      <c r="B70" s="27" t="s">
        <v>2458</v>
      </c>
      <c r="C70" s="27" t="s">
        <v>3594</v>
      </c>
      <c r="D70" s="30" t="str">
        <f>HYPERLINK("https://twitter.com/CubaMINREX","https://twitter.com/CubaMINREX")</f>
        <v>https://twitter.com/CubaMINREX</v>
      </c>
      <c r="E70" s="30" t="str">
        <f>HYPERLINK("http://twiplomacy.com/info/north-america/Cuba","http://twiplomacy.com/info/north-america/Cuba")</f>
        <v>http://twiplomacy.com/info/north-america/Cuba</v>
      </c>
      <c r="F70" s="10" t="s">
        <v>558</v>
      </c>
      <c r="G70" s="10" t="s">
        <v>579</v>
      </c>
      <c r="H70" s="10" t="s">
        <v>795</v>
      </c>
      <c r="I70" s="10" t="s">
        <v>782</v>
      </c>
      <c r="J70" s="27" t="s">
        <v>2226</v>
      </c>
      <c r="K70" s="15" t="s">
        <v>777</v>
      </c>
      <c r="L70" s="10" t="s">
        <v>771</v>
      </c>
      <c r="M70" s="10" t="s">
        <v>770</v>
      </c>
      <c r="N70" s="30" t="str">
        <f>HYPERLINK("https://twitter.com/CubaMINREX/statuses/13807586969","https://twitter.com/CubaMINREX/statuses/13807586969")</f>
        <v>https://twitter.com/CubaMINREX/statuses/13807586969</v>
      </c>
      <c r="O70" s="30" t="str">
        <f>HYPERLINK("https://twitter.com/CubaMINREX/statuses/545252372570996736","https://twitter.com/CubaMINREX/statuses/545252372570996736")</f>
        <v>https://twitter.com/CubaMINREX/statuses/545252372570996736</v>
      </c>
      <c r="P70" s="46">
        <v>317</v>
      </c>
      <c r="Q70" s="46">
        <v>61</v>
      </c>
      <c r="R70" s="27" t="s">
        <v>2994</v>
      </c>
      <c r="S70" s="10" t="s">
        <v>2459</v>
      </c>
      <c r="T70" s="10" t="s">
        <v>771</v>
      </c>
      <c r="U70" s="10" t="s">
        <v>771</v>
      </c>
      <c r="V70" s="10" t="s">
        <v>771</v>
      </c>
      <c r="W70" s="10"/>
      <c r="X70" s="27" t="s">
        <v>581</v>
      </c>
      <c r="Y70" s="27" t="s">
        <v>2458</v>
      </c>
      <c r="Z70" s="80">
        <v>13837</v>
      </c>
      <c r="AA70" s="27">
        <v>209</v>
      </c>
      <c r="AB70" s="80">
        <v>27916</v>
      </c>
      <c r="AC70" s="27">
        <v>1105</v>
      </c>
      <c r="AD70" s="27" t="s">
        <v>3595</v>
      </c>
      <c r="AE70" s="27">
        <v>141493488</v>
      </c>
      <c r="AF70" s="27" t="s">
        <v>3594</v>
      </c>
      <c r="AG70" s="27" t="s">
        <v>579</v>
      </c>
      <c r="AH70" s="79">
        <v>6.32982616651418</v>
      </c>
      <c r="AI70" s="83">
        <v>9.8323170731707297</v>
      </c>
      <c r="AJ70" s="80">
        <v>33.716738197424903</v>
      </c>
      <c r="AK70" s="80">
        <v>6.5825204838080396</v>
      </c>
      <c r="AL70" s="27">
        <v>38</v>
      </c>
      <c r="AM70" s="97">
        <f t="shared" si="1"/>
        <v>1.1875E-2</v>
      </c>
      <c r="AN70" s="27" t="s">
        <v>581</v>
      </c>
      <c r="AO70" s="27">
        <v>3</v>
      </c>
      <c r="AP70" s="27">
        <v>15</v>
      </c>
      <c r="AQ70" s="27">
        <v>37</v>
      </c>
      <c r="AR70" s="27">
        <f>SUM(AO70:AQ70)</f>
        <v>55</v>
      </c>
      <c r="AS70" s="27" t="s">
        <v>6205</v>
      </c>
      <c r="AT70" s="27" t="s">
        <v>6693</v>
      </c>
      <c r="AU70" s="84" t="s">
        <v>6477</v>
      </c>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c r="EP70" s="77"/>
      <c r="GL70" s="77"/>
      <c r="GM70" s="77"/>
      <c r="GN70" s="77"/>
      <c r="GO70" s="77"/>
      <c r="GP70" s="77"/>
      <c r="GQ70" s="77"/>
      <c r="GR70" s="77"/>
      <c r="GS70" s="77"/>
      <c r="GT70" s="77"/>
      <c r="GU70" s="77"/>
      <c r="GV70" s="77"/>
      <c r="GW70" s="77"/>
      <c r="GX70" s="77"/>
      <c r="GY70" s="77"/>
      <c r="GZ70" s="77"/>
      <c r="HA70" s="77"/>
      <c r="HB70" s="77"/>
      <c r="HC70" s="77"/>
      <c r="HD70" s="77"/>
      <c r="HE70" s="77"/>
      <c r="HF70" s="77"/>
      <c r="HG70" s="77"/>
      <c r="HH70" s="77"/>
      <c r="HI70" s="77"/>
      <c r="HJ70" s="77"/>
      <c r="HK70" s="77"/>
      <c r="IF70" s="77"/>
      <c r="IG70" s="77"/>
      <c r="IH70" s="77"/>
      <c r="II70" s="77"/>
      <c r="IJ70" s="77"/>
      <c r="IK70" s="77"/>
      <c r="IL70" s="77"/>
      <c r="IM70" s="77"/>
      <c r="IN70" s="77"/>
      <c r="IO70" s="77"/>
      <c r="IP70" s="77"/>
      <c r="IQ70" s="77"/>
      <c r="IR70" s="77"/>
      <c r="IS70" s="77"/>
      <c r="IT70" s="77"/>
      <c r="IU70" s="77"/>
      <c r="IV70" s="77"/>
      <c r="IW70" s="77"/>
      <c r="IX70" s="77"/>
      <c r="IY70" s="77"/>
      <c r="IZ70" s="77"/>
      <c r="JA70" s="77"/>
      <c r="JB70" s="77"/>
      <c r="JC70" s="77"/>
      <c r="JD70" s="77"/>
      <c r="JE70" s="77"/>
      <c r="JF70" s="77"/>
      <c r="JG70" s="77"/>
      <c r="JH70" s="77"/>
      <c r="JI70" s="77"/>
      <c r="JJ70" s="77"/>
      <c r="JK70" s="77"/>
      <c r="JL70" s="77"/>
      <c r="JM70" s="77"/>
      <c r="JN70" s="77"/>
      <c r="JO70" s="77"/>
      <c r="JP70" s="77"/>
      <c r="JQ70" s="77"/>
      <c r="JR70" s="77"/>
      <c r="JS70" s="77"/>
      <c r="JT70" s="77"/>
      <c r="JU70" s="77"/>
      <c r="JV70" s="77"/>
      <c r="JW70" s="77"/>
      <c r="JX70" s="77"/>
      <c r="LL70" s="77"/>
      <c r="LM70" s="77"/>
      <c r="LN70" s="77"/>
      <c r="LO70" s="77"/>
      <c r="LP70" s="77"/>
      <c r="LQ70" s="77"/>
      <c r="LR70" s="77"/>
      <c r="LS70" s="77"/>
      <c r="LT70" s="77"/>
      <c r="LU70" s="77"/>
      <c r="LV70" s="77"/>
      <c r="LY70" s="77"/>
      <c r="LZ70" s="77"/>
      <c r="MA70" s="77"/>
      <c r="MB70" s="77"/>
      <c r="MC70" s="77"/>
      <c r="MD70" s="77"/>
      <c r="ME70" s="77"/>
      <c r="MF70" s="77"/>
      <c r="MG70" s="77"/>
      <c r="MH70" s="77"/>
      <c r="MI70" s="77"/>
      <c r="MJ70" s="77"/>
      <c r="MK70" s="77"/>
      <c r="ML70" s="77"/>
      <c r="MM70" s="77"/>
      <c r="MN70" s="77"/>
      <c r="MO70" s="77"/>
      <c r="MP70" s="77"/>
      <c r="MQ70" s="77"/>
      <c r="MR70" s="77"/>
      <c r="MT70" s="16"/>
      <c r="MU70" s="16"/>
      <c r="MV70" s="16"/>
      <c r="MW70" s="16"/>
      <c r="MX70" s="16"/>
      <c r="MY70" s="16"/>
      <c r="MZ70" s="16"/>
      <c r="NA70" s="16"/>
      <c r="NB70" s="16"/>
      <c r="NC70" s="16"/>
    </row>
    <row r="71" spans="1:368" ht="18.600000000000001" customHeight="1" x14ac:dyDescent="0.25">
      <c r="A71" s="119" t="s">
        <v>573</v>
      </c>
      <c r="B71" s="27" t="s">
        <v>3548</v>
      </c>
      <c r="C71" s="27" t="s">
        <v>3549</v>
      </c>
      <c r="D71" s="30" t="str">
        <f>HYPERLINK("https://twitter.com/CanadaPE")</f>
        <v>https://twitter.com/CanadaPE</v>
      </c>
      <c r="E71" s="30" t="str">
        <f>HYPERLINK("http://twiplomacy.com/info/north-america/Canada","http://twiplomacy.com/info/north-america/Canada")</f>
        <v>http://twiplomacy.com/info/north-america/Canada</v>
      </c>
      <c r="F71" s="10" t="s">
        <v>558</v>
      </c>
      <c r="G71" s="10" t="s">
        <v>568</v>
      </c>
      <c r="H71" s="10" t="s">
        <v>795</v>
      </c>
      <c r="I71" s="10" t="s">
        <v>782</v>
      </c>
      <c r="J71" s="27" t="s">
        <v>789</v>
      </c>
      <c r="K71" s="15" t="s">
        <v>777</v>
      </c>
      <c r="L71" s="10" t="s">
        <v>771</v>
      </c>
      <c r="M71" s="10" t="s">
        <v>770</v>
      </c>
      <c r="N71" s="30" t="str">
        <f>HYPERLINK("https://twitter.com/CanadaPE/statuses/17432708559","https://twitter.com/CanadaPE/statuses/17432708559")</f>
        <v>https://twitter.com/CanadaPE/statuses/17432708559</v>
      </c>
      <c r="O71" s="27" t="s">
        <v>5726</v>
      </c>
      <c r="P71" s="80">
        <v>97</v>
      </c>
      <c r="Q71" s="80">
        <v>17</v>
      </c>
      <c r="R71" s="27" t="s">
        <v>2994</v>
      </c>
      <c r="S71" s="30" t="str">
        <f>HYPERLINK("https://twitter.com/CanadaPE/lists","https://twitter.com/CanadaPE/lists")</f>
        <v>https://twitter.com/CanadaPE/lists</v>
      </c>
      <c r="T71" s="10">
        <v>6</v>
      </c>
      <c r="U71" s="10" t="s">
        <v>771</v>
      </c>
      <c r="V71" s="30" t="str">
        <f>HYPERLINK("https://twitter.com/CanadaPE/lists/les-missions-%C3%A0-l-%C3%A9tranger","https://twitter.com/CanadaPE/lists/les-missions-%C3%A0-l-%C3%A9tranger")</f>
        <v>https://twitter.com/CanadaPE/lists/les-missions-%C3%A0-l-%C3%A9tranger</v>
      </c>
      <c r="W71" s="10">
        <v>149</v>
      </c>
      <c r="X71" s="27" t="s">
        <v>573</v>
      </c>
      <c r="Y71" s="27" t="s">
        <v>3548</v>
      </c>
      <c r="Z71" s="80">
        <v>13687</v>
      </c>
      <c r="AA71" s="27">
        <v>516</v>
      </c>
      <c r="AB71" s="80">
        <v>6984</v>
      </c>
      <c r="AC71" s="27">
        <v>7</v>
      </c>
      <c r="AD71" s="27" t="s">
        <v>3550</v>
      </c>
      <c r="AE71" s="27">
        <v>121515876</v>
      </c>
      <c r="AF71" s="27" t="s">
        <v>3549</v>
      </c>
      <c r="AG71" s="27" t="s">
        <v>568</v>
      </c>
      <c r="AH71" s="79">
        <v>6.0939447907390898</v>
      </c>
      <c r="AI71" s="83">
        <v>8.4464751958224493</v>
      </c>
      <c r="AJ71" s="80">
        <v>3.9173913043478299</v>
      </c>
      <c r="AK71" s="80">
        <v>0.94099378881987605</v>
      </c>
      <c r="AL71" s="27">
        <v>2</v>
      </c>
      <c r="AM71" s="97">
        <f t="shared" si="1"/>
        <v>6.2500000000000001E-4</v>
      </c>
      <c r="AN71" s="27" t="s">
        <v>573</v>
      </c>
      <c r="AO71" s="27">
        <v>32</v>
      </c>
      <c r="AP71" s="27">
        <v>25</v>
      </c>
      <c r="AQ71" s="27">
        <v>12</v>
      </c>
      <c r="AR71" s="27">
        <f>SUM(AO71:AQ71)</f>
        <v>69</v>
      </c>
      <c r="AS71" s="27" t="s">
        <v>6203</v>
      </c>
      <c r="AT71" s="27" t="s">
        <v>5056</v>
      </c>
      <c r="AU71" s="84" t="s">
        <v>4674</v>
      </c>
      <c r="AV71" s="77"/>
      <c r="AW71" s="77"/>
      <c r="AX71" s="77"/>
      <c r="AY71" s="77"/>
      <c r="AZ71" s="77"/>
      <c r="BA71" s="77"/>
      <c r="BB71" s="77"/>
      <c r="BC71" s="77"/>
      <c r="BD71" s="77"/>
      <c r="BE71" s="77"/>
      <c r="BF71" s="77"/>
      <c r="BG71" s="77"/>
      <c r="BH71" s="77"/>
      <c r="BI71" s="77"/>
      <c r="BJ71" s="77"/>
      <c r="BK71" s="77"/>
      <c r="BL71" s="77"/>
      <c r="BN71" s="69"/>
      <c r="BO71" s="69"/>
      <c r="BP71" s="69"/>
      <c r="CC71" s="77"/>
      <c r="CD71" s="77"/>
      <c r="CE71" s="77"/>
      <c r="CF71" s="77"/>
      <c r="CG71" s="77"/>
      <c r="CH71" s="77"/>
      <c r="CI71" s="77"/>
      <c r="CJ71" s="77"/>
      <c r="CK71" s="77"/>
      <c r="CL71" s="77"/>
      <c r="CM71" s="77"/>
      <c r="CN71" s="77"/>
      <c r="CO71" s="77"/>
      <c r="CP71" s="77"/>
      <c r="CQ71" s="77"/>
      <c r="CR71" s="77"/>
      <c r="CS71" s="77"/>
      <c r="CT71" s="77"/>
      <c r="CU71" s="77"/>
      <c r="CV71" s="77"/>
      <c r="CW71" s="77"/>
      <c r="EM71" s="16"/>
      <c r="EN71" s="16"/>
      <c r="EO71" s="16"/>
      <c r="EP71" s="77"/>
      <c r="EQ71" s="77"/>
      <c r="ER71" s="77"/>
      <c r="ES71" s="77"/>
      <c r="ET71" s="77"/>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7"/>
      <c r="GD71" s="77"/>
      <c r="GE71" s="77"/>
      <c r="GF71" s="77"/>
      <c r="GG71" s="77"/>
      <c r="GH71" s="77"/>
      <c r="GI71" s="77"/>
      <c r="GJ71" s="77"/>
      <c r="G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c r="IW71" s="77"/>
      <c r="IX71" s="77"/>
      <c r="IY71" s="77"/>
      <c r="IZ71" s="77"/>
      <c r="JA71" s="77"/>
      <c r="JB71" s="77"/>
      <c r="JC71" s="77"/>
      <c r="JD71" s="77"/>
      <c r="JE71" s="77"/>
      <c r="JF71" s="77"/>
      <c r="JG71" s="77"/>
      <c r="JH71" s="77"/>
      <c r="JI71" s="77"/>
      <c r="JJ71" s="77"/>
      <c r="JK71" s="77"/>
      <c r="JL71" s="77"/>
      <c r="JM71" s="77"/>
      <c r="JN71" s="77"/>
      <c r="JO71" s="77"/>
      <c r="JP71" s="77"/>
      <c r="JQ71" s="77"/>
      <c r="JR71" s="77"/>
      <c r="JS71" s="77"/>
      <c r="JT71" s="77"/>
      <c r="JU71" s="77"/>
      <c r="JV71" s="77"/>
      <c r="JW71" s="77"/>
      <c r="JX71" s="77"/>
      <c r="JY71" s="16"/>
      <c r="JZ71" s="16"/>
      <c r="KA71" s="16"/>
      <c r="KB71" s="16"/>
      <c r="KC71" s="16"/>
      <c r="KD71" s="16"/>
      <c r="KE71" s="16"/>
      <c r="KF71" s="16"/>
      <c r="KG71" s="16"/>
      <c r="KH71" s="16"/>
      <c r="KI71" s="16"/>
      <c r="KJ71" s="16"/>
      <c r="KK71" s="16"/>
      <c r="KL71" s="16"/>
      <c r="LL71" s="77"/>
      <c r="LM71" s="77"/>
      <c r="LN71" s="77"/>
      <c r="LO71" s="77"/>
      <c r="LP71" s="77"/>
      <c r="LQ71" s="77"/>
      <c r="LR71" s="77"/>
      <c r="LS71" s="77"/>
      <c r="LT71" s="77"/>
      <c r="LU71" s="77"/>
      <c r="LV71" s="77"/>
    </row>
    <row r="72" spans="1:368" ht="18.600000000000001" customHeight="1" x14ac:dyDescent="0.25">
      <c r="A72" s="119" t="s">
        <v>2800</v>
      </c>
      <c r="B72" s="27" t="s">
        <v>2782</v>
      </c>
      <c r="C72" s="27" t="s">
        <v>2801</v>
      </c>
      <c r="D72" s="30" t="str">
        <f>HYPERLINK("https://twitter.com/maduro_ar","https://twitter.com/maduro_ar")</f>
        <v>https://twitter.com/maduro_ar</v>
      </c>
      <c r="E72" s="30" t="str">
        <f>HYPERLINK("http://twiplomacy.com/info/south-america/Venezuela","http://twiplomacy.com/info/south-america/Venezuela")</f>
        <v>http://twiplomacy.com/info/south-america/Venezuela</v>
      </c>
      <c r="F72" s="10" t="s">
        <v>668</v>
      </c>
      <c r="G72" s="10" t="s">
        <v>710</v>
      </c>
      <c r="H72" s="10" t="s">
        <v>772</v>
      </c>
      <c r="I72" s="10" t="s">
        <v>773</v>
      </c>
      <c r="J72" s="27" t="s">
        <v>996</v>
      </c>
      <c r="K72" s="10" t="s">
        <v>777</v>
      </c>
      <c r="L72" s="10" t="s">
        <v>771</v>
      </c>
      <c r="M72" s="10" t="s">
        <v>770</v>
      </c>
      <c r="N72" s="30" t="str">
        <f>HYPERLINK("https://twitter.com/maduro_ar/statuses/374557780956708864","https://twitter.com/maduro_ar/statuses/374557780956708864")</f>
        <v>https://twitter.com/maduro_ar/statuses/374557780956708864</v>
      </c>
      <c r="O72" s="20" t="s">
        <v>2802</v>
      </c>
      <c r="P72" s="46">
        <v>404</v>
      </c>
      <c r="Q72" s="46">
        <v>51</v>
      </c>
      <c r="R72" s="27" t="s">
        <v>2995</v>
      </c>
      <c r="S72" s="10" t="s">
        <v>2803</v>
      </c>
      <c r="T72" s="10" t="s">
        <v>771</v>
      </c>
      <c r="U72" s="10" t="s">
        <v>771</v>
      </c>
      <c r="V72" s="10" t="s">
        <v>771</v>
      </c>
      <c r="W72" s="10"/>
      <c r="X72" s="27" t="s">
        <v>2800</v>
      </c>
      <c r="Y72" s="27" t="s">
        <v>2782</v>
      </c>
      <c r="Z72" s="80">
        <v>13645</v>
      </c>
      <c r="AA72" s="27">
        <v>39</v>
      </c>
      <c r="AB72" s="80">
        <v>41444</v>
      </c>
      <c r="AC72" s="27">
        <v>0</v>
      </c>
      <c r="AD72" s="27" t="s">
        <v>3981</v>
      </c>
      <c r="AE72" s="27">
        <v>1660751054</v>
      </c>
      <c r="AF72" s="27" t="s">
        <v>2801</v>
      </c>
      <c r="AG72" s="27"/>
      <c r="AH72" s="79">
        <v>13.713567839195999</v>
      </c>
      <c r="AI72" s="83">
        <v>13.6877637130802</v>
      </c>
      <c r="AJ72" s="80">
        <v>2.8569667077681902</v>
      </c>
      <c r="AK72" s="80">
        <v>0.72934648581997497</v>
      </c>
      <c r="AL72" s="27">
        <v>42</v>
      </c>
      <c r="AM72" s="97">
        <f t="shared" si="1"/>
        <v>1.3125E-2</v>
      </c>
      <c r="AN72" s="27" t="s">
        <v>2800</v>
      </c>
      <c r="AO72" s="27">
        <v>0</v>
      </c>
      <c r="AP72" s="27">
        <v>4</v>
      </c>
      <c r="AQ72" s="27">
        <v>4</v>
      </c>
      <c r="AR72" s="27">
        <f>SUM(AO72:AQ72)</f>
        <v>8</v>
      </c>
      <c r="AS72" s="27"/>
      <c r="AT72" s="27" t="s">
        <v>5257</v>
      </c>
      <c r="AU72" s="84" t="s">
        <v>4810</v>
      </c>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P72" s="77"/>
      <c r="EQ72" s="77"/>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77"/>
      <c r="HM72" s="77"/>
      <c r="HN72" s="77"/>
      <c r="HO72" s="77"/>
      <c r="HP72" s="77"/>
      <c r="HQ72" s="77"/>
      <c r="HR72" s="77"/>
      <c r="HS72" s="77"/>
      <c r="HT72" s="77"/>
      <c r="HU72" s="77"/>
      <c r="HV72" s="77"/>
      <c r="HW72" s="77"/>
      <c r="HX72" s="77"/>
      <c r="HY72" s="77"/>
      <c r="HZ72" s="77"/>
      <c r="IA72" s="77"/>
      <c r="IB72" s="77"/>
      <c r="IC72" s="77"/>
      <c r="ID72" s="77"/>
      <c r="IE72" s="77"/>
      <c r="IF72" s="77"/>
      <c r="IG72" s="77"/>
      <c r="IH72" s="77"/>
      <c r="II72" s="77"/>
      <c r="IJ72" s="77"/>
      <c r="IK72" s="77"/>
      <c r="IL72" s="77"/>
      <c r="IM72" s="77"/>
      <c r="IN72" s="77"/>
      <c r="IO72" s="77"/>
      <c r="IP72" s="77"/>
      <c r="IQ72" s="77"/>
      <c r="IR72" s="77"/>
      <c r="IS72" s="77"/>
      <c r="IT72" s="77"/>
      <c r="IU72" s="77"/>
      <c r="IV72" s="77"/>
      <c r="IW72" s="77"/>
      <c r="IX72" s="77"/>
      <c r="IY72" s="77"/>
      <c r="IZ72" s="77"/>
      <c r="JA72" s="77"/>
      <c r="JB72" s="77"/>
      <c r="JC72" s="77"/>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c r="KJ72" s="77"/>
      <c r="KK72" s="77"/>
      <c r="KL72" s="77"/>
      <c r="LL72" s="77"/>
      <c r="LM72" s="77"/>
      <c r="LN72" s="77"/>
      <c r="LO72" s="77"/>
      <c r="LP72" s="77"/>
      <c r="LQ72" s="77"/>
      <c r="LR72" s="77"/>
      <c r="LS72" s="77"/>
      <c r="LT72" s="77"/>
      <c r="LU72" s="77"/>
      <c r="LV72" s="77"/>
      <c r="LW72" s="77"/>
      <c r="LX72" s="77"/>
    </row>
    <row r="73" spans="1:368" ht="18.600000000000001" customHeight="1" x14ac:dyDescent="0.25">
      <c r="A73" s="119" t="s">
        <v>169</v>
      </c>
      <c r="B73" s="27" t="s">
        <v>1229</v>
      </c>
      <c r="C73" s="27" t="s">
        <v>1230</v>
      </c>
      <c r="D73" s="30" t="str">
        <f>HYPERLINK("https://twitter.com/khalidalkhalifa","https://twitter.com/khalidalkhalifa")</f>
        <v>https://twitter.com/khalidalkhalifa</v>
      </c>
      <c r="E73" s="30" t="str">
        <f>HYPERLINK("http://twiplomacy.com/info/asia/Bahrain","http://twiplomacy.com/info/asia/Bahrain")</f>
        <v>http://twiplomacy.com/info/asia/Bahrain</v>
      </c>
      <c r="F73" s="10" t="s">
        <v>154</v>
      </c>
      <c r="G73" s="10" t="s">
        <v>167</v>
      </c>
      <c r="H73" s="10" t="s">
        <v>860</v>
      </c>
      <c r="I73" s="10" t="s">
        <v>773</v>
      </c>
      <c r="J73" s="27" t="s">
        <v>789</v>
      </c>
      <c r="K73" s="15" t="s">
        <v>777</v>
      </c>
      <c r="L73" s="10" t="s">
        <v>905</v>
      </c>
      <c r="M73" s="10" t="s">
        <v>770</v>
      </c>
      <c r="N73" s="30" t="str">
        <f>HYPERLINK("https://twitter.com/khalidalkhalifa/statuses/5099626917","https://twitter.com/khalidalkhalifa/statuses/5099626917")</f>
        <v>https://twitter.com/khalidalkhalifa/statuses/5099626917</v>
      </c>
      <c r="O73" s="27" t="s">
        <v>1231</v>
      </c>
      <c r="P73" s="80">
        <v>14101</v>
      </c>
      <c r="Q73" s="80">
        <v>1169</v>
      </c>
      <c r="R73" s="27" t="s">
        <v>2994</v>
      </c>
      <c r="S73" s="10" t="s">
        <v>1232</v>
      </c>
      <c r="T73" s="10" t="s">
        <v>771</v>
      </c>
      <c r="U73" s="10" t="s">
        <v>771</v>
      </c>
      <c r="V73" s="10" t="s">
        <v>771</v>
      </c>
      <c r="W73" s="10"/>
      <c r="X73" s="27" t="s">
        <v>169</v>
      </c>
      <c r="Y73" s="27" t="s">
        <v>1229</v>
      </c>
      <c r="Z73" s="80">
        <v>13277</v>
      </c>
      <c r="AA73" s="27">
        <v>620</v>
      </c>
      <c r="AB73" s="80">
        <v>280399</v>
      </c>
      <c r="AC73" s="27">
        <v>93</v>
      </c>
      <c r="AD73" s="27" t="s">
        <v>3932</v>
      </c>
      <c r="AE73" s="27">
        <v>84620593</v>
      </c>
      <c r="AF73" s="27" t="s">
        <v>1230</v>
      </c>
      <c r="AG73" s="27" t="s">
        <v>1233</v>
      </c>
      <c r="AH73" s="79">
        <v>5.5715484683172498</v>
      </c>
      <c r="AI73" s="83">
        <v>2.6045565500406802</v>
      </c>
      <c r="AJ73" s="80">
        <v>100.89158794422001</v>
      </c>
      <c r="AK73" s="80">
        <v>21.856050382366199</v>
      </c>
      <c r="AL73" s="27">
        <v>1091</v>
      </c>
      <c r="AM73" s="97">
        <f t="shared" si="1"/>
        <v>0.3409375</v>
      </c>
      <c r="AN73" s="27" t="s">
        <v>169</v>
      </c>
      <c r="AO73" s="27">
        <v>20</v>
      </c>
      <c r="AP73" s="27">
        <v>33</v>
      </c>
      <c r="AQ73" s="27">
        <v>8</v>
      </c>
      <c r="AR73" s="27">
        <f>SUM(AO73:AQ73)</f>
        <v>61</v>
      </c>
      <c r="AS73" s="27" t="s">
        <v>6648</v>
      </c>
      <c r="AT73" s="27" t="s">
        <v>5238</v>
      </c>
      <c r="AU73" s="120" t="s">
        <v>6912</v>
      </c>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R73" s="77"/>
      <c r="ES73" s="77"/>
      <c r="ET73" s="77"/>
      <c r="EU73" s="77"/>
      <c r="EV73" s="77"/>
      <c r="EW73" s="77"/>
      <c r="EX73" s="77"/>
      <c r="EY73" s="77"/>
      <c r="EZ73" s="77"/>
      <c r="FA73" s="77"/>
      <c r="FB73" s="77"/>
      <c r="FC73" s="77"/>
      <c r="FD73" s="77"/>
      <c r="FE73" s="77"/>
      <c r="FF73" s="77"/>
      <c r="FG73" s="77"/>
      <c r="FH73" s="77"/>
      <c r="FI73" s="77"/>
      <c r="FJ73" s="77"/>
      <c r="FK73" s="77"/>
      <c r="FL73" s="77"/>
      <c r="FM73" s="77"/>
      <c r="FN73" s="77"/>
      <c r="FO73" s="77"/>
      <c r="FP73" s="77"/>
      <c r="FQ73" s="77"/>
      <c r="FR73" s="77"/>
      <c r="FS73" s="77"/>
      <c r="FT73" s="77"/>
      <c r="FU73" s="77"/>
      <c r="FV73" s="77"/>
      <c r="FW73" s="77"/>
      <c r="FX73" s="77"/>
      <c r="FY73" s="77"/>
      <c r="FZ73" s="77"/>
      <c r="GA73" s="77"/>
      <c r="GB73" s="77"/>
      <c r="GC73" s="77"/>
      <c r="GD73" s="77"/>
      <c r="GE73" s="77"/>
      <c r="GF73" s="77"/>
      <c r="GG73" s="77"/>
      <c r="GH73" s="77"/>
      <c r="GI73" s="77"/>
      <c r="GJ73" s="77"/>
      <c r="GK73" s="77"/>
      <c r="GL73" s="77"/>
      <c r="GM73" s="77"/>
      <c r="GN73" s="77"/>
      <c r="GO73" s="77"/>
      <c r="GP73" s="77"/>
      <c r="GQ73" s="77"/>
      <c r="GR73" s="77"/>
      <c r="GS73" s="77"/>
      <c r="GT73" s="77"/>
      <c r="GU73" s="77"/>
      <c r="GV73" s="77"/>
      <c r="GW73" s="77"/>
      <c r="GX73" s="77"/>
      <c r="GY73" s="77"/>
      <c r="GZ73" s="77"/>
      <c r="HA73" s="77"/>
      <c r="HB73" s="77"/>
      <c r="HC73" s="77"/>
      <c r="HD73" s="77"/>
      <c r="HE73" s="77"/>
      <c r="HF73" s="77"/>
      <c r="HG73" s="77"/>
      <c r="HH73" s="77"/>
      <c r="HI73" s="77"/>
      <c r="HJ73" s="77"/>
      <c r="HK73" s="77"/>
      <c r="HL73" s="77"/>
      <c r="HM73" s="77"/>
      <c r="HN73" s="77"/>
      <c r="HO73" s="77"/>
      <c r="HP73" s="77"/>
      <c r="HQ73" s="77"/>
      <c r="HR73" s="77"/>
      <c r="HS73" s="77"/>
      <c r="HT73" s="77"/>
      <c r="HU73" s="77"/>
      <c r="HV73" s="77"/>
      <c r="HW73" s="77"/>
      <c r="HX73" s="77"/>
      <c r="HY73" s="77"/>
      <c r="HZ73" s="77"/>
      <c r="IA73" s="77"/>
      <c r="IB73" s="77"/>
      <c r="IC73" s="77"/>
      <c r="ID73" s="77"/>
      <c r="IE73" s="77"/>
      <c r="IF73" s="77"/>
      <c r="IG73" s="77"/>
      <c r="IH73" s="77"/>
      <c r="II73" s="77"/>
      <c r="IJ73" s="77"/>
      <c r="IK73" s="77"/>
      <c r="IL73" s="77"/>
      <c r="IM73" s="77"/>
      <c r="IN73" s="77"/>
      <c r="IO73" s="77"/>
      <c r="IP73" s="77"/>
      <c r="IQ73" s="77"/>
      <c r="IR73" s="77"/>
      <c r="IS73" s="77"/>
      <c r="IT73" s="77"/>
      <c r="IU73" s="77"/>
      <c r="IV73" s="77"/>
      <c r="IW73" s="77"/>
      <c r="IX73" s="77"/>
      <c r="IY73" s="77"/>
      <c r="IZ73" s="77"/>
      <c r="JA73" s="77"/>
      <c r="JB73" s="77"/>
      <c r="JC73" s="77"/>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c r="KJ73" s="77"/>
      <c r="KK73" s="77"/>
      <c r="KL73" s="77"/>
      <c r="KM73" s="77"/>
      <c r="KN73" s="77"/>
      <c r="KO73" s="77"/>
      <c r="KP73" s="77"/>
      <c r="KQ73" s="77"/>
      <c r="KR73" s="77"/>
      <c r="KS73" s="77"/>
      <c r="KT73" s="77"/>
      <c r="KU73" s="77"/>
      <c r="KV73" s="77"/>
      <c r="KW73" s="77"/>
      <c r="KX73" s="77"/>
      <c r="KY73" s="77"/>
      <c r="KZ73" s="77"/>
      <c r="LA73" s="77"/>
      <c r="LB73" s="77"/>
      <c r="LC73" s="77"/>
      <c r="LD73" s="77"/>
      <c r="LE73" s="77"/>
      <c r="LF73" s="77"/>
      <c r="LG73" s="77"/>
      <c r="LH73" s="77"/>
      <c r="LI73" s="77"/>
      <c r="LJ73" s="77"/>
      <c r="LK73" s="77"/>
      <c r="LL73" s="77"/>
      <c r="LM73" s="77"/>
      <c r="LN73" s="77"/>
      <c r="LO73" s="77"/>
      <c r="LP73" s="77"/>
      <c r="LQ73" s="77"/>
      <c r="LR73" s="77"/>
      <c r="LS73" s="77"/>
      <c r="LT73" s="77"/>
      <c r="LU73" s="77"/>
      <c r="LV73" s="77"/>
      <c r="LY73" s="16"/>
      <c r="LZ73" s="16"/>
      <c r="MA73" s="16"/>
      <c r="MB73" s="16"/>
      <c r="MC73" s="16"/>
      <c r="MD73" s="16"/>
      <c r="ME73" s="16"/>
      <c r="MF73" s="16"/>
      <c r="MG73" s="16"/>
      <c r="MH73" s="16"/>
      <c r="MI73" s="16"/>
      <c r="MJ73" s="16"/>
      <c r="MK73" s="16"/>
      <c r="ML73" s="16"/>
      <c r="MM73" s="16"/>
      <c r="MN73" s="16"/>
      <c r="MO73" s="16"/>
      <c r="MP73" s="16"/>
      <c r="MQ73" s="16"/>
      <c r="MR73" s="16"/>
    </row>
    <row r="74" spans="1:368" ht="18.600000000000001" customHeight="1" x14ac:dyDescent="0.25">
      <c r="A74" s="119" t="s">
        <v>296</v>
      </c>
      <c r="B74" s="27" t="s">
        <v>1612</v>
      </c>
      <c r="C74" s="27" t="s">
        <v>1613</v>
      </c>
      <c r="D74" s="30" t="str">
        <f>HYPERLINK("https://twitter.com/mofa_kr","https://twitter.com/mofa_kr")</f>
        <v>https://twitter.com/mofa_kr</v>
      </c>
      <c r="E74" s="30" t="str">
        <f>HYPERLINK("http://twiplomacy.com/info/asia/South-Korea","http://twiplomacy.com/info/asia/South-Korea")</f>
        <v>http://twiplomacy.com/info/asia/South-Korea</v>
      </c>
      <c r="F74" s="10" t="s">
        <v>154</v>
      </c>
      <c r="G74" s="10" t="s">
        <v>292</v>
      </c>
      <c r="H74" s="10" t="s">
        <v>795</v>
      </c>
      <c r="I74" s="10" t="s">
        <v>782</v>
      </c>
      <c r="J74" s="27" t="s">
        <v>1606</v>
      </c>
      <c r="K74" s="15" t="s">
        <v>777</v>
      </c>
      <c r="L74" s="10" t="s">
        <v>771</v>
      </c>
      <c r="M74" s="10" t="s">
        <v>770</v>
      </c>
      <c r="N74" s="30" t="str">
        <f>HYPERLINK("https://twitter.com/mofa_kr/statuses/19064563412","https://twitter.com/mofa_kr/statuses/19064563412")</f>
        <v>https://twitter.com/mofa_kr/statuses/19064563412</v>
      </c>
      <c r="O74" s="30" t="str">
        <f>HYPERLINK("https://twitter.com/mofa_kr/statuses/376169380683341824","https://twitter.com/mofa_kr/statuses/376169380683341824")</f>
        <v>https://twitter.com/mofa_kr/statuses/376169380683341824</v>
      </c>
      <c r="P74" s="46">
        <v>9108</v>
      </c>
      <c r="Q74" s="46">
        <v>60</v>
      </c>
      <c r="R74" s="27" t="s">
        <v>2994</v>
      </c>
      <c r="S74" s="30" t="str">
        <f>HYPERLINK("https://twitter.com/mofa_kr/lists","https://twitter.com/mofa_kr/lists")</f>
        <v>https://twitter.com/mofa_kr/lists</v>
      </c>
      <c r="T74" s="10">
        <v>2</v>
      </c>
      <c r="U74" s="10" t="s">
        <v>771</v>
      </c>
      <c r="V74" s="30" t="str">
        <f>HYPERLINK("https://twitter.com/mofa_kr/lists/%EC%9E%AC%EC%99%B8%EA%B3%B5%EA%B4%80/members","https://twitter.com/mofa_kr/lists/%EC%9E%AC%EC%99%B8%EA%B3%B5%EA%B4%80/members")</f>
        <v>https://twitter.com/mofa_kr/lists/%EC%9E%AC%EC%99%B8%EA%B3%B5%EA%B4%80/members</v>
      </c>
      <c r="W74" s="10">
        <v>98</v>
      </c>
      <c r="X74" s="27" t="s">
        <v>296</v>
      </c>
      <c r="Y74" s="27" t="s">
        <v>1612</v>
      </c>
      <c r="Z74" s="80">
        <v>13250</v>
      </c>
      <c r="AA74" s="27">
        <v>33596</v>
      </c>
      <c r="AB74" s="80">
        <v>54396</v>
      </c>
      <c r="AC74" s="27">
        <v>192</v>
      </c>
      <c r="AD74" s="27" t="s">
        <v>4137</v>
      </c>
      <c r="AE74" s="27">
        <v>157128221</v>
      </c>
      <c r="AF74" s="27" t="s">
        <v>1613</v>
      </c>
      <c r="AG74" s="27"/>
      <c r="AH74" s="79">
        <v>6.1800373134328401</v>
      </c>
      <c r="AI74" s="83">
        <v>3.4570815450643799</v>
      </c>
      <c r="AJ74" s="80">
        <v>11.098905908096301</v>
      </c>
      <c r="AK74" s="80">
        <v>3.2984682713347899</v>
      </c>
      <c r="AL74" s="27">
        <v>334</v>
      </c>
      <c r="AM74" s="97">
        <f t="shared" si="1"/>
        <v>0.104375</v>
      </c>
      <c r="AN74" s="27" t="s">
        <v>296</v>
      </c>
      <c r="AO74" s="27">
        <v>3</v>
      </c>
      <c r="AP74" s="27">
        <v>9</v>
      </c>
      <c r="AQ74" s="27">
        <v>8</v>
      </c>
      <c r="AR74" s="27">
        <f>SUM(AO74:AQ74)</f>
        <v>20</v>
      </c>
      <c r="AS74" s="27" t="s">
        <v>5619</v>
      </c>
      <c r="AT74" s="27" t="s">
        <v>5335</v>
      </c>
      <c r="AU74" s="84" t="s">
        <v>4862</v>
      </c>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R74" s="77"/>
      <c r="ES74" s="77"/>
      <c r="ET74" s="77"/>
      <c r="EU74" s="77"/>
      <c r="EV74" s="77"/>
      <c r="EW74" s="77"/>
      <c r="EX74" s="77"/>
      <c r="EY74" s="77"/>
      <c r="EZ74" s="77"/>
      <c r="FA74" s="77"/>
      <c r="FB74" s="77"/>
      <c r="FC74" s="77"/>
      <c r="FD74" s="77"/>
      <c r="FE74" s="77"/>
      <c r="FF74" s="77"/>
      <c r="FG74" s="77"/>
      <c r="FH74" s="77"/>
      <c r="FI74" s="77"/>
      <c r="FJ74" s="77"/>
      <c r="FK74" s="77"/>
      <c r="FL74" s="77"/>
      <c r="FM74" s="77"/>
      <c r="FN74" s="77"/>
      <c r="FO74" s="77"/>
      <c r="FP74" s="77"/>
      <c r="FQ74" s="77"/>
      <c r="FR74" s="77"/>
      <c r="FS74" s="77"/>
      <c r="FT74" s="77"/>
      <c r="FU74" s="77"/>
      <c r="FV74" s="77"/>
      <c r="FW74" s="77"/>
      <c r="FX74" s="77"/>
      <c r="FY74" s="77"/>
      <c r="FZ74" s="77"/>
      <c r="GA74" s="77"/>
      <c r="GB74" s="77"/>
      <c r="GC74" s="77"/>
      <c r="GD74" s="77"/>
      <c r="GE74" s="77"/>
      <c r="GF74" s="77"/>
      <c r="GG74" s="77"/>
      <c r="GH74" s="77"/>
      <c r="GI74" s="77"/>
      <c r="GJ74" s="77"/>
      <c r="GK74" s="77"/>
      <c r="GL74" s="77"/>
      <c r="GM74" s="77"/>
      <c r="GN74" s="77"/>
      <c r="GO74" s="77"/>
      <c r="GP74" s="77"/>
      <c r="GQ74" s="77"/>
      <c r="GR74" s="77"/>
      <c r="GS74" s="77"/>
      <c r="GT74" s="77"/>
      <c r="GU74" s="77"/>
      <c r="GV74" s="77"/>
      <c r="GW74" s="77"/>
      <c r="GX74" s="77"/>
      <c r="GY74" s="77"/>
      <c r="GZ74" s="77"/>
      <c r="HA74" s="77"/>
      <c r="HB74" s="77"/>
      <c r="HC74" s="77"/>
      <c r="HD74" s="77"/>
      <c r="HE74" s="77"/>
      <c r="HF74" s="77"/>
      <c r="HG74" s="77"/>
      <c r="HH74" s="77"/>
      <c r="HI74" s="77"/>
      <c r="HJ74" s="77"/>
      <c r="HK74" s="77"/>
      <c r="HL74" s="77"/>
      <c r="HM74" s="77"/>
      <c r="HN74" s="77"/>
      <c r="HO74" s="77"/>
      <c r="HP74" s="77"/>
      <c r="HQ74" s="77"/>
      <c r="HR74" s="77"/>
      <c r="HS74" s="77"/>
      <c r="HT74" s="77"/>
      <c r="HU74" s="77"/>
      <c r="HV74" s="77"/>
      <c r="HW74" s="77"/>
      <c r="HX74" s="77"/>
      <c r="HY74" s="77"/>
      <c r="HZ74" s="77"/>
      <c r="IA74" s="77"/>
      <c r="IB74" s="77"/>
      <c r="IC74" s="77"/>
      <c r="ID74" s="77"/>
      <c r="IE74" s="77"/>
      <c r="IF74" s="77"/>
      <c r="IG74" s="77"/>
      <c r="IH74" s="77"/>
      <c r="II74" s="77"/>
      <c r="IJ74" s="77"/>
      <c r="IK74" s="77"/>
      <c r="IL74" s="77"/>
      <c r="IM74" s="77"/>
      <c r="IN74" s="77"/>
      <c r="IO74" s="77"/>
      <c r="IP74" s="77"/>
      <c r="IQ74" s="77"/>
      <c r="IR74" s="77"/>
      <c r="IS74" s="77"/>
      <c r="IT74" s="77"/>
      <c r="IU74" s="77"/>
      <c r="IV74" s="77"/>
      <c r="IW74" s="77"/>
      <c r="IX74" s="77"/>
      <c r="IY74" s="77"/>
      <c r="IZ74" s="77"/>
      <c r="JA74" s="77"/>
      <c r="JB74" s="77"/>
      <c r="JC74" s="77"/>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c r="KJ74" s="77"/>
      <c r="KK74" s="77"/>
      <c r="KL74" s="77"/>
      <c r="LL74" s="77"/>
      <c r="LM74" s="77"/>
      <c r="LN74" s="77"/>
      <c r="LO74" s="77"/>
      <c r="LP74" s="77"/>
      <c r="LQ74" s="77"/>
      <c r="LR74" s="77"/>
      <c r="LS74" s="77"/>
      <c r="LT74" s="77"/>
      <c r="LU74" s="77"/>
      <c r="LV74" s="77"/>
      <c r="LW74" s="16"/>
      <c r="LX74" s="16"/>
    </row>
    <row r="75" spans="1:368" ht="18.600000000000001" customHeight="1" x14ac:dyDescent="0.25">
      <c r="A75" s="119" t="s">
        <v>730</v>
      </c>
      <c r="B75" s="27" t="s">
        <v>2531</v>
      </c>
      <c r="C75" s="27" t="s">
        <v>3437</v>
      </c>
      <c r="D75" s="30" t="str">
        <f>HYPERLINK("https://twitter.com/agarciapadilla","https://twitter.com/agarciapadilla")</f>
        <v>https://twitter.com/agarciapadilla</v>
      </c>
      <c r="E75" s="30" t="str">
        <f>HYPERLINK("http://twiplomacy.com/info/south-america/Puerto_Rico","http://twiplomacy.com/info/south-america/Puerto_Rico")</f>
        <v>http://twiplomacy.com/info/south-america/Puerto_Rico</v>
      </c>
      <c r="F75" s="10" t="s">
        <v>558</v>
      </c>
      <c r="G75" s="10" t="s">
        <v>729</v>
      </c>
      <c r="H75" s="10" t="s">
        <v>2532</v>
      </c>
      <c r="I75" s="10" t="s">
        <v>773</v>
      </c>
      <c r="J75" s="27" t="s">
        <v>789</v>
      </c>
      <c r="K75" s="15" t="s">
        <v>777</v>
      </c>
      <c r="L75" s="15"/>
      <c r="M75" s="10" t="s">
        <v>770</v>
      </c>
      <c r="N75" s="30" t="str">
        <f>HYPERLINK("https://twitter.com/agarciapadilla/statuses/15296826413","https://twitter.com/agarciapadilla/statuses/15296826413")</f>
        <v>https://twitter.com/agarciapadilla/statuses/15296826413</v>
      </c>
      <c r="O75" s="30" t="str">
        <f>HYPERLINK("https://twitter.com/agarciapadilla/statuses/482669609032491009","https://twitter.com/agarciapadilla/statuses/482669609032491009")</f>
        <v>https://twitter.com/agarciapadilla/statuses/482669609032491009</v>
      </c>
      <c r="P75" s="46">
        <v>497</v>
      </c>
      <c r="Q75" s="46">
        <v>312</v>
      </c>
      <c r="R75" s="27" t="s">
        <v>2994</v>
      </c>
      <c r="S75" s="10" t="s">
        <v>2533</v>
      </c>
      <c r="T75" s="10" t="s">
        <v>771</v>
      </c>
      <c r="U75" s="10" t="s">
        <v>771</v>
      </c>
      <c r="V75" s="10" t="s">
        <v>771</v>
      </c>
      <c r="W75" s="10"/>
      <c r="X75" s="27" t="s">
        <v>730</v>
      </c>
      <c r="Y75" s="27" t="s">
        <v>2531</v>
      </c>
      <c r="Z75" s="80">
        <v>13087</v>
      </c>
      <c r="AA75" s="27">
        <v>461</v>
      </c>
      <c r="AB75" s="80">
        <v>120398</v>
      </c>
      <c r="AC75" s="27">
        <v>206</v>
      </c>
      <c r="AD75" s="27" t="s">
        <v>3438</v>
      </c>
      <c r="AE75" s="27">
        <v>141223563</v>
      </c>
      <c r="AF75" s="27" t="s">
        <v>3437</v>
      </c>
      <c r="AG75" s="27" t="s">
        <v>729</v>
      </c>
      <c r="AH75" s="79">
        <v>5.9839963420210296</v>
      </c>
      <c r="AI75" s="83">
        <v>8.8524590163934391</v>
      </c>
      <c r="AJ75" s="80">
        <v>19.531446540880498</v>
      </c>
      <c r="AK75" s="80">
        <v>20.927672955974799</v>
      </c>
      <c r="AL75" s="96">
        <v>15</v>
      </c>
      <c r="AM75" s="97">
        <f t="shared" si="1"/>
        <v>4.6874999999999998E-3</v>
      </c>
      <c r="AN75" s="27" t="s">
        <v>730</v>
      </c>
      <c r="AO75" s="27">
        <v>5</v>
      </c>
      <c r="AP75" s="27">
        <v>5</v>
      </c>
      <c r="AQ75" s="27">
        <v>3</v>
      </c>
      <c r="AR75" s="27">
        <f>SUM(AO75:AQ75)</f>
        <v>13</v>
      </c>
      <c r="AS75" s="27" t="s">
        <v>5007</v>
      </c>
      <c r="AT75" s="27" t="s">
        <v>6671</v>
      </c>
      <c r="AU75" s="84" t="s">
        <v>4643</v>
      </c>
      <c r="AV75" s="16"/>
      <c r="AW75" s="16"/>
      <c r="AX75" s="16"/>
      <c r="AY75" s="16"/>
      <c r="AZ75" s="16"/>
      <c r="BA75" s="16"/>
      <c r="BB75" s="16"/>
      <c r="BC75" s="16"/>
      <c r="BD75" s="16"/>
      <c r="BE75" s="16"/>
      <c r="BF75" s="16"/>
      <c r="BG75" s="16"/>
      <c r="BH75" s="16"/>
      <c r="BI75" s="16"/>
      <c r="BJ75" s="16"/>
      <c r="BK75" s="16"/>
      <c r="BL75" s="16"/>
      <c r="BM75" s="16"/>
      <c r="BN75" s="16"/>
      <c r="BO75" s="16"/>
      <c r="BP75" s="16"/>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7"/>
      <c r="CW75" s="77"/>
      <c r="CX75" s="77"/>
      <c r="CY75" s="77"/>
      <c r="CZ75" s="77"/>
      <c r="DA75" s="77"/>
      <c r="DB75" s="77"/>
      <c r="DC75" s="77"/>
      <c r="DD75" s="77"/>
      <c r="DE75" s="77"/>
      <c r="DF75" s="77"/>
      <c r="DG75" s="77"/>
      <c r="DH75" s="77"/>
      <c r="DI75" s="77"/>
      <c r="DJ75" s="77"/>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Q75" s="77"/>
      <c r="HL75" s="77"/>
      <c r="HM75" s="77"/>
      <c r="HN75" s="77"/>
      <c r="HO75" s="77"/>
      <c r="HP75" s="77"/>
      <c r="HQ75" s="77"/>
      <c r="HR75" s="77"/>
      <c r="HS75" s="77"/>
      <c r="HT75" s="77"/>
      <c r="HU75" s="77"/>
      <c r="HV75" s="77"/>
      <c r="HW75" s="77"/>
      <c r="HX75" s="77"/>
      <c r="HY75" s="77"/>
      <c r="HZ75" s="77"/>
      <c r="IA75" s="77"/>
      <c r="IB75" s="77"/>
      <c r="IC75" s="77"/>
      <c r="IF75" s="77"/>
      <c r="IG75" s="77"/>
      <c r="IH75" s="77"/>
      <c r="II75" s="77"/>
      <c r="IJ75" s="77"/>
      <c r="IK75" s="77"/>
      <c r="IL75" s="77"/>
      <c r="IM75" s="77"/>
      <c r="IN75" s="77"/>
      <c r="IO75" s="77"/>
      <c r="IP75" s="77"/>
      <c r="IQ75" s="77"/>
      <c r="IR75" s="77"/>
      <c r="IS75" s="77"/>
      <c r="IT75" s="77"/>
      <c r="IU75" s="77"/>
      <c r="IV75" s="77"/>
      <c r="IW75" s="77"/>
      <c r="IX75" s="77"/>
      <c r="IY75" s="77"/>
      <c r="IZ75" s="77"/>
      <c r="JA75" s="77"/>
      <c r="JB75" s="77"/>
      <c r="JC75" s="77"/>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c r="KJ75" s="77"/>
      <c r="KK75" s="77"/>
      <c r="KL75" s="77"/>
      <c r="KM75" s="77"/>
      <c r="KN75" s="77"/>
      <c r="KO75" s="77"/>
      <c r="KP75" s="77"/>
      <c r="KQ75" s="77"/>
      <c r="KR75" s="77"/>
      <c r="KS75" s="77"/>
      <c r="KT75" s="77"/>
      <c r="KU75" s="77"/>
      <c r="KV75" s="77"/>
      <c r="KW75" s="77"/>
      <c r="KX75" s="77"/>
      <c r="KY75" s="77"/>
      <c r="KZ75" s="77"/>
      <c r="LA75" s="77"/>
      <c r="LB75" s="77"/>
      <c r="LC75" s="77"/>
      <c r="LD75" s="77"/>
      <c r="LE75" s="77"/>
      <c r="LF75" s="77"/>
      <c r="LG75" s="77"/>
      <c r="LH75" s="77"/>
      <c r="LI75" s="77"/>
      <c r="LJ75" s="77"/>
      <c r="LK75" s="77"/>
      <c r="LL75" s="77"/>
      <c r="LM75" s="77"/>
      <c r="LN75" s="77"/>
      <c r="LO75" s="77"/>
      <c r="LP75" s="77"/>
      <c r="LQ75" s="77"/>
      <c r="LR75" s="77"/>
      <c r="LS75" s="77"/>
      <c r="LT75" s="77"/>
      <c r="LU75" s="77"/>
      <c r="LV75" s="77"/>
      <c r="MS75" s="16"/>
    </row>
    <row r="76" spans="1:368" ht="18.600000000000001" customHeight="1" x14ac:dyDescent="0.25">
      <c r="A76" s="119" t="s">
        <v>500</v>
      </c>
      <c r="B76" s="27" t="s">
        <v>2149</v>
      </c>
      <c r="C76" s="27" t="s">
        <v>6442</v>
      </c>
      <c r="D76" s="30" t="str">
        <f>HYPERLINK("https://twitter.com/Pravitelstvo_RF","https://twitter.com/Pravitelstvo_RF")</f>
        <v>https://twitter.com/Pravitelstvo_RF</v>
      </c>
      <c r="E76" s="30" t="str">
        <f>HYPERLINK("http://twiplomacy.com/info/europe/Russia","http://twiplomacy.com/info/europe/Russia")</f>
        <v>http://twiplomacy.com/info/europe/Russia</v>
      </c>
      <c r="F76" s="10" t="s">
        <v>332</v>
      </c>
      <c r="G76" s="10" t="s">
        <v>496</v>
      </c>
      <c r="H76" s="10" t="s">
        <v>788</v>
      </c>
      <c r="I76" s="10" t="s">
        <v>782</v>
      </c>
      <c r="J76" s="27" t="s">
        <v>1420</v>
      </c>
      <c r="K76" s="15" t="s">
        <v>777</v>
      </c>
      <c r="L76" s="10" t="s">
        <v>771</v>
      </c>
      <c r="M76" s="10" t="s">
        <v>770</v>
      </c>
      <c r="N76" s="30" t="str">
        <f>HYPERLINK("https://twitter.com/Pravitelstvo_RF/statuses/228369121379762176","https://twitter.com/Pravitelstvo_RF/statuses/228369121379762176")</f>
        <v>https://twitter.com/Pravitelstvo_RF/statuses/228369121379762176</v>
      </c>
      <c r="O76" s="27" t="s">
        <v>6027</v>
      </c>
      <c r="P76" s="80">
        <v>588</v>
      </c>
      <c r="Q76" s="80">
        <v>389</v>
      </c>
      <c r="R76" s="27" t="s">
        <v>2994</v>
      </c>
      <c r="S76" s="10" t="s">
        <v>2150</v>
      </c>
      <c r="T76" s="10" t="s">
        <v>771</v>
      </c>
      <c r="U76" s="10" t="s">
        <v>771</v>
      </c>
      <c r="V76" s="10" t="s">
        <v>771</v>
      </c>
      <c r="W76" s="10"/>
      <c r="X76" s="27" t="s">
        <v>500</v>
      </c>
      <c r="Y76" s="27" t="s">
        <v>2149</v>
      </c>
      <c r="Z76" s="80">
        <v>12976</v>
      </c>
      <c r="AA76" s="27">
        <v>48</v>
      </c>
      <c r="AB76" s="80">
        <v>496730</v>
      </c>
      <c r="AC76" s="27">
        <v>0</v>
      </c>
      <c r="AD76" s="27" t="s">
        <v>4294</v>
      </c>
      <c r="AE76" s="27">
        <v>634725546</v>
      </c>
      <c r="AF76" s="27" t="s">
        <v>6442</v>
      </c>
      <c r="AG76" s="27" t="s">
        <v>6443</v>
      </c>
      <c r="AH76" s="79">
        <v>9.3419726421886207</v>
      </c>
      <c r="AI76" s="83">
        <v>8.9419889502762402</v>
      </c>
      <c r="AJ76" s="80">
        <v>23.527960526315798</v>
      </c>
      <c r="AK76" s="80">
        <v>14.4796052631579</v>
      </c>
      <c r="AL76" s="13">
        <v>0</v>
      </c>
      <c r="AM76" s="97">
        <f t="shared" si="1"/>
        <v>0</v>
      </c>
      <c r="AN76" s="27" t="s">
        <v>500</v>
      </c>
      <c r="AO76" s="27">
        <v>2</v>
      </c>
      <c r="AP76" s="27">
        <v>13</v>
      </c>
      <c r="AQ76" s="27">
        <v>4</v>
      </c>
      <c r="AR76" s="27">
        <f>SUM(AO76:AQ76)</f>
        <v>19</v>
      </c>
      <c r="AS76" s="27" t="s">
        <v>5409</v>
      </c>
      <c r="AT76" s="27" t="s">
        <v>5410</v>
      </c>
      <c r="AU76" s="84" t="s">
        <v>4905</v>
      </c>
      <c r="AV76" s="59"/>
      <c r="AW76" s="59"/>
      <c r="AX76" s="59"/>
      <c r="AY76" s="59"/>
      <c r="AZ76" s="59"/>
      <c r="BA76" s="59"/>
      <c r="BB76" s="59"/>
      <c r="BC76" s="59"/>
      <c r="BD76" s="59"/>
      <c r="BE76" s="59"/>
      <c r="BF76" s="59"/>
      <c r="BG76" s="59"/>
      <c r="BH76" s="59"/>
      <c r="BI76" s="59"/>
      <c r="BJ76" s="59"/>
      <c r="BK76" s="59"/>
      <c r="BL76" s="59"/>
      <c r="BM76" s="77"/>
      <c r="BQ76" s="77"/>
      <c r="BR76" s="77"/>
      <c r="BS76" s="77"/>
      <c r="BT76" s="77"/>
      <c r="BU76" s="77"/>
      <c r="BV76" s="77"/>
      <c r="BW76" s="77"/>
      <c r="BX76" s="77"/>
      <c r="BY76" s="77"/>
      <c r="BZ76" s="77"/>
      <c r="CA76" s="77"/>
      <c r="CB76" s="77"/>
      <c r="CC76" s="16"/>
      <c r="CD76" s="16"/>
      <c r="CE76" s="16"/>
      <c r="CF76" s="16"/>
      <c r="CG76" s="16"/>
      <c r="CH76" s="16"/>
      <c r="CI76" s="16"/>
      <c r="CJ76" s="16"/>
      <c r="CK76" s="16"/>
      <c r="CL76" s="16"/>
      <c r="CM76" s="16"/>
      <c r="CN76" s="16"/>
      <c r="CO76" s="16"/>
      <c r="CP76" s="16"/>
      <c r="CQ76" s="16"/>
      <c r="CR76" s="16"/>
      <c r="CS76" s="16"/>
      <c r="CT76" s="16"/>
      <c r="CU76" s="16"/>
      <c r="CV76" s="16"/>
      <c r="CW76" s="16"/>
      <c r="CX76" s="77"/>
      <c r="CY76" s="77"/>
      <c r="CZ76" s="77"/>
      <c r="DA76" s="77"/>
      <c r="DB76" s="77"/>
      <c r="DC76" s="77"/>
      <c r="DD76" s="77"/>
      <c r="DE76" s="77"/>
      <c r="DF76" s="77"/>
      <c r="DG76" s="77"/>
      <c r="DH76" s="77"/>
      <c r="DI76" s="77"/>
      <c r="DJ76" s="77"/>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7"/>
      <c r="ET76" s="77"/>
      <c r="EU76" s="77"/>
      <c r="EV76" s="77"/>
      <c r="EW76" s="77"/>
      <c r="EX76" s="77"/>
      <c r="EY76" s="77"/>
      <c r="EZ76" s="77"/>
      <c r="FA76" s="77"/>
      <c r="FB76" s="77"/>
      <c r="FC76" s="77"/>
      <c r="FD76" s="77"/>
      <c r="FE76" s="77"/>
      <c r="FF76" s="77"/>
      <c r="FG76" s="77"/>
      <c r="FH76" s="77"/>
      <c r="FI76" s="77"/>
      <c r="FJ76" s="77"/>
      <c r="FK76" s="77"/>
      <c r="FL76" s="77"/>
      <c r="FM76" s="77"/>
      <c r="FN76" s="77"/>
      <c r="FO76" s="77"/>
      <c r="FP76" s="77"/>
      <c r="FQ76" s="77"/>
      <c r="FR76" s="77"/>
      <c r="FS76" s="77"/>
      <c r="FT76" s="77"/>
      <c r="FU76" s="77"/>
      <c r="FV76" s="77"/>
      <c r="FW76" s="77"/>
      <c r="FX76" s="77"/>
      <c r="FY76" s="77"/>
      <c r="FZ76" s="77"/>
      <c r="GA76" s="77"/>
      <c r="GB76" s="77"/>
      <c r="GC76" s="77"/>
      <c r="GD76" s="77"/>
      <c r="GE76" s="77"/>
      <c r="GF76" s="77"/>
      <c r="GG76" s="77"/>
      <c r="GH76" s="77"/>
      <c r="GI76" s="77"/>
      <c r="GJ76" s="77"/>
      <c r="GK76" s="77"/>
      <c r="HL76" s="77"/>
      <c r="HM76" s="77"/>
      <c r="HN76" s="77"/>
      <c r="HO76" s="77"/>
      <c r="HP76" s="77"/>
      <c r="HQ76" s="77"/>
      <c r="HR76" s="77"/>
      <c r="HS76" s="77"/>
      <c r="HT76" s="77"/>
      <c r="HU76" s="77"/>
      <c r="HV76" s="77"/>
      <c r="HW76" s="77"/>
      <c r="HX76" s="77"/>
      <c r="HY76" s="77"/>
      <c r="HZ76" s="77"/>
      <c r="IA76" s="77"/>
      <c r="IB76" s="77"/>
      <c r="IC76" s="77"/>
      <c r="ID76" s="77"/>
      <c r="IE76" s="77"/>
      <c r="IF76" s="77"/>
      <c r="IG76" s="77"/>
      <c r="IH76" s="77"/>
      <c r="II76" s="77"/>
      <c r="IJ76" s="77"/>
      <c r="IK76" s="77"/>
      <c r="IL76" s="77"/>
      <c r="IM76" s="77"/>
      <c r="IN76" s="77"/>
      <c r="IO76" s="77"/>
      <c r="IP76" s="77"/>
      <c r="IQ76" s="77"/>
      <c r="IR76" s="77"/>
      <c r="IS76" s="77"/>
      <c r="IT76" s="77"/>
      <c r="IU76" s="77"/>
      <c r="IV76" s="77"/>
      <c r="IW76" s="77"/>
      <c r="IX76" s="77"/>
      <c r="IY76" s="77"/>
      <c r="IZ76" s="77"/>
      <c r="JA76" s="77"/>
      <c r="JB76" s="77"/>
      <c r="JC76" s="77"/>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c r="KJ76" s="77"/>
      <c r="KK76" s="77"/>
      <c r="KL76" s="77"/>
      <c r="KM76" s="77"/>
      <c r="KN76" s="77"/>
      <c r="KO76" s="77"/>
      <c r="KP76" s="77"/>
      <c r="KQ76" s="77"/>
      <c r="KR76" s="77"/>
      <c r="KS76" s="77"/>
      <c r="KT76" s="77"/>
      <c r="KU76" s="77"/>
      <c r="KV76" s="77"/>
      <c r="KW76" s="77"/>
      <c r="KX76" s="77"/>
      <c r="KY76" s="77"/>
      <c r="KZ76" s="77"/>
      <c r="LA76" s="77"/>
      <c r="LB76" s="77"/>
      <c r="LC76" s="77"/>
      <c r="LD76" s="77"/>
      <c r="LE76" s="77"/>
      <c r="LF76" s="77"/>
      <c r="LG76" s="77"/>
      <c r="LH76" s="77"/>
      <c r="LI76" s="77"/>
      <c r="LJ76" s="77"/>
      <c r="LK76" s="77"/>
      <c r="MS76" s="77"/>
    </row>
    <row r="77" spans="1:368" s="37" customFormat="1" ht="18.600000000000001" customHeight="1" x14ac:dyDescent="0.25">
      <c r="A77" s="119" t="s">
        <v>99</v>
      </c>
      <c r="B77" s="27" t="s">
        <v>1039</v>
      </c>
      <c r="C77" s="27" t="s">
        <v>1040</v>
      </c>
      <c r="D77" s="30" t="str">
        <f>HYPERLINK("https://twitter.com/UrugwiroVillage","https://twitter.com/UrugwiroVillage")</f>
        <v>https://twitter.com/UrugwiroVillage</v>
      </c>
      <c r="E77" s="30" t="str">
        <f>HYPERLINK("http://twiplomacy.com/info/africa/Rwanda","http://twiplomacy.com/info/africa/Rwanda")</f>
        <v>http://twiplomacy.com/info/africa/Rwanda</v>
      </c>
      <c r="F77" s="10" t="s">
        <v>1</v>
      </c>
      <c r="G77" s="10" t="s">
        <v>97</v>
      </c>
      <c r="H77" s="10" t="s">
        <v>781</v>
      </c>
      <c r="I77" s="10" t="s">
        <v>782</v>
      </c>
      <c r="J77" s="27" t="s">
        <v>789</v>
      </c>
      <c r="K77" s="15" t="s">
        <v>777</v>
      </c>
      <c r="L77" s="10" t="s">
        <v>771</v>
      </c>
      <c r="M77" s="10" t="s">
        <v>771</v>
      </c>
      <c r="N77" s="30" t="str">
        <f>HYPERLINK("https://twitter.com/UrugwiroVillage/statuses/35686196453580800","https://twitter.com/UrugwiroVillage/statuses/35686196453580800")</f>
        <v>https://twitter.com/UrugwiroVillage/statuses/35686196453580800</v>
      </c>
      <c r="O77" s="27" t="s">
        <v>6121</v>
      </c>
      <c r="P77" s="80">
        <v>474</v>
      </c>
      <c r="Q77" s="80">
        <v>120</v>
      </c>
      <c r="R77" s="27" t="s">
        <v>2994</v>
      </c>
      <c r="S77" s="10" t="s">
        <v>1041</v>
      </c>
      <c r="T77" s="10" t="s">
        <v>771</v>
      </c>
      <c r="U77" s="10" t="s">
        <v>771</v>
      </c>
      <c r="V77" s="10" t="s">
        <v>771</v>
      </c>
      <c r="W77" s="10"/>
      <c r="X77" s="27" t="s">
        <v>99</v>
      </c>
      <c r="Y77" s="27" t="s">
        <v>1039</v>
      </c>
      <c r="Z77" s="80">
        <v>12933</v>
      </c>
      <c r="AA77" s="27">
        <v>363</v>
      </c>
      <c r="AB77" s="80">
        <v>100188</v>
      </c>
      <c r="AC77" s="27">
        <v>7</v>
      </c>
      <c r="AD77" s="27" t="s">
        <v>4559</v>
      </c>
      <c r="AE77" s="27">
        <v>233953901</v>
      </c>
      <c r="AF77" s="27" t="s">
        <v>1040</v>
      </c>
      <c r="AG77" s="27" t="s">
        <v>1042</v>
      </c>
      <c r="AH77" s="79">
        <v>6.6493573264781496</v>
      </c>
      <c r="AI77" s="83">
        <v>7.6666666666666696</v>
      </c>
      <c r="AJ77" s="80">
        <v>37.874038461538497</v>
      </c>
      <c r="AK77" s="80">
        <v>15.7089743589744</v>
      </c>
      <c r="AL77" s="96">
        <v>29</v>
      </c>
      <c r="AM77" s="97">
        <f t="shared" si="1"/>
        <v>9.0624999999999994E-3</v>
      </c>
      <c r="AN77" s="27" t="s">
        <v>99</v>
      </c>
      <c r="AO77" s="27">
        <v>12</v>
      </c>
      <c r="AP77" s="27">
        <v>22</v>
      </c>
      <c r="AQ77" s="27">
        <v>7</v>
      </c>
      <c r="AR77" s="27">
        <f>SUM(AO77:AQ77)</f>
        <v>41</v>
      </c>
      <c r="AS77" s="27" t="s">
        <v>6263</v>
      </c>
      <c r="AT77" s="27" t="s">
        <v>6353</v>
      </c>
      <c r="AU77" s="84" t="s">
        <v>6190</v>
      </c>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P77" s="77"/>
      <c r="EQ77" s="77"/>
      <c r="ER77" s="77"/>
      <c r="ES77" s="77"/>
      <c r="ET77" s="77"/>
      <c r="EU77" s="77"/>
      <c r="EV77" s="77"/>
      <c r="EW77" s="77"/>
      <c r="EX77" s="77"/>
      <c r="EY77" s="77"/>
      <c r="EZ77" s="77"/>
      <c r="FA77" s="77"/>
      <c r="FB77" s="77"/>
      <c r="FC77" s="77"/>
      <c r="FD77" s="77"/>
      <c r="FE77" s="77"/>
      <c r="FF77" s="77"/>
      <c r="FG77" s="77"/>
      <c r="FH77" s="77"/>
      <c r="FI77" s="77"/>
      <c r="FJ77" s="77"/>
      <c r="FK77" s="77"/>
      <c r="FL77" s="77"/>
      <c r="FM77" s="77"/>
      <c r="FN77" s="77"/>
      <c r="FO77" s="77"/>
      <c r="FP77" s="77"/>
      <c r="FQ77" s="77"/>
      <c r="FR77" s="77"/>
      <c r="FS77" s="77"/>
      <c r="FT77" s="77"/>
      <c r="FU77" s="77"/>
      <c r="FV77" s="77"/>
      <c r="FW77" s="77"/>
      <c r="FX77" s="77"/>
      <c r="FY77" s="77"/>
      <c r="FZ77" s="77"/>
      <c r="GA77" s="77"/>
      <c r="GB77" s="77"/>
      <c r="GC77" s="77"/>
      <c r="GD77" s="77"/>
      <c r="GE77" s="77"/>
      <c r="GF77" s="77"/>
      <c r="GG77" s="77"/>
      <c r="GH77" s="77"/>
      <c r="GI77" s="77"/>
      <c r="GJ77" s="77"/>
      <c r="GK77" s="77"/>
      <c r="GL77" s="77"/>
      <c r="GM77" s="77"/>
      <c r="GN77" s="77"/>
      <c r="GO77" s="77"/>
      <c r="GP77" s="77"/>
      <c r="GQ77" s="77"/>
      <c r="GR77" s="77"/>
      <c r="GS77" s="77"/>
      <c r="GT77" s="77"/>
      <c r="GU77" s="77"/>
      <c r="GV77" s="77"/>
      <c r="GW77" s="77"/>
      <c r="GX77" s="77"/>
      <c r="GY77" s="77"/>
      <c r="GZ77" s="77"/>
      <c r="HA77" s="77"/>
      <c r="HB77" s="77"/>
      <c r="HC77" s="77"/>
      <c r="HD77" s="77"/>
      <c r="HE77" s="77"/>
      <c r="HF77" s="77"/>
      <c r="HG77" s="77"/>
      <c r="HH77" s="77"/>
      <c r="HI77" s="77"/>
      <c r="HJ77" s="77"/>
      <c r="HK77" s="77"/>
      <c r="HL77" s="77"/>
      <c r="HM77" s="77"/>
      <c r="HN77" s="77"/>
      <c r="HO77" s="77"/>
      <c r="HP77" s="77"/>
      <c r="HQ77" s="77"/>
      <c r="HR77" s="77"/>
      <c r="HS77" s="77"/>
      <c r="HT77" s="77"/>
      <c r="HU77" s="77"/>
      <c r="HV77" s="77"/>
      <c r="HW77" s="77"/>
      <c r="HX77" s="77"/>
      <c r="HY77" s="77"/>
      <c r="HZ77" s="77"/>
      <c r="IA77" s="77"/>
      <c r="IB77" s="77"/>
      <c r="IC77" s="77"/>
      <c r="IF77" s="77"/>
      <c r="IG77" s="77"/>
      <c r="IH77" s="77"/>
      <c r="II77" s="77"/>
      <c r="IJ77" s="77"/>
      <c r="IK77" s="77"/>
      <c r="IL77" s="77"/>
      <c r="IM77" s="77"/>
      <c r="IN77" s="77"/>
      <c r="IO77" s="77"/>
      <c r="IP77" s="77"/>
      <c r="IQ77" s="77"/>
      <c r="IR77" s="77"/>
      <c r="IS77" s="77"/>
      <c r="IT77" s="77"/>
      <c r="IU77" s="77"/>
      <c r="IV77" s="77"/>
      <c r="IW77" s="77"/>
      <c r="IX77" s="77"/>
      <c r="IY77" s="77"/>
      <c r="IZ77" s="77"/>
      <c r="JA77" s="77"/>
      <c r="JB77" s="77"/>
      <c r="JC77" s="77"/>
      <c r="JD77" s="77"/>
      <c r="JE77" s="77"/>
      <c r="JF77" s="77"/>
      <c r="JG77" s="77"/>
      <c r="JH77" s="77"/>
      <c r="JI77" s="77"/>
      <c r="JJ77" s="77"/>
      <c r="JK77" s="77"/>
      <c r="JL77" s="77"/>
      <c r="JM77" s="77"/>
      <c r="JN77" s="77"/>
      <c r="JO77" s="77"/>
      <c r="JP77" s="77"/>
      <c r="JQ77" s="77"/>
      <c r="JR77" s="77"/>
      <c r="JS77" s="77"/>
      <c r="JT77" s="77"/>
      <c r="JU77" s="77"/>
      <c r="JV77" s="77"/>
      <c r="JW77" s="77"/>
      <c r="JX77" s="77"/>
      <c r="KM77" s="77"/>
      <c r="KN77" s="77"/>
      <c r="KO77" s="77"/>
      <c r="KP77" s="77"/>
      <c r="KQ77" s="77"/>
      <c r="KR77" s="77"/>
      <c r="KS77" s="77"/>
      <c r="KT77" s="77"/>
      <c r="KU77" s="77"/>
      <c r="KV77" s="77"/>
      <c r="KW77" s="77"/>
      <c r="KX77" s="77"/>
      <c r="KY77" s="77"/>
      <c r="KZ77" s="77"/>
      <c r="LA77" s="77"/>
      <c r="LB77" s="77"/>
      <c r="LC77" s="77"/>
      <c r="LD77" s="77"/>
      <c r="LE77" s="77"/>
      <c r="LF77" s="77"/>
      <c r="LG77" s="77"/>
      <c r="LH77" s="77"/>
      <c r="LI77" s="77"/>
      <c r="LJ77" s="77"/>
      <c r="LK77" s="77"/>
      <c r="LW77" s="77"/>
      <c r="LX77" s="77"/>
      <c r="MS77" s="77"/>
      <c r="ND77" s="16"/>
    </row>
    <row r="78" spans="1:368" ht="18.600000000000001" customHeight="1" x14ac:dyDescent="0.25">
      <c r="A78" s="119" t="s">
        <v>3366</v>
      </c>
      <c r="B78" s="27" t="s">
        <v>3670</v>
      </c>
      <c r="C78" s="27" t="s">
        <v>3671</v>
      </c>
      <c r="D78" s="51" t="s">
        <v>3359</v>
      </c>
      <c r="E78" s="30" t="str">
        <f>HYPERLINK("http://twiplomacy.com/info/europe/United-Kingdom","http://twiplomacy.com/info/europe/United-Kingdom")</f>
        <v>http://twiplomacy.com/info/europe/United-Kingdom</v>
      </c>
      <c r="F78" s="10" t="s">
        <v>332</v>
      </c>
      <c r="G78" s="10" t="s">
        <v>549</v>
      </c>
      <c r="H78" s="10" t="s">
        <v>795</v>
      </c>
      <c r="I78" s="10" t="s">
        <v>782</v>
      </c>
      <c r="J78" s="27" t="s">
        <v>789</v>
      </c>
      <c r="K78" s="15" t="s">
        <v>777</v>
      </c>
      <c r="L78" s="10"/>
      <c r="M78" s="10"/>
      <c r="N78" s="30" t="s">
        <v>3388</v>
      </c>
      <c r="O78" s="27" t="s">
        <v>3402</v>
      </c>
      <c r="P78" s="80">
        <v>326</v>
      </c>
      <c r="Q78" s="80">
        <v>239</v>
      </c>
      <c r="R78" s="27" t="s">
        <v>2994</v>
      </c>
      <c r="S78" s="12" t="s">
        <v>3375</v>
      </c>
      <c r="T78" s="10">
        <v>21</v>
      </c>
      <c r="U78" s="10">
        <v>5</v>
      </c>
      <c r="V78" s="10" t="s">
        <v>771</v>
      </c>
      <c r="W78" s="10"/>
      <c r="X78" s="27" t="s">
        <v>3366</v>
      </c>
      <c r="Y78" s="27" t="s">
        <v>3670</v>
      </c>
      <c r="Z78" s="80">
        <v>12767</v>
      </c>
      <c r="AA78" s="27">
        <v>1623</v>
      </c>
      <c r="AB78" s="80">
        <v>98290</v>
      </c>
      <c r="AC78" s="27">
        <v>342</v>
      </c>
      <c r="AD78" s="27" t="s">
        <v>3672</v>
      </c>
      <c r="AE78" s="27">
        <v>161756251</v>
      </c>
      <c r="AF78" s="27" t="s">
        <v>3671</v>
      </c>
      <c r="AG78" s="27" t="s">
        <v>3673</v>
      </c>
      <c r="AH78" s="79">
        <v>5.9896810506566602</v>
      </c>
      <c r="AI78" s="83">
        <v>13.319502074688801</v>
      </c>
      <c r="AJ78" s="80">
        <v>10.348920863309401</v>
      </c>
      <c r="AK78" s="80">
        <v>7.0727418065547596</v>
      </c>
      <c r="AL78" s="27">
        <v>37</v>
      </c>
      <c r="AM78" s="97">
        <f t="shared" si="1"/>
        <v>1.15625E-2</v>
      </c>
      <c r="AN78" s="27" t="s">
        <v>3366</v>
      </c>
      <c r="AO78" s="27">
        <v>27</v>
      </c>
      <c r="AP78" s="27">
        <v>2</v>
      </c>
      <c r="AQ78" s="27">
        <v>7</v>
      </c>
      <c r="AR78" s="27">
        <f>SUM(AO78:AQ78)</f>
        <v>36</v>
      </c>
      <c r="AS78" s="27" t="s">
        <v>6924</v>
      </c>
      <c r="AT78" s="27" t="s">
        <v>5112</v>
      </c>
      <c r="AU78" s="84" t="s">
        <v>4716</v>
      </c>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16"/>
      <c r="EN78" s="16"/>
      <c r="EO78" s="16"/>
      <c r="EP78" s="77"/>
      <c r="EQ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c r="KJ78" s="77"/>
      <c r="KK78" s="77"/>
      <c r="KL78" s="77"/>
      <c r="KM78" s="77"/>
      <c r="KN78" s="77"/>
      <c r="KO78" s="77"/>
      <c r="KP78" s="77"/>
      <c r="KQ78" s="77"/>
      <c r="KR78" s="77"/>
      <c r="KS78" s="77"/>
      <c r="KT78" s="77"/>
      <c r="KU78" s="77"/>
      <c r="KV78" s="77"/>
      <c r="KW78" s="77"/>
      <c r="KX78" s="77"/>
      <c r="KY78" s="77"/>
      <c r="KZ78" s="77"/>
      <c r="LA78" s="77"/>
      <c r="LB78" s="77"/>
      <c r="LC78" s="77"/>
      <c r="LD78" s="77"/>
      <c r="LE78" s="77"/>
      <c r="LF78" s="77"/>
      <c r="LG78" s="77"/>
      <c r="LH78" s="77"/>
      <c r="LI78" s="77"/>
      <c r="LJ78" s="77"/>
      <c r="LK78" s="77"/>
      <c r="LL78" s="77"/>
      <c r="LM78" s="77"/>
      <c r="LN78" s="77"/>
      <c r="LO78" s="77"/>
      <c r="LP78" s="77"/>
      <c r="LQ78" s="77"/>
      <c r="LR78" s="77"/>
      <c r="LS78" s="77"/>
      <c r="LT78" s="77"/>
      <c r="LU78" s="77"/>
      <c r="LV78" s="77"/>
      <c r="LY78" s="77"/>
      <c r="LZ78" s="77"/>
      <c r="MA78" s="77"/>
      <c r="MB78" s="77"/>
      <c r="MC78" s="77"/>
      <c r="MD78" s="77"/>
      <c r="ME78" s="77"/>
      <c r="MF78" s="77"/>
      <c r="MG78" s="77"/>
      <c r="MH78" s="77"/>
      <c r="MI78" s="77"/>
      <c r="MJ78" s="77"/>
      <c r="MK78" s="77"/>
      <c r="ML78" s="77"/>
      <c r="MM78" s="77"/>
      <c r="MN78" s="77"/>
      <c r="MO78" s="77"/>
      <c r="MP78" s="77"/>
      <c r="MQ78" s="77"/>
      <c r="MR78" s="77"/>
    </row>
    <row r="79" spans="1:368" ht="18.600000000000001" customHeight="1" x14ac:dyDescent="0.25">
      <c r="A79" s="119" t="s">
        <v>698</v>
      </c>
      <c r="B79" s="27" t="s">
        <v>2748</v>
      </c>
      <c r="C79" s="27" t="s">
        <v>2749</v>
      </c>
      <c r="D79" s="30" t="str">
        <f>HYPERLINK("https://twitter.com/PresidenciaPy","https://twitter.com/PresidenciaPy")</f>
        <v>https://twitter.com/PresidenciaPy</v>
      </c>
      <c r="E79" s="30" t="str">
        <f>HYPERLINK("http://twiplomacy.com/info/south-america/Paraguay","http://twiplomacy.com/info/south-america/Paraguay")</f>
        <v>http://twiplomacy.com/info/south-america/Paraguay</v>
      </c>
      <c r="F79" s="10" t="s">
        <v>668</v>
      </c>
      <c r="G79" s="10" t="s">
        <v>696</v>
      </c>
      <c r="H79" s="10" t="s">
        <v>781</v>
      </c>
      <c r="I79" s="10" t="s">
        <v>782</v>
      </c>
      <c r="J79" s="27" t="s">
        <v>2226</v>
      </c>
      <c r="K79" s="15" t="s">
        <v>777</v>
      </c>
      <c r="L79" s="10" t="s">
        <v>771</v>
      </c>
      <c r="M79" s="10" t="s">
        <v>770</v>
      </c>
      <c r="N79" s="30" t="str">
        <f>HYPERLINK("https://twitter.com/PresidenciaPy/statuses/4962589016588288","https://twitter.com/PresidenciaPy/statuses/4962589016588288")</f>
        <v>https://twitter.com/PresidenciaPy/statuses/4962589016588288</v>
      </c>
      <c r="O79" s="27" t="s">
        <v>6042</v>
      </c>
      <c r="P79" s="80">
        <v>692</v>
      </c>
      <c r="Q79" s="80">
        <v>2249</v>
      </c>
      <c r="R79" s="27" t="s">
        <v>2994</v>
      </c>
      <c r="S79" s="10" t="s">
        <v>2750</v>
      </c>
      <c r="T79" s="10" t="s">
        <v>771</v>
      </c>
      <c r="U79" s="10" t="s">
        <v>771</v>
      </c>
      <c r="V79" s="10" t="s">
        <v>771</v>
      </c>
      <c r="W79" s="10"/>
      <c r="X79" s="27" t="s">
        <v>698</v>
      </c>
      <c r="Y79" s="27" t="s">
        <v>2748</v>
      </c>
      <c r="Z79" s="80">
        <v>12651</v>
      </c>
      <c r="AA79" s="27">
        <v>633</v>
      </c>
      <c r="AB79" s="80">
        <v>53463</v>
      </c>
      <c r="AC79" s="27">
        <v>232</v>
      </c>
      <c r="AD79" s="27" t="s">
        <v>4341</v>
      </c>
      <c r="AE79" s="27">
        <v>99295157</v>
      </c>
      <c r="AF79" s="27" t="s">
        <v>2749</v>
      </c>
      <c r="AG79" s="27"/>
      <c r="AH79" s="79">
        <v>5.4530172413793103</v>
      </c>
      <c r="AI79" s="83">
        <v>10.195583596214499</v>
      </c>
      <c r="AJ79" s="80">
        <v>7.64299135663284</v>
      </c>
      <c r="AK79" s="80">
        <v>7.2172115745960204</v>
      </c>
      <c r="AL79" s="27">
        <v>9</v>
      </c>
      <c r="AM79" s="97">
        <f t="shared" si="1"/>
        <v>2.8124999999999999E-3</v>
      </c>
      <c r="AN79" s="27" t="s">
        <v>698</v>
      </c>
      <c r="AO79" s="27">
        <v>28</v>
      </c>
      <c r="AP79" s="27">
        <v>17</v>
      </c>
      <c r="AQ79" s="27">
        <v>9</v>
      </c>
      <c r="AR79" s="27">
        <f>SUM(AO79:AQ79)</f>
        <v>54</v>
      </c>
      <c r="AS79" s="27" t="s">
        <v>6616</v>
      </c>
      <c r="AT79" s="27" t="s">
        <v>6837</v>
      </c>
      <c r="AU79" s="84" t="s">
        <v>4916</v>
      </c>
      <c r="AV79" s="77"/>
      <c r="AW79" s="77"/>
      <c r="AX79" s="77"/>
      <c r="AY79" s="77"/>
      <c r="AZ79" s="77"/>
      <c r="BA79" s="77"/>
      <c r="BB79" s="77"/>
      <c r="BC79" s="77"/>
      <c r="BD79" s="77"/>
      <c r="BE79" s="77"/>
      <c r="BF79" s="77"/>
      <c r="BG79" s="77"/>
      <c r="BH79" s="77"/>
      <c r="BI79" s="77"/>
      <c r="BJ79" s="77"/>
      <c r="BK79" s="77"/>
      <c r="BL79" s="77"/>
      <c r="BM79" s="77"/>
      <c r="BN79" s="77"/>
      <c r="BO79" s="77"/>
      <c r="BP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c r="KJ79" s="77"/>
      <c r="KK79" s="77"/>
      <c r="KL79" s="77"/>
      <c r="KM79" s="77"/>
      <c r="KN79" s="77"/>
      <c r="KO79" s="77"/>
      <c r="KP79" s="77"/>
      <c r="KQ79" s="77"/>
      <c r="KR79" s="77"/>
      <c r="KS79" s="77"/>
      <c r="KT79" s="77"/>
      <c r="KU79" s="77"/>
      <c r="KV79" s="77"/>
      <c r="KW79" s="77"/>
      <c r="KX79" s="77"/>
      <c r="KY79" s="77"/>
      <c r="KZ79" s="77"/>
      <c r="LA79" s="77"/>
      <c r="LB79" s="77"/>
      <c r="LC79" s="77"/>
      <c r="LD79" s="77"/>
      <c r="LE79" s="77"/>
      <c r="LF79" s="77"/>
      <c r="LG79" s="77"/>
      <c r="LH79" s="77"/>
      <c r="LI79" s="77"/>
      <c r="LJ79" s="77"/>
      <c r="LK79" s="77"/>
      <c r="LL79" s="77"/>
      <c r="LM79" s="77"/>
      <c r="LN79" s="77"/>
      <c r="LO79" s="77"/>
      <c r="LP79" s="77"/>
      <c r="LQ79" s="77"/>
      <c r="LR79" s="77"/>
      <c r="LS79" s="77"/>
      <c r="LT79" s="77"/>
      <c r="LU79" s="77"/>
      <c r="LV79" s="77"/>
      <c r="ND79" s="77"/>
    </row>
    <row r="80" spans="1:368" ht="18.600000000000001" customHeight="1" x14ac:dyDescent="0.25">
      <c r="A80" s="119" t="s">
        <v>187</v>
      </c>
      <c r="B80" s="27" t="s">
        <v>1291</v>
      </c>
      <c r="C80" s="27" t="s">
        <v>3834</v>
      </c>
      <c r="D80" s="30" t="str">
        <f>HYPERLINK("https://twitter.com/IndianDiplomacy","https://twitter.com/IndianDiplomacy")</f>
        <v>https://twitter.com/IndianDiplomacy</v>
      </c>
      <c r="E80" s="30" t="str">
        <f>HYPERLINK("http://twiplomacy.com/info/asia/India","http://twiplomacy.com/info/asia/India")</f>
        <v>http://twiplomacy.com/info/asia/India</v>
      </c>
      <c r="F80" s="10" t="s">
        <v>154</v>
      </c>
      <c r="G80" s="10" t="s">
        <v>182</v>
      </c>
      <c r="H80" s="10" t="s">
        <v>795</v>
      </c>
      <c r="I80" s="10" t="s">
        <v>782</v>
      </c>
      <c r="J80" s="27" t="s">
        <v>789</v>
      </c>
      <c r="K80" s="15" t="s">
        <v>777</v>
      </c>
      <c r="L80" s="10" t="s">
        <v>771</v>
      </c>
      <c r="M80" s="10" t="s">
        <v>770</v>
      </c>
      <c r="N80" s="30" t="str">
        <f>HYPERLINK("https://twitter.com/IndianDiplomacy/statuses/18022835035","https://twitter.com/IndianDiplomacy/statuses/18022835035")</f>
        <v>https://twitter.com/IndianDiplomacy/statuses/18022835035</v>
      </c>
      <c r="O80" s="27" t="s">
        <v>5874</v>
      </c>
      <c r="P80" s="80">
        <v>864</v>
      </c>
      <c r="Q80" s="80">
        <v>1637</v>
      </c>
      <c r="R80" s="27" t="s">
        <v>2994</v>
      </c>
      <c r="S80" s="30" t="str">
        <f>HYPERLINK("https://twitter.com/IndianDiplomacy/lists","https://twitter.com/IndianDiplomacy/lists")</f>
        <v>https://twitter.com/IndianDiplomacy/lists</v>
      </c>
      <c r="T80" s="10">
        <v>1</v>
      </c>
      <c r="U80" s="10">
        <v>2</v>
      </c>
      <c r="V80" s="30" t="str">
        <f>HYPERLINK("https://twitter.com/IndianDiplomacy/indian-missions/members","https://twitter.com/IndianDiplomacy/indian-missions/members")</f>
        <v>https://twitter.com/IndianDiplomacy/indian-missions/members</v>
      </c>
      <c r="W80" s="10">
        <v>129</v>
      </c>
      <c r="X80" s="27" t="s">
        <v>187</v>
      </c>
      <c r="Y80" s="27" t="s">
        <v>1291</v>
      </c>
      <c r="Z80" s="80">
        <v>12569</v>
      </c>
      <c r="AA80" s="27">
        <v>525</v>
      </c>
      <c r="AB80" s="80">
        <v>557490</v>
      </c>
      <c r="AC80" s="27">
        <v>372</v>
      </c>
      <c r="AD80" s="27" t="s">
        <v>3835</v>
      </c>
      <c r="AE80" s="27">
        <v>164213375</v>
      </c>
      <c r="AF80" s="27" t="s">
        <v>3834</v>
      </c>
      <c r="AG80" s="27" t="s">
        <v>1283</v>
      </c>
      <c r="AH80" s="79">
        <v>5.9148235294117599</v>
      </c>
      <c r="AI80" s="83">
        <v>14.590090090090101</v>
      </c>
      <c r="AJ80" s="80">
        <v>45.3333333333333</v>
      </c>
      <c r="AK80" s="80">
        <v>43.655801319363597</v>
      </c>
      <c r="AL80" s="27">
        <v>1345</v>
      </c>
      <c r="AM80" s="97">
        <f t="shared" si="1"/>
        <v>0.42031249999999998</v>
      </c>
      <c r="AN80" s="27" t="s">
        <v>187</v>
      </c>
      <c r="AO80" s="27">
        <v>55</v>
      </c>
      <c r="AP80" s="27">
        <v>26</v>
      </c>
      <c r="AQ80" s="27">
        <v>54</v>
      </c>
      <c r="AR80" s="27">
        <f>SUM(AO80:AQ80)</f>
        <v>135</v>
      </c>
      <c r="AS80" s="27" t="s">
        <v>6571</v>
      </c>
      <c r="AT80" s="27" t="s">
        <v>5195</v>
      </c>
      <c r="AU80" s="84" t="s">
        <v>6491</v>
      </c>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KM80" s="77"/>
      <c r="KN80" s="77"/>
      <c r="KO80" s="77"/>
      <c r="KP80" s="77"/>
      <c r="KQ80" s="77"/>
      <c r="KR80" s="77"/>
      <c r="KS80" s="77"/>
      <c r="KT80" s="77"/>
      <c r="KU80" s="77"/>
      <c r="KV80" s="77"/>
      <c r="KW80" s="77"/>
      <c r="KX80" s="77"/>
      <c r="KY80" s="77"/>
      <c r="KZ80" s="77"/>
      <c r="LA80" s="77"/>
      <c r="LB80" s="77"/>
      <c r="LC80" s="77"/>
      <c r="LD80" s="77"/>
      <c r="LE80" s="77"/>
      <c r="LF80" s="77"/>
      <c r="LG80" s="77"/>
      <c r="LH80" s="77"/>
      <c r="LI80" s="77"/>
      <c r="LJ80" s="77"/>
      <c r="LK80" s="77"/>
      <c r="LL80" s="77"/>
      <c r="LM80" s="77"/>
      <c r="LN80" s="77"/>
      <c r="LO80" s="77"/>
      <c r="LP80" s="77"/>
      <c r="LQ80" s="77"/>
      <c r="LR80" s="77"/>
      <c r="LS80" s="77"/>
      <c r="LT80" s="77"/>
      <c r="LU80" s="77"/>
      <c r="LV80" s="77"/>
      <c r="MT80" s="77"/>
      <c r="MU80" s="77"/>
      <c r="MV80" s="77"/>
      <c r="MW80" s="77"/>
      <c r="MX80" s="77"/>
      <c r="MY80" s="77"/>
      <c r="MZ80" s="77"/>
      <c r="NA80" s="77"/>
      <c r="NB80" s="77"/>
      <c r="NC80" s="77"/>
    </row>
    <row r="81" spans="1:421" ht="18.600000000000001" customHeight="1" x14ac:dyDescent="0.25">
      <c r="A81" s="119" t="s">
        <v>646</v>
      </c>
      <c r="B81" s="27" t="s">
        <v>2631</v>
      </c>
      <c r="C81" s="27" t="s">
        <v>2632</v>
      </c>
      <c r="D81" s="30" t="str">
        <f>HYPERLINK("https://twitter.com/dfat","https://twitter.com/dfat")</f>
        <v>https://twitter.com/dfat</v>
      </c>
      <c r="E81" s="30" t="s">
        <v>5641</v>
      </c>
      <c r="F81" s="10" t="s">
        <v>643</v>
      </c>
      <c r="G81" s="10" t="s">
        <v>642</v>
      </c>
      <c r="H81" s="10" t="s">
        <v>795</v>
      </c>
      <c r="I81" s="10" t="s">
        <v>782</v>
      </c>
      <c r="J81" s="27" t="s">
        <v>789</v>
      </c>
      <c r="K81" s="15" t="s">
        <v>777</v>
      </c>
      <c r="L81" s="10" t="s">
        <v>771</v>
      </c>
      <c r="M81" s="10" t="s">
        <v>770</v>
      </c>
      <c r="N81" s="30" t="str">
        <f>HYPERLINK("https://twitter.com/dfat/statuses/55800679633129472","https://twitter.com/dfat/statuses/55800679633129472")</f>
        <v>https://twitter.com/dfat/statuses/55800679633129472</v>
      </c>
      <c r="O81" s="27" t="s">
        <v>5797</v>
      </c>
      <c r="P81" s="80">
        <v>280</v>
      </c>
      <c r="Q81" s="80">
        <v>296</v>
      </c>
      <c r="R81" s="27" t="s">
        <v>2994</v>
      </c>
      <c r="S81" s="30" t="str">
        <f>HYPERLINK("https://twitter.com/dfat/lists","https://twitter.com/dfat/lists")</f>
        <v>https://twitter.com/dfat/lists</v>
      </c>
      <c r="T81" s="10">
        <v>23</v>
      </c>
      <c r="U81" s="10">
        <v>3</v>
      </c>
      <c r="V81" s="30" t="str">
        <f>HYPERLINK("https://twitter.com/dfat/dfat-on-twitter/members","https://twitter.com/dfat/dfat-on-twitter/members")</f>
        <v>https://twitter.com/dfat/dfat-on-twitter/members</v>
      </c>
      <c r="W81" s="10">
        <v>65</v>
      </c>
      <c r="X81" s="27" t="s">
        <v>646</v>
      </c>
      <c r="Y81" s="27" t="s">
        <v>2631</v>
      </c>
      <c r="Z81" s="80">
        <v>12357</v>
      </c>
      <c r="AA81" s="27">
        <v>582</v>
      </c>
      <c r="AB81" s="80">
        <v>48766</v>
      </c>
      <c r="AC81" s="27">
        <v>1772</v>
      </c>
      <c r="AD81" s="27" t="s">
        <v>3608</v>
      </c>
      <c r="AE81" s="27">
        <v>273730280</v>
      </c>
      <c r="AF81" s="27" t="s">
        <v>2632</v>
      </c>
      <c r="AG81" s="27" t="s">
        <v>642</v>
      </c>
      <c r="AH81" s="79">
        <v>6.6399785061794701</v>
      </c>
      <c r="AI81" s="83">
        <v>8.0222222222222204</v>
      </c>
      <c r="AJ81" s="80">
        <v>6.5497177594442002</v>
      </c>
      <c r="AK81" s="80">
        <v>5.4433347807208001</v>
      </c>
      <c r="AL81" s="27">
        <v>50</v>
      </c>
      <c r="AM81" s="97">
        <f t="shared" si="1"/>
        <v>1.5625E-2</v>
      </c>
      <c r="AN81" s="27" t="s">
        <v>646</v>
      </c>
      <c r="AO81" s="27">
        <v>11</v>
      </c>
      <c r="AP81" s="27">
        <v>56</v>
      </c>
      <c r="AQ81" s="27">
        <v>19</v>
      </c>
      <c r="AR81" s="27">
        <f>SUM(AO81:AQ81)</f>
        <v>86</v>
      </c>
      <c r="AS81" s="27" t="s">
        <v>6638</v>
      </c>
      <c r="AT81" s="27" t="s">
        <v>5081</v>
      </c>
      <c r="AU81" s="84" t="s">
        <v>4692</v>
      </c>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7"/>
      <c r="DV81" s="77"/>
      <c r="DW81" s="77"/>
      <c r="DX81" s="77"/>
      <c r="DY81" s="77"/>
      <c r="DZ81" s="77"/>
      <c r="EA81" s="77"/>
      <c r="EB81" s="77"/>
      <c r="EC81" s="77"/>
      <c r="ED81" s="77"/>
      <c r="EE81" s="77"/>
      <c r="EF81" s="77"/>
      <c r="EG81" s="77"/>
      <c r="EH81" s="77"/>
      <c r="EI81" s="77"/>
      <c r="EJ81" s="77"/>
      <c r="EK81" s="77"/>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c r="FL81" s="77"/>
      <c r="FM81" s="77"/>
      <c r="FN81" s="77"/>
      <c r="FO81" s="77"/>
      <c r="FP81" s="77"/>
      <c r="FQ81" s="77"/>
      <c r="FR81" s="77"/>
      <c r="FS81" s="77"/>
      <c r="FT81" s="77"/>
      <c r="FU81" s="77"/>
      <c r="FV81" s="77"/>
      <c r="FW81" s="77"/>
      <c r="FX81" s="77"/>
      <c r="FY81" s="77"/>
      <c r="FZ81" s="77"/>
      <c r="GA81" s="77"/>
      <c r="GB81" s="77"/>
      <c r="GC81" s="77"/>
      <c r="GD81" s="77"/>
      <c r="GE81" s="77"/>
      <c r="GF81" s="77"/>
      <c r="GG81" s="77"/>
      <c r="GH81" s="77"/>
      <c r="GI81" s="77"/>
      <c r="GJ81" s="77"/>
      <c r="GK81" s="77"/>
      <c r="GL81" s="77"/>
      <c r="GM81" s="77"/>
      <c r="GN81" s="77"/>
      <c r="GO81" s="77"/>
      <c r="GP81" s="77"/>
      <c r="GQ81" s="77"/>
      <c r="GR81" s="77"/>
      <c r="GS81" s="77"/>
      <c r="GT81" s="77"/>
      <c r="GU81" s="77"/>
      <c r="GV81" s="77"/>
      <c r="GW81" s="77"/>
      <c r="GX81" s="77"/>
      <c r="GY81" s="77"/>
      <c r="GZ81" s="77"/>
      <c r="HA81" s="77"/>
      <c r="HB81" s="77"/>
      <c r="HC81" s="77"/>
      <c r="HD81" s="77"/>
      <c r="HE81" s="77"/>
      <c r="HF81" s="77"/>
      <c r="HG81" s="77"/>
      <c r="HH81" s="77"/>
      <c r="HI81" s="77"/>
      <c r="HJ81" s="77"/>
      <c r="HK81" s="77"/>
      <c r="HL81" s="77"/>
      <c r="HM81" s="77"/>
      <c r="HN81" s="77"/>
      <c r="HO81" s="77"/>
      <c r="HP81" s="77"/>
      <c r="HQ81" s="77"/>
      <c r="HR81" s="77"/>
      <c r="HS81" s="77"/>
      <c r="HT81" s="77"/>
      <c r="HU81" s="77"/>
      <c r="HV81" s="77"/>
      <c r="HW81" s="77"/>
      <c r="HX81" s="77"/>
      <c r="HY81" s="77"/>
      <c r="HZ81" s="77"/>
      <c r="IA81" s="77"/>
      <c r="IB81" s="77"/>
      <c r="IC81" s="77"/>
      <c r="ID81" s="77"/>
      <c r="IE81" s="77"/>
      <c r="KM81" s="77"/>
      <c r="KN81" s="77"/>
      <c r="KO81" s="77"/>
      <c r="KP81" s="77"/>
      <c r="KQ81" s="77"/>
      <c r="KR81" s="77"/>
      <c r="KS81" s="77"/>
      <c r="KT81" s="77"/>
      <c r="KU81" s="77"/>
      <c r="KV81" s="77"/>
      <c r="KW81" s="77"/>
      <c r="KX81" s="77"/>
      <c r="KY81" s="77"/>
      <c r="KZ81" s="77"/>
      <c r="LA81" s="77"/>
      <c r="LB81" s="77"/>
      <c r="LC81" s="77"/>
      <c r="LD81" s="77"/>
      <c r="LE81" s="77"/>
      <c r="LF81" s="77"/>
      <c r="LG81" s="77"/>
      <c r="LH81" s="77"/>
      <c r="LI81" s="77"/>
      <c r="LJ81" s="77"/>
      <c r="LK81" s="77"/>
      <c r="LL81" s="77"/>
      <c r="LM81" s="77"/>
      <c r="LN81" s="77"/>
      <c r="LO81" s="77"/>
      <c r="LP81" s="77"/>
      <c r="LQ81" s="77"/>
      <c r="LR81" s="77"/>
      <c r="LS81" s="77"/>
      <c r="LT81" s="77"/>
      <c r="LU81" s="77"/>
      <c r="LV81" s="77"/>
      <c r="LW81" s="77"/>
      <c r="LX81" s="77"/>
      <c r="LY81" s="77"/>
      <c r="LZ81" s="77"/>
      <c r="MA81" s="77"/>
      <c r="MB81" s="77"/>
      <c r="MC81" s="77"/>
      <c r="MD81" s="77"/>
      <c r="ME81" s="77"/>
      <c r="MF81" s="77"/>
      <c r="MG81" s="77"/>
      <c r="MH81" s="77"/>
      <c r="MI81" s="77"/>
      <c r="MJ81" s="77"/>
      <c r="MK81" s="77"/>
      <c r="ML81" s="77"/>
      <c r="MM81" s="77"/>
      <c r="MN81" s="77"/>
      <c r="MO81" s="77"/>
      <c r="MP81" s="77"/>
      <c r="MQ81" s="77"/>
      <c r="MR81" s="77"/>
      <c r="MT81" s="77"/>
      <c r="MU81" s="77"/>
      <c r="MV81" s="77"/>
      <c r="MW81" s="77"/>
      <c r="MX81" s="77"/>
      <c r="MY81" s="77"/>
      <c r="MZ81" s="77"/>
      <c r="NA81" s="77"/>
      <c r="NB81" s="77"/>
      <c r="NC81" s="77"/>
    </row>
    <row r="82" spans="1:421" ht="18.600000000000001" customHeight="1" x14ac:dyDescent="0.25">
      <c r="A82" s="119" t="s">
        <v>393</v>
      </c>
      <c r="B82" s="27" t="s">
        <v>1877</v>
      </c>
      <c r="C82" s="27" t="s">
        <v>1873</v>
      </c>
      <c r="D82" s="30" t="str">
        <f>HYPERLINK("https://twitter.com/valtioneuvosto","https://twitter.com/valtioneuvosto")</f>
        <v>https://twitter.com/valtioneuvosto</v>
      </c>
      <c r="E82" s="30" t="str">
        <f>HYPERLINK("http://twiplomacy.com/info/europe/Finland","http://twiplomacy.com/info/europe/Finland")</f>
        <v>http://twiplomacy.com/info/europe/Finland</v>
      </c>
      <c r="F82" s="10" t="s">
        <v>332</v>
      </c>
      <c r="G82" s="10" t="s">
        <v>389</v>
      </c>
      <c r="H82" s="10" t="s">
        <v>788</v>
      </c>
      <c r="I82" s="10" t="s">
        <v>782</v>
      </c>
      <c r="J82" s="27" t="s">
        <v>1876</v>
      </c>
      <c r="K82" s="15" t="s">
        <v>777</v>
      </c>
      <c r="L82" s="10" t="s">
        <v>771</v>
      </c>
      <c r="M82" s="10" t="s">
        <v>771</v>
      </c>
      <c r="N82" s="30" t="str">
        <f>HYPERLINK("https://twitter.com/valtioneuvosto/statuses/63922881360441344","https://twitter.com/valtioneuvosto/statuses/63922881360441344")</f>
        <v>https://twitter.com/valtioneuvosto/statuses/63922881360441344</v>
      </c>
      <c r="O82" s="27" t="s">
        <v>6126</v>
      </c>
      <c r="P82" s="80">
        <v>75</v>
      </c>
      <c r="Q82" s="80">
        <v>90</v>
      </c>
      <c r="R82" s="27" t="s">
        <v>2994</v>
      </c>
      <c r="S82" s="10" t="s">
        <v>1874</v>
      </c>
      <c r="T82" s="10" t="s">
        <v>771</v>
      </c>
      <c r="U82" s="10" t="s">
        <v>771</v>
      </c>
      <c r="V82" s="10" t="s">
        <v>771</v>
      </c>
      <c r="W82" s="10"/>
      <c r="X82" s="27" t="s">
        <v>393</v>
      </c>
      <c r="Y82" s="27" t="s">
        <v>1877</v>
      </c>
      <c r="Z82" s="80">
        <v>12227</v>
      </c>
      <c r="AA82" s="27">
        <v>145</v>
      </c>
      <c r="AB82" s="80">
        <v>37562</v>
      </c>
      <c r="AC82" s="27">
        <v>238</v>
      </c>
      <c r="AD82" s="27" t="s">
        <v>4576</v>
      </c>
      <c r="AE82" s="27">
        <v>283979780</v>
      </c>
      <c r="AF82" s="27" t="s">
        <v>1873</v>
      </c>
      <c r="AG82" s="27" t="s">
        <v>1875</v>
      </c>
      <c r="AH82" s="79">
        <v>6.6414991852254204</v>
      </c>
      <c r="AI82" s="83">
        <v>8.4921465968586407</v>
      </c>
      <c r="AJ82" s="80">
        <v>3.2620848405129901</v>
      </c>
      <c r="AK82" s="80">
        <v>2.5008220979940798</v>
      </c>
      <c r="AL82" s="96">
        <v>10</v>
      </c>
      <c r="AM82" s="97">
        <f t="shared" si="1"/>
        <v>3.1250000000000002E-3</v>
      </c>
      <c r="AN82" s="27" t="s">
        <v>393</v>
      </c>
      <c r="AO82" s="27">
        <v>4</v>
      </c>
      <c r="AP82" s="27">
        <v>10</v>
      </c>
      <c r="AQ82" s="27">
        <v>6</v>
      </c>
      <c r="AR82" s="27">
        <f>SUM(AO82:AQ82)</f>
        <v>20</v>
      </c>
      <c r="AS82" s="27" t="s">
        <v>5554</v>
      </c>
      <c r="AT82" s="27" t="s">
        <v>6871</v>
      </c>
      <c r="AU82" s="84" t="s">
        <v>4988</v>
      </c>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c r="CX82" s="77"/>
      <c r="CY82" s="77"/>
      <c r="CZ82" s="77"/>
      <c r="DA82" s="77"/>
      <c r="DB82" s="77"/>
      <c r="DC82" s="77"/>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16"/>
      <c r="ER82" s="77"/>
      <c r="ES82" s="77"/>
      <c r="ET82" s="77"/>
      <c r="EU82" s="77"/>
      <c r="EV82" s="77"/>
      <c r="EW82" s="77"/>
      <c r="EX82" s="77"/>
      <c r="EY82" s="77"/>
      <c r="EZ82" s="77"/>
      <c r="FA82" s="77"/>
      <c r="FB82" s="77"/>
      <c r="FC82" s="77"/>
      <c r="FD82" s="77"/>
      <c r="FE82" s="77"/>
      <c r="FF82" s="77"/>
      <c r="FG82" s="77"/>
      <c r="FH82" s="77"/>
      <c r="FI82" s="77"/>
      <c r="FJ82" s="77"/>
      <c r="FK82" s="77"/>
      <c r="FL82" s="77"/>
      <c r="FM82" s="77"/>
      <c r="FN82" s="77"/>
      <c r="FO82" s="77"/>
      <c r="FP82" s="77"/>
      <c r="FQ82" s="77"/>
      <c r="FR82" s="77"/>
      <c r="FS82" s="77"/>
      <c r="FT82" s="77"/>
      <c r="FU82" s="77"/>
      <c r="FV82" s="77"/>
      <c r="FW82" s="77"/>
      <c r="FX82" s="77"/>
      <c r="FY82" s="77"/>
      <c r="FZ82" s="77"/>
      <c r="GA82" s="77"/>
      <c r="GB82" s="77"/>
      <c r="GC82" s="77"/>
      <c r="GD82" s="77"/>
      <c r="GE82" s="77"/>
      <c r="GF82" s="77"/>
      <c r="GG82" s="77"/>
      <c r="GH82" s="77"/>
      <c r="GI82" s="77"/>
      <c r="GJ82" s="77"/>
      <c r="GK82" s="77"/>
      <c r="GL82" s="77"/>
      <c r="GM82" s="77"/>
      <c r="GN82" s="77"/>
      <c r="GO82" s="77"/>
      <c r="GP82" s="77"/>
      <c r="GQ82" s="77"/>
      <c r="GR82" s="77"/>
      <c r="GS82" s="77"/>
      <c r="GT82" s="77"/>
      <c r="GU82" s="77"/>
      <c r="GV82" s="77"/>
      <c r="GW82" s="77"/>
      <c r="GX82" s="77"/>
      <c r="GY82" s="77"/>
      <c r="GZ82" s="77"/>
      <c r="HA82" s="77"/>
      <c r="HB82" s="77"/>
      <c r="HC82" s="77"/>
      <c r="HD82" s="77"/>
      <c r="HE82" s="77"/>
      <c r="HF82" s="77"/>
      <c r="HG82" s="77"/>
      <c r="HH82" s="77"/>
      <c r="HI82" s="77"/>
      <c r="HJ82" s="77"/>
      <c r="HK82" s="77"/>
      <c r="IF82" s="77"/>
      <c r="IG82" s="77"/>
      <c r="IH82" s="77"/>
      <c r="II82" s="77"/>
      <c r="IJ82" s="77"/>
      <c r="IK82" s="77"/>
      <c r="IL82" s="77"/>
      <c r="IM82" s="77"/>
      <c r="IN82" s="77"/>
      <c r="IO82" s="77"/>
      <c r="IP82" s="77"/>
      <c r="IQ82" s="77"/>
      <c r="IR82" s="77"/>
      <c r="IS82" s="77"/>
      <c r="IT82" s="77"/>
      <c r="IU82" s="77"/>
      <c r="IV82" s="77"/>
      <c r="IW82" s="77"/>
      <c r="IX82" s="77"/>
      <c r="IY82" s="77"/>
      <c r="IZ82" s="77"/>
      <c r="JA82" s="77"/>
      <c r="JB82" s="77"/>
      <c r="JC82" s="77"/>
      <c r="JD82" s="77"/>
      <c r="JE82" s="77"/>
      <c r="JF82" s="77"/>
      <c r="JG82" s="77"/>
      <c r="JH82" s="77"/>
      <c r="JI82" s="77"/>
      <c r="JJ82" s="77"/>
      <c r="JK82" s="77"/>
      <c r="JL82" s="77"/>
      <c r="JM82" s="77"/>
      <c r="JN82" s="77"/>
      <c r="JO82" s="77"/>
      <c r="JP82" s="77"/>
      <c r="JQ82" s="77"/>
      <c r="JR82" s="77"/>
      <c r="JS82" s="77"/>
      <c r="JT82" s="77"/>
      <c r="JU82" s="77"/>
      <c r="JV82" s="77"/>
      <c r="JW82" s="77"/>
      <c r="JX82" s="77"/>
      <c r="KM82" s="77"/>
      <c r="KN82" s="77"/>
      <c r="KO82" s="77"/>
      <c r="KP82" s="77"/>
      <c r="KQ82" s="77"/>
      <c r="KR82" s="77"/>
      <c r="KS82" s="77"/>
      <c r="KT82" s="77"/>
      <c r="KU82" s="77"/>
      <c r="KV82" s="77"/>
      <c r="KW82" s="77"/>
      <c r="KX82" s="77"/>
      <c r="KY82" s="77"/>
      <c r="KZ82" s="77"/>
      <c r="LA82" s="77"/>
      <c r="LB82" s="77"/>
      <c r="LC82" s="77"/>
      <c r="LD82" s="77"/>
      <c r="LE82" s="77"/>
      <c r="LF82" s="77"/>
      <c r="LG82" s="77"/>
      <c r="LH82" s="77"/>
      <c r="LI82" s="77"/>
      <c r="LJ82" s="77"/>
      <c r="LK82" s="77"/>
      <c r="LL82" s="77"/>
      <c r="LM82" s="77"/>
      <c r="LN82" s="77"/>
      <c r="LO82" s="77"/>
      <c r="LP82" s="77"/>
      <c r="LQ82" s="77"/>
      <c r="LR82" s="77"/>
      <c r="LS82" s="77"/>
      <c r="LT82" s="77"/>
      <c r="LU82" s="77"/>
      <c r="LV82" s="77"/>
      <c r="LY82" s="77"/>
      <c r="LZ82" s="77"/>
      <c r="MA82" s="77"/>
      <c r="MB82" s="77"/>
      <c r="MC82" s="77"/>
      <c r="MD82" s="77"/>
      <c r="ME82" s="77"/>
      <c r="MF82" s="77"/>
      <c r="MG82" s="77"/>
      <c r="MH82" s="77"/>
      <c r="MI82" s="77"/>
      <c r="MJ82" s="77"/>
      <c r="MK82" s="77"/>
      <c r="ML82" s="77"/>
      <c r="MM82" s="77"/>
      <c r="MN82" s="77"/>
      <c r="MO82" s="77"/>
      <c r="MP82" s="77"/>
      <c r="MQ82" s="77"/>
      <c r="MR82" s="77"/>
      <c r="ND82" s="77"/>
    </row>
    <row r="83" spans="1:421" ht="18.600000000000001" customHeight="1" x14ac:dyDescent="0.25">
      <c r="A83" s="119" t="s">
        <v>278</v>
      </c>
      <c r="B83" s="27" t="s">
        <v>3816</v>
      </c>
      <c r="C83" s="27" t="s">
        <v>6398</v>
      </c>
      <c r="D83" s="34" t="s">
        <v>1575</v>
      </c>
      <c r="E83" s="34" t="s">
        <v>1571</v>
      </c>
      <c r="F83" s="38" t="s">
        <v>154</v>
      </c>
      <c r="G83" s="38" t="s">
        <v>276</v>
      </c>
      <c r="H83" s="38" t="s">
        <v>788</v>
      </c>
      <c r="I83" s="38" t="s">
        <v>782</v>
      </c>
      <c r="J83" s="27" t="s">
        <v>789</v>
      </c>
      <c r="K83" s="10" t="s">
        <v>777</v>
      </c>
      <c r="L83" s="42" t="s">
        <v>771</v>
      </c>
      <c r="M83" s="42" t="s">
        <v>770</v>
      </c>
      <c r="N83" s="34" t="s">
        <v>1576</v>
      </c>
      <c r="O83" s="27" t="s">
        <v>3193</v>
      </c>
      <c r="P83" s="80">
        <v>96</v>
      </c>
      <c r="Q83" s="80">
        <v>230</v>
      </c>
      <c r="R83" s="27" t="s">
        <v>2994</v>
      </c>
      <c r="S83" s="34" t="s">
        <v>1577</v>
      </c>
      <c r="T83" s="38" t="s">
        <v>771</v>
      </c>
      <c r="U83" s="38">
        <v>1</v>
      </c>
      <c r="V83" s="10" t="s">
        <v>771</v>
      </c>
      <c r="W83" s="38"/>
      <c r="X83" s="27" t="s">
        <v>278</v>
      </c>
      <c r="Y83" s="27" t="s">
        <v>3816</v>
      </c>
      <c r="Z83" s="80">
        <v>12169</v>
      </c>
      <c r="AA83" s="27">
        <v>97</v>
      </c>
      <c r="AB83" s="80">
        <v>118133</v>
      </c>
      <c r="AC83" s="27">
        <v>1351</v>
      </c>
      <c r="AD83" s="27" t="s">
        <v>3817</v>
      </c>
      <c r="AE83" s="27">
        <v>267139205</v>
      </c>
      <c r="AF83" s="27" t="s">
        <v>6398</v>
      </c>
      <c r="AG83" s="27" t="s">
        <v>3818</v>
      </c>
      <c r="AH83" s="79">
        <v>6.4946638207043801</v>
      </c>
      <c r="AI83" s="83">
        <v>16.401015228426399</v>
      </c>
      <c r="AJ83" s="80">
        <v>2.0069759330310402</v>
      </c>
      <c r="AK83" s="80">
        <v>3.3617021276595702</v>
      </c>
      <c r="AL83" s="27">
        <v>109</v>
      </c>
      <c r="AM83" s="97">
        <f t="shared" si="1"/>
        <v>3.4062500000000002E-2</v>
      </c>
      <c r="AN83" s="27" t="s">
        <v>278</v>
      </c>
      <c r="AO83" s="27">
        <v>3</v>
      </c>
      <c r="AP83" s="27">
        <v>2</v>
      </c>
      <c r="AQ83" s="27">
        <v>2</v>
      </c>
      <c r="AR83" s="27">
        <f>SUM(AO83:AQ83)</f>
        <v>7</v>
      </c>
      <c r="AS83" s="27" t="s">
        <v>5184</v>
      </c>
      <c r="AT83" s="27" t="s">
        <v>5185</v>
      </c>
      <c r="AU83" s="84" t="s">
        <v>4757</v>
      </c>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c r="FL83" s="77"/>
      <c r="FM83" s="77"/>
      <c r="FN83" s="77"/>
      <c r="FO83" s="77"/>
      <c r="FP83" s="77"/>
      <c r="FQ83" s="77"/>
      <c r="FR83" s="77"/>
      <c r="FS83" s="77"/>
      <c r="FT83" s="77"/>
      <c r="FU83" s="77"/>
      <c r="FV83" s="77"/>
      <c r="FW83" s="77"/>
      <c r="FX83" s="77"/>
      <c r="FY83" s="77"/>
      <c r="FZ83" s="77"/>
      <c r="GA83" s="77"/>
      <c r="GB83" s="77"/>
      <c r="GC83" s="77"/>
      <c r="GD83" s="77"/>
      <c r="GE83" s="77"/>
      <c r="GF83" s="77"/>
      <c r="GG83" s="77"/>
      <c r="GH83" s="77"/>
      <c r="GI83" s="77"/>
      <c r="GJ83" s="77"/>
      <c r="GK83" s="77"/>
      <c r="HL83" s="77"/>
      <c r="HM83" s="77"/>
      <c r="HN83" s="77"/>
      <c r="HO83" s="77"/>
      <c r="HP83" s="77"/>
      <c r="HQ83" s="77"/>
      <c r="HR83" s="77"/>
      <c r="HS83" s="77"/>
      <c r="HT83" s="77"/>
      <c r="HU83" s="77"/>
      <c r="HV83" s="77"/>
      <c r="HW83" s="77"/>
      <c r="HX83" s="77"/>
      <c r="HY83" s="77"/>
      <c r="HZ83" s="77"/>
      <c r="IA83" s="77"/>
      <c r="IB83" s="77"/>
      <c r="IC83" s="77"/>
      <c r="JY83" s="77"/>
      <c r="JZ83" s="77"/>
      <c r="KA83" s="77"/>
      <c r="KB83" s="77"/>
      <c r="KC83" s="77"/>
      <c r="KD83" s="77"/>
      <c r="KE83" s="77"/>
      <c r="KF83" s="77"/>
      <c r="KG83" s="77"/>
      <c r="KH83" s="77"/>
      <c r="KI83" s="77"/>
      <c r="KJ83" s="77"/>
      <c r="KK83" s="77"/>
      <c r="KL83" s="77"/>
      <c r="KM83" s="77"/>
      <c r="KN83" s="77"/>
      <c r="KO83" s="77"/>
      <c r="KP83" s="77"/>
      <c r="KQ83" s="77"/>
      <c r="KR83" s="77"/>
      <c r="KS83" s="77"/>
      <c r="KT83" s="77"/>
      <c r="KU83" s="77"/>
      <c r="KV83" s="77"/>
      <c r="KW83" s="77"/>
      <c r="KX83" s="77"/>
      <c r="KY83" s="77"/>
      <c r="KZ83" s="77"/>
      <c r="LA83" s="77"/>
      <c r="LB83" s="77"/>
      <c r="LC83" s="77"/>
      <c r="LD83" s="77"/>
      <c r="LE83" s="77"/>
      <c r="LF83" s="77"/>
      <c r="LG83" s="77"/>
      <c r="LH83" s="77"/>
      <c r="LI83" s="77"/>
      <c r="LJ83" s="77"/>
      <c r="LK83" s="77"/>
      <c r="LL83" s="77"/>
      <c r="LM83" s="77"/>
      <c r="LN83" s="77"/>
      <c r="LO83" s="77"/>
      <c r="LP83" s="77"/>
      <c r="LQ83" s="77"/>
      <c r="LR83" s="77"/>
      <c r="LS83" s="77"/>
      <c r="LT83" s="77"/>
      <c r="LU83" s="77"/>
      <c r="LV83" s="77"/>
      <c r="LY83" s="77"/>
      <c r="LZ83" s="77"/>
      <c r="MA83" s="77"/>
      <c r="MB83" s="77"/>
      <c r="MC83" s="77"/>
      <c r="MD83" s="77"/>
      <c r="ME83" s="77"/>
      <c r="MF83" s="77"/>
      <c r="MG83" s="77"/>
      <c r="MH83" s="77"/>
      <c r="MI83" s="77"/>
      <c r="MJ83" s="77"/>
      <c r="MK83" s="77"/>
      <c r="ML83" s="77"/>
      <c r="MM83" s="77"/>
      <c r="MN83" s="77"/>
      <c r="MO83" s="77"/>
      <c r="MP83" s="77"/>
      <c r="MQ83" s="77"/>
      <c r="MR83" s="77"/>
      <c r="MS83" s="77"/>
    </row>
    <row r="84" spans="1:421" ht="18.600000000000001" customHeight="1" x14ac:dyDescent="0.25">
      <c r="A84" s="119" t="s">
        <v>2599</v>
      </c>
      <c r="B84" s="27" t="s">
        <v>2600</v>
      </c>
      <c r="C84" s="27" t="s">
        <v>2601</v>
      </c>
      <c r="D84" s="30" t="str">
        <f>HYPERLINK("https://twitter.com/USAenEspanol","https://twitter.com/USAenEspanol")</f>
        <v>https://twitter.com/USAenEspanol</v>
      </c>
      <c r="E84" s="30" t="str">
        <f>HYPERLINK("http://twiplomacy.com/info/north-america/United-States","http://twiplomacy.com/info/north-america/United-States")</f>
        <v>http://twiplomacy.com/info/north-america/United-States</v>
      </c>
      <c r="F84" s="10" t="s">
        <v>558</v>
      </c>
      <c r="G84" s="10" t="s">
        <v>633</v>
      </c>
      <c r="H84" s="10" t="s">
        <v>2539</v>
      </c>
      <c r="I84" s="10" t="s">
        <v>782</v>
      </c>
      <c r="J84" s="27" t="s">
        <v>789</v>
      </c>
      <c r="K84" s="15" t="s">
        <v>777</v>
      </c>
      <c r="L84" s="10" t="s">
        <v>771</v>
      </c>
      <c r="M84" s="10" t="s">
        <v>770</v>
      </c>
      <c r="N84" s="30" t="str">
        <f>HYPERLINK("https://twitter.com/USAenEspanol/statuses/38346760397000704","https://twitter.com/USAenEspanol/statuses/38346760397000704")</f>
        <v>https://twitter.com/USAenEspanol/statuses/38346760397000704</v>
      </c>
      <c r="O84" s="20" t="s">
        <v>2602</v>
      </c>
      <c r="P84" s="46">
        <v>1253</v>
      </c>
      <c r="Q84" s="46">
        <v>180</v>
      </c>
      <c r="R84" s="27" t="s">
        <v>2994</v>
      </c>
      <c r="S84" s="10" t="s">
        <v>2603</v>
      </c>
      <c r="T84" s="10" t="s">
        <v>771</v>
      </c>
      <c r="U84" s="10" t="s">
        <v>771</v>
      </c>
      <c r="V84" s="10" t="s">
        <v>771</v>
      </c>
      <c r="W84" s="10"/>
      <c r="X84" s="27" t="s">
        <v>2599</v>
      </c>
      <c r="Y84" s="27" t="s">
        <v>2600</v>
      </c>
      <c r="Z84" s="80">
        <v>12141</v>
      </c>
      <c r="AA84" s="27">
        <v>111</v>
      </c>
      <c r="AB84" s="80">
        <v>63166</v>
      </c>
      <c r="AC84" s="27">
        <v>76</v>
      </c>
      <c r="AD84" s="27" t="s">
        <v>4564</v>
      </c>
      <c r="AE84" s="27">
        <v>252176459</v>
      </c>
      <c r="AF84" s="27" t="s">
        <v>2601</v>
      </c>
      <c r="AG84" s="27"/>
      <c r="AH84" s="79">
        <v>6.3765756302521002</v>
      </c>
      <c r="AI84" s="83">
        <v>14.659090909090899</v>
      </c>
      <c r="AJ84" s="80">
        <v>13.5574198359433</v>
      </c>
      <c r="AK84" s="80">
        <v>8.3687546607009704</v>
      </c>
      <c r="AL84" s="96">
        <v>93</v>
      </c>
      <c r="AM84" s="97">
        <f t="shared" si="1"/>
        <v>2.9062500000000002E-2</v>
      </c>
      <c r="AN84" s="27" t="s">
        <v>2599</v>
      </c>
      <c r="AO84" s="27">
        <v>2</v>
      </c>
      <c r="AP84" s="27">
        <v>25</v>
      </c>
      <c r="AQ84" s="27">
        <v>8</v>
      </c>
      <c r="AR84" s="27">
        <f>SUM(AO84:AQ84)</f>
        <v>35</v>
      </c>
      <c r="AS84" s="27" t="s">
        <v>5371</v>
      </c>
      <c r="AT84" s="27" t="s">
        <v>6870</v>
      </c>
      <c r="AU84" s="84" t="s">
        <v>6191</v>
      </c>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GL84" s="77"/>
      <c r="GM84" s="77"/>
      <c r="GN84" s="77"/>
      <c r="GO84" s="77"/>
      <c r="GP84" s="77"/>
      <c r="GQ84" s="77"/>
      <c r="GR84" s="77"/>
      <c r="GS84" s="77"/>
      <c r="GT84" s="77"/>
      <c r="GU84" s="77"/>
      <c r="GV84" s="77"/>
      <c r="GW84" s="77"/>
      <c r="GX84" s="77"/>
      <c r="GY84" s="77"/>
      <c r="GZ84" s="77"/>
      <c r="HA84" s="77"/>
      <c r="HB84" s="77"/>
      <c r="HC84" s="77"/>
      <c r="HD84" s="77"/>
      <c r="HE84" s="77"/>
      <c r="HF84" s="77"/>
      <c r="HG84" s="77"/>
      <c r="HH84" s="77"/>
      <c r="HI84" s="77"/>
      <c r="HJ84" s="77"/>
      <c r="HK84" s="77"/>
      <c r="HL84" s="77"/>
      <c r="HM84" s="77"/>
      <c r="HN84" s="77"/>
      <c r="HO84" s="77"/>
      <c r="HP84" s="77"/>
      <c r="HQ84" s="77"/>
      <c r="HR84" s="77"/>
      <c r="HS84" s="77"/>
      <c r="HT84" s="77"/>
      <c r="HU84" s="77"/>
      <c r="HV84" s="77"/>
      <c r="HW84" s="77"/>
      <c r="HX84" s="77"/>
      <c r="HY84" s="77"/>
      <c r="HZ84" s="77"/>
      <c r="IA84" s="77"/>
      <c r="IB84" s="77"/>
      <c r="IC84" s="77"/>
      <c r="IF84" s="77"/>
      <c r="IG84" s="77"/>
      <c r="IH84" s="77"/>
      <c r="II84" s="77"/>
      <c r="IJ84" s="77"/>
      <c r="IK84" s="77"/>
      <c r="IL84" s="77"/>
      <c r="IM84" s="77"/>
      <c r="IN84" s="77"/>
      <c r="IO84" s="77"/>
      <c r="IP84" s="77"/>
      <c r="IQ84" s="77"/>
      <c r="IR84" s="77"/>
      <c r="IS84" s="77"/>
      <c r="IT84" s="77"/>
      <c r="IU84" s="77"/>
      <c r="IV84" s="77"/>
      <c r="IW84" s="77"/>
      <c r="IX84" s="77"/>
      <c r="IY84" s="77"/>
      <c r="IZ84" s="77"/>
      <c r="JA84" s="77"/>
      <c r="JB84" s="77"/>
      <c r="JC84" s="77"/>
      <c r="JD84" s="77"/>
      <c r="JE84" s="77"/>
      <c r="JF84" s="77"/>
      <c r="JG84" s="77"/>
      <c r="JH84" s="77"/>
      <c r="JI84" s="77"/>
      <c r="JJ84" s="77"/>
      <c r="JK84" s="77"/>
      <c r="JL84" s="77"/>
      <c r="JM84" s="77"/>
      <c r="JN84" s="77"/>
      <c r="JO84" s="77"/>
      <c r="JP84" s="77"/>
      <c r="JQ84" s="77"/>
      <c r="JR84" s="77"/>
      <c r="JS84" s="77"/>
      <c r="JT84" s="77"/>
      <c r="JU84" s="77"/>
      <c r="JV84" s="77"/>
      <c r="JW84" s="77"/>
      <c r="JX84" s="77"/>
      <c r="LL84" s="77"/>
      <c r="LM84" s="77"/>
      <c r="LN84" s="77"/>
      <c r="LO84" s="77"/>
      <c r="LP84" s="77"/>
      <c r="LQ84" s="77"/>
      <c r="LR84" s="77"/>
      <c r="LS84" s="77"/>
      <c r="LT84" s="77"/>
      <c r="LU84" s="77"/>
      <c r="LV84" s="77"/>
      <c r="MT84" s="77"/>
      <c r="MU84" s="77"/>
      <c r="MV84" s="77"/>
      <c r="MW84" s="77"/>
      <c r="MX84" s="77"/>
      <c r="MY84" s="77"/>
      <c r="MZ84" s="77"/>
      <c r="NA84" s="77"/>
      <c r="NB84" s="77"/>
      <c r="NC84" s="77"/>
    </row>
    <row r="85" spans="1:421" ht="18.600000000000001" customHeight="1" x14ac:dyDescent="0.25">
      <c r="A85" s="119" t="s">
        <v>1158</v>
      </c>
      <c r="B85" s="27" t="s">
        <v>1159</v>
      </c>
      <c r="C85" s="27" t="s">
        <v>1160</v>
      </c>
      <c r="D85" s="30" t="str">
        <f>HYPERLINK("https://twitter.com/UgandaMediaCent","https://twitter.com/UgandaMediaCent")</f>
        <v>https://twitter.com/UgandaMediaCent</v>
      </c>
      <c r="E85" s="30" t="str">
        <f>HYPERLINK("http://twiplomacy.com/info/africa/Uganda","http://twiplomacy.com/info/africa/Uganda")</f>
        <v>http://twiplomacy.com/info/africa/Uganda</v>
      </c>
      <c r="F85" s="10" t="s">
        <v>1</v>
      </c>
      <c r="G85" s="10" t="s">
        <v>142</v>
      </c>
      <c r="H85" s="10" t="s">
        <v>788</v>
      </c>
      <c r="I85" s="10" t="s">
        <v>782</v>
      </c>
      <c r="J85" s="27" t="s">
        <v>789</v>
      </c>
      <c r="K85" s="15" t="s">
        <v>777</v>
      </c>
      <c r="L85" s="10" t="s">
        <v>771</v>
      </c>
      <c r="M85" s="10" t="s">
        <v>770</v>
      </c>
      <c r="N85" s="30" t="str">
        <f>HYPERLINK("https://twitter.com/UgandaMediaCent/statuses/132070276702806017","https://twitter.com/UgandaMediaCent/statuses/132070276702806017")</f>
        <v>https://twitter.com/UgandaMediaCent/statuses/132070276702806017</v>
      </c>
      <c r="O85" s="27" t="s">
        <v>6117</v>
      </c>
      <c r="P85" s="80">
        <v>84</v>
      </c>
      <c r="Q85" s="80">
        <v>0</v>
      </c>
      <c r="R85" s="27" t="s">
        <v>2994</v>
      </c>
      <c r="S85" s="10" t="s">
        <v>1161</v>
      </c>
      <c r="T85" s="10" t="s">
        <v>771</v>
      </c>
      <c r="U85" s="10" t="s">
        <v>771</v>
      </c>
      <c r="V85" s="10" t="s">
        <v>771</v>
      </c>
      <c r="W85" s="10"/>
      <c r="X85" s="27" t="s">
        <v>1158</v>
      </c>
      <c r="Y85" s="27" t="s">
        <v>1159</v>
      </c>
      <c r="Z85" s="80">
        <v>12134</v>
      </c>
      <c r="AA85" s="27">
        <v>181</v>
      </c>
      <c r="AB85" s="80">
        <v>57923</v>
      </c>
      <c r="AC85" s="27">
        <v>74</v>
      </c>
      <c r="AD85" s="27" t="s">
        <v>4548</v>
      </c>
      <c r="AE85" s="27">
        <v>398537661</v>
      </c>
      <c r="AF85" s="27" t="s">
        <v>1160</v>
      </c>
      <c r="AG85" s="27" t="s">
        <v>1162</v>
      </c>
      <c r="AH85" s="79">
        <v>7.35393939393939</v>
      </c>
      <c r="AI85" s="83">
        <v>9.9596273291925499</v>
      </c>
      <c r="AJ85" s="80">
        <v>5.3678553981436297</v>
      </c>
      <c r="AK85" s="80">
        <v>3.27747923790914</v>
      </c>
      <c r="AL85" s="96">
        <v>604</v>
      </c>
      <c r="AM85" s="97">
        <f t="shared" si="1"/>
        <v>0.18875</v>
      </c>
      <c r="AN85" s="27" t="s">
        <v>1158</v>
      </c>
      <c r="AO85" s="27">
        <v>4</v>
      </c>
      <c r="AP85" s="27">
        <v>7</v>
      </c>
      <c r="AQ85" s="27">
        <v>4</v>
      </c>
      <c r="AR85" s="27">
        <f>SUM(AO85:AQ85)</f>
        <v>15</v>
      </c>
      <c r="AS85" s="27" t="s">
        <v>5533</v>
      </c>
      <c r="AT85" s="27" t="s">
        <v>5534</v>
      </c>
      <c r="AU85" s="84" t="s">
        <v>4976</v>
      </c>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c r="CX85" s="77"/>
      <c r="CY85" s="77"/>
      <c r="CZ85" s="77"/>
      <c r="DA85" s="77"/>
      <c r="DB85" s="77"/>
      <c r="DC85" s="77"/>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c r="EM85" s="77"/>
      <c r="EN85" s="77"/>
      <c r="EO85" s="77"/>
      <c r="EQ85" s="77"/>
      <c r="ER85" s="77"/>
      <c r="ES85" s="77"/>
      <c r="ET85" s="77"/>
      <c r="EU85" s="77"/>
      <c r="EV85" s="77"/>
      <c r="EW85" s="77"/>
      <c r="EX85" s="77"/>
      <c r="EY85" s="77"/>
      <c r="EZ85" s="77"/>
      <c r="FA85" s="77"/>
      <c r="FB85" s="77"/>
      <c r="FC85" s="77"/>
      <c r="FD85" s="77"/>
      <c r="FE85" s="77"/>
      <c r="FF85" s="77"/>
      <c r="FG85" s="77"/>
      <c r="FH85" s="77"/>
      <c r="FI85" s="77"/>
      <c r="FJ85" s="77"/>
      <c r="FK85" s="77"/>
      <c r="FL85" s="77"/>
      <c r="FM85" s="77"/>
      <c r="FN85" s="77"/>
      <c r="FO85" s="77"/>
      <c r="FP85" s="77"/>
      <c r="FQ85" s="77"/>
      <c r="FR85" s="77"/>
      <c r="FS85" s="77"/>
      <c r="FT85" s="77"/>
      <c r="FU85" s="77"/>
      <c r="FV85" s="77"/>
      <c r="FW85" s="77"/>
      <c r="FX85" s="77"/>
      <c r="FY85" s="77"/>
      <c r="FZ85" s="77"/>
      <c r="GA85" s="77"/>
      <c r="GB85" s="77"/>
      <c r="GC85" s="77"/>
      <c r="GD85" s="77"/>
      <c r="GE85" s="77"/>
      <c r="GF85" s="77"/>
      <c r="GG85" s="77"/>
      <c r="GH85" s="77"/>
      <c r="GI85" s="77"/>
      <c r="GJ85" s="77"/>
      <c r="GK85" s="77"/>
      <c r="GL85" s="77"/>
      <c r="GM85" s="77"/>
      <c r="GN85" s="77"/>
      <c r="GO85" s="77"/>
      <c r="GP85" s="77"/>
      <c r="GQ85" s="77"/>
      <c r="GR85" s="77"/>
      <c r="GS85" s="77"/>
      <c r="GT85" s="77"/>
      <c r="GU85" s="77"/>
      <c r="GV85" s="77"/>
      <c r="GW85" s="77"/>
      <c r="GX85" s="77"/>
      <c r="GY85" s="77"/>
      <c r="GZ85" s="77"/>
      <c r="HA85" s="77"/>
      <c r="HB85" s="77"/>
      <c r="HC85" s="77"/>
      <c r="HD85" s="77"/>
      <c r="HE85" s="77"/>
      <c r="HF85" s="77"/>
      <c r="HG85" s="77"/>
      <c r="HH85" s="77"/>
      <c r="HI85" s="77"/>
      <c r="HJ85" s="77"/>
      <c r="HK85" s="77"/>
      <c r="ID85" s="77"/>
      <c r="IE85" s="77"/>
      <c r="IF85" s="77"/>
      <c r="IG85" s="77"/>
      <c r="IH85" s="77"/>
      <c r="II85" s="77"/>
      <c r="IJ85" s="77"/>
      <c r="IK85" s="77"/>
      <c r="IL85" s="77"/>
      <c r="IM85" s="77"/>
      <c r="IN85" s="77"/>
      <c r="IO85" s="77"/>
      <c r="IP85" s="77"/>
      <c r="IQ85" s="77"/>
      <c r="IR85" s="77"/>
      <c r="IS85" s="77"/>
      <c r="IT85" s="77"/>
      <c r="IU85" s="77"/>
      <c r="IV85" s="77"/>
      <c r="IW85" s="77"/>
      <c r="IX85" s="77"/>
      <c r="IY85" s="77"/>
      <c r="IZ85" s="77"/>
      <c r="JA85" s="77"/>
      <c r="JB85" s="77"/>
      <c r="JC85" s="77"/>
      <c r="JD85" s="77"/>
      <c r="JE85" s="77"/>
      <c r="JF85" s="77"/>
      <c r="JG85" s="77"/>
      <c r="JH85" s="77"/>
      <c r="JI85" s="77"/>
      <c r="JJ85" s="77"/>
      <c r="JK85" s="77"/>
      <c r="JL85" s="77"/>
      <c r="JM85" s="77"/>
      <c r="JN85" s="77"/>
      <c r="JO85" s="77"/>
      <c r="JP85" s="77"/>
      <c r="JQ85" s="77"/>
      <c r="JR85" s="77"/>
      <c r="JS85" s="77"/>
      <c r="JT85" s="77"/>
      <c r="JU85" s="77"/>
      <c r="JV85" s="77"/>
      <c r="JW85" s="77"/>
      <c r="JX85" s="77"/>
      <c r="JY85" s="77"/>
      <c r="JZ85" s="77"/>
      <c r="KA85" s="77"/>
      <c r="KB85" s="77"/>
      <c r="KC85" s="77"/>
      <c r="KD85" s="77"/>
      <c r="KE85" s="77"/>
      <c r="KF85" s="77"/>
      <c r="KG85" s="77"/>
      <c r="KH85" s="77"/>
      <c r="KI85" s="77"/>
      <c r="KJ85" s="77"/>
      <c r="KK85" s="77"/>
      <c r="KL85" s="77"/>
      <c r="KM85" s="77"/>
      <c r="KN85" s="77"/>
      <c r="KO85" s="77"/>
      <c r="KP85" s="77"/>
      <c r="KQ85" s="77"/>
      <c r="KR85" s="77"/>
      <c r="KS85" s="77"/>
      <c r="KT85" s="77"/>
      <c r="KU85" s="77"/>
      <c r="KV85" s="77"/>
      <c r="KW85" s="77"/>
      <c r="KX85" s="77"/>
      <c r="KY85" s="77"/>
      <c r="KZ85" s="77"/>
      <c r="LA85" s="77"/>
      <c r="LB85" s="77"/>
      <c r="LC85" s="77"/>
      <c r="LD85" s="77"/>
      <c r="LE85" s="77"/>
      <c r="LF85" s="77"/>
      <c r="LG85" s="77"/>
      <c r="LH85" s="77"/>
      <c r="LI85" s="77"/>
      <c r="LJ85" s="77"/>
      <c r="LK85" s="77"/>
      <c r="LL85" s="77"/>
      <c r="LM85" s="77"/>
      <c r="LN85" s="77"/>
      <c r="LO85" s="77"/>
      <c r="LP85" s="77"/>
      <c r="LQ85" s="77"/>
      <c r="LR85" s="77"/>
      <c r="LS85" s="77"/>
      <c r="LT85" s="77"/>
      <c r="LU85" s="77"/>
      <c r="LV85" s="77"/>
      <c r="LW85" s="77"/>
      <c r="LX85" s="77"/>
      <c r="LY85" s="77"/>
      <c r="LZ85" s="77"/>
      <c r="MA85" s="77"/>
      <c r="MB85" s="77"/>
      <c r="MC85" s="77"/>
      <c r="MD85" s="77"/>
      <c r="ME85" s="77"/>
      <c r="MF85" s="77"/>
      <c r="MG85" s="77"/>
      <c r="MH85" s="77"/>
      <c r="MI85" s="77"/>
      <c r="MJ85" s="77"/>
      <c r="MK85" s="77"/>
      <c r="ML85" s="77"/>
      <c r="MM85" s="77"/>
      <c r="MN85" s="77"/>
      <c r="MO85" s="77"/>
      <c r="MP85" s="77"/>
      <c r="MQ85" s="77"/>
      <c r="MR85" s="77"/>
      <c r="MS85" s="77"/>
      <c r="MT85" s="77"/>
      <c r="MU85" s="77"/>
      <c r="MV85" s="77"/>
      <c r="MW85" s="77"/>
      <c r="MX85" s="77"/>
      <c r="MY85" s="77"/>
      <c r="MZ85" s="77"/>
      <c r="NA85" s="77"/>
      <c r="NB85" s="77"/>
      <c r="NC85" s="77"/>
      <c r="ND85" s="77"/>
      <c r="NE85" s="77"/>
      <c r="NF85" s="77"/>
      <c r="NG85" s="77"/>
      <c r="NH85" s="77"/>
      <c r="NI85" s="77"/>
      <c r="NJ85" s="77"/>
      <c r="NK85" s="77"/>
      <c r="NL85" s="77"/>
      <c r="NM85" s="77"/>
      <c r="NN85" s="77"/>
      <c r="NO85" s="77"/>
      <c r="NP85" s="77"/>
      <c r="NQ85" s="77"/>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row>
    <row r="86" spans="1:421" ht="18.600000000000001" customHeight="1" x14ac:dyDescent="0.25">
      <c r="A86" s="119" t="s">
        <v>188</v>
      </c>
      <c r="B86" s="27" t="s">
        <v>4043</v>
      </c>
      <c r="C86" s="27" t="s">
        <v>4044</v>
      </c>
      <c r="D86" s="30" t="str">
        <f>HYPERLINK("https://twitter.com/MEAIndia","https://twitter.com/MEAIndia")</f>
        <v>https://twitter.com/MEAIndia</v>
      </c>
      <c r="E86" s="30" t="str">
        <f>HYPERLINK("http://twiplomacy.com/info/asia/India","http://twiplomacy.com/info/asia/India")</f>
        <v>http://twiplomacy.com/info/asia/India</v>
      </c>
      <c r="F86" s="10" t="s">
        <v>154</v>
      </c>
      <c r="G86" s="10" t="s">
        <v>182</v>
      </c>
      <c r="H86" s="10" t="s">
        <v>795</v>
      </c>
      <c r="I86" s="10" t="s">
        <v>1292</v>
      </c>
      <c r="J86" s="27" t="s">
        <v>789</v>
      </c>
      <c r="K86" s="10" t="s">
        <v>777</v>
      </c>
      <c r="L86" s="10" t="s">
        <v>770</v>
      </c>
      <c r="M86" s="10" t="s">
        <v>770</v>
      </c>
      <c r="N86" s="30" t="str">
        <f>HYPERLINK("https://twitter.com/MEAIndia/status/149091114085920768","https://twitter.com/MEAIndia/status/149091114085920768")</f>
        <v>https://twitter.com/MEAIndia/status/149091114085920768</v>
      </c>
      <c r="O86" s="27" t="s">
        <v>5932</v>
      </c>
      <c r="P86" s="80">
        <v>3134</v>
      </c>
      <c r="Q86" s="80">
        <v>1914</v>
      </c>
      <c r="R86" s="27" t="s">
        <v>2994</v>
      </c>
      <c r="S86" s="30" t="str">
        <f>HYPERLINK("https://twitter.com/MEAIndia/lists","https://twitter.com/MEAIndia/lists")</f>
        <v>https://twitter.com/MEAIndia/lists</v>
      </c>
      <c r="T86" s="10" t="s">
        <v>771</v>
      </c>
      <c r="U86" s="10">
        <v>6</v>
      </c>
      <c r="V86" s="10" t="s">
        <v>771</v>
      </c>
      <c r="W86" s="10"/>
      <c r="X86" s="27" t="s">
        <v>188</v>
      </c>
      <c r="Y86" s="27" t="s">
        <v>4043</v>
      </c>
      <c r="Z86" s="80">
        <v>12094</v>
      </c>
      <c r="AA86" s="27">
        <v>671</v>
      </c>
      <c r="AB86" s="80">
        <v>789276</v>
      </c>
      <c r="AC86" s="27">
        <v>2</v>
      </c>
      <c r="AD86" s="27" t="s">
        <v>4045</v>
      </c>
      <c r="AE86" s="27">
        <v>441636351</v>
      </c>
      <c r="AF86" s="27" t="s">
        <v>4044</v>
      </c>
      <c r="AG86" s="27"/>
      <c r="AH86" s="79">
        <v>7.58244514106583</v>
      </c>
      <c r="AI86" s="83">
        <v>9.2485714285714309</v>
      </c>
      <c r="AJ86" s="80">
        <v>110.032608695652</v>
      </c>
      <c r="AK86" s="80">
        <v>129.84442934782601</v>
      </c>
      <c r="AL86" s="27">
        <v>707</v>
      </c>
      <c r="AM86" s="97">
        <f t="shared" si="1"/>
        <v>0.22093750000000001</v>
      </c>
      <c r="AN86" s="27" t="s">
        <v>188</v>
      </c>
      <c r="AO86" s="27">
        <v>113</v>
      </c>
      <c r="AP86" s="27">
        <v>12</v>
      </c>
      <c r="AQ86" s="27">
        <v>36</v>
      </c>
      <c r="AR86" s="27">
        <f>SUM(AO86:AQ86)</f>
        <v>161</v>
      </c>
      <c r="AS86" s="27" t="s">
        <v>6586</v>
      </c>
      <c r="AT86" s="27" t="s">
        <v>6787</v>
      </c>
      <c r="AU86" s="84" t="s">
        <v>4834</v>
      </c>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c r="CX86" s="77"/>
      <c r="CY86" s="77"/>
      <c r="CZ86" s="77"/>
      <c r="DA86" s="77"/>
      <c r="DB86" s="77"/>
      <c r="DC86" s="77"/>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P86" s="77"/>
      <c r="EQ86" s="77"/>
      <c r="ER86" s="77"/>
      <c r="ES86" s="77"/>
      <c r="ET86" s="77"/>
      <c r="EU86" s="77"/>
      <c r="EV86" s="77"/>
      <c r="EW86" s="77"/>
      <c r="EX86" s="77"/>
      <c r="EY86" s="77"/>
      <c r="EZ86" s="77"/>
      <c r="FA86" s="77"/>
      <c r="FB86" s="77"/>
      <c r="FC86" s="77"/>
      <c r="FD86" s="77"/>
      <c r="FE86" s="77"/>
      <c r="FF86" s="77"/>
      <c r="FG86" s="77"/>
      <c r="FH86" s="77"/>
      <c r="FI86" s="77"/>
      <c r="FJ86" s="77"/>
      <c r="FK86" s="77"/>
      <c r="FL86" s="77"/>
      <c r="FM86" s="77"/>
      <c r="FN86" s="77"/>
      <c r="FO86" s="77"/>
      <c r="FP86" s="77"/>
      <c r="FQ86" s="77"/>
      <c r="FR86" s="77"/>
      <c r="FS86" s="77"/>
      <c r="FT86" s="77"/>
      <c r="FU86" s="77"/>
      <c r="FV86" s="77"/>
      <c r="FW86" s="77"/>
      <c r="FX86" s="77"/>
      <c r="FY86" s="77"/>
      <c r="FZ86" s="77"/>
      <c r="GA86" s="77"/>
      <c r="GB86" s="77"/>
      <c r="GC86" s="77"/>
      <c r="GD86" s="77"/>
      <c r="GE86" s="77"/>
      <c r="GF86" s="77"/>
      <c r="GG86" s="77"/>
      <c r="GH86" s="77"/>
      <c r="GI86" s="77"/>
      <c r="GJ86" s="77"/>
      <c r="GK86" s="77"/>
      <c r="GL86" s="77"/>
      <c r="GM86" s="77"/>
      <c r="GN86" s="77"/>
      <c r="GO86" s="77"/>
      <c r="GP86" s="77"/>
      <c r="GQ86" s="77"/>
      <c r="GR86" s="77"/>
      <c r="GS86" s="77"/>
      <c r="GT86" s="77"/>
      <c r="GU86" s="77"/>
      <c r="GV86" s="77"/>
      <c r="GW86" s="77"/>
      <c r="GX86" s="77"/>
      <c r="GY86" s="77"/>
      <c r="GZ86" s="77"/>
      <c r="HA86" s="77"/>
      <c r="HB86" s="77"/>
      <c r="HC86" s="77"/>
      <c r="HD86" s="77"/>
      <c r="HE86" s="77"/>
      <c r="HF86" s="77"/>
      <c r="HG86" s="77"/>
      <c r="HH86" s="77"/>
      <c r="HI86" s="77"/>
      <c r="HJ86" s="77"/>
      <c r="HK86" s="77"/>
      <c r="ID86" s="77"/>
      <c r="IE86" s="77"/>
      <c r="LL86" s="77"/>
      <c r="LM86" s="77"/>
      <c r="LN86" s="77"/>
      <c r="LO86" s="77"/>
      <c r="LP86" s="77"/>
      <c r="LQ86" s="77"/>
      <c r="LR86" s="77"/>
      <c r="LS86" s="77"/>
      <c r="LT86" s="77"/>
      <c r="LU86" s="77"/>
      <c r="LV86" s="77"/>
      <c r="MS86" s="16"/>
    </row>
    <row r="87" spans="1:421" ht="18.600000000000001" customHeight="1" x14ac:dyDescent="0.25">
      <c r="A87" s="119" t="s">
        <v>170</v>
      </c>
      <c r="B87" s="27" t="s">
        <v>1234</v>
      </c>
      <c r="C87" s="27" t="s">
        <v>1235</v>
      </c>
      <c r="D87" s="30" t="str">
        <f>HYPERLINK("https://twitter.com/bahdiplomatic","https://twitter.com/bahdiplomatic")</f>
        <v>https://twitter.com/bahdiplomatic</v>
      </c>
      <c r="E87" s="30" t="str">
        <f>HYPERLINK("http://twiplomacy.com/info/asia/Bahrain","http://twiplomacy.com/info/asia/Bahrain")</f>
        <v>http://twiplomacy.com/info/asia/Bahrain</v>
      </c>
      <c r="F87" s="10" t="s">
        <v>154</v>
      </c>
      <c r="G87" s="10" t="s">
        <v>167</v>
      </c>
      <c r="H87" s="10" t="s">
        <v>795</v>
      </c>
      <c r="I87" s="10" t="s">
        <v>782</v>
      </c>
      <c r="J87" s="27" t="s">
        <v>789</v>
      </c>
      <c r="K87" s="15" t="s">
        <v>777</v>
      </c>
      <c r="L87" s="10" t="s">
        <v>771</v>
      </c>
      <c r="M87" s="10" t="s">
        <v>771</v>
      </c>
      <c r="N87" s="30" t="str">
        <f>HYPERLINK("https://twitter.com/bahdiplomatic/statuses/6269617237","https://twitter.com/bahdiplomatic/statuses/6269617237")</f>
        <v>https://twitter.com/bahdiplomatic/statuses/6269617237</v>
      </c>
      <c r="O87" s="27" t="s">
        <v>5698</v>
      </c>
      <c r="P87" s="80">
        <v>465</v>
      </c>
      <c r="Q87" s="80">
        <v>46</v>
      </c>
      <c r="R87" s="27" t="s">
        <v>2994</v>
      </c>
      <c r="S87" s="30" t="str">
        <f>HYPERLINK("https://twitter.com/bahdiplomatic/lists","https://twitter.com/bahdiplomatic/lists")</f>
        <v>https://twitter.com/bahdiplomatic/lists</v>
      </c>
      <c r="T87" s="10">
        <v>1</v>
      </c>
      <c r="U87" s="10" t="s">
        <v>771</v>
      </c>
      <c r="V87" s="30" t="str">
        <f>HYPERLINK("https://twitter.com/bahdiplomatic/lists/bahrain-s-missions-abroad","https://twitter.com/bahdiplomatic/lists/bahrain-s-missions-abroad")</f>
        <v>https://twitter.com/bahdiplomatic/lists/bahrain-s-missions-abroad</v>
      </c>
      <c r="W87" s="10">
        <v>26</v>
      </c>
      <c r="X87" s="27" t="s">
        <v>170</v>
      </c>
      <c r="Y87" s="27" t="s">
        <v>1234</v>
      </c>
      <c r="Z87" s="80">
        <v>12023</v>
      </c>
      <c r="AA87" s="27">
        <v>29</v>
      </c>
      <c r="AB87" s="80">
        <v>42432</v>
      </c>
      <c r="AC87" s="27">
        <v>63</v>
      </c>
      <c r="AD87" s="27" t="s">
        <v>3496</v>
      </c>
      <c r="AE87" s="27">
        <v>92343706</v>
      </c>
      <c r="AF87" s="27" t="s">
        <v>1235</v>
      </c>
      <c r="AG87" s="27" t="s">
        <v>1233</v>
      </c>
      <c r="AH87" s="79">
        <v>5.1165957446808497</v>
      </c>
      <c r="AI87" s="83">
        <v>5.3080724876441501</v>
      </c>
      <c r="AJ87" s="80">
        <v>7.2647160068846803</v>
      </c>
      <c r="AK87" s="80">
        <v>1.2144578313253001</v>
      </c>
      <c r="AL87" s="96">
        <v>103</v>
      </c>
      <c r="AM87" s="97">
        <f t="shared" si="1"/>
        <v>3.2187500000000001E-2</v>
      </c>
      <c r="AN87" s="27" t="s">
        <v>170</v>
      </c>
      <c r="AO87" s="27">
        <v>0</v>
      </c>
      <c r="AP87" s="27">
        <v>57</v>
      </c>
      <c r="AQ87" s="27">
        <v>1</v>
      </c>
      <c r="AR87" s="27">
        <f>SUM(AO87:AQ87)</f>
        <v>58</v>
      </c>
      <c r="AS87" s="27"/>
      <c r="AT87" s="27" t="s">
        <v>5029</v>
      </c>
      <c r="AU87" s="84" t="s">
        <v>169</v>
      </c>
      <c r="AV87" s="75"/>
      <c r="AW87" s="75"/>
      <c r="AX87" s="75"/>
      <c r="AY87" s="75"/>
      <c r="AZ87" s="75"/>
      <c r="BA87" s="75"/>
      <c r="BB87" s="75"/>
      <c r="BC87" s="75"/>
      <c r="BD87" s="75"/>
      <c r="BE87" s="75"/>
      <c r="BF87" s="75"/>
      <c r="BG87" s="75"/>
      <c r="BH87" s="75"/>
      <c r="BI87" s="75"/>
      <c r="BJ87" s="75"/>
      <c r="BK87" s="75"/>
      <c r="BL87" s="75"/>
      <c r="BM87" s="75"/>
      <c r="BN87" s="75"/>
      <c r="BO87" s="75"/>
      <c r="BP87" s="75"/>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P87" s="77"/>
      <c r="EQ87" s="77"/>
      <c r="ER87" s="77"/>
      <c r="ES87" s="77"/>
      <c r="ET87" s="77"/>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c r="FX87" s="77"/>
      <c r="FY87" s="77"/>
      <c r="FZ87" s="77"/>
      <c r="GA87" s="77"/>
      <c r="GB87" s="77"/>
      <c r="GC87" s="77"/>
      <c r="GD87" s="77"/>
      <c r="GE87" s="77"/>
      <c r="GF87" s="77"/>
      <c r="GG87" s="77"/>
      <c r="GH87" s="77"/>
      <c r="GI87" s="77"/>
      <c r="GJ87" s="77"/>
      <c r="GK87" s="77"/>
      <c r="GL87" s="77"/>
      <c r="GM87" s="77"/>
      <c r="GN87" s="77"/>
      <c r="GO87" s="77"/>
      <c r="GP87" s="77"/>
      <c r="GQ87" s="77"/>
      <c r="GR87" s="77"/>
      <c r="GS87" s="77"/>
      <c r="GT87" s="77"/>
      <c r="GU87" s="77"/>
      <c r="GV87" s="77"/>
      <c r="GW87" s="77"/>
      <c r="GX87" s="77"/>
      <c r="GY87" s="77"/>
      <c r="GZ87" s="77"/>
      <c r="HA87" s="77"/>
      <c r="HB87" s="77"/>
      <c r="HC87" s="77"/>
      <c r="HD87" s="77"/>
      <c r="HE87" s="77"/>
      <c r="HF87" s="77"/>
      <c r="HG87" s="77"/>
      <c r="HH87" s="77"/>
      <c r="HI87" s="77"/>
      <c r="HJ87" s="77"/>
      <c r="HK87" s="77"/>
      <c r="ID87" s="77"/>
      <c r="IE87" s="77"/>
      <c r="IF87" s="77"/>
      <c r="IG87" s="77"/>
      <c r="IH87" s="77"/>
      <c r="II87" s="77"/>
      <c r="IJ87" s="77"/>
      <c r="IK87" s="77"/>
      <c r="IL87" s="77"/>
      <c r="IM87" s="77"/>
      <c r="IN87" s="77"/>
      <c r="IO87" s="77"/>
      <c r="IP87" s="77"/>
      <c r="IQ87" s="77"/>
      <c r="IR87" s="77"/>
      <c r="IS87" s="77"/>
      <c r="IT87" s="77"/>
      <c r="IU87" s="77"/>
      <c r="IV87" s="77"/>
      <c r="IW87" s="77"/>
      <c r="IX87" s="77"/>
      <c r="IY87" s="77"/>
      <c r="IZ87" s="77"/>
      <c r="JA87" s="77"/>
      <c r="JB87" s="77"/>
      <c r="JC87" s="77"/>
      <c r="JD87" s="77"/>
      <c r="JE87" s="77"/>
      <c r="JF87" s="77"/>
      <c r="JG87" s="77"/>
      <c r="JH87" s="77"/>
      <c r="JI87" s="77"/>
      <c r="JJ87" s="77"/>
      <c r="JK87" s="77"/>
      <c r="JL87" s="77"/>
      <c r="JM87" s="77"/>
      <c r="JN87" s="77"/>
      <c r="JO87" s="77"/>
      <c r="JP87" s="77"/>
      <c r="JQ87" s="77"/>
      <c r="JR87" s="77"/>
      <c r="JS87" s="77"/>
      <c r="JT87" s="77"/>
      <c r="JU87" s="77"/>
      <c r="JV87" s="77"/>
      <c r="JW87" s="77"/>
      <c r="JX87" s="77"/>
      <c r="JY87" s="16"/>
      <c r="JZ87" s="16"/>
      <c r="KA87" s="16"/>
      <c r="KB87" s="16"/>
      <c r="KC87" s="16"/>
      <c r="KD87" s="16"/>
      <c r="KE87" s="16"/>
      <c r="KF87" s="16"/>
      <c r="KG87" s="16"/>
      <c r="KH87" s="16"/>
      <c r="KI87" s="16"/>
      <c r="KJ87" s="16"/>
      <c r="KK87" s="16"/>
      <c r="KL87" s="16"/>
      <c r="KM87" s="77"/>
      <c r="KN87" s="77"/>
      <c r="KO87" s="77"/>
      <c r="KP87" s="77"/>
      <c r="KQ87" s="77"/>
      <c r="KR87" s="77"/>
      <c r="KS87" s="77"/>
      <c r="KT87" s="77"/>
      <c r="KU87" s="77"/>
      <c r="KV87" s="77"/>
      <c r="KW87" s="77"/>
      <c r="KX87" s="77"/>
      <c r="KY87" s="77"/>
      <c r="KZ87" s="77"/>
      <c r="LA87" s="77"/>
      <c r="LB87" s="77"/>
      <c r="LC87" s="77"/>
      <c r="LD87" s="77"/>
      <c r="LE87" s="77"/>
      <c r="LF87" s="77"/>
      <c r="LG87" s="77"/>
      <c r="LH87" s="77"/>
      <c r="LI87" s="77"/>
      <c r="LJ87" s="77"/>
      <c r="LK87" s="77"/>
      <c r="LL87" s="77"/>
      <c r="LM87" s="77"/>
      <c r="LN87" s="77"/>
      <c r="LO87" s="77"/>
      <c r="LP87" s="77"/>
      <c r="LQ87" s="77"/>
      <c r="LR87" s="77"/>
      <c r="LS87" s="77"/>
      <c r="LT87" s="77"/>
      <c r="LU87" s="77"/>
      <c r="LV87" s="77"/>
      <c r="LY87" s="77"/>
      <c r="LZ87" s="77"/>
      <c r="MA87" s="77"/>
      <c r="MB87" s="77"/>
      <c r="MC87" s="77"/>
      <c r="MD87" s="77"/>
      <c r="ME87" s="77"/>
      <c r="MF87" s="77"/>
      <c r="MG87" s="77"/>
      <c r="MH87" s="77"/>
      <c r="MI87" s="77"/>
      <c r="MJ87" s="77"/>
      <c r="MK87" s="77"/>
      <c r="ML87" s="77"/>
      <c r="MM87" s="77"/>
      <c r="MN87" s="77"/>
      <c r="MO87" s="77"/>
      <c r="MP87" s="77"/>
      <c r="MQ87" s="77"/>
      <c r="MR87" s="77"/>
      <c r="MS87" s="77"/>
    </row>
    <row r="88" spans="1:421" ht="18.600000000000001" customHeight="1" x14ac:dyDescent="0.25">
      <c r="A88" s="119" t="s">
        <v>619</v>
      </c>
      <c r="B88" s="27" t="s">
        <v>2520</v>
      </c>
      <c r="C88" s="27" t="s">
        <v>2521</v>
      </c>
      <c r="D88" s="30" t="str">
        <f>HYPERLINK("https://twitter.com/JC_Varela","https://twitter.com/PresidenciaPma")</f>
        <v>https://twitter.com/PresidenciaPma</v>
      </c>
      <c r="E88" s="30" t="str">
        <f>HYPERLINK("http://twiplomacy.com/info/north-america/Panama","http://twiplomacy.com/info/north-america/Panama")</f>
        <v>http://twiplomacy.com/info/north-america/Panama</v>
      </c>
      <c r="F88" s="10" t="s">
        <v>558</v>
      </c>
      <c r="G88" s="10" t="s">
        <v>617</v>
      </c>
      <c r="H88" s="10" t="s">
        <v>781</v>
      </c>
      <c r="I88" s="10" t="s">
        <v>782</v>
      </c>
      <c r="J88" s="27" t="s">
        <v>2226</v>
      </c>
      <c r="K88" s="15" t="s">
        <v>777</v>
      </c>
      <c r="L88" s="10" t="s">
        <v>771</v>
      </c>
      <c r="M88" s="10" t="s">
        <v>770</v>
      </c>
      <c r="N88" s="30" t="str">
        <f>HYPERLINK("https://twitter.com/MetroLibrePTY/status/517471809860796416","https://twitter.com/MetroLibrePTY/status/517471809860796416")</f>
        <v>https://twitter.com/MetroLibrePTY/status/517471809860796416</v>
      </c>
      <c r="O88" s="20" t="s">
        <v>2522</v>
      </c>
      <c r="P88" s="46">
        <v>179</v>
      </c>
      <c r="Q88" s="46">
        <v>136</v>
      </c>
      <c r="R88" s="27" t="s">
        <v>2994</v>
      </c>
      <c r="S88" s="30" t="str">
        <f>HYPERLINK("https://twitter.com/PresidenciaPma/lists","https://twitter.com/PresidenciaPma/lists")</f>
        <v>https://twitter.com/PresidenciaPma/lists</v>
      </c>
      <c r="T88" s="10" t="s">
        <v>771</v>
      </c>
      <c r="U88" s="10" t="s">
        <v>771</v>
      </c>
      <c r="V88" s="10" t="s">
        <v>771</v>
      </c>
      <c r="W88" s="10"/>
      <c r="X88" s="27" t="s">
        <v>619</v>
      </c>
      <c r="Y88" s="27" t="s">
        <v>2520</v>
      </c>
      <c r="Z88" s="80">
        <v>11880</v>
      </c>
      <c r="AA88" s="27">
        <v>314</v>
      </c>
      <c r="AB88" s="80">
        <v>40438</v>
      </c>
      <c r="AC88" s="27">
        <v>369</v>
      </c>
      <c r="AD88" s="27" t="s">
        <v>4340</v>
      </c>
      <c r="AE88" s="27">
        <v>2789861946</v>
      </c>
      <c r="AF88" s="27" t="s">
        <v>2521</v>
      </c>
      <c r="AG88" s="27"/>
      <c r="AH88" s="79">
        <v>19.6039603960396</v>
      </c>
      <c r="AI88" s="83">
        <v>36.942528735632202</v>
      </c>
      <c r="AJ88" s="80">
        <v>26.2551083591331</v>
      </c>
      <c r="AK88" s="80">
        <v>11.834055727554199</v>
      </c>
      <c r="AL88" s="27">
        <v>11</v>
      </c>
      <c r="AM88" s="97">
        <f t="shared" si="1"/>
        <v>3.4375E-3</v>
      </c>
      <c r="AN88" s="27" t="s">
        <v>619</v>
      </c>
      <c r="AO88" s="27">
        <v>19</v>
      </c>
      <c r="AP88" s="27">
        <v>9</v>
      </c>
      <c r="AQ88" s="27">
        <v>8</v>
      </c>
      <c r="AR88" s="27">
        <f>SUM(AO88:AQ88)</f>
        <v>36</v>
      </c>
      <c r="AS88" s="27" t="s">
        <v>6615</v>
      </c>
      <c r="AT88" s="27" t="s">
        <v>5430</v>
      </c>
      <c r="AU88" s="84" t="s">
        <v>4915</v>
      </c>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77"/>
      <c r="CU88" s="77"/>
      <c r="CV88" s="77"/>
      <c r="CW88" s="77"/>
      <c r="CX88" s="77"/>
      <c r="CY88" s="77"/>
      <c r="CZ88" s="77"/>
      <c r="DA88" s="77"/>
      <c r="DB88" s="77"/>
      <c r="DC88" s="77"/>
      <c r="DD88" s="77"/>
      <c r="DE88" s="77"/>
      <c r="DF88" s="77"/>
      <c r="DG88" s="77"/>
      <c r="DH88" s="77"/>
      <c r="DI88" s="77"/>
      <c r="DJ88" s="77"/>
      <c r="DK88" s="77"/>
      <c r="DL88" s="77"/>
      <c r="DM88" s="77"/>
      <c r="DN88" s="77"/>
      <c r="DO88" s="77"/>
      <c r="DP88" s="77"/>
      <c r="DQ88" s="77"/>
      <c r="DR88" s="77"/>
      <c r="DS88" s="77"/>
      <c r="DT88" s="77"/>
      <c r="DU88" s="77"/>
      <c r="DV88" s="77"/>
      <c r="DW88" s="77"/>
      <c r="DX88" s="77"/>
      <c r="DY88" s="77"/>
      <c r="DZ88" s="77"/>
      <c r="EA88" s="77"/>
      <c r="EB88" s="77"/>
      <c r="EC88" s="77"/>
      <c r="ED88" s="77"/>
      <c r="EE88" s="77"/>
      <c r="EF88" s="77"/>
      <c r="EG88" s="77"/>
      <c r="EH88" s="77"/>
      <c r="EI88" s="77"/>
      <c r="EJ88" s="77"/>
      <c r="EK88" s="77"/>
      <c r="EL88" s="77"/>
      <c r="EM88" s="77"/>
      <c r="EN88" s="77"/>
      <c r="EO88" s="77"/>
      <c r="EP88" s="77"/>
      <c r="EQ88" s="77"/>
      <c r="ER88" s="77"/>
      <c r="ES88" s="77"/>
      <c r="ET88" s="77"/>
      <c r="EU88" s="77"/>
      <c r="EV88" s="77"/>
      <c r="EW88" s="77"/>
      <c r="EX88" s="77"/>
      <c r="EY88" s="77"/>
      <c r="EZ88" s="77"/>
      <c r="FA88" s="77"/>
      <c r="FB88" s="77"/>
      <c r="FC88" s="77"/>
      <c r="FD88" s="77"/>
      <c r="FE88" s="77"/>
      <c r="FF88" s="77"/>
      <c r="FG88" s="77"/>
      <c r="FH88" s="77"/>
      <c r="FI88" s="77"/>
      <c r="FJ88" s="77"/>
      <c r="FK88" s="77"/>
      <c r="FL88" s="77"/>
      <c r="FM88" s="77"/>
      <c r="FN88" s="77"/>
      <c r="FO88" s="77"/>
      <c r="FP88" s="77"/>
      <c r="FQ88" s="77"/>
      <c r="FR88" s="77"/>
      <c r="FS88" s="77"/>
      <c r="FT88" s="77"/>
      <c r="FU88" s="77"/>
      <c r="FV88" s="77"/>
      <c r="FW88" s="77"/>
      <c r="FX88" s="77"/>
      <c r="FY88" s="77"/>
      <c r="FZ88" s="77"/>
      <c r="GA88" s="77"/>
      <c r="GB88" s="77"/>
      <c r="GC88" s="77"/>
      <c r="GD88" s="77"/>
      <c r="GE88" s="77"/>
      <c r="GF88" s="77"/>
      <c r="GG88" s="77"/>
      <c r="GH88" s="77"/>
      <c r="GI88" s="77"/>
      <c r="GJ88" s="77"/>
      <c r="GK88" s="77"/>
      <c r="HL88" s="77"/>
      <c r="HM88" s="77"/>
      <c r="HN88" s="77"/>
      <c r="HO88" s="77"/>
      <c r="HP88" s="77"/>
      <c r="HQ88" s="77"/>
      <c r="HR88" s="77"/>
      <c r="HS88" s="77"/>
      <c r="HT88" s="77"/>
      <c r="HU88" s="77"/>
      <c r="HV88" s="77"/>
      <c r="HW88" s="77"/>
      <c r="HX88" s="77"/>
      <c r="HY88" s="77"/>
      <c r="HZ88" s="77"/>
      <c r="IA88" s="77"/>
      <c r="IB88" s="77"/>
      <c r="IC88" s="77"/>
      <c r="ID88" s="77"/>
      <c r="IE88" s="77"/>
      <c r="IF88" s="77"/>
      <c r="IG88" s="77"/>
      <c r="IH88" s="77"/>
      <c r="II88" s="77"/>
      <c r="IJ88" s="77"/>
      <c r="IK88" s="77"/>
      <c r="IL88" s="77"/>
      <c r="IM88" s="77"/>
      <c r="IN88" s="77"/>
      <c r="IO88" s="77"/>
      <c r="IP88" s="77"/>
      <c r="IQ88" s="77"/>
      <c r="IR88" s="77"/>
      <c r="IS88" s="77"/>
      <c r="IT88" s="77"/>
      <c r="IU88" s="77"/>
      <c r="IV88" s="77"/>
      <c r="IW88" s="77"/>
      <c r="IX88" s="77"/>
      <c r="IY88" s="77"/>
      <c r="IZ88" s="77"/>
      <c r="JA88" s="77"/>
      <c r="JB88" s="77"/>
      <c r="JC88" s="77"/>
      <c r="JD88" s="77"/>
      <c r="JE88" s="77"/>
      <c r="JF88" s="77"/>
      <c r="JG88" s="77"/>
      <c r="JH88" s="77"/>
      <c r="JI88" s="77"/>
      <c r="JJ88" s="77"/>
      <c r="JK88" s="77"/>
      <c r="JL88" s="77"/>
      <c r="JM88" s="77"/>
      <c r="JN88" s="77"/>
      <c r="JO88" s="77"/>
      <c r="JP88" s="77"/>
      <c r="JQ88" s="77"/>
      <c r="JR88" s="77"/>
      <c r="JS88" s="77"/>
      <c r="JT88" s="77"/>
      <c r="JU88" s="77"/>
      <c r="JV88" s="77"/>
      <c r="JW88" s="77"/>
      <c r="JX88" s="77"/>
      <c r="JY88" s="77"/>
      <c r="JZ88" s="77"/>
      <c r="KA88" s="77"/>
      <c r="KB88" s="77"/>
      <c r="KC88" s="77"/>
      <c r="KD88" s="77"/>
      <c r="KE88" s="77"/>
      <c r="KF88" s="77"/>
      <c r="KG88" s="77"/>
      <c r="KH88" s="77"/>
      <c r="KI88" s="77"/>
      <c r="KJ88" s="77"/>
      <c r="KK88" s="77"/>
      <c r="KL88" s="77"/>
      <c r="LL88" s="77"/>
      <c r="LM88" s="77"/>
      <c r="LN88" s="77"/>
      <c r="LO88" s="77"/>
      <c r="LP88" s="77"/>
      <c r="LQ88" s="77"/>
      <c r="LR88" s="77"/>
      <c r="LS88" s="77"/>
      <c r="LT88" s="77"/>
      <c r="LU88" s="77"/>
      <c r="LV88" s="77"/>
      <c r="LW88" s="77"/>
      <c r="LX88" s="77"/>
      <c r="MS88" s="77"/>
    </row>
    <row r="89" spans="1:421" ht="18.600000000000001" customHeight="1" x14ac:dyDescent="0.25">
      <c r="A89" s="119" t="s">
        <v>43</v>
      </c>
      <c r="B89" s="27" t="s">
        <v>875</v>
      </c>
      <c r="C89" s="27" t="s">
        <v>6422</v>
      </c>
      <c r="D89" s="72" t="str">
        <f>HYPERLINK("https://twitter.com/mfaethiopia","https://twitter.com/mfaethiopia")</f>
        <v>https://twitter.com/mfaethiopia</v>
      </c>
      <c r="E89" s="72" t="str">
        <f>HYPERLINK("http://twiplomacy.com/info/africa/Ethiopia","http://twiplomacy.com/info/africa/Ethiopia")</f>
        <v>http://twiplomacy.com/info/africa/Ethiopia</v>
      </c>
      <c r="F89" s="10" t="s">
        <v>1</v>
      </c>
      <c r="G89" s="10" t="s">
        <v>40</v>
      </c>
      <c r="H89" s="10" t="s">
        <v>795</v>
      </c>
      <c r="I89" s="10" t="s">
        <v>782</v>
      </c>
      <c r="J89" s="27" t="s">
        <v>789</v>
      </c>
      <c r="K89" s="10" t="s">
        <v>777</v>
      </c>
      <c r="L89" s="10" t="s">
        <v>771</v>
      </c>
      <c r="M89" s="10" t="s">
        <v>770</v>
      </c>
      <c r="N89" s="30" t="str">
        <f>HYPERLINK("https://twitter.com/mfaethiopia/statuses/306397540323053568","https://twitter.com/mfaethiopia/statuses/306397540323053568")</f>
        <v>https://twitter.com/mfaethiopia/statuses/306397540323053568</v>
      </c>
      <c r="O89" s="27" t="s">
        <v>5943</v>
      </c>
      <c r="P89" s="80">
        <v>101</v>
      </c>
      <c r="Q89" s="80">
        <v>17</v>
      </c>
      <c r="R89" s="27" t="s">
        <v>2995</v>
      </c>
      <c r="S89" s="10" t="s">
        <v>876</v>
      </c>
      <c r="T89" s="10" t="s">
        <v>771</v>
      </c>
      <c r="U89" s="10" t="s">
        <v>771</v>
      </c>
      <c r="V89" s="10" t="s">
        <v>771</v>
      </c>
      <c r="W89" s="10"/>
      <c r="X89" s="27" t="s">
        <v>43</v>
      </c>
      <c r="Y89" s="27" t="s">
        <v>875</v>
      </c>
      <c r="Z89" s="80">
        <v>11791</v>
      </c>
      <c r="AA89" s="27">
        <v>665</v>
      </c>
      <c r="AB89" s="80">
        <v>83528</v>
      </c>
      <c r="AC89" s="27">
        <v>84</v>
      </c>
      <c r="AD89" s="27" t="s">
        <v>4075</v>
      </c>
      <c r="AE89" s="27">
        <v>1221534859</v>
      </c>
      <c r="AF89" s="27" t="s">
        <v>6422</v>
      </c>
      <c r="AG89" s="27" t="s">
        <v>874</v>
      </c>
      <c r="AH89" s="79">
        <v>10.155900086132601</v>
      </c>
      <c r="AI89" s="83">
        <v>14.375</v>
      </c>
      <c r="AJ89" s="80">
        <v>4.1776429809358797</v>
      </c>
      <c r="AK89" s="80">
        <v>3.0138648180242602</v>
      </c>
      <c r="AL89" s="27">
        <v>679</v>
      </c>
      <c r="AM89" s="97">
        <f t="shared" si="1"/>
        <v>0.2121875</v>
      </c>
      <c r="AN89" s="27" t="s">
        <v>43</v>
      </c>
      <c r="AO89" s="27">
        <v>33</v>
      </c>
      <c r="AP89" s="27">
        <v>32</v>
      </c>
      <c r="AQ89" s="27">
        <v>30</v>
      </c>
      <c r="AR89" s="27">
        <f>SUM(AO89:AQ89)</f>
        <v>95</v>
      </c>
      <c r="AS89" s="27" t="s">
        <v>6654</v>
      </c>
      <c r="AT89" s="27" t="s">
        <v>5617</v>
      </c>
      <c r="AU89" s="84" t="s">
        <v>6507</v>
      </c>
      <c r="AV89" s="77"/>
      <c r="AW89" s="77"/>
      <c r="AX89" s="77"/>
      <c r="AY89" s="77"/>
      <c r="AZ89" s="77"/>
      <c r="BA89" s="77"/>
      <c r="BB89" s="77"/>
      <c r="BC89" s="77"/>
      <c r="BD89" s="77"/>
      <c r="BE89" s="77"/>
      <c r="BF89" s="77"/>
      <c r="BG89" s="77"/>
      <c r="BH89" s="77"/>
      <c r="BI89" s="77"/>
      <c r="BJ89" s="77"/>
      <c r="BK89" s="77"/>
      <c r="BL89" s="77"/>
      <c r="BM89" s="16"/>
      <c r="BN89" s="77"/>
      <c r="BO89" s="77"/>
      <c r="BP89" s="77"/>
      <c r="BQ89" s="76"/>
      <c r="BR89" s="76"/>
      <c r="BS89" s="76"/>
      <c r="BT89" s="76"/>
      <c r="BU89" s="76"/>
      <c r="BV89" s="76"/>
      <c r="BW89" s="76"/>
      <c r="BX89" s="76"/>
      <c r="BY89" s="76"/>
      <c r="BZ89" s="76"/>
      <c r="CA89" s="76"/>
      <c r="CB89" s="76"/>
      <c r="CC89" s="77"/>
      <c r="CD89" s="77"/>
      <c r="CE89" s="77"/>
      <c r="CF89" s="77"/>
      <c r="CG89" s="77"/>
      <c r="CH89" s="77"/>
      <c r="CI89" s="77"/>
      <c r="CJ89" s="77"/>
      <c r="CK89" s="77"/>
      <c r="CL89" s="77"/>
      <c r="CM89" s="77"/>
      <c r="CN89" s="77"/>
      <c r="CO89" s="77"/>
      <c r="CP89" s="77"/>
      <c r="CQ89" s="77"/>
      <c r="CR89" s="77"/>
      <c r="CS89" s="77"/>
      <c r="CT89" s="77"/>
      <c r="CU89" s="77"/>
      <c r="CV89" s="77"/>
      <c r="CW89" s="77"/>
      <c r="CX89" s="77"/>
      <c r="CY89" s="77"/>
      <c r="CZ89" s="77"/>
      <c r="DA89" s="77"/>
      <c r="DB89" s="77"/>
      <c r="DC89" s="77"/>
      <c r="DD89" s="77"/>
      <c r="DE89" s="77"/>
      <c r="DF89" s="77"/>
      <c r="DG89" s="77"/>
      <c r="DH89" s="77"/>
      <c r="DI89" s="77"/>
      <c r="DJ89" s="77"/>
      <c r="DK89" s="77"/>
      <c r="DL89" s="77"/>
      <c r="DM89" s="77"/>
      <c r="DN89" s="77"/>
      <c r="DO89" s="77"/>
      <c r="DP89" s="77"/>
      <c r="DQ89" s="77"/>
      <c r="DR89" s="77"/>
      <c r="DS89" s="77"/>
      <c r="DT89" s="77"/>
      <c r="DU89" s="77"/>
      <c r="DV89" s="77"/>
      <c r="DW89" s="77"/>
      <c r="DX89" s="77"/>
      <c r="DY89" s="77"/>
      <c r="DZ89" s="77"/>
      <c r="EA89" s="77"/>
      <c r="EB89" s="77"/>
      <c r="EC89" s="77"/>
      <c r="ED89" s="77"/>
      <c r="EE89" s="77"/>
      <c r="EF89" s="77"/>
      <c r="EG89" s="77"/>
      <c r="EH89" s="77"/>
      <c r="EI89" s="77"/>
      <c r="EJ89" s="77"/>
      <c r="EK89" s="77"/>
      <c r="EL89" s="77"/>
      <c r="EM89" s="77"/>
      <c r="EN89" s="77"/>
      <c r="EO89" s="77"/>
      <c r="EP89" s="77"/>
      <c r="ER89" s="77"/>
      <c r="ES89" s="77"/>
      <c r="ET89" s="77"/>
      <c r="EU89" s="77"/>
      <c r="EV89" s="77"/>
      <c r="EW89" s="77"/>
      <c r="EX89" s="77"/>
      <c r="EY89" s="77"/>
      <c r="EZ89" s="77"/>
      <c r="FA89" s="77"/>
      <c r="FB89" s="77"/>
      <c r="FC89" s="77"/>
      <c r="FD89" s="77"/>
      <c r="FE89" s="77"/>
      <c r="FF89" s="77"/>
      <c r="FG89" s="77"/>
      <c r="FH89" s="77"/>
      <c r="FI89" s="77"/>
      <c r="FJ89" s="77"/>
      <c r="FK89" s="77"/>
      <c r="FL89" s="77"/>
      <c r="FM89" s="77"/>
      <c r="FN89" s="77"/>
      <c r="FO89" s="77"/>
      <c r="FP89" s="77"/>
      <c r="FQ89" s="77"/>
      <c r="FR89" s="77"/>
      <c r="FS89" s="77"/>
      <c r="FT89" s="77"/>
      <c r="FU89" s="77"/>
      <c r="FV89" s="77"/>
      <c r="FW89" s="77"/>
      <c r="FX89" s="77"/>
      <c r="FY89" s="77"/>
      <c r="FZ89" s="77"/>
      <c r="GA89" s="77"/>
      <c r="GB89" s="77"/>
      <c r="GC89" s="77"/>
      <c r="GD89" s="77"/>
      <c r="GE89" s="77"/>
      <c r="GF89" s="77"/>
      <c r="GG89" s="77"/>
      <c r="GH89" s="77"/>
      <c r="GI89" s="77"/>
      <c r="GJ89" s="77"/>
      <c r="GK89" s="77"/>
      <c r="GL89" s="77"/>
      <c r="GM89" s="77"/>
      <c r="GN89" s="77"/>
      <c r="GO89" s="77"/>
      <c r="GP89" s="77"/>
      <c r="GQ89" s="77"/>
      <c r="GR89" s="77"/>
      <c r="GS89" s="77"/>
      <c r="GT89" s="77"/>
      <c r="GU89" s="77"/>
      <c r="GV89" s="77"/>
      <c r="GW89" s="77"/>
      <c r="GX89" s="77"/>
      <c r="GY89" s="77"/>
      <c r="GZ89" s="77"/>
      <c r="HA89" s="77"/>
      <c r="HB89" s="77"/>
      <c r="HC89" s="77"/>
      <c r="HD89" s="77"/>
      <c r="HE89" s="77"/>
      <c r="HF89" s="77"/>
      <c r="HG89" s="77"/>
      <c r="HH89" s="77"/>
      <c r="HI89" s="77"/>
      <c r="HJ89" s="77"/>
      <c r="HK89" s="77"/>
      <c r="IF89" s="77"/>
      <c r="IG89" s="77"/>
      <c r="IH89" s="77"/>
      <c r="II89" s="77"/>
      <c r="IJ89" s="77"/>
      <c r="IK89" s="77"/>
      <c r="IL89" s="77"/>
      <c r="IM89" s="77"/>
      <c r="IN89" s="77"/>
      <c r="IO89" s="77"/>
      <c r="IP89" s="77"/>
      <c r="IQ89" s="77"/>
      <c r="IR89" s="77"/>
      <c r="IS89" s="77"/>
      <c r="IT89" s="77"/>
      <c r="IU89" s="77"/>
      <c r="IV89" s="77"/>
      <c r="IW89" s="77"/>
      <c r="IX89" s="77"/>
      <c r="IY89" s="77"/>
      <c r="IZ89" s="77"/>
      <c r="JA89" s="77"/>
      <c r="JB89" s="77"/>
      <c r="JC89" s="77"/>
      <c r="JD89" s="77"/>
      <c r="JE89" s="77"/>
      <c r="JF89" s="77"/>
      <c r="JG89" s="77"/>
      <c r="JH89" s="77"/>
      <c r="JI89" s="77"/>
      <c r="JJ89" s="77"/>
      <c r="JK89" s="77"/>
      <c r="JL89" s="77"/>
      <c r="JM89" s="77"/>
      <c r="JN89" s="77"/>
      <c r="JO89" s="77"/>
      <c r="JP89" s="77"/>
      <c r="JQ89" s="77"/>
      <c r="JR89" s="77"/>
      <c r="JS89" s="77"/>
      <c r="JT89" s="77"/>
      <c r="JU89" s="77"/>
      <c r="JV89" s="77"/>
      <c r="JW89" s="77"/>
      <c r="JX89" s="77"/>
      <c r="JY89" s="77"/>
      <c r="JZ89" s="77"/>
      <c r="KA89" s="77"/>
      <c r="KB89" s="77"/>
      <c r="KC89" s="77"/>
      <c r="KD89" s="77"/>
      <c r="KE89" s="77"/>
      <c r="KF89" s="77"/>
      <c r="KG89" s="77"/>
      <c r="KH89" s="77"/>
      <c r="KI89" s="77"/>
      <c r="KJ89" s="77"/>
      <c r="KK89" s="77"/>
      <c r="KL89" s="77"/>
      <c r="MS89" s="77"/>
      <c r="NE89" s="77"/>
      <c r="NF89" s="77"/>
      <c r="NG89" s="77"/>
      <c r="NH89" s="77"/>
      <c r="NI89" s="77"/>
      <c r="NJ89" s="77"/>
      <c r="NK89" s="77"/>
      <c r="NL89" s="77"/>
      <c r="NM89" s="77"/>
      <c r="NN89" s="77"/>
      <c r="NO89" s="77"/>
      <c r="NP89" s="77"/>
      <c r="NQ89" s="77"/>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row>
    <row r="90" spans="1:421" s="36" customFormat="1" ht="18.600000000000001" customHeight="1" x14ac:dyDescent="0.25">
      <c r="A90" s="119" t="s">
        <v>2322</v>
      </c>
      <c r="B90" s="27" t="s">
        <v>2323</v>
      </c>
      <c r="C90" s="27" t="s">
        <v>2324</v>
      </c>
      <c r="D90" s="30" t="str">
        <f>HYPERLINK("https://twitter.com/Kabmin_UA_e","https://twitter.com/Kabmin_UA_e")</f>
        <v>https://twitter.com/Kabmin_UA_e</v>
      </c>
      <c r="E90" s="30" t="str">
        <f>HYPERLINK("http://twiplomacy.com/info/europe/Ukraine","http://twiplomacy.com/info/europe/Ukraine")</f>
        <v>http://twiplomacy.com/info/europe/Ukraine</v>
      </c>
      <c r="F90" s="10" t="s">
        <v>332</v>
      </c>
      <c r="G90" s="10" t="s">
        <v>543</v>
      </c>
      <c r="H90" s="10" t="s">
        <v>788</v>
      </c>
      <c r="I90" s="10" t="s">
        <v>782</v>
      </c>
      <c r="J90" s="27" t="s">
        <v>1420</v>
      </c>
      <c r="K90" s="15" t="s">
        <v>777</v>
      </c>
      <c r="L90" s="10" t="s">
        <v>771</v>
      </c>
      <c r="M90" s="10" t="s">
        <v>771</v>
      </c>
      <c r="N90" s="30" t="str">
        <f>HYPERLINK("https://twitter.com/Kabmin_UA_e/statuses/89256701420777472","https://twitter.com/Kabmin_UA_e/statuses/89256701420777472")</f>
        <v>https://twitter.com/Kabmin_UA_e/statuses/89256701420777472</v>
      </c>
      <c r="O90" s="27" t="s">
        <v>5895</v>
      </c>
      <c r="P90" s="80">
        <v>56</v>
      </c>
      <c r="Q90" s="80">
        <v>17</v>
      </c>
      <c r="R90" s="27" t="s">
        <v>2994</v>
      </c>
      <c r="S90" s="10" t="s">
        <v>2325</v>
      </c>
      <c r="T90" s="10" t="s">
        <v>771</v>
      </c>
      <c r="U90" s="10" t="s">
        <v>771</v>
      </c>
      <c r="V90" s="10" t="s">
        <v>771</v>
      </c>
      <c r="W90" s="10"/>
      <c r="X90" s="27" t="s">
        <v>2322</v>
      </c>
      <c r="Y90" s="27" t="s">
        <v>2323</v>
      </c>
      <c r="Z90" s="80">
        <v>11787</v>
      </c>
      <c r="AA90" s="27">
        <v>5</v>
      </c>
      <c r="AB90" s="80">
        <v>6441</v>
      </c>
      <c r="AC90" s="27">
        <v>0</v>
      </c>
      <c r="AD90" s="27" t="s">
        <v>3917</v>
      </c>
      <c r="AE90" s="27">
        <v>331507887</v>
      </c>
      <c r="AF90" s="27" t="s">
        <v>2324</v>
      </c>
      <c r="AG90" s="27" t="s">
        <v>2326</v>
      </c>
      <c r="AH90" s="79">
        <v>6.6971590909090901</v>
      </c>
      <c r="AI90" s="83">
        <v>6.3451676528599599</v>
      </c>
      <c r="AJ90" s="80">
        <v>1.1827789866335101</v>
      </c>
      <c r="AK90" s="80">
        <v>0.343798570096363</v>
      </c>
      <c r="AL90" s="27">
        <v>15</v>
      </c>
      <c r="AM90" s="97">
        <f t="shared" si="1"/>
        <v>4.6874999999999998E-3</v>
      </c>
      <c r="AN90" s="27" t="s">
        <v>2322</v>
      </c>
      <c r="AO90" s="27">
        <v>0</v>
      </c>
      <c r="AP90" s="27">
        <v>12</v>
      </c>
      <c r="AQ90" s="27">
        <v>2</v>
      </c>
      <c r="AR90" s="27">
        <f>SUM(AO90:AQ90)</f>
        <v>14</v>
      </c>
      <c r="AS90" s="27"/>
      <c r="AT90" s="27" t="s">
        <v>6765</v>
      </c>
      <c r="AU90" s="84" t="s">
        <v>4787</v>
      </c>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7"/>
      <c r="CW90" s="77"/>
      <c r="CX90" s="77"/>
      <c r="CY90" s="77"/>
      <c r="CZ90" s="77"/>
      <c r="DA90" s="77"/>
      <c r="DB90" s="77"/>
      <c r="DC90" s="77"/>
      <c r="DD90" s="77"/>
      <c r="DE90" s="77"/>
      <c r="DF90" s="77"/>
      <c r="DG90" s="77"/>
      <c r="DH90" s="77"/>
      <c r="DI90" s="77"/>
      <c r="DJ90" s="77"/>
      <c r="DK90" s="77"/>
      <c r="DL90" s="77"/>
      <c r="DM90" s="77"/>
      <c r="DN90" s="77"/>
      <c r="DO90" s="77"/>
      <c r="DP90" s="77"/>
      <c r="DQ90" s="77"/>
      <c r="DR90" s="77"/>
      <c r="DS90" s="77"/>
      <c r="DT90" s="77"/>
      <c r="DU90" s="77"/>
      <c r="DV90" s="77"/>
      <c r="DW90" s="77"/>
      <c r="DX90" s="77"/>
      <c r="DY90" s="77"/>
      <c r="DZ90" s="77"/>
      <c r="EA90" s="77"/>
      <c r="EB90" s="77"/>
      <c r="EC90" s="77"/>
      <c r="ED90" s="77"/>
      <c r="EE90" s="77"/>
      <c r="EF90" s="77"/>
      <c r="EG90" s="77"/>
      <c r="EH90" s="77"/>
      <c r="EI90" s="77"/>
      <c r="EJ90" s="77"/>
      <c r="EK90" s="77"/>
      <c r="EL90" s="77"/>
      <c r="EM90" s="77"/>
      <c r="EN90" s="77"/>
      <c r="EO90" s="77"/>
      <c r="EQ90" s="77"/>
      <c r="ER90" s="77"/>
      <c r="ES90" s="77"/>
      <c r="ET90" s="77"/>
      <c r="EU90" s="77"/>
      <c r="EV90" s="77"/>
      <c r="EW90" s="77"/>
      <c r="EX90" s="77"/>
      <c r="EY90" s="77"/>
      <c r="EZ90" s="77"/>
      <c r="FA90" s="77"/>
      <c r="FB90" s="77"/>
      <c r="FC90" s="77"/>
      <c r="FD90" s="77"/>
      <c r="FE90" s="77"/>
      <c r="FF90" s="77"/>
      <c r="FG90" s="77"/>
      <c r="FH90" s="77"/>
      <c r="FI90" s="77"/>
      <c r="FJ90" s="77"/>
      <c r="FK90" s="77"/>
      <c r="FL90" s="77"/>
      <c r="FM90" s="77"/>
      <c r="FN90" s="77"/>
      <c r="FO90" s="77"/>
      <c r="FP90" s="77"/>
      <c r="FQ90" s="77"/>
      <c r="FR90" s="77"/>
      <c r="FS90" s="77"/>
      <c r="FT90" s="77"/>
      <c r="FU90" s="77"/>
      <c r="FV90" s="77"/>
      <c r="FW90" s="77"/>
      <c r="FX90" s="77"/>
      <c r="FY90" s="77"/>
      <c r="FZ90" s="77"/>
      <c r="GA90" s="77"/>
      <c r="GB90" s="77"/>
      <c r="GC90" s="77"/>
      <c r="GD90" s="77"/>
      <c r="GE90" s="77"/>
      <c r="GF90" s="77"/>
      <c r="GG90" s="77"/>
      <c r="GH90" s="77"/>
      <c r="GI90" s="77"/>
      <c r="GJ90" s="77"/>
      <c r="GK90" s="77"/>
      <c r="GL90" s="77"/>
      <c r="GM90" s="77"/>
      <c r="GN90" s="77"/>
      <c r="GO90" s="77"/>
      <c r="GP90" s="77"/>
      <c r="GQ90" s="77"/>
      <c r="GR90" s="77"/>
      <c r="GS90" s="77"/>
      <c r="GT90" s="77"/>
      <c r="GU90" s="77"/>
      <c r="GV90" s="77"/>
      <c r="GW90" s="77"/>
      <c r="GX90" s="77"/>
      <c r="GY90" s="77"/>
      <c r="GZ90" s="77"/>
      <c r="HA90" s="77"/>
      <c r="HB90" s="77"/>
      <c r="HC90" s="77"/>
      <c r="HD90" s="77"/>
      <c r="HE90" s="77"/>
      <c r="HF90" s="77"/>
      <c r="HG90" s="77"/>
      <c r="HH90" s="77"/>
      <c r="HI90" s="77"/>
      <c r="HJ90" s="77"/>
      <c r="HK90" s="77"/>
      <c r="HL90" s="77"/>
      <c r="HM90" s="77"/>
      <c r="HN90" s="77"/>
      <c r="HO90" s="77"/>
      <c r="HP90" s="77"/>
      <c r="HQ90" s="77"/>
      <c r="HR90" s="77"/>
      <c r="HS90" s="77"/>
      <c r="HT90" s="77"/>
      <c r="HU90" s="77"/>
      <c r="HV90" s="77"/>
      <c r="HW90" s="77"/>
      <c r="HX90" s="77"/>
      <c r="HY90" s="77"/>
      <c r="HZ90" s="77"/>
      <c r="IA90" s="77"/>
      <c r="IB90" s="77"/>
      <c r="IC90" s="77"/>
      <c r="ID90" s="77"/>
      <c r="IE90" s="77"/>
      <c r="JY90" s="77"/>
      <c r="JZ90" s="77"/>
      <c r="KA90" s="77"/>
      <c r="KB90" s="77"/>
      <c r="KC90" s="77"/>
      <c r="KD90" s="77"/>
      <c r="KE90" s="77"/>
      <c r="KF90" s="77"/>
      <c r="KG90" s="77"/>
      <c r="KH90" s="77"/>
      <c r="KI90" s="77"/>
      <c r="KJ90" s="77"/>
      <c r="KK90" s="77"/>
      <c r="KL90" s="77"/>
      <c r="KM90" s="77"/>
      <c r="KN90" s="77"/>
      <c r="KO90" s="77"/>
      <c r="KP90" s="77"/>
      <c r="KQ90" s="77"/>
      <c r="KR90" s="77"/>
      <c r="KS90" s="77"/>
      <c r="KT90" s="77"/>
      <c r="KU90" s="77"/>
      <c r="KV90" s="77"/>
      <c r="KW90" s="77"/>
      <c r="KX90" s="77"/>
      <c r="KY90" s="77"/>
      <c r="KZ90" s="77"/>
      <c r="LA90" s="77"/>
      <c r="LB90" s="77"/>
      <c r="LC90" s="77"/>
      <c r="LD90" s="77"/>
      <c r="LE90" s="77"/>
      <c r="LF90" s="77"/>
      <c r="LG90" s="77"/>
      <c r="LH90" s="77"/>
      <c r="LI90" s="77"/>
      <c r="LJ90" s="77"/>
      <c r="LK90" s="77"/>
      <c r="LL90" s="77"/>
      <c r="LM90" s="77"/>
      <c r="LN90" s="77"/>
      <c r="LO90" s="77"/>
      <c r="LP90" s="77"/>
      <c r="LQ90" s="77"/>
      <c r="LR90" s="77"/>
      <c r="LS90" s="77"/>
      <c r="LT90" s="77"/>
      <c r="LU90" s="77"/>
      <c r="LV90" s="77"/>
      <c r="LW90" s="77"/>
      <c r="LX90" s="77"/>
      <c r="LY90" s="77"/>
      <c r="LZ90" s="77"/>
      <c r="MA90" s="77"/>
      <c r="MB90" s="77"/>
      <c r="MC90" s="77"/>
      <c r="MD90" s="77"/>
      <c r="ME90" s="77"/>
      <c r="MF90" s="77"/>
      <c r="MG90" s="77"/>
      <c r="MH90" s="77"/>
      <c r="MI90" s="77"/>
      <c r="MJ90" s="77"/>
      <c r="MK90" s="77"/>
      <c r="ML90" s="77"/>
      <c r="MM90" s="77"/>
      <c r="MN90" s="77"/>
      <c r="MO90" s="77"/>
      <c r="MP90" s="77"/>
      <c r="MQ90" s="77"/>
      <c r="MR90" s="77"/>
      <c r="MS90" s="77"/>
      <c r="MT90" s="77"/>
      <c r="MU90" s="77"/>
      <c r="MV90" s="77"/>
      <c r="MW90" s="77"/>
      <c r="MX90" s="77"/>
      <c r="MY90" s="77"/>
      <c r="MZ90" s="77"/>
      <c r="NA90" s="77"/>
      <c r="NB90" s="77"/>
      <c r="NC90" s="77"/>
    </row>
    <row r="91" spans="1:421" ht="18.600000000000001" customHeight="1" x14ac:dyDescent="0.25">
      <c r="A91" s="119" t="s">
        <v>403</v>
      </c>
      <c r="B91" s="27" t="s">
        <v>1915</v>
      </c>
      <c r="C91" s="27" t="s">
        <v>3487</v>
      </c>
      <c r="D91" s="30" t="str">
        <f>HYPERLINK("https://twitter.com/AuswaertigesAmt","https://twitter.com/AuswaertigesAmt")</f>
        <v>https://twitter.com/AuswaertigesAmt</v>
      </c>
      <c r="E91" s="30" t="str">
        <f>HYPERLINK("http://twiplomacy.com/info/europe/Germany","http://twiplomacy.com/info/europe/Germany")</f>
        <v>http://twiplomacy.com/info/europe/Germany</v>
      </c>
      <c r="F91" s="10" t="s">
        <v>332</v>
      </c>
      <c r="G91" s="10" t="s">
        <v>401</v>
      </c>
      <c r="H91" s="10" t="s">
        <v>795</v>
      </c>
      <c r="I91" s="10" t="s">
        <v>782</v>
      </c>
      <c r="J91" s="27" t="s">
        <v>1716</v>
      </c>
      <c r="K91" s="10" t="s">
        <v>777</v>
      </c>
      <c r="L91" s="10" t="s">
        <v>771</v>
      </c>
      <c r="M91" s="10" t="s">
        <v>770</v>
      </c>
      <c r="N91" s="30" t="str">
        <f>HYPERLINK("https://twitter.com/AuswaertigesAmt/statuses/65336564254904320","https://twitter.com/AuswaertigesAmt/statuses/65336564254904320")</f>
        <v>https://twitter.com/AuswaertigesAmt/statuses/65336564254904320</v>
      </c>
      <c r="O91" s="27" t="s">
        <v>5692</v>
      </c>
      <c r="P91" s="80">
        <v>4364</v>
      </c>
      <c r="Q91" s="80">
        <v>3838</v>
      </c>
      <c r="R91" s="27" t="s">
        <v>2994</v>
      </c>
      <c r="S91" s="30" t="str">
        <f>HYPERLINK("https://twitter.com/AuswaertigesAmt/lists","https://twitter.com/AuswaertigesAmt/lists")</f>
        <v>https://twitter.com/AuswaertigesAmt/lists</v>
      </c>
      <c r="T91" s="10">
        <v>4</v>
      </c>
      <c r="U91" s="10">
        <v>1</v>
      </c>
      <c r="V91" s="30" t="str">
        <f>HYPERLINK("https://twitter.com/AuswaertigesAmt/deutsche-vertretungen/members","https://twitter.com/AuswaertigesAmt/deutsche-vertretungen/members")</f>
        <v>https://twitter.com/AuswaertigesAmt/deutsche-vertretungen/members</v>
      </c>
      <c r="W91" s="10">
        <v>69</v>
      </c>
      <c r="X91" s="27" t="s">
        <v>403</v>
      </c>
      <c r="Y91" s="27" t="s">
        <v>1915</v>
      </c>
      <c r="Z91" s="80">
        <v>11744</v>
      </c>
      <c r="AA91" s="27">
        <v>849</v>
      </c>
      <c r="AB91" s="80">
        <v>392951</v>
      </c>
      <c r="AC91" s="27">
        <v>14475</v>
      </c>
      <c r="AD91" s="27" t="s">
        <v>3488</v>
      </c>
      <c r="AE91" s="27">
        <v>273468342</v>
      </c>
      <c r="AF91" s="27" t="s">
        <v>3487</v>
      </c>
      <c r="AG91" s="27"/>
      <c r="AH91" s="79">
        <v>6.3071965628356601</v>
      </c>
      <c r="AI91" s="83">
        <v>10.166144200627</v>
      </c>
      <c r="AJ91" s="80">
        <v>19.239048134126602</v>
      </c>
      <c r="AK91" s="80">
        <v>23.704164413196299</v>
      </c>
      <c r="AL91" s="96">
        <v>393</v>
      </c>
      <c r="AM91" s="97">
        <f t="shared" si="1"/>
        <v>0.1228125</v>
      </c>
      <c r="AN91" s="27" t="s">
        <v>403</v>
      </c>
      <c r="AO91" s="27">
        <v>82</v>
      </c>
      <c r="AP91" s="27">
        <v>16</v>
      </c>
      <c r="AQ91" s="27">
        <v>55</v>
      </c>
      <c r="AR91" s="27">
        <f>SUM(AO91:AQ91)</f>
        <v>153</v>
      </c>
      <c r="AS91" s="27" t="s">
        <v>6543</v>
      </c>
      <c r="AT91" s="27" t="s">
        <v>6272</v>
      </c>
      <c r="AU91" s="84" t="s">
        <v>6468</v>
      </c>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7"/>
      <c r="CW91" s="77"/>
      <c r="CX91" s="77"/>
      <c r="CY91" s="77"/>
      <c r="CZ91" s="77"/>
      <c r="DA91" s="77"/>
      <c r="DB91" s="77"/>
      <c r="DC91" s="77"/>
      <c r="DD91" s="77"/>
      <c r="DE91" s="77"/>
      <c r="DF91" s="77"/>
      <c r="DG91" s="77"/>
      <c r="DH91" s="77"/>
      <c r="DI91" s="77"/>
      <c r="DJ91" s="77"/>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R91" s="77"/>
      <c r="ES91" s="77"/>
      <c r="ET91" s="77"/>
      <c r="EU91" s="77"/>
      <c r="EV91" s="77"/>
      <c r="EW91" s="77"/>
      <c r="EX91" s="77"/>
      <c r="EY91" s="77"/>
      <c r="EZ91" s="77"/>
      <c r="FA91" s="77"/>
      <c r="FB91" s="77"/>
      <c r="FC91" s="77"/>
      <c r="FD91" s="77"/>
      <c r="FE91" s="77"/>
      <c r="FF91" s="77"/>
      <c r="FG91" s="77"/>
      <c r="FH91" s="77"/>
      <c r="FI91" s="77"/>
      <c r="FJ91" s="77"/>
      <c r="FK91" s="77"/>
      <c r="FL91" s="77"/>
      <c r="FM91" s="77"/>
      <c r="FN91" s="77"/>
      <c r="FO91" s="77"/>
      <c r="FP91" s="77"/>
      <c r="FQ91" s="77"/>
      <c r="FR91" s="77"/>
      <c r="FS91" s="77"/>
      <c r="FT91" s="77"/>
      <c r="FU91" s="77"/>
      <c r="FV91" s="77"/>
      <c r="FW91" s="77"/>
      <c r="FX91" s="77"/>
      <c r="FY91" s="77"/>
      <c r="FZ91" s="77"/>
      <c r="GA91" s="77"/>
      <c r="GB91" s="77"/>
      <c r="GC91" s="77"/>
      <c r="GD91" s="77"/>
      <c r="GE91" s="77"/>
      <c r="GF91" s="77"/>
      <c r="GG91" s="77"/>
      <c r="GH91" s="77"/>
      <c r="GI91" s="77"/>
      <c r="GJ91" s="77"/>
      <c r="GK91" s="77"/>
      <c r="HL91" s="77"/>
      <c r="HM91" s="77"/>
      <c r="HN91" s="77"/>
      <c r="HO91" s="77"/>
      <c r="HP91" s="77"/>
      <c r="HQ91" s="77"/>
      <c r="HR91" s="77"/>
      <c r="HS91" s="77"/>
      <c r="HT91" s="77"/>
      <c r="HU91" s="77"/>
      <c r="HV91" s="77"/>
      <c r="HW91" s="77"/>
      <c r="HX91" s="77"/>
      <c r="HY91" s="77"/>
      <c r="HZ91" s="77"/>
      <c r="IA91" s="77"/>
      <c r="IB91" s="77"/>
      <c r="IC91" s="77"/>
      <c r="IF91" s="77"/>
      <c r="IG91" s="77"/>
      <c r="IH91" s="77"/>
      <c r="II91" s="77"/>
      <c r="IJ91" s="77"/>
      <c r="IK91" s="77"/>
      <c r="IL91" s="77"/>
      <c r="IM91" s="77"/>
      <c r="IN91" s="77"/>
      <c r="IO91" s="77"/>
      <c r="IP91" s="77"/>
      <c r="IQ91" s="77"/>
      <c r="IR91" s="77"/>
      <c r="IS91" s="77"/>
      <c r="IT91" s="77"/>
      <c r="IU91" s="77"/>
      <c r="IV91" s="77"/>
      <c r="IW91" s="77"/>
      <c r="IX91" s="77"/>
      <c r="IY91" s="77"/>
      <c r="IZ91" s="77"/>
      <c r="JA91" s="77"/>
      <c r="JB91" s="77"/>
      <c r="JC91" s="77"/>
      <c r="JD91" s="77"/>
      <c r="JE91" s="77"/>
      <c r="JF91" s="77"/>
      <c r="JG91" s="77"/>
      <c r="JH91" s="77"/>
      <c r="JI91" s="77"/>
      <c r="JJ91" s="77"/>
      <c r="JK91" s="77"/>
      <c r="JL91" s="77"/>
      <c r="JM91" s="77"/>
      <c r="JN91" s="77"/>
      <c r="JO91" s="77"/>
      <c r="JP91" s="77"/>
      <c r="JQ91" s="77"/>
      <c r="JR91" s="77"/>
      <c r="JS91" s="77"/>
      <c r="JT91" s="77"/>
      <c r="JU91" s="77"/>
      <c r="JV91" s="77"/>
      <c r="JW91" s="77"/>
      <c r="JX91" s="77"/>
      <c r="JY91" s="77"/>
      <c r="JZ91" s="77"/>
      <c r="KA91" s="77"/>
      <c r="KB91" s="77"/>
      <c r="KC91" s="77"/>
      <c r="KD91" s="77"/>
      <c r="KE91" s="77"/>
      <c r="KF91" s="77"/>
      <c r="KG91" s="77"/>
      <c r="KH91" s="77"/>
      <c r="KI91" s="77"/>
      <c r="KJ91" s="77"/>
      <c r="KK91" s="77"/>
      <c r="KL91" s="77"/>
      <c r="MT91" s="77"/>
      <c r="MU91" s="77"/>
      <c r="MV91" s="77"/>
      <c r="MW91" s="77"/>
      <c r="MX91" s="77"/>
      <c r="MY91" s="77"/>
      <c r="MZ91" s="77"/>
      <c r="NA91" s="77"/>
      <c r="NB91" s="77"/>
      <c r="NC91" s="77"/>
      <c r="NE91" s="77"/>
      <c r="NF91" s="77"/>
      <c r="NG91" s="77"/>
      <c r="NH91" s="77"/>
      <c r="NI91" s="77"/>
      <c r="NJ91" s="77"/>
      <c r="NK91" s="77"/>
      <c r="NL91" s="77"/>
      <c r="NM91" s="77"/>
      <c r="NN91" s="77"/>
      <c r="NO91" s="77"/>
      <c r="NP91" s="77"/>
      <c r="NQ91" s="77"/>
      <c r="NR91" s="77"/>
      <c r="NS91" s="77"/>
      <c r="NT91" s="77"/>
      <c r="NU91" s="77"/>
      <c r="NV91" s="77"/>
      <c r="NW91" s="77"/>
      <c r="NX91" s="77"/>
      <c r="NY91" s="77"/>
      <c r="NZ91" s="77"/>
      <c r="OA91" s="77"/>
      <c r="OB91" s="77"/>
      <c r="OC91" s="77"/>
      <c r="OD91" s="77"/>
      <c r="OE91" s="77"/>
      <c r="OF91" s="77"/>
      <c r="OG91" s="77"/>
      <c r="OH91" s="77"/>
      <c r="OI91" s="77"/>
      <c r="OJ91" s="77"/>
      <c r="OK91" s="77"/>
      <c r="OL91" s="77"/>
      <c r="OM91" s="77"/>
      <c r="ON91" s="77"/>
      <c r="OO91" s="77"/>
      <c r="OP91" s="77"/>
      <c r="OQ91" s="77"/>
      <c r="OR91" s="77"/>
      <c r="OS91" s="77"/>
      <c r="OT91" s="77"/>
      <c r="OU91" s="77"/>
      <c r="OV91" s="77"/>
      <c r="OW91" s="77"/>
      <c r="OX91" s="77"/>
      <c r="OY91" s="77"/>
      <c r="OZ91" s="77"/>
      <c r="PA91" s="77"/>
      <c r="PB91" s="77"/>
      <c r="PC91" s="77"/>
      <c r="PD91" s="77"/>
      <c r="PE91" s="77"/>
    </row>
    <row r="92" spans="1:421" ht="18.600000000000001" customHeight="1" x14ac:dyDescent="0.25">
      <c r="A92" s="119" t="s">
        <v>675</v>
      </c>
      <c r="B92" s="27" t="s">
        <v>2695</v>
      </c>
      <c r="C92" s="27" t="s">
        <v>2696</v>
      </c>
      <c r="D92" s="30" t="str">
        <f>HYPERLINK("https://twitter.com/imprensaPR","https://twitter.com/imprensaPR")</f>
        <v>https://twitter.com/imprensaPR</v>
      </c>
      <c r="E92" s="30" t="str">
        <f>HYPERLINK("http://twiplomacy.com/info/south-america/Brazil","http://twiplomacy.com/info/south-america/Brazil")</f>
        <v>http://twiplomacy.com/info/south-america/Brazil</v>
      </c>
      <c r="F92" s="10" t="s">
        <v>668</v>
      </c>
      <c r="G92" s="10" t="s">
        <v>673</v>
      </c>
      <c r="H92" s="10" t="s">
        <v>788</v>
      </c>
      <c r="I92" s="10" t="s">
        <v>782</v>
      </c>
      <c r="J92" s="27" t="s">
        <v>785</v>
      </c>
      <c r="K92" s="15" t="s">
        <v>4623</v>
      </c>
      <c r="L92" s="10" t="s">
        <v>771</v>
      </c>
      <c r="M92" s="10" t="s">
        <v>771</v>
      </c>
      <c r="N92" s="30" t="str">
        <f>HYPERLINK("https://twitter.com/imprensaPR/statuses/12897630650","https://twitter.com/imprensaPR/statuses/12897630650")</f>
        <v>https://twitter.com/imprensaPR/statuses/12897630650</v>
      </c>
      <c r="O92" s="27" t="s">
        <v>5873</v>
      </c>
      <c r="P92" s="80">
        <v>96</v>
      </c>
      <c r="Q92" s="80">
        <v>9</v>
      </c>
      <c r="R92" s="27" t="s">
        <v>2995</v>
      </c>
      <c r="S92" s="30" t="str">
        <f>HYPERLINK("https://twitter.com/imprensaPR/lists","https://twitter.com/imprensaPR/lists")</f>
        <v>https://twitter.com/imprensaPR/lists</v>
      </c>
      <c r="T92" s="10" t="s">
        <v>771</v>
      </c>
      <c r="U92" s="10">
        <v>1</v>
      </c>
      <c r="V92" s="10" t="s">
        <v>771</v>
      </c>
      <c r="W92" s="10"/>
      <c r="X92" s="27" t="s">
        <v>675</v>
      </c>
      <c r="Y92" s="27" t="s">
        <v>2695</v>
      </c>
      <c r="Z92" s="80">
        <v>11734</v>
      </c>
      <c r="AA92" s="27">
        <v>167</v>
      </c>
      <c r="AB92" s="80">
        <v>158391</v>
      </c>
      <c r="AC92" s="27">
        <v>131</v>
      </c>
      <c r="AD92" s="27" t="s">
        <v>3833</v>
      </c>
      <c r="AE92" s="27">
        <v>136409743</v>
      </c>
      <c r="AF92" s="27" t="s">
        <v>2696</v>
      </c>
      <c r="AG92" s="27" t="s">
        <v>2697</v>
      </c>
      <c r="AH92" s="79">
        <v>5.3336363636363604</v>
      </c>
      <c r="AI92" s="83">
        <v>4.2839673913043503</v>
      </c>
      <c r="AJ92" s="80">
        <v>2.3347193347193298</v>
      </c>
      <c r="AK92" s="80">
        <v>0.28205128205128199</v>
      </c>
      <c r="AL92" s="27">
        <v>1</v>
      </c>
      <c r="AM92" s="97">
        <f t="shared" si="1"/>
        <v>3.1250000000000001E-4</v>
      </c>
      <c r="AN92" s="27" t="s">
        <v>675</v>
      </c>
      <c r="AO92" s="27">
        <v>1</v>
      </c>
      <c r="AP92" s="27">
        <v>11</v>
      </c>
      <c r="AQ92" s="27">
        <v>4</v>
      </c>
      <c r="AR92" s="27">
        <f>SUM(AO92:AQ92)</f>
        <v>16</v>
      </c>
      <c r="AS92" s="27" t="s">
        <v>635</v>
      </c>
      <c r="AT92" s="27" t="s">
        <v>5194</v>
      </c>
      <c r="AU92" s="84" t="s">
        <v>6490</v>
      </c>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Q92" s="77"/>
      <c r="ER92" s="77"/>
      <c r="ES92" s="77"/>
      <c r="ET92" s="77"/>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c r="FX92" s="77"/>
      <c r="FY92" s="77"/>
      <c r="FZ92" s="77"/>
      <c r="GA92" s="77"/>
      <c r="GB92" s="77"/>
      <c r="GC92" s="77"/>
      <c r="GD92" s="77"/>
      <c r="GE92" s="77"/>
      <c r="GF92" s="77"/>
      <c r="GG92" s="77"/>
      <c r="GH92" s="77"/>
      <c r="GI92" s="77"/>
      <c r="GJ92" s="77"/>
      <c r="GK92" s="77"/>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77"/>
      <c r="HM92" s="77"/>
      <c r="HN92" s="77"/>
      <c r="HO92" s="77"/>
      <c r="HP92" s="77"/>
      <c r="HQ92" s="77"/>
      <c r="HR92" s="77"/>
      <c r="HS92" s="77"/>
      <c r="HT92" s="77"/>
      <c r="HU92" s="77"/>
      <c r="HV92" s="77"/>
      <c r="HW92" s="77"/>
      <c r="HX92" s="77"/>
      <c r="HY92" s="77"/>
      <c r="HZ92" s="77"/>
      <c r="IA92" s="77"/>
      <c r="IB92" s="77"/>
      <c r="IC92" s="77"/>
      <c r="ID92" s="77"/>
      <c r="IE92" s="77"/>
      <c r="MS92" s="77"/>
    </row>
    <row r="93" spans="1:421" ht="18.600000000000001" customHeight="1" x14ac:dyDescent="0.25">
      <c r="A93" s="119" t="s">
        <v>470</v>
      </c>
      <c r="B93" s="27" t="s">
        <v>470</v>
      </c>
      <c r="C93" s="27" t="s">
        <v>4420</v>
      </c>
      <c r="D93" s="30" t="str">
        <f>HYPERLINK("https://twitter.com/Rijksoverheid","https://twitter.com/Rijksoverheid")</f>
        <v>https://twitter.com/Rijksoverheid</v>
      </c>
      <c r="E93" s="30" t="str">
        <f>HYPERLINK("http://twiplomacy.com/info/europe/Netherlands","http://twiplomacy.com/info/europe/Netherlands")</f>
        <v>http://twiplomacy.com/info/europe/Netherlands</v>
      </c>
      <c r="F93" s="10" t="s">
        <v>332</v>
      </c>
      <c r="G93" s="10" t="s">
        <v>467</v>
      </c>
      <c r="H93" s="10" t="s">
        <v>788</v>
      </c>
      <c r="I93" s="10" t="s">
        <v>782</v>
      </c>
      <c r="J93" s="27" t="s">
        <v>789</v>
      </c>
      <c r="K93" s="15" t="s">
        <v>777</v>
      </c>
      <c r="L93" s="10" t="s">
        <v>771</v>
      </c>
      <c r="M93" s="10" t="s">
        <v>771</v>
      </c>
      <c r="N93" s="30" t="str">
        <f>HYPERLINK("https://twitter.com/Rijksoverheid/statuses/11250347702","https://twitter.com/Rijksoverheid/statuses/11250347702")</f>
        <v>https://twitter.com/Rijksoverheid/statuses/11250347702</v>
      </c>
      <c r="O93" s="27" t="s">
        <v>6071</v>
      </c>
      <c r="P93" s="80">
        <v>233</v>
      </c>
      <c r="Q93" s="80">
        <v>24</v>
      </c>
      <c r="R93" s="27" t="s">
        <v>2994</v>
      </c>
      <c r="S93" s="30" t="str">
        <f>HYPERLINK("https://twitter.com/Rijksoverheid/lists","https://twitter.com/Rijksoverheid/lists")</f>
        <v>https://twitter.com/Rijksoverheid/lists</v>
      </c>
      <c r="T93" s="10" t="s">
        <v>771</v>
      </c>
      <c r="U93" s="10">
        <v>1</v>
      </c>
      <c r="V93" s="10" t="s">
        <v>771</v>
      </c>
      <c r="W93" s="10"/>
      <c r="X93" s="27" t="s">
        <v>470</v>
      </c>
      <c r="Y93" s="27" t="s">
        <v>470</v>
      </c>
      <c r="Z93" s="80">
        <v>11718</v>
      </c>
      <c r="AA93" s="27">
        <v>0</v>
      </c>
      <c r="AB93" s="80">
        <v>25589</v>
      </c>
      <c r="AC93" s="27">
        <v>172</v>
      </c>
      <c r="AD93" s="27" t="s">
        <v>4421</v>
      </c>
      <c r="AE93" s="27">
        <v>15595333</v>
      </c>
      <c r="AF93" s="27" t="s">
        <v>4420</v>
      </c>
      <c r="AG93" s="27" t="s">
        <v>2083</v>
      </c>
      <c r="AH93" s="79">
        <v>4.1289640591966199</v>
      </c>
      <c r="AI93" s="83">
        <v>7.36551724137931</v>
      </c>
      <c r="AJ93" s="80">
        <v>0.474683544303797</v>
      </c>
      <c r="AK93" s="80">
        <v>0.15063291139240501</v>
      </c>
      <c r="AL93" s="27">
        <v>2988</v>
      </c>
      <c r="AM93" s="97">
        <f t="shared" si="1"/>
        <v>0.93374999999999997</v>
      </c>
      <c r="AN93" s="27" t="s">
        <v>470</v>
      </c>
      <c r="AO93" s="27">
        <v>0</v>
      </c>
      <c r="AP93" s="27">
        <v>8</v>
      </c>
      <c r="AQ93" s="27">
        <v>0</v>
      </c>
      <c r="AR93" s="27">
        <f>SUM(AO93:AQ93)</f>
        <v>8</v>
      </c>
      <c r="AS93" s="27"/>
      <c r="AT93" s="27" t="s">
        <v>5470</v>
      </c>
      <c r="AU93" s="84"/>
      <c r="AV93" s="77"/>
      <c r="AW93" s="77"/>
      <c r="AX93" s="77"/>
      <c r="AY93" s="77"/>
      <c r="AZ93" s="77"/>
      <c r="BA93" s="77"/>
      <c r="BB93" s="77"/>
      <c r="BC93" s="77"/>
      <c r="BD93" s="77"/>
      <c r="BE93" s="77"/>
      <c r="BF93" s="77"/>
      <c r="BG93" s="77"/>
      <c r="BH93" s="77"/>
      <c r="BI93" s="77"/>
      <c r="BJ93" s="77"/>
      <c r="BK93" s="77"/>
      <c r="BL93" s="77"/>
      <c r="BM93" s="77"/>
      <c r="BN93" s="77"/>
      <c r="BO93" s="77"/>
      <c r="BP93" s="77"/>
      <c r="BQ93" s="70"/>
      <c r="BR93" s="70"/>
      <c r="BS93" s="70"/>
      <c r="BT93" s="70"/>
      <c r="BU93" s="70"/>
      <c r="BV93" s="70"/>
      <c r="BW93" s="70"/>
      <c r="BX93" s="70"/>
      <c r="BY93" s="70"/>
      <c r="BZ93" s="70"/>
      <c r="CA93" s="70"/>
      <c r="CB93" s="70"/>
      <c r="CC93" s="77"/>
      <c r="CD93" s="77"/>
      <c r="CE93" s="77"/>
      <c r="CF93" s="77"/>
      <c r="CG93" s="77"/>
      <c r="CH93" s="77"/>
      <c r="CI93" s="77"/>
      <c r="CJ93" s="77"/>
      <c r="CK93" s="77"/>
      <c r="CL93" s="77"/>
      <c r="CM93" s="77"/>
      <c r="CN93" s="77"/>
      <c r="CO93" s="77"/>
      <c r="CP93" s="77"/>
      <c r="CQ93" s="77"/>
      <c r="CR93" s="77"/>
      <c r="CS93" s="77"/>
      <c r="CT93" s="77"/>
      <c r="CU93" s="77"/>
      <c r="CV93" s="77"/>
      <c r="CW93" s="77"/>
      <c r="CX93" s="77"/>
      <c r="CY93" s="77"/>
      <c r="CZ93" s="77"/>
      <c r="DA93" s="77"/>
      <c r="DB93" s="77"/>
      <c r="DC93" s="77"/>
      <c r="DD93" s="77"/>
      <c r="DE93" s="77"/>
      <c r="DF93" s="77"/>
      <c r="DG93" s="77"/>
      <c r="DH93" s="77"/>
      <c r="DI93" s="77"/>
      <c r="DJ93" s="77"/>
      <c r="DK93" s="77"/>
      <c r="DL93" s="77"/>
      <c r="DM93" s="77"/>
      <c r="DN93" s="77"/>
      <c r="DO93" s="77"/>
      <c r="DP93" s="77"/>
      <c r="DQ93" s="77"/>
      <c r="DR93" s="77"/>
      <c r="DS93" s="77"/>
      <c r="DT93" s="77"/>
      <c r="DU93" s="77"/>
      <c r="DV93" s="77"/>
      <c r="DW93" s="77"/>
      <c r="DX93" s="77"/>
      <c r="DY93" s="77"/>
      <c r="DZ93" s="77"/>
      <c r="EA93" s="77"/>
      <c r="EB93" s="77"/>
      <c r="EC93" s="77"/>
      <c r="ED93" s="77"/>
      <c r="EE93" s="77"/>
      <c r="EF93" s="77"/>
      <c r="EG93" s="77"/>
      <c r="EH93" s="77"/>
      <c r="EI93" s="77"/>
      <c r="EJ93" s="77"/>
      <c r="EK93" s="77"/>
      <c r="EL93" s="77"/>
      <c r="EM93" s="77"/>
      <c r="EN93" s="77"/>
      <c r="EO93" s="77"/>
      <c r="EP93" s="77"/>
      <c r="EQ93" s="77"/>
      <c r="ER93" s="77"/>
      <c r="ES93" s="77"/>
      <c r="ET93" s="77"/>
      <c r="EU93" s="77"/>
      <c r="EV93" s="77"/>
      <c r="EW93" s="77"/>
      <c r="EX93" s="77"/>
      <c r="EY93" s="77"/>
      <c r="EZ93" s="77"/>
      <c r="FA93" s="77"/>
      <c r="FB93" s="77"/>
      <c r="FC93" s="77"/>
      <c r="FD93" s="77"/>
      <c r="FE93" s="77"/>
      <c r="FF93" s="77"/>
      <c r="FG93" s="77"/>
      <c r="FH93" s="77"/>
      <c r="FI93" s="77"/>
      <c r="FJ93" s="77"/>
      <c r="FK93" s="77"/>
      <c r="FL93" s="77"/>
      <c r="FM93" s="77"/>
      <c r="FN93" s="77"/>
      <c r="FO93" s="77"/>
      <c r="FP93" s="77"/>
      <c r="FQ93" s="77"/>
      <c r="FR93" s="77"/>
      <c r="FS93" s="77"/>
      <c r="FT93" s="77"/>
      <c r="FU93" s="77"/>
      <c r="FV93" s="77"/>
      <c r="FW93" s="77"/>
      <c r="FX93" s="77"/>
      <c r="FY93" s="77"/>
      <c r="FZ93" s="77"/>
      <c r="GA93" s="77"/>
      <c r="GB93" s="77"/>
      <c r="GC93" s="77"/>
      <c r="GD93" s="77"/>
      <c r="GE93" s="77"/>
      <c r="GF93" s="77"/>
      <c r="GG93" s="77"/>
      <c r="GH93" s="77"/>
      <c r="GI93" s="77"/>
      <c r="GJ93" s="77"/>
      <c r="GK93" s="77"/>
      <c r="GL93" s="77"/>
      <c r="GM93" s="77"/>
      <c r="GN93" s="77"/>
      <c r="GO93" s="77"/>
      <c r="GP93" s="77"/>
      <c r="GQ93" s="77"/>
      <c r="GR93" s="77"/>
      <c r="GS93" s="77"/>
      <c r="GT93" s="77"/>
      <c r="GU93" s="77"/>
      <c r="GV93" s="77"/>
      <c r="GW93" s="77"/>
      <c r="GX93" s="77"/>
      <c r="GY93" s="77"/>
      <c r="GZ93" s="77"/>
      <c r="HA93" s="77"/>
      <c r="HB93" s="77"/>
      <c r="HC93" s="77"/>
      <c r="HD93" s="77"/>
      <c r="HE93" s="77"/>
      <c r="HF93" s="77"/>
      <c r="HG93" s="77"/>
      <c r="HH93" s="77"/>
      <c r="HI93" s="77"/>
      <c r="HJ93" s="77"/>
      <c r="HK93" s="77"/>
      <c r="HL93" s="77"/>
      <c r="HM93" s="77"/>
      <c r="HN93" s="77"/>
      <c r="HO93" s="77"/>
      <c r="HP93" s="77"/>
      <c r="HQ93" s="77"/>
      <c r="HR93" s="77"/>
      <c r="HS93" s="77"/>
      <c r="HT93" s="77"/>
      <c r="HU93" s="77"/>
      <c r="HV93" s="77"/>
      <c r="HW93" s="77"/>
      <c r="HX93" s="77"/>
      <c r="HY93" s="77"/>
      <c r="HZ93" s="77"/>
      <c r="IA93" s="77"/>
      <c r="IB93" s="77"/>
      <c r="IC93" s="77"/>
      <c r="ID93" s="77"/>
      <c r="IE93" s="77"/>
      <c r="IF93" s="77"/>
      <c r="IG93" s="77"/>
      <c r="IH93" s="77"/>
      <c r="II93" s="77"/>
      <c r="IJ93" s="77"/>
      <c r="IK93" s="77"/>
      <c r="IL93" s="77"/>
      <c r="IM93" s="77"/>
      <c r="IN93" s="77"/>
      <c r="IO93" s="77"/>
      <c r="IP93" s="77"/>
      <c r="IQ93" s="77"/>
      <c r="IR93" s="77"/>
      <c r="IS93" s="77"/>
      <c r="IT93" s="77"/>
      <c r="IU93" s="77"/>
      <c r="IV93" s="77"/>
      <c r="IW93" s="77"/>
      <c r="IX93" s="77"/>
      <c r="IY93" s="77"/>
      <c r="IZ93" s="77"/>
      <c r="JA93" s="77"/>
      <c r="JB93" s="77"/>
      <c r="JC93" s="77"/>
      <c r="JD93" s="77"/>
      <c r="JE93" s="77"/>
      <c r="JF93" s="77"/>
      <c r="JG93" s="77"/>
      <c r="JH93" s="77"/>
      <c r="JI93" s="77"/>
      <c r="JJ93" s="77"/>
      <c r="JK93" s="77"/>
      <c r="JL93" s="77"/>
      <c r="JM93" s="77"/>
      <c r="JN93" s="77"/>
      <c r="JO93" s="77"/>
      <c r="JP93" s="77"/>
      <c r="JQ93" s="77"/>
      <c r="JR93" s="77"/>
      <c r="JS93" s="77"/>
      <c r="JT93" s="77"/>
      <c r="JU93" s="77"/>
      <c r="JV93" s="77"/>
      <c r="JW93" s="77"/>
      <c r="JX93" s="77"/>
      <c r="JY93" s="77"/>
      <c r="JZ93" s="77"/>
      <c r="KA93" s="77"/>
      <c r="KB93" s="77"/>
      <c r="KC93" s="77"/>
      <c r="KD93" s="77"/>
      <c r="KE93" s="77"/>
      <c r="KF93" s="77"/>
      <c r="KG93" s="77"/>
      <c r="KH93" s="77"/>
      <c r="KI93" s="77"/>
      <c r="KJ93" s="77"/>
      <c r="KK93" s="77"/>
      <c r="KL93" s="77"/>
      <c r="KM93" s="77"/>
      <c r="KN93" s="77"/>
      <c r="KO93" s="77"/>
      <c r="KP93" s="77"/>
      <c r="KQ93" s="77"/>
      <c r="KR93" s="77"/>
      <c r="KS93" s="77"/>
      <c r="KT93" s="77"/>
      <c r="KU93" s="77"/>
      <c r="KV93" s="77"/>
      <c r="KW93" s="77"/>
      <c r="KX93" s="77"/>
      <c r="KY93" s="77"/>
      <c r="KZ93" s="77"/>
      <c r="LA93" s="77"/>
      <c r="LB93" s="77"/>
      <c r="LC93" s="77"/>
      <c r="LD93" s="77"/>
      <c r="LE93" s="77"/>
      <c r="LF93" s="77"/>
      <c r="LG93" s="77"/>
      <c r="LH93" s="77"/>
      <c r="LI93" s="77"/>
      <c r="LJ93" s="77"/>
      <c r="LK93" s="77"/>
      <c r="LL93" s="77"/>
      <c r="LM93" s="77"/>
      <c r="LN93" s="77"/>
      <c r="LO93" s="77"/>
      <c r="LP93" s="77"/>
      <c r="LQ93" s="77"/>
      <c r="LR93" s="77"/>
      <c r="LS93" s="77"/>
      <c r="LT93" s="77"/>
      <c r="LU93" s="77"/>
      <c r="LV93" s="77"/>
      <c r="MS93" s="77"/>
      <c r="ND93" s="16"/>
    </row>
    <row r="94" spans="1:421" ht="18.600000000000001" customHeight="1" x14ac:dyDescent="0.25">
      <c r="A94" s="119" t="s">
        <v>211</v>
      </c>
      <c r="B94" s="27" t="s">
        <v>1357</v>
      </c>
      <c r="C94" s="27" t="s">
        <v>1358</v>
      </c>
      <c r="D94" s="30" t="str">
        <f>HYPERLINK("https://twitter.com/IsraelMFA","https://twitter.com/IsraelMFA")</f>
        <v>https://twitter.com/IsraelMFA</v>
      </c>
      <c r="E94" s="30" t="str">
        <f>HYPERLINK("http://twiplomacy.com/info/asia/Israel","http://twiplomacy.com/info/asia/Israel")</f>
        <v>http://twiplomacy.com/info/asia/Israel</v>
      </c>
      <c r="F94" s="10" t="s">
        <v>154</v>
      </c>
      <c r="G94" s="10" t="s">
        <v>207</v>
      </c>
      <c r="H94" s="10" t="s">
        <v>795</v>
      </c>
      <c r="I94" s="10" t="s">
        <v>782</v>
      </c>
      <c r="J94" s="27" t="s">
        <v>789</v>
      </c>
      <c r="K94" s="15" t="s">
        <v>777</v>
      </c>
      <c r="L94" s="10" t="s">
        <v>771</v>
      </c>
      <c r="M94" s="10" t="s">
        <v>770</v>
      </c>
      <c r="N94" s="30" t="str">
        <f>HYPERLINK("https://twitter.com/IsraelMFA/statuses/22590476037","https://twitter.com/IsraelMFA/statuses/22590476037")</f>
        <v>https://twitter.com/IsraelMFA/statuses/22590476037</v>
      </c>
      <c r="O94" s="27" t="s">
        <v>5884</v>
      </c>
      <c r="P94" s="80">
        <v>1108</v>
      </c>
      <c r="Q94" s="80">
        <v>1080</v>
      </c>
      <c r="R94" s="27" t="s">
        <v>2994</v>
      </c>
      <c r="S94" s="30" t="str">
        <f>HYPERLINK("https://twitter.com/IsraelMFA/lists","https://twitter.com/IsraelMFA/lists")</f>
        <v>https://twitter.com/IsraelMFA/lists</v>
      </c>
      <c r="T94" s="10">
        <v>9</v>
      </c>
      <c r="U94" s="10">
        <v>8</v>
      </c>
      <c r="V94" s="30" t="str">
        <f>HYPERLINK("https://twitter.com/IsraelMFA/mfa-missions-on-tw/members","https://twitter.com/IsraelMFA/mfa-missions-on-tw/members")</f>
        <v>https://twitter.com/IsraelMFA/mfa-missions-on-tw/members</v>
      </c>
      <c r="W94" s="10">
        <v>135</v>
      </c>
      <c r="X94" s="27" t="s">
        <v>211</v>
      </c>
      <c r="Y94" s="27" t="s">
        <v>1357</v>
      </c>
      <c r="Z94" s="80">
        <v>11458</v>
      </c>
      <c r="AA94" s="27">
        <v>1502</v>
      </c>
      <c r="AB94" s="80">
        <v>101515</v>
      </c>
      <c r="AC94" s="27">
        <v>501</v>
      </c>
      <c r="AD94" s="27" t="s">
        <v>3859</v>
      </c>
      <c r="AE94" s="27">
        <v>85796380</v>
      </c>
      <c r="AF94" s="27" t="s">
        <v>1358</v>
      </c>
      <c r="AG94" s="27" t="s">
        <v>1352</v>
      </c>
      <c r="AH94" s="79">
        <v>4.81875525651808</v>
      </c>
      <c r="AI94" s="83">
        <v>7.0929203539822998</v>
      </c>
      <c r="AJ94" s="80">
        <v>30.759247242050598</v>
      </c>
      <c r="AK94" s="80">
        <v>20.062946138870899</v>
      </c>
      <c r="AL94" s="27">
        <v>40</v>
      </c>
      <c r="AM94" s="97">
        <f t="shared" si="1"/>
        <v>1.2500000000000001E-2</v>
      </c>
      <c r="AN94" s="27" t="s">
        <v>211</v>
      </c>
      <c r="AO94" s="27">
        <v>136</v>
      </c>
      <c r="AP94" s="27">
        <v>16</v>
      </c>
      <c r="AQ94" s="27">
        <v>96</v>
      </c>
      <c r="AR94" s="27">
        <f>SUM(AO94:AQ94)</f>
        <v>248</v>
      </c>
      <c r="AS94" s="27" t="s">
        <v>6573</v>
      </c>
      <c r="AT94" s="27" t="s">
        <v>6753</v>
      </c>
      <c r="AU94" s="84" t="s">
        <v>6493</v>
      </c>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7"/>
      <c r="CW94" s="77"/>
      <c r="CX94" s="77"/>
      <c r="CY94" s="77"/>
      <c r="CZ94" s="77"/>
      <c r="DA94" s="77"/>
      <c r="DB94" s="77"/>
      <c r="DC94" s="77"/>
      <c r="DD94" s="77"/>
      <c r="DE94" s="77"/>
      <c r="DF94" s="77"/>
      <c r="DG94" s="77"/>
      <c r="DH94" s="77"/>
      <c r="DI94" s="77"/>
      <c r="DJ94" s="77"/>
      <c r="DK94" s="77"/>
      <c r="DL94" s="77"/>
      <c r="DM94" s="77"/>
      <c r="DN94" s="77"/>
      <c r="DO94" s="77"/>
      <c r="DP94" s="77"/>
      <c r="DQ94" s="77"/>
      <c r="DR94" s="77"/>
      <c r="DS94" s="77"/>
      <c r="DT94" s="77"/>
      <c r="DU94" s="77"/>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7"/>
      <c r="ET94" s="77"/>
      <c r="EU94" s="77"/>
      <c r="EV94" s="77"/>
      <c r="EW94" s="77"/>
      <c r="EX94" s="77"/>
      <c r="EY94" s="77"/>
      <c r="EZ94" s="77"/>
      <c r="FA94" s="77"/>
      <c r="FB94" s="77"/>
      <c r="FC94" s="77"/>
      <c r="FD94" s="77"/>
      <c r="FE94" s="77"/>
      <c r="FF94" s="77"/>
      <c r="FG94" s="77"/>
      <c r="FH94" s="77"/>
      <c r="FI94" s="77"/>
      <c r="FJ94" s="77"/>
      <c r="FK94" s="77"/>
      <c r="FL94" s="77"/>
      <c r="FM94" s="77"/>
      <c r="FN94" s="77"/>
      <c r="FO94" s="77"/>
      <c r="FP94" s="77"/>
      <c r="FQ94" s="77"/>
      <c r="FR94" s="77"/>
      <c r="FS94" s="77"/>
      <c r="FT94" s="77"/>
      <c r="FU94" s="77"/>
      <c r="FV94" s="77"/>
      <c r="FW94" s="77"/>
      <c r="FX94" s="77"/>
      <c r="FY94" s="77"/>
      <c r="FZ94" s="77"/>
      <c r="GA94" s="77"/>
      <c r="GB94" s="77"/>
      <c r="GC94" s="77"/>
      <c r="GD94" s="77"/>
      <c r="GE94" s="77"/>
      <c r="GF94" s="77"/>
      <c r="GG94" s="77"/>
      <c r="GH94" s="77"/>
      <c r="GI94" s="77"/>
      <c r="GJ94" s="77"/>
      <c r="GK94" s="77"/>
      <c r="GL94" s="77"/>
      <c r="GM94" s="77"/>
      <c r="GN94" s="77"/>
      <c r="GO94" s="77"/>
      <c r="GP94" s="77"/>
      <c r="GQ94" s="77"/>
      <c r="GR94" s="77"/>
      <c r="GS94" s="77"/>
      <c r="GT94" s="77"/>
      <c r="GU94" s="77"/>
      <c r="GV94" s="77"/>
      <c r="GW94" s="77"/>
      <c r="GX94" s="77"/>
      <c r="GY94" s="77"/>
      <c r="GZ94" s="77"/>
      <c r="HA94" s="77"/>
      <c r="HB94" s="77"/>
      <c r="HC94" s="77"/>
      <c r="HD94" s="77"/>
      <c r="HE94" s="77"/>
      <c r="HF94" s="77"/>
      <c r="HG94" s="77"/>
      <c r="HH94" s="77"/>
      <c r="HI94" s="77"/>
      <c r="HJ94" s="77"/>
      <c r="HK94" s="77"/>
      <c r="HL94" s="77"/>
      <c r="HM94" s="77"/>
      <c r="HN94" s="77"/>
      <c r="HO94" s="77"/>
      <c r="HP94" s="77"/>
      <c r="HQ94" s="77"/>
      <c r="HR94" s="77"/>
      <c r="HS94" s="77"/>
      <c r="HT94" s="77"/>
      <c r="HU94" s="77"/>
      <c r="HV94" s="77"/>
      <c r="HW94" s="77"/>
      <c r="HX94" s="77"/>
      <c r="HY94" s="77"/>
      <c r="HZ94" s="77"/>
      <c r="IA94" s="77"/>
      <c r="IB94" s="77"/>
      <c r="IC94" s="77"/>
      <c r="ID94" s="77"/>
      <c r="IE94" s="77"/>
      <c r="IF94" s="77"/>
      <c r="IG94" s="77"/>
      <c r="IH94" s="77"/>
      <c r="II94" s="77"/>
      <c r="IJ94" s="77"/>
      <c r="IK94" s="77"/>
      <c r="IL94" s="77"/>
      <c r="IM94" s="77"/>
      <c r="IN94" s="77"/>
      <c r="IO94" s="77"/>
      <c r="IP94" s="77"/>
      <c r="IQ94" s="77"/>
      <c r="IR94" s="77"/>
      <c r="IS94" s="77"/>
      <c r="IT94" s="77"/>
      <c r="IU94" s="77"/>
      <c r="IV94" s="77"/>
      <c r="IW94" s="77"/>
      <c r="IX94" s="77"/>
      <c r="IY94" s="77"/>
      <c r="IZ94" s="77"/>
      <c r="JA94" s="77"/>
      <c r="JB94" s="77"/>
      <c r="JC94" s="77"/>
      <c r="JD94" s="77"/>
      <c r="JE94" s="77"/>
      <c r="JF94" s="77"/>
      <c r="JG94" s="77"/>
      <c r="JH94" s="77"/>
      <c r="JI94" s="77"/>
      <c r="JJ94" s="77"/>
      <c r="JK94" s="77"/>
      <c r="JL94" s="77"/>
      <c r="JM94" s="77"/>
      <c r="JN94" s="77"/>
      <c r="JO94" s="77"/>
      <c r="JP94" s="77"/>
      <c r="JQ94" s="77"/>
      <c r="JR94" s="77"/>
      <c r="JS94" s="77"/>
      <c r="JT94" s="77"/>
      <c r="JU94" s="77"/>
      <c r="JV94" s="77"/>
      <c r="JW94" s="77"/>
      <c r="JX94" s="77"/>
      <c r="JY94" s="77"/>
      <c r="JZ94" s="77"/>
      <c r="KA94" s="77"/>
      <c r="KB94" s="77"/>
      <c r="KC94" s="77"/>
      <c r="KD94" s="77"/>
      <c r="KE94" s="77"/>
      <c r="KF94" s="77"/>
      <c r="KG94" s="77"/>
      <c r="KH94" s="77"/>
      <c r="KI94" s="77"/>
      <c r="KJ94" s="77"/>
      <c r="KK94" s="77"/>
      <c r="KL94" s="77"/>
      <c r="LL94" s="16"/>
      <c r="LM94" s="16"/>
      <c r="LN94" s="16"/>
      <c r="LO94" s="16"/>
      <c r="LP94" s="16"/>
      <c r="LQ94" s="16"/>
      <c r="LR94" s="16"/>
      <c r="LS94" s="16"/>
      <c r="LT94" s="16"/>
      <c r="LU94" s="16"/>
      <c r="LV94" s="16"/>
      <c r="LY94" s="16"/>
      <c r="LZ94" s="16"/>
      <c r="MA94" s="16"/>
      <c r="MB94" s="16"/>
      <c r="MC94" s="16"/>
      <c r="MD94" s="16"/>
      <c r="ME94" s="16"/>
      <c r="MF94" s="16"/>
      <c r="MG94" s="16"/>
      <c r="MH94" s="16"/>
      <c r="MI94" s="16"/>
      <c r="MJ94" s="16"/>
      <c r="MK94" s="16"/>
      <c r="ML94" s="16"/>
      <c r="MM94" s="16"/>
      <c r="MN94" s="16"/>
      <c r="MO94" s="16"/>
      <c r="MP94" s="16"/>
      <c r="MQ94" s="16"/>
      <c r="MR94" s="16"/>
      <c r="MS94" s="77"/>
      <c r="ND94" s="77"/>
    </row>
    <row r="95" spans="1:421" ht="18.600000000000001" customHeight="1" x14ac:dyDescent="0.25">
      <c r="A95" s="119" t="s">
        <v>2261</v>
      </c>
      <c r="B95" s="27" t="s">
        <v>2262</v>
      </c>
      <c r="C95" s="27" t="s">
        <v>3535</v>
      </c>
      <c r="D95" s="30" t="str">
        <f>HYPERLINK("https://twitter.com/Byegm","https://twitter.com/Byegm")</f>
        <v>https://twitter.com/Byegm</v>
      </c>
      <c r="E95" s="30" t="str">
        <f>HYPERLINK("http://twiplomacy.com/info/europe/Turkey","http://twiplomacy.com/info/europe/Turkey")</f>
        <v>http://twiplomacy.com/info/europe/Turkey</v>
      </c>
      <c r="F95" s="20" t="s">
        <v>332</v>
      </c>
      <c r="G95" s="20" t="s">
        <v>536</v>
      </c>
      <c r="H95" s="10" t="s">
        <v>788</v>
      </c>
      <c r="I95" s="10" t="s">
        <v>782</v>
      </c>
      <c r="J95" s="27" t="s">
        <v>2254</v>
      </c>
      <c r="K95" s="10" t="s">
        <v>777</v>
      </c>
      <c r="L95" s="10" t="s">
        <v>771</v>
      </c>
      <c r="M95" s="10" t="s">
        <v>770</v>
      </c>
      <c r="N95" s="30" t="str">
        <f>HYPERLINK("https://twitter.com/Byegm/status/25453859831","https://twitter.com/Byegm/status/25453859831")</f>
        <v>https://twitter.com/Byegm/status/25453859831</v>
      </c>
      <c r="O95" s="30" t="str">
        <f>HYPERLINK("https://twitter.com/Byegm/statuses/575941439521230848","https://twitter.com/Byegm/statuses/575941439521230848")</f>
        <v>https://twitter.com/Byegm/statuses/575941439521230848</v>
      </c>
      <c r="P95" s="46">
        <v>540</v>
      </c>
      <c r="Q95" s="46">
        <v>910</v>
      </c>
      <c r="R95" s="27" t="s">
        <v>2994</v>
      </c>
      <c r="S95" s="30" t="str">
        <f>HYPERLINK("https://twitter.com/Byegm/lists","https://twitter.com/Byegm/lists")</f>
        <v>https://twitter.com/Byegm/lists</v>
      </c>
      <c r="T95" s="10" t="s">
        <v>771</v>
      </c>
      <c r="U95" s="10" t="s">
        <v>771</v>
      </c>
      <c r="V95" s="10" t="s">
        <v>771</v>
      </c>
      <c r="W95" s="20"/>
      <c r="X95" s="27" t="s">
        <v>2261</v>
      </c>
      <c r="Y95" s="27" t="s">
        <v>2262</v>
      </c>
      <c r="Z95" s="80">
        <v>11435</v>
      </c>
      <c r="AA95" s="27">
        <v>113</v>
      </c>
      <c r="AB95" s="80">
        <v>359968</v>
      </c>
      <c r="AC95" s="27">
        <v>86</v>
      </c>
      <c r="AD95" s="27" t="s">
        <v>3536</v>
      </c>
      <c r="AE95" s="27">
        <v>194792183</v>
      </c>
      <c r="AF95" s="27" t="s">
        <v>3535</v>
      </c>
      <c r="AG95" s="27" t="s">
        <v>2257</v>
      </c>
      <c r="AH95" s="79">
        <v>5.5886663409868103</v>
      </c>
      <c r="AI95" s="83">
        <v>9.0704225352112697</v>
      </c>
      <c r="AJ95" s="80">
        <v>40.028236914600498</v>
      </c>
      <c r="AK95" s="80">
        <v>33.811294765840202</v>
      </c>
      <c r="AL95" s="27">
        <v>397</v>
      </c>
      <c r="AM95" s="97">
        <f t="shared" si="1"/>
        <v>0.12406250000000001</v>
      </c>
      <c r="AN95" s="27" t="s">
        <v>2261</v>
      </c>
      <c r="AO95" s="27">
        <v>5</v>
      </c>
      <c r="AP95" s="27">
        <v>0</v>
      </c>
      <c r="AQ95" s="27">
        <v>7</v>
      </c>
      <c r="AR95" s="27">
        <f>SUM(AO95:AQ95)</f>
        <v>12</v>
      </c>
      <c r="AS95" s="27" t="s">
        <v>5050</v>
      </c>
      <c r="AT95" s="27"/>
      <c r="AU95" s="84" t="s">
        <v>4668</v>
      </c>
      <c r="AV95" s="29"/>
      <c r="AW95" s="29"/>
      <c r="AX95" s="29"/>
      <c r="AY95" s="29"/>
      <c r="AZ95" s="29"/>
      <c r="BA95" s="29"/>
      <c r="BB95" s="29"/>
      <c r="BC95" s="29"/>
      <c r="BD95" s="29"/>
      <c r="BE95" s="29"/>
      <c r="BF95" s="29"/>
      <c r="BG95" s="29"/>
      <c r="BH95" s="29"/>
      <c r="BI95" s="29"/>
      <c r="BJ95" s="29"/>
      <c r="BK95" s="29"/>
      <c r="BL95" s="29"/>
      <c r="BM95" s="77"/>
      <c r="BQ95" s="77"/>
      <c r="BR95" s="77"/>
      <c r="BS95" s="77"/>
      <c r="BT95" s="77"/>
      <c r="BU95" s="77"/>
      <c r="BV95" s="77"/>
      <c r="BW95" s="77"/>
      <c r="BX95" s="77"/>
      <c r="BY95" s="77"/>
      <c r="BZ95" s="77"/>
      <c r="CA95" s="77"/>
      <c r="CB95" s="77"/>
      <c r="CC95" s="16"/>
      <c r="CD95" s="16"/>
      <c r="CE95" s="16"/>
      <c r="CF95" s="16"/>
      <c r="CG95" s="16"/>
      <c r="CH95" s="16"/>
      <c r="CI95" s="16"/>
      <c r="CJ95" s="16"/>
      <c r="CK95" s="77"/>
      <c r="CL95" s="77"/>
      <c r="CM95" s="77"/>
      <c r="CN95" s="77"/>
      <c r="CO95" s="77"/>
      <c r="CP95" s="77"/>
      <c r="CQ95" s="77"/>
      <c r="CR95" s="77"/>
      <c r="CS95" s="77"/>
      <c r="CT95" s="77"/>
      <c r="CU95" s="77"/>
      <c r="CV95" s="77"/>
      <c r="CW95" s="77"/>
      <c r="CX95" s="77"/>
      <c r="CY95" s="77"/>
      <c r="CZ95" s="77"/>
      <c r="DA95" s="77"/>
      <c r="DB95" s="77"/>
      <c r="DC95" s="77"/>
      <c r="DD95" s="77"/>
      <c r="DE95" s="77"/>
      <c r="DF95" s="77"/>
      <c r="DG95" s="77"/>
      <c r="DH95" s="77"/>
      <c r="DI95" s="77"/>
      <c r="DJ95" s="77"/>
      <c r="DK95" s="77"/>
      <c r="DL95" s="77"/>
      <c r="DM95" s="77"/>
      <c r="DN95" s="77"/>
      <c r="DO95" s="77"/>
      <c r="DP95" s="77"/>
      <c r="DQ95" s="77"/>
      <c r="DR95" s="77"/>
      <c r="DS95" s="77"/>
      <c r="DT95" s="77"/>
      <c r="DU95" s="77"/>
      <c r="DV95" s="77"/>
      <c r="DW95" s="77"/>
      <c r="DX95" s="77"/>
      <c r="DY95" s="77"/>
      <c r="DZ95" s="77"/>
      <c r="EA95" s="77"/>
      <c r="EB95" s="77"/>
      <c r="EC95" s="77"/>
      <c r="ED95" s="77"/>
      <c r="EE95" s="77"/>
      <c r="EF95" s="77"/>
      <c r="EG95" s="77"/>
      <c r="EH95" s="77"/>
      <c r="EI95" s="77"/>
      <c r="EJ95" s="77"/>
      <c r="EK95" s="77"/>
      <c r="EL95" s="77"/>
      <c r="EM95" s="77"/>
      <c r="EN95" s="77"/>
      <c r="EO95" s="77"/>
      <c r="EP95" s="77"/>
      <c r="EQ95" s="77"/>
      <c r="ER95" s="77"/>
      <c r="ES95" s="77"/>
      <c r="ET95" s="77"/>
      <c r="EU95" s="77"/>
      <c r="EV95" s="77"/>
      <c r="EW95" s="77"/>
      <c r="EX95" s="77"/>
      <c r="EY95" s="77"/>
      <c r="EZ95" s="77"/>
      <c r="FA95" s="77"/>
      <c r="FB95" s="77"/>
      <c r="FC95" s="77"/>
      <c r="FD95" s="77"/>
      <c r="FE95" s="77"/>
      <c r="FF95" s="77"/>
      <c r="FG95" s="77"/>
      <c r="FH95" s="77"/>
      <c r="FI95" s="77"/>
      <c r="FJ95" s="77"/>
      <c r="FK95" s="77"/>
      <c r="FL95" s="77"/>
      <c r="FM95" s="77"/>
      <c r="FN95" s="77"/>
      <c r="FO95" s="77"/>
      <c r="FP95" s="77"/>
      <c r="FQ95" s="77"/>
      <c r="FR95" s="77"/>
      <c r="FS95" s="77"/>
      <c r="FT95" s="77"/>
      <c r="FU95" s="77"/>
      <c r="FV95" s="77"/>
      <c r="FW95" s="77"/>
      <c r="FX95" s="77"/>
      <c r="FY95" s="77"/>
      <c r="FZ95" s="77"/>
      <c r="GA95" s="77"/>
      <c r="GB95" s="77"/>
      <c r="GC95" s="77"/>
      <c r="GD95" s="77"/>
      <c r="GE95" s="77"/>
      <c r="GF95" s="77"/>
      <c r="GG95" s="77"/>
      <c r="GH95" s="77"/>
      <c r="GI95" s="77"/>
      <c r="GJ95" s="77"/>
      <c r="GK95" s="77"/>
      <c r="HL95" s="77"/>
      <c r="HM95" s="77"/>
      <c r="HN95" s="77"/>
      <c r="HO95" s="77"/>
      <c r="HP95" s="77"/>
      <c r="HQ95" s="77"/>
      <c r="HR95" s="77"/>
      <c r="HS95" s="77"/>
      <c r="HT95" s="77"/>
      <c r="HU95" s="77"/>
      <c r="HV95" s="77"/>
      <c r="HW95" s="77"/>
      <c r="HX95" s="77"/>
      <c r="HY95" s="77"/>
      <c r="HZ95" s="77"/>
      <c r="IA95" s="77"/>
      <c r="IB95" s="77"/>
      <c r="IC95" s="77"/>
      <c r="LL95" s="77"/>
      <c r="LM95" s="77"/>
      <c r="LN95" s="77"/>
      <c r="LO95" s="77"/>
      <c r="LP95" s="77"/>
      <c r="LQ95" s="77"/>
      <c r="LR95" s="77"/>
      <c r="LS95" s="77"/>
      <c r="LT95" s="77"/>
      <c r="LU95" s="77"/>
      <c r="LV95" s="77"/>
      <c r="LY95" s="77"/>
      <c r="LZ95" s="77"/>
      <c r="MA95" s="77"/>
      <c r="MB95" s="77"/>
      <c r="MC95" s="77"/>
      <c r="MD95" s="77"/>
      <c r="ME95" s="77"/>
      <c r="MF95" s="77"/>
      <c r="MG95" s="77"/>
      <c r="MH95" s="77"/>
      <c r="MI95" s="77"/>
      <c r="MJ95" s="77"/>
      <c r="MK95" s="77"/>
      <c r="ML95" s="77"/>
      <c r="MM95" s="77"/>
      <c r="MN95" s="77"/>
      <c r="MO95" s="77"/>
      <c r="MP95" s="77"/>
      <c r="MQ95" s="77"/>
      <c r="MR95" s="77"/>
    </row>
    <row r="96" spans="1:421" ht="18.600000000000001" customHeight="1" x14ac:dyDescent="0.25">
      <c r="A96" s="119" t="s">
        <v>684</v>
      </c>
      <c r="B96" s="27" t="s">
        <v>2717</v>
      </c>
      <c r="C96" s="27" t="s">
        <v>2718</v>
      </c>
      <c r="D96" s="30" t="str">
        <f>HYPERLINK("https://twitter.com/JuanManSantos","https://twitter.com/JuanManSantos")</f>
        <v>https://twitter.com/JuanManSantos</v>
      </c>
      <c r="E96" s="30" t="str">
        <f>HYPERLINK("http://twiplomacy.com/info/south-america/Colombia","http://twiplomacy.com/info/south-america/Colombia")</f>
        <v>http://twiplomacy.com/info/south-america/Colombia</v>
      </c>
      <c r="F96" s="10" t="s">
        <v>668</v>
      </c>
      <c r="G96" s="10" t="s">
        <v>683</v>
      </c>
      <c r="H96" s="10" t="s">
        <v>772</v>
      </c>
      <c r="I96" s="10" t="s">
        <v>773</v>
      </c>
      <c r="J96" s="27" t="s">
        <v>789</v>
      </c>
      <c r="K96" s="15" t="s">
        <v>777</v>
      </c>
      <c r="L96" s="10" t="s">
        <v>770</v>
      </c>
      <c r="M96" s="10" t="s">
        <v>770</v>
      </c>
      <c r="N96" s="30" t="str">
        <f>HYPERLINK("https://twitter.com/JuanManSantos/statuses/3253473433","https://twitter.com/JuanManSantos/statuses/3253473433")</f>
        <v>https://twitter.com/JuanManSantos/statuses/3253473433</v>
      </c>
      <c r="O96" s="12" t="str">
        <f>HYPERLINK("https://twitter.com/JuanManSantos/statuses/443892112082223104","https://twitter.com/JuanManSantos/statuses/443892112082223104")</f>
        <v>https://twitter.com/JuanManSantos/statuses/443892112082223104</v>
      </c>
      <c r="P96" s="46">
        <v>19333</v>
      </c>
      <c r="Q96" s="46">
        <v>304</v>
      </c>
      <c r="R96" s="27" t="s">
        <v>2994</v>
      </c>
      <c r="S96" s="30" t="str">
        <f>HYPERLINK("https://twitter.com/JuanManSantos/lists","https://twitter.com/JuanManSantos/lists")</f>
        <v>https://twitter.com/JuanManSantos/lists</v>
      </c>
      <c r="T96" s="10" t="s">
        <v>771</v>
      </c>
      <c r="U96" s="10">
        <v>51</v>
      </c>
      <c r="V96" s="10" t="s">
        <v>771</v>
      </c>
      <c r="W96" s="73"/>
      <c r="X96" s="27" t="s">
        <v>684</v>
      </c>
      <c r="Y96" s="27" t="s">
        <v>2717</v>
      </c>
      <c r="Z96" s="80">
        <v>11195</v>
      </c>
      <c r="AA96" s="27">
        <v>1584</v>
      </c>
      <c r="AB96" s="80">
        <v>4435782</v>
      </c>
      <c r="AC96" s="27">
        <v>74</v>
      </c>
      <c r="AD96" s="27" t="s">
        <v>3901</v>
      </c>
      <c r="AE96" s="27">
        <v>64839766</v>
      </c>
      <c r="AF96" s="27" t="s">
        <v>2718</v>
      </c>
      <c r="AG96" s="27" t="s">
        <v>683</v>
      </c>
      <c r="AH96" s="79">
        <v>4.5604887983706703</v>
      </c>
      <c r="AI96" s="83">
        <v>6.8489361702127702</v>
      </c>
      <c r="AJ96" s="80">
        <v>141.35211267605601</v>
      </c>
      <c r="AK96" s="80">
        <v>144.62273641851101</v>
      </c>
      <c r="AL96" s="27">
        <v>103</v>
      </c>
      <c r="AM96" s="97">
        <f t="shared" si="1"/>
        <v>3.2187500000000001E-2</v>
      </c>
      <c r="AN96" s="27" t="s">
        <v>684</v>
      </c>
      <c r="AO96" s="27">
        <v>37</v>
      </c>
      <c r="AP96" s="27">
        <v>60</v>
      </c>
      <c r="AQ96" s="27">
        <v>16</v>
      </c>
      <c r="AR96" s="27">
        <f>SUM(AO96:AQ96)</f>
        <v>113</v>
      </c>
      <c r="AS96" s="27" t="s">
        <v>6221</v>
      </c>
      <c r="AT96" s="27" t="s">
        <v>6761</v>
      </c>
      <c r="AU96" s="84" t="s">
        <v>6498</v>
      </c>
      <c r="AV96" s="77"/>
      <c r="AW96" s="77"/>
      <c r="AX96" s="77"/>
      <c r="AY96" s="77"/>
      <c r="AZ96" s="77"/>
      <c r="BA96" s="77"/>
      <c r="BB96" s="77"/>
      <c r="BC96" s="77"/>
      <c r="BD96" s="77"/>
      <c r="BE96" s="77"/>
      <c r="BF96" s="77"/>
      <c r="BG96" s="77"/>
      <c r="BH96" s="77"/>
      <c r="BI96" s="77"/>
      <c r="BJ96" s="77"/>
      <c r="BK96" s="77"/>
      <c r="BL96" s="77"/>
      <c r="BM96" s="77"/>
      <c r="BN96" s="77"/>
      <c r="BO96" s="77"/>
      <c r="BP96" s="77"/>
      <c r="CC96" s="77"/>
      <c r="CD96" s="77"/>
      <c r="CE96" s="77"/>
      <c r="CF96" s="77"/>
      <c r="CG96" s="77"/>
      <c r="CH96" s="77"/>
      <c r="CI96" s="77"/>
      <c r="CJ96" s="77"/>
      <c r="CK96" s="77"/>
      <c r="CL96" s="77"/>
      <c r="CM96" s="77"/>
      <c r="CN96" s="77"/>
      <c r="CO96" s="77"/>
      <c r="CP96" s="77"/>
      <c r="CQ96" s="77"/>
      <c r="CR96" s="77"/>
      <c r="CS96" s="77"/>
      <c r="CT96" s="77"/>
      <c r="CU96" s="77"/>
      <c r="CV96" s="77"/>
      <c r="CW96" s="77"/>
      <c r="CX96" s="77"/>
      <c r="CY96" s="77"/>
      <c r="CZ96" s="77"/>
      <c r="DA96" s="77"/>
      <c r="DB96" s="77"/>
      <c r="DC96" s="77"/>
      <c r="DD96" s="77"/>
      <c r="DE96" s="77"/>
      <c r="DF96" s="77"/>
      <c r="DG96" s="77"/>
      <c r="DH96" s="77"/>
      <c r="DI96" s="77"/>
      <c r="DJ96" s="77"/>
      <c r="DK96" s="77"/>
      <c r="DL96" s="77"/>
      <c r="DM96" s="77"/>
      <c r="DN96" s="77"/>
      <c r="DO96" s="77"/>
      <c r="DP96" s="77"/>
      <c r="DQ96" s="77"/>
      <c r="DR96" s="77"/>
      <c r="DS96" s="77"/>
      <c r="DT96" s="77"/>
      <c r="DU96" s="77"/>
      <c r="DV96" s="77"/>
      <c r="DW96" s="77"/>
      <c r="DX96" s="77"/>
      <c r="DY96" s="77"/>
      <c r="DZ96" s="77"/>
      <c r="EA96" s="77"/>
      <c r="EB96" s="77"/>
      <c r="EC96" s="77"/>
      <c r="ED96" s="77"/>
      <c r="EE96" s="77"/>
      <c r="EF96" s="77"/>
      <c r="EG96" s="77"/>
      <c r="EH96" s="77"/>
      <c r="EI96" s="77"/>
      <c r="EJ96" s="77"/>
      <c r="EK96" s="77"/>
      <c r="EL96" s="77"/>
      <c r="EM96" s="77"/>
      <c r="EN96" s="77"/>
      <c r="EO96" s="77"/>
      <c r="EP96" s="77"/>
      <c r="EQ96" s="77"/>
      <c r="ER96" s="77"/>
      <c r="ES96" s="77"/>
      <c r="ET96" s="77"/>
      <c r="EU96" s="77"/>
      <c r="EV96" s="77"/>
      <c r="EW96" s="77"/>
      <c r="EX96" s="77"/>
      <c r="EY96" s="77"/>
      <c r="EZ96" s="77"/>
      <c r="FA96" s="77"/>
      <c r="FB96" s="77"/>
      <c r="FC96" s="77"/>
      <c r="FD96" s="77"/>
      <c r="FE96" s="77"/>
      <c r="FF96" s="77"/>
      <c r="FG96" s="77"/>
      <c r="FH96" s="77"/>
      <c r="FI96" s="77"/>
      <c r="FJ96" s="77"/>
      <c r="FK96" s="77"/>
      <c r="FL96" s="77"/>
      <c r="FM96" s="77"/>
      <c r="FN96" s="77"/>
      <c r="FO96" s="77"/>
      <c r="FP96" s="77"/>
      <c r="FQ96" s="77"/>
      <c r="FR96" s="77"/>
      <c r="FS96" s="77"/>
      <c r="FT96" s="77"/>
      <c r="FU96" s="77"/>
      <c r="FV96" s="77"/>
      <c r="FW96" s="77"/>
      <c r="FX96" s="77"/>
      <c r="FY96" s="77"/>
      <c r="FZ96" s="77"/>
      <c r="GA96" s="77"/>
      <c r="GB96" s="77"/>
      <c r="GC96" s="77"/>
      <c r="GD96" s="77"/>
      <c r="GE96" s="77"/>
      <c r="GF96" s="77"/>
      <c r="GG96" s="77"/>
      <c r="GH96" s="77"/>
      <c r="GI96" s="77"/>
      <c r="GJ96" s="77"/>
      <c r="GK96" s="77"/>
      <c r="GL96" s="77"/>
      <c r="GM96" s="77"/>
      <c r="GN96" s="77"/>
      <c r="GO96" s="77"/>
      <c r="GP96" s="77"/>
      <c r="GQ96" s="77"/>
      <c r="GR96" s="77"/>
      <c r="GS96" s="77"/>
      <c r="GT96" s="77"/>
      <c r="GU96" s="77"/>
      <c r="GV96" s="77"/>
      <c r="GW96" s="77"/>
      <c r="GX96" s="77"/>
      <c r="GY96" s="77"/>
      <c r="GZ96" s="77"/>
      <c r="HA96" s="77"/>
      <c r="HB96" s="77"/>
      <c r="HC96" s="77"/>
      <c r="HD96" s="77"/>
      <c r="HE96" s="77"/>
      <c r="HF96" s="77"/>
      <c r="HG96" s="77"/>
      <c r="HH96" s="77"/>
      <c r="HI96" s="77"/>
      <c r="HJ96" s="77"/>
      <c r="HK96" s="77"/>
      <c r="HL96" s="77"/>
      <c r="HM96" s="77"/>
      <c r="HN96" s="77"/>
      <c r="HO96" s="77"/>
      <c r="HP96" s="77"/>
      <c r="HQ96" s="77"/>
      <c r="HR96" s="77"/>
      <c r="HS96" s="77"/>
      <c r="HT96" s="77"/>
      <c r="HU96" s="77"/>
      <c r="HV96" s="77"/>
      <c r="HW96" s="77"/>
      <c r="HX96" s="77"/>
      <c r="HY96" s="77"/>
      <c r="HZ96" s="77"/>
      <c r="IA96" s="77"/>
      <c r="IB96" s="77"/>
      <c r="IC96" s="77"/>
      <c r="ID96" s="16"/>
      <c r="IE96" s="16"/>
      <c r="IF96" s="77"/>
      <c r="IG96" s="77"/>
      <c r="IH96" s="77"/>
      <c r="II96" s="77"/>
      <c r="IJ96" s="77"/>
      <c r="IK96" s="77"/>
      <c r="IL96" s="77"/>
      <c r="IM96" s="77"/>
      <c r="IN96" s="77"/>
      <c r="IO96" s="77"/>
      <c r="IP96" s="77"/>
      <c r="IQ96" s="77"/>
      <c r="IR96" s="77"/>
      <c r="IS96" s="77"/>
      <c r="IT96" s="77"/>
      <c r="IU96" s="77"/>
      <c r="IV96" s="77"/>
      <c r="IW96" s="77"/>
      <c r="IX96" s="77"/>
      <c r="IY96" s="77"/>
      <c r="IZ96" s="77"/>
      <c r="JA96" s="77"/>
      <c r="JB96" s="77"/>
      <c r="JC96" s="77"/>
      <c r="JD96" s="77"/>
      <c r="JE96" s="77"/>
      <c r="JF96" s="77"/>
      <c r="JG96" s="77"/>
      <c r="JH96" s="77"/>
      <c r="JI96" s="77"/>
      <c r="JJ96" s="77"/>
      <c r="JK96" s="77"/>
      <c r="JL96" s="77"/>
      <c r="JM96" s="77"/>
      <c r="JN96" s="77"/>
      <c r="JO96" s="77"/>
      <c r="JP96" s="77"/>
      <c r="JQ96" s="77"/>
      <c r="JR96" s="77"/>
      <c r="JS96" s="77"/>
      <c r="JT96" s="77"/>
      <c r="JU96" s="77"/>
      <c r="JV96" s="77"/>
      <c r="JW96" s="77"/>
      <c r="JX96" s="77"/>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W96" s="77"/>
      <c r="LX96" s="77"/>
      <c r="LY96" s="77"/>
      <c r="LZ96" s="77"/>
      <c r="MA96" s="77"/>
      <c r="MB96" s="77"/>
      <c r="MC96" s="77"/>
      <c r="MD96" s="77"/>
      <c r="ME96" s="77"/>
      <c r="MF96" s="77"/>
      <c r="MG96" s="77"/>
      <c r="MH96" s="77"/>
      <c r="MI96" s="77"/>
      <c r="MJ96" s="77"/>
      <c r="MK96" s="77"/>
      <c r="ML96" s="77"/>
      <c r="MM96" s="77"/>
      <c r="MN96" s="77"/>
      <c r="MO96" s="77"/>
      <c r="MP96" s="77"/>
      <c r="MQ96" s="77"/>
      <c r="MR96" s="77"/>
      <c r="MS96" s="77"/>
    </row>
    <row r="97" spans="1:368" ht="18.600000000000001" customHeight="1" x14ac:dyDescent="0.25">
      <c r="A97" s="119" t="s">
        <v>420</v>
      </c>
      <c r="B97" s="27" t="s">
        <v>1959</v>
      </c>
      <c r="C97" s="27" t="s">
        <v>4050</v>
      </c>
      <c r="D97" s="30" t="str">
        <f>HYPERLINK("https://twitter.com/merrionstreet","https://twitter.com/merrionstreet")</f>
        <v>https://twitter.com/merrionstreet</v>
      </c>
      <c r="E97" s="30" t="str">
        <f>HYPERLINK("http://twiplomacy.com/info/europe/Ireland","http://twiplomacy.com/info/europe/Ireland")</f>
        <v>http://twiplomacy.com/info/europe/Ireland</v>
      </c>
      <c r="F97" s="10" t="s">
        <v>332</v>
      </c>
      <c r="G97" s="10" t="s">
        <v>416</v>
      </c>
      <c r="H97" s="10" t="s">
        <v>788</v>
      </c>
      <c r="I97" s="10" t="s">
        <v>782</v>
      </c>
      <c r="J97" s="27" t="s">
        <v>789</v>
      </c>
      <c r="K97" s="15" t="s">
        <v>777</v>
      </c>
      <c r="L97" s="10" t="s">
        <v>771</v>
      </c>
      <c r="M97" s="10" t="s">
        <v>770</v>
      </c>
      <c r="N97" s="30" t="str">
        <f>HYPERLINK("https://twitter.com/merrionstreet/statuses/53806078688894976","https://twitter.com/merrionstreet/statuses/53806078688894976")</f>
        <v>https://twitter.com/merrionstreet/statuses/53806078688894976</v>
      </c>
      <c r="O97" s="27" t="s">
        <v>5936</v>
      </c>
      <c r="P97" s="80">
        <v>107</v>
      </c>
      <c r="Q97" s="80">
        <v>83</v>
      </c>
      <c r="R97" s="27" t="s">
        <v>2994</v>
      </c>
      <c r="S97" s="30" t="str">
        <f>HYPERLINK("https://twitter.com/merrionstreet/lists","https://twitter.com/merrionstreet/lists")</f>
        <v>https://twitter.com/merrionstreet/lists</v>
      </c>
      <c r="T97" s="10" t="s">
        <v>771</v>
      </c>
      <c r="U97" s="10">
        <v>1</v>
      </c>
      <c r="V97" s="10" t="s">
        <v>771</v>
      </c>
      <c r="W97" s="10"/>
      <c r="X97" s="27" t="s">
        <v>420</v>
      </c>
      <c r="Y97" s="27" t="s">
        <v>1959</v>
      </c>
      <c r="Z97" s="80">
        <v>11176</v>
      </c>
      <c r="AA97" s="27">
        <v>711</v>
      </c>
      <c r="AB97" s="80">
        <v>22052</v>
      </c>
      <c r="AC97" s="27">
        <v>339</v>
      </c>
      <c r="AD97" s="27" t="s">
        <v>4051</v>
      </c>
      <c r="AE97" s="27">
        <v>148000327</v>
      </c>
      <c r="AF97" s="27" t="s">
        <v>4050</v>
      </c>
      <c r="AG97" s="27" t="s">
        <v>1960</v>
      </c>
      <c r="AH97" s="79">
        <v>5.1526048870447196</v>
      </c>
      <c r="AI97" s="83">
        <v>8.7527173913043494</v>
      </c>
      <c r="AJ97" s="80">
        <v>3.64853395061728</v>
      </c>
      <c r="AK97" s="80">
        <v>1.91859567901235</v>
      </c>
      <c r="AL97" s="27">
        <v>56</v>
      </c>
      <c r="AM97" s="97">
        <f t="shared" si="1"/>
        <v>1.7500000000000002E-2</v>
      </c>
      <c r="AN97" s="27" t="s">
        <v>420</v>
      </c>
      <c r="AO97" s="27">
        <v>16</v>
      </c>
      <c r="AP97" s="27">
        <v>9</v>
      </c>
      <c r="AQ97" s="27">
        <v>12</v>
      </c>
      <c r="AR97" s="27">
        <f>SUM(AO97:AQ97)</f>
        <v>37</v>
      </c>
      <c r="AS97" s="27" t="s">
        <v>6230</v>
      </c>
      <c r="AT97" s="27" t="s">
        <v>5289</v>
      </c>
      <c r="AU97" s="84" t="s">
        <v>4837</v>
      </c>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Q97" s="77"/>
      <c r="ER97" s="77"/>
      <c r="ES97" s="77"/>
      <c r="ET97" s="77"/>
      <c r="EU97" s="77"/>
      <c r="EV97" s="77"/>
      <c r="EW97" s="77"/>
      <c r="EX97" s="77"/>
      <c r="EY97" s="77"/>
      <c r="EZ97" s="77"/>
      <c r="FA97" s="77"/>
      <c r="FB97" s="77"/>
      <c r="FC97" s="77"/>
      <c r="FD97" s="77"/>
      <c r="FE97" s="77"/>
      <c r="FF97" s="77"/>
      <c r="FG97" s="77"/>
      <c r="FH97" s="77"/>
      <c r="FI97" s="77"/>
      <c r="FJ97" s="77"/>
      <c r="FK97" s="77"/>
      <c r="FL97" s="77"/>
      <c r="FM97" s="77"/>
      <c r="FN97" s="77"/>
      <c r="FO97" s="77"/>
      <c r="FP97" s="77"/>
      <c r="FQ97" s="77"/>
      <c r="FR97" s="77"/>
      <c r="FS97" s="77"/>
      <c r="FT97" s="77"/>
      <c r="FU97" s="77"/>
      <c r="FV97" s="77"/>
      <c r="FW97" s="77"/>
      <c r="FX97" s="77"/>
      <c r="FY97" s="77"/>
      <c r="FZ97" s="77"/>
      <c r="GA97" s="77"/>
      <c r="GB97" s="77"/>
      <c r="GC97" s="77"/>
      <c r="GD97" s="77"/>
      <c r="GE97" s="77"/>
      <c r="GF97" s="77"/>
      <c r="GG97" s="77"/>
      <c r="GH97" s="77"/>
      <c r="GI97" s="77"/>
      <c r="GJ97" s="77"/>
      <c r="GK97" s="77"/>
      <c r="GL97" s="77"/>
      <c r="GM97" s="77"/>
      <c r="GN97" s="77"/>
      <c r="GO97" s="77"/>
      <c r="GP97" s="77"/>
      <c r="GQ97" s="77"/>
      <c r="GR97" s="77"/>
      <c r="GS97" s="77"/>
      <c r="GT97" s="77"/>
      <c r="GU97" s="77"/>
      <c r="GV97" s="77"/>
      <c r="GW97" s="77"/>
      <c r="GX97" s="77"/>
      <c r="GY97" s="77"/>
      <c r="GZ97" s="77"/>
      <c r="HA97" s="77"/>
      <c r="HB97" s="77"/>
      <c r="HC97" s="77"/>
      <c r="HD97" s="77"/>
      <c r="HE97" s="77"/>
      <c r="HF97" s="77"/>
      <c r="HG97" s="77"/>
      <c r="HH97" s="77"/>
      <c r="HI97" s="77"/>
      <c r="HJ97" s="77"/>
      <c r="HK97" s="77"/>
      <c r="JY97" s="77"/>
      <c r="JZ97" s="77"/>
      <c r="KA97" s="77"/>
      <c r="KB97" s="77"/>
      <c r="KC97" s="77"/>
      <c r="KD97" s="77"/>
      <c r="KE97" s="77"/>
      <c r="KF97" s="77"/>
      <c r="KG97" s="77"/>
      <c r="KH97" s="77"/>
      <c r="KI97" s="77"/>
      <c r="KJ97" s="77"/>
      <c r="KK97" s="77"/>
      <c r="KL97" s="77"/>
      <c r="MS97" s="77"/>
    </row>
    <row r="98" spans="1:368" ht="18.600000000000001" customHeight="1" x14ac:dyDescent="0.25">
      <c r="A98" s="119" t="s">
        <v>121</v>
      </c>
      <c r="B98" s="27" t="s">
        <v>1102</v>
      </c>
      <c r="C98" s="27" t="s">
        <v>3760</v>
      </c>
      <c r="D98" s="30" t="str">
        <f>HYPERLINK("https://twitter.com/GovernmentZA","https://twitter.com/GovernmentZA")</f>
        <v>https://twitter.com/GovernmentZA</v>
      </c>
      <c r="E98" s="30" t="str">
        <f>HYPERLINK("http://twiplomacy.com/info/africa/South-Africa","http://twiplomacy.com/info/africa/South-Africa")</f>
        <v>http://twiplomacy.com/info/africa/South-Africa</v>
      </c>
      <c r="F98" s="10" t="s">
        <v>1</v>
      </c>
      <c r="G98" s="10" t="s">
        <v>118</v>
      </c>
      <c r="H98" s="10" t="s">
        <v>788</v>
      </c>
      <c r="I98" s="10" t="s">
        <v>782</v>
      </c>
      <c r="J98" s="27" t="s">
        <v>789</v>
      </c>
      <c r="K98" s="15" t="s">
        <v>777</v>
      </c>
      <c r="L98" s="10" t="s">
        <v>771</v>
      </c>
      <c r="M98" s="10" t="s">
        <v>771</v>
      </c>
      <c r="N98" s="30" t="str">
        <f>HYPERLINK("https://twitter.com/GovernmentZA/statuses/355314169718910977","https://twitter.com/GovernmentZA/statuses/355314169718910977")</f>
        <v>https://twitter.com/GovernmentZA/statuses/355314169718910977</v>
      </c>
      <c r="O98" s="30" t="str">
        <f>HYPERLINK("https://twitter.com/GovernmentZA/statuses/540127234380824576","https://twitter.com/GovernmentZA/statuses/540127234380824576")</f>
        <v>https://twitter.com/GovernmentZA/statuses/540127234380824576</v>
      </c>
      <c r="P98" s="46">
        <v>595</v>
      </c>
      <c r="Q98" s="46">
        <v>122</v>
      </c>
      <c r="R98" s="27" t="s">
        <v>2994</v>
      </c>
      <c r="S98" s="30" t="str">
        <f>HYPERLINK("https://twitter.com/GovernmentZA/lists","https://twitter.com/GovernmentZA/lists")</f>
        <v>https://twitter.com/GovernmentZA/lists</v>
      </c>
      <c r="T98" s="10">
        <v>2</v>
      </c>
      <c r="U98" s="10" t="s">
        <v>771</v>
      </c>
      <c r="V98" s="10" t="s">
        <v>771</v>
      </c>
      <c r="W98" s="10"/>
      <c r="X98" s="27" t="s">
        <v>121</v>
      </c>
      <c r="Y98" s="27" t="s">
        <v>1102</v>
      </c>
      <c r="Z98" s="80">
        <v>11140</v>
      </c>
      <c r="AA98" s="27">
        <v>286</v>
      </c>
      <c r="AB98" s="80">
        <v>32211</v>
      </c>
      <c r="AC98" s="27">
        <v>2052</v>
      </c>
      <c r="AD98" s="27" t="s">
        <v>3761</v>
      </c>
      <c r="AE98" s="27">
        <v>1536223580</v>
      </c>
      <c r="AF98" s="27" t="s">
        <v>3760</v>
      </c>
      <c r="AG98" s="27" t="s">
        <v>118</v>
      </c>
      <c r="AH98" s="79">
        <v>10.650095602294501</v>
      </c>
      <c r="AI98" s="83">
        <v>21.6466666666667</v>
      </c>
      <c r="AJ98" s="80">
        <v>5.5005959475566204</v>
      </c>
      <c r="AK98" s="80">
        <v>2.7870480731029001</v>
      </c>
      <c r="AL98" s="27">
        <v>176</v>
      </c>
      <c r="AM98" s="97">
        <f t="shared" si="1"/>
        <v>5.5E-2</v>
      </c>
      <c r="AN98" s="27" t="s">
        <v>121</v>
      </c>
      <c r="AO98" s="27">
        <v>7</v>
      </c>
      <c r="AP98" s="27">
        <v>13</v>
      </c>
      <c r="AQ98" s="27">
        <v>2</v>
      </c>
      <c r="AR98" s="27">
        <f>SUM(AO98:AQ98)</f>
        <v>22</v>
      </c>
      <c r="AS98" s="27" t="s">
        <v>5152</v>
      </c>
      <c r="AT98" s="27" t="s">
        <v>5153</v>
      </c>
      <c r="AU98" s="84" t="s">
        <v>4742</v>
      </c>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77"/>
      <c r="CU98" s="77"/>
      <c r="CV98" s="77"/>
      <c r="CW98" s="77"/>
      <c r="CX98" s="77"/>
      <c r="CY98" s="77"/>
      <c r="CZ98" s="77"/>
      <c r="DA98" s="77"/>
      <c r="DB98" s="77"/>
      <c r="DC98" s="77"/>
      <c r="DD98" s="77"/>
      <c r="DE98" s="77"/>
      <c r="DF98" s="77"/>
      <c r="DG98" s="77"/>
      <c r="DH98" s="77"/>
      <c r="DI98" s="77"/>
      <c r="DJ98" s="77"/>
      <c r="DK98" s="77"/>
      <c r="DL98" s="77"/>
      <c r="DM98" s="77"/>
      <c r="DN98" s="77"/>
      <c r="DO98" s="77"/>
      <c r="DP98" s="77"/>
      <c r="DQ98" s="77"/>
      <c r="DR98" s="77"/>
      <c r="DS98" s="77"/>
      <c r="DT98" s="77"/>
      <c r="DU98" s="77"/>
      <c r="DV98" s="77"/>
      <c r="DW98" s="77"/>
      <c r="DX98" s="77"/>
      <c r="DY98" s="77"/>
      <c r="DZ98" s="77"/>
      <c r="EA98" s="77"/>
      <c r="EB98" s="77"/>
      <c r="EC98" s="77"/>
      <c r="ED98" s="77"/>
      <c r="EE98" s="77"/>
      <c r="EF98" s="77"/>
      <c r="EG98" s="77"/>
      <c r="EH98" s="77"/>
      <c r="EI98" s="77"/>
      <c r="EJ98" s="77"/>
      <c r="EK98" s="77"/>
      <c r="EL98" s="77"/>
      <c r="EM98" s="77"/>
      <c r="EN98" s="77"/>
      <c r="EO98" s="77"/>
      <c r="EP98" s="77"/>
      <c r="EQ98" s="77"/>
      <c r="ER98" s="77"/>
      <c r="ES98" s="77"/>
      <c r="ET98" s="77"/>
      <c r="EU98" s="77"/>
      <c r="EV98" s="77"/>
      <c r="EW98" s="77"/>
      <c r="EX98" s="77"/>
      <c r="EY98" s="77"/>
      <c r="EZ98" s="77"/>
      <c r="FA98" s="77"/>
      <c r="FB98" s="77"/>
      <c r="FC98" s="77"/>
      <c r="FD98" s="77"/>
      <c r="FE98" s="77"/>
      <c r="FF98" s="77"/>
      <c r="FG98" s="77"/>
      <c r="FH98" s="77"/>
      <c r="FI98" s="77"/>
      <c r="FJ98" s="77"/>
      <c r="FK98" s="77"/>
      <c r="FL98" s="77"/>
      <c r="FM98" s="77"/>
      <c r="FN98" s="77"/>
      <c r="FO98" s="77"/>
      <c r="FP98" s="77"/>
      <c r="FQ98" s="77"/>
      <c r="FR98" s="77"/>
      <c r="FS98" s="77"/>
      <c r="FT98" s="77"/>
      <c r="FU98" s="77"/>
      <c r="FV98" s="77"/>
      <c r="FW98" s="77"/>
      <c r="FX98" s="77"/>
      <c r="FY98" s="77"/>
      <c r="FZ98" s="77"/>
      <c r="GA98" s="77"/>
      <c r="GB98" s="77"/>
      <c r="GC98" s="77"/>
      <c r="GD98" s="77"/>
      <c r="GE98" s="77"/>
      <c r="GF98" s="77"/>
      <c r="GG98" s="77"/>
      <c r="GH98" s="77"/>
      <c r="GI98" s="77"/>
      <c r="GJ98" s="77"/>
      <c r="GK98" s="77"/>
      <c r="GL98" s="77"/>
      <c r="GM98" s="77"/>
      <c r="GN98" s="77"/>
      <c r="GO98" s="77"/>
      <c r="GP98" s="77"/>
      <c r="GQ98" s="77"/>
      <c r="GR98" s="77"/>
      <c r="GS98" s="77"/>
      <c r="GT98" s="77"/>
      <c r="GU98" s="77"/>
      <c r="GV98" s="77"/>
      <c r="GW98" s="77"/>
      <c r="GX98" s="77"/>
      <c r="GY98" s="77"/>
      <c r="GZ98" s="77"/>
      <c r="HA98" s="77"/>
      <c r="HB98" s="77"/>
      <c r="HC98" s="77"/>
      <c r="HD98" s="77"/>
      <c r="HE98" s="77"/>
      <c r="HF98" s="77"/>
      <c r="HG98" s="77"/>
      <c r="HH98" s="77"/>
      <c r="HI98" s="77"/>
      <c r="HJ98" s="77"/>
      <c r="HK98" s="77"/>
      <c r="HL98" s="77"/>
      <c r="HM98" s="77"/>
      <c r="HN98" s="77"/>
      <c r="HO98" s="77"/>
      <c r="HP98" s="77"/>
      <c r="HQ98" s="77"/>
      <c r="HR98" s="77"/>
      <c r="HS98" s="77"/>
      <c r="HT98" s="77"/>
      <c r="HU98" s="77"/>
      <c r="HV98" s="77"/>
      <c r="HW98" s="77"/>
      <c r="HX98" s="77"/>
      <c r="HY98" s="77"/>
      <c r="HZ98" s="77"/>
      <c r="IA98" s="77"/>
      <c r="IB98" s="77"/>
      <c r="IC98" s="77"/>
      <c r="ID98" s="77"/>
      <c r="IE98" s="77"/>
      <c r="IF98" s="77"/>
      <c r="IG98" s="77"/>
      <c r="IH98" s="77"/>
      <c r="II98" s="77"/>
      <c r="IJ98" s="77"/>
      <c r="IK98" s="77"/>
      <c r="IL98" s="77"/>
      <c r="IM98" s="77"/>
      <c r="IN98" s="77"/>
      <c r="IO98" s="77"/>
      <c r="IP98" s="77"/>
      <c r="IQ98" s="77"/>
      <c r="IR98" s="77"/>
      <c r="IS98" s="77"/>
      <c r="IT98" s="77"/>
      <c r="IU98" s="77"/>
      <c r="IV98" s="77"/>
      <c r="IW98" s="77"/>
      <c r="IX98" s="77"/>
      <c r="IY98" s="77"/>
      <c r="IZ98" s="77"/>
      <c r="JA98" s="77"/>
      <c r="JB98" s="77"/>
      <c r="JC98" s="77"/>
      <c r="JD98" s="77"/>
      <c r="JE98" s="77"/>
      <c r="JF98" s="77"/>
      <c r="JG98" s="77"/>
      <c r="JH98" s="77"/>
      <c r="JI98" s="77"/>
      <c r="JJ98" s="77"/>
      <c r="JK98" s="77"/>
      <c r="JL98" s="77"/>
      <c r="JM98" s="77"/>
      <c r="JN98" s="77"/>
      <c r="JO98" s="77"/>
      <c r="JP98" s="77"/>
      <c r="JQ98" s="77"/>
      <c r="JR98" s="77"/>
      <c r="JS98" s="77"/>
      <c r="JT98" s="77"/>
      <c r="JU98" s="77"/>
      <c r="JV98" s="77"/>
      <c r="JW98" s="77"/>
      <c r="JX98" s="77"/>
      <c r="JY98" s="77"/>
      <c r="JZ98" s="77"/>
      <c r="KA98" s="77"/>
      <c r="KB98" s="77"/>
      <c r="KC98" s="77"/>
      <c r="KD98" s="77"/>
      <c r="KE98" s="77"/>
      <c r="KF98" s="77"/>
      <c r="KG98" s="77"/>
      <c r="KH98" s="77"/>
      <c r="KI98" s="77"/>
      <c r="KJ98" s="77"/>
      <c r="KK98" s="77"/>
      <c r="KL98" s="77"/>
      <c r="KM98" s="77"/>
      <c r="KN98" s="77"/>
      <c r="KO98" s="77"/>
      <c r="KP98" s="77"/>
      <c r="KQ98" s="77"/>
      <c r="KR98" s="77"/>
      <c r="KS98" s="77"/>
      <c r="KT98" s="77"/>
      <c r="KU98" s="77"/>
      <c r="KV98" s="77"/>
      <c r="KW98" s="77"/>
      <c r="KX98" s="77"/>
      <c r="KY98" s="77"/>
      <c r="KZ98" s="77"/>
      <c r="LA98" s="77"/>
      <c r="LB98" s="77"/>
      <c r="LC98" s="77"/>
      <c r="LD98" s="77"/>
      <c r="LE98" s="77"/>
      <c r="LF98" s="77"/>
      <c r="LG98" s="77"/>
      <c r="LH98" s="77"/>
      <c r="LI98" s="77"/>
      <c r="LJ98" s="77"/>
      <c r="LK98" s="77"/>
      <c r="LL98" s="77"/>
      <c r="LM98" s="77"/>
      <c r="LN98" s="77"/>
      <c r="LO98" s="77"/>
      <c r="LP98" s="77"/>
      <c r="LQ98" s="77"/>
      <c r="LR98" s="77"/>
      <c r="LS98" s="77"/>
      <c r="LT98" s="77"/>
      <c r="LU98" s="77"/>
      <c r="LV98" s="77"/>
      <c r="LW98" s="77"/>
      <c r="LX98" s="77"/>
      <c r="MS98" s="77"/>
    </row>
    <row r="99" spans="1:368" ht="18.600000000000001" customHeight="1" x14ac:dyDescent="0.25">
      <c r="A99" s="119" t="s">
        <v>591</v>
      </c>
      <c r="B99" s="27" t="s">
        <v>2478</v>
      </c>
      <c r="C99" s="27" t="s">
        <v>3565</v>
      </c>
      <c r="D99" s="30" t="str">
        <f>HYPERLINK("https://twitter.com/cancilleriasv","https://twitter.com/cancilleriasv")</f>
        <v>https://twitter.com/cancilleriasv</v>
      </c>
      <c r="E99" s="30" t="str">
        <f>HYPERLINK("http://twiplomacy.com/info/north-america/El-Salvador","http://twiplomacy.com/info/north-america/El-Salvador")</f>
        <v>http://twiplomacy.com/info/north-america/El-Salvador</v>
      </c>
      <c r="F99" s="10" t="s">
        <v>558</v>
      </c>
      <c r="G99" s="10" t="s">
        <v>588</v>
      </c>
      <c r="H99" s="10" t="s">
        <v>795</v>
      </c>
      <c r="I99" s="10" t="s">
        <v>782</v>
      </c>
      <c r="J99" s="27" t="s">
        <v>2226</v>
      </c>
      <c r="K99" s="15" t="s">
        <v>777</v>
      </c>
      <c r="L99" s="10" t="s">
        <v>771</v>
      </c>
      <c r="M99" s="10" t="s">
        <v>770</v>
      </c>
      <c r="N99" s="30" t="str">
        <f>HYPERLINK("https://twitter.com/cancilleriasv/statuses/13104746081","https://twitter.com/cancilleriasv/statuses/13104746081")</f>
        <v>https://twitter.com/cancilleriasv/statuses/13104746081</v>
      </c>
      <c r="O99" s="27" t="s">
        <v>5733</v>
      </c>
      <c r="P99" s="80">
        <v>105</v>
      </c>
      <c r="Q99" s="80">
        <v>31</v>
      </c>
      <c r="R99" s="27" t="s">
        <v>2995</v>
      </c>
      <c r="S99" s="12" t="s">
        <v>2479</v>
      </c>
      <c r="T99" s="10" t="s">
        <v>771</v>
      </c>
      <c r="U99" s="10" t="s">
        <v>771</v>
      </c>
      <c r="V99" s="10" t="s">
        <v>771</v>
      </c>
      <c r="W99" s="10"/>
      <c r="X99" s="27" t="s">
        <v>591</v>
      </c>
      <c r="Y99" s="27" t="s">
        <v>2478</v>
      </c>
      <c r="Z99" s="80">
        <v>11068</v>
      </c>
      <c r="AA99" s="27">
        <v>497</v>
      </c>
      <c r="AB99" s="80">
        <v>22978</v>
      </c>
      <c r="AC99" s="27">
        <v>1997</v>
      </c>
      <c r="AD99" s="27" t="s">
        <v>3566</v>
      </c>
      <c r="AE99" s="27">
        <v>138154200</v>
      </c>
      <c r="AF99" s="27" t="s">
        <v>3565</v>
      </c>
      <c r="AG99" s="27" t="s">
        <v>2473</v>
      </c>
      <c r="AH99" s="79">
        <v>5.0414389799635702</v>
      </c>
      <c r="AI99" s="83">
        <v>14.089285714285699</v>
      </c>
      <c r="AJ99" s="80">
        <v>2.2607084019769399</v>
      </c>
      <c r="AK99" s="80">
        <v>1.53995057660626</v>
      </c>
      <c r="AL99" s="27">
        <v>109</v>
      </c>
      <c r="AM99" s="97">
        <f t="shared" si="1"/>
        <v>3.4062500000000002E-2</v>
      </c>
      <c r="AN99" s="27" t="s">
        <v>591</v>
      </c>
      <c r="AO99" s="27">
        <v>65</v>
      </c>
      <c r="AP99" s="27">
        <v>10</v>
      </c>
      <c r="AQ99" s="27">
        <v>39</v>
      </c>
      <c r="AR99" s="27">
        <f>SUM(AO99:AQ99)</f>
        <v>114</v>
      </c>
      <c r="AS99" s="27" t="s">
        <v>6637</v>
      </c>
      <c r="AT99" s="27" t="s">
        <v>6687</v>
      </c>
      <c r="AU99" s="84" t="s">
        <v>6474</v>
      </c>
      <c r="AV99" s="77"/>
      <c r="AW99" s="77"/>
      <c r="AX99" s="77"/>
      <c r="AY99" s="77"/>
      <c r="AZ99" s="77"/>
      <c r="BA99" s="77"/>
      <c r="BB99" s="77"/>
      <c r="BC99" s="77"/>
      <c r="BD99" s="77"/>
      <c r="BE99" s="77"/>
      <c r="BF99" s="77"/>
      <c r="BG99" s="77"/>
      <c r="BH99" s="77"/>
      <c r="BI99" s="77"/>
      <c r="BJ99" s="77"/>
      <c r="BK99" s="77"/>
      <c r="BL99" s="77"/>
      <c r="BM99" s="77"/>
      <c r="BN99" s="77"/>
      <c r="BO99" s="77"/>
      <c r="BP99" s="77"/>
      <c r="EP99" s="77"/>
      <c r="EQ99" s="77"/>
      <c r="ER99" s="77"/>
      <c r="ES99" s="77"/>
      <c r="ET99" s="77"/>
      <c r="EU99" s="77"/>
      <c r="EV99" s="77"/>
      <c r="EW99" s="77"/>
      <c r="EX99" s="77"/>
      <c r="EY99" s="77"/>
      <c r="EZ99" s="77"/>
      <c r="FA99" s="77"/>
      <c r="FB99" s="77"/>
      <c r="FC99" s="77"/>
      <c r="FD99" s="77"/>
      <c r="FE99" s="77"/>
      <c r="FF99" s="77"/>
      <c r="FG99" s="77"/>
      <c r="FH99" s="77"/>
      <c r="FI99" s="77"/>
      <c r="FJ99" s="77"/>
      <c r="FK99" s="77"/>
      <c r="FL99" s="77"/>
      <c r="FM99" s="77"/>
      <c r="FN99" s="77"/>
      <c r="FO99" s="77"/>
      <c r="FP99" s="77"/>
      <c r="FQ99" s="77"/>
      <c r="FR99" s="77"/>
      <c r="FS99" s="77"/>
      <c r="FT99" s="77"/>
      <c r="FU99" s="77"/>
      <c r="FV99" s="77"/>
      <c r="FW99" s="77"/>
      <c r="FX99" s="77"/>
      <c r="FY99" s="77"/>
      <c r="FZ99" s="77"/>
      <c r="GA99" s="77"/>
      <c r="GB99" s="77"/>
      <c r="GC99" s="77"/>
      <c r="GD99" s="77"/>
      <c r="GE99" s="77"/>
      <c r="GF99" s="77"/>
      <c r="GG99" s="77"/>
      <c r="GH99" s="77"/>
      <c r="GI99" s="77"/>
      <c r="GJ99" s="77"/>
      <c r="GK99" s="77"/>
      <c r="GL99" s="77"/>
      <c r="GM99" s="77"/>
      <c r="GN99" s="77"/>
      <c r="GO99" s="77"/>
      <c r="GP99" s="77"/>
      <c r="GQ99" s="77"/>
      <c r="GR99" s="77"/>
      <c r="GS99" s="77"/>
      <c r="GT99" s="77"/>
      <c r="GU99" s="77"/>
      <c r="GV99" s="77"/>
      <c r="GW99" s="77"/>
      <c r="GX99" s="77"/>
      <c r="GY99" s="77"/>
      <c r="GZ99" s="77"/>
      <c r="HA99" s="77"/>
      <c r="HB99" s="77"/>
      <c r="HC99" s="77"/>
      <c r="HD99" s="77"/>
      <c r="HE99" s="77"/>
      <c r="HF99" s="77"/>
      <c r="HG99" s="77"/>
      <c r="HH99" s="77"/>
      <c r="HI99" s="77"/>
      <c r="HJ99" s="77"/>
      <c r="HK99" s="77"/>
      <c r="HL99" s="77"/>
      <c r="HM99" s="77"/>
      <c r="HN99" s="77"/>
      <c r="HO99" s="77"/>
      <c r="HP99" s="77"/>
      <c r="HQ99" s="77"/>
      <c r="HR99" s="77"/>
      <c r="HS99" s="77"/>
      <c r="HT99" s="77"/>
      <c r="HU99" s="77"/>
      <c r="HV99" s="77"/>
      <c r="HW99" s="77"/>
      <c r="HX99" s="77"/>
      <c r="HY99" s="77"/>
      <c r="HZ99" s="77"/>
      <c r="IA99" s="77"/>
      <c r="IB99" s="77"/>
      <c r="IC99" s="77"/>
      <c r="ID99" s="77"/>
      <c r="IE99" s="77"/>
      <c r="JY99" s="77"/>
      <c r="JZ99" s="77"/>
      <c r="KA99" s="77"/>
      <c r="KB99" s="77"/>
      <c r="KC99" s="77"/>
      <c r="KD99" s="77"/>
      <c r="KE99" s="77"/>
      <c r="KF99" s="77"/>
      <c r="KG99" s="77"/>
      <c r="KH99" s="77"/>
      <c r="KI99" s="77"/>
      <c r="KJ99" s="77"/>
      <c r="KK99" s="77"/>
      <c r="KL99" s="77"/>
      <c r="KM99" s="77"/>
      <c r="KN99" s="77"/>
      <c r="KO99" s="77"/>
      <c r="KP99" s="77"/>
      <c r="KQ99" s="77"/>
      <c r="KR99" s="77"/>
      <c r="KS99" s="77"/>
      <c r="KT99" s="77"/>
      <c r="KU99" s="77"/>
      <c r="KV99" s="77"/>
      <c r="KW99" s="77"/>
      <c r="KX99" s="77"/>
      <c r="KY99" s="77"/>
      <c r="KZ99" s="77"/>
      <c r="LA99" s="77"/>
      <c r="LB99" s="77"/>
      <c r="LC99" s="77"/>
      <c r="LD99" s="77"/>
      <c r="LE99" s="77"/>
      <c r="LF99" s="77"/>
      <c r="LG99" s="77"/>
      <c r="LH99" s="77"/>
      <c r="LI99" s="77"/>
      <c r="LJ99" s="77"/>
      <c r="LK99" s="77"/>
      <c r="LL99" s="77"/>
      <c r="LM99" s="77"/>
      <c r="LN99" s="77"/>
      <c r="LO99" s="77"/>
      <c r="LP99" s="77"/>
      <c r="LQ99" s="77"/>
      <c r="LR99" s="77"/>
      <c r="LS99" s="77"/>
      <c r="LT99" s="77"/>
      <c r="LU99" s="77"/>
      <c r="LV99" s="77"/>
      <c r="LW99" s="77"/>
      <c r="LX99" s="77"/>
      <c r="MS99" s="77"/>
    </row>
    <row r="100" spans="1:368" ht="18.600000000000001" customHeight="1" x14ac:dyDescent="0.25">
      <c r="A100" s="119" t="s">
        <v>184</v>
      </c>
      <c r="B100" s="27" t="s">
        <v>1284</v>
      </c>
      <c r="C100" s="27" t="s">
        <v>1285</v>
      </c>
      <c r="D100" s="30" t="str">
        <f>HYPERLINK("https://twitter.com/narendramodi","https://twitter.com/narendramodi")</f>
        <v>https://twitter.com/narendramodi</v>
      </c>
      <c r="E100" s="30" t="str">
        <f>HYPERLINK("http://twiplomacy.com/info/asia/India","http://twiplomacy.com/info/asia/India")</f>
        <v>http://twiplomacy.com/info/asia/India</v>
      </c>
      <c r="F100" s="10" t="s">
        <v>154</v>
      </c>
      <c r="G100" s="10" t="s">
        <v>182</v>
      </c>
      <c r="H100" s="10" t="s">
        <v>776</v>
      </c>
      <c r="I100" s="10" t="s">
        <v>773</v>
      </c>
      <c r="J100" s="27" t="s">
        <v>789</v>
      </c>
      <c r="K100" s="15" t="s">
        <v>777</v>
      </c>
      <c r="L100" s="10" t="s">
        <v>771</v>
      </c>
      <c r="M100" s="10" t="s">
        <v>770</v>
      </c>
      <c r="N100" s="30" t="str">
        <f>HYPERLINK("https://twitter.com/narendramodi/statuses/1167296605","https://twitter.com/narendramodi/statuses/1167296605")</f>
        <v>https://twitter.com/narendramodi/statuses/1167296605</v>
      </c>
      <c r="O100" s="12" t="str">
        <f>HYPERLINK("https://twitter.com/narendramodi/statuses/467192528878329856","https://twitter.com/narendramodi/statuses/467192528878329856")</f>
        <v>https://twitter.com/narendramodi/statuses/467192528878329856</v>
      </c>
      <c r="P100" s="46">
        <v>73340</v>
      </c>
      <c r="Q100" s="46">
        <v>47978</v>
      </c>
      <c r="R100" s="27" t="s">
        <v>2994</v>
      </c>
      <c r="S100" s="10" t="s">
        <v>1286</v>
      </c>
      <c r="T100" s="10" t="s">
        <v>771</v>
      </c>
      <c r="U100" s="10" t="s">
        <v>771</v>
      </c>
      <c r="V100" s="10" t="s">
        <v>771</v>
      </c>
      <c r="W100" s="10"/>
      <c r="X100" s="27" t="s">
        <v>184</v>
      </c>
      <c r="Y100" s="27" t="s">
        <v>1284</v>
      </c>
      <c r="Z100" s="80">
        <v>11052</v>
      </c>
      <c r="AA100" s="27">
        <v>1375</v>
      </c>
      <c r="AB100" s="80">
        <v>19913884</v>
      </c>
      <c r="AC100" s="27">
        <v>0</v>
      </c>
      <c r="AD100" s="27" t="s">
        <v>4185</v>
      </c>
      <c r="AE100" s="27">
        <v>18839785</v>
      </c>
      <c r="AF100" s="27" t="s">
        <v>1285</v>
      </c>
      <c r="AG100" s="27" t="s">
        <v>182</v>
      </c>
      <c r="AH100" s="79">
        <v>4.1408767328587501</v>
      </c>
      <c r="AI100" s="83">
        <v>9.1082621082621102</v>
      </c>
      <c r="AJ100" s="80">
        <v>1602.2446768770999</v>
      </c>
      <c r="AK100" s="80">
        <v>3283.3432947329102</v>
      </c>
      <c r="AL100" s="27">
        <v>220</v>
      </c>
      <c r="AM100" s="97">
        <f t="shared" si="1"/>
        <v>6.8750000000000006E-2</v>
      </c>
      <c r="AN100" s="27" t="s">
        <v>184</v>
      </c>
      <c r="AO100" s="27">
        <v>14</v>
      </c>
      <c r="AP100" s="27">
        <v>75</v>
      </c>
      <c r="AQ100" s="27">
        <v>24</v>
      </c>
      <c r="AR100" s="27">
        <f>SUM(AO100:AQ100)</f>
        <v>113</v>
      </c>
      <c r="AS100" s="27" t="s">
        <v>6239</v>
      </c>
      <c r="AT100" s="27" t="s">
        <v>6800</v>
      </c>
      <c r="AU100" s="84" t="s">
        <v>6515</v>
      </c>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R100" s="77"/>
      <c r="ES100" s="77"/>
      <c r="ET100" s="77"/>
      <c r="EU100" s="77"/>
      <c r="EV100" s="77"/>
      <c r="EW100" s="77"/>
      <c r="EX100" s="77"/>
      <c r="EY100" s="77"/>
      <c r="EZ100" s="77"/>
      <c r="FA100" s="77"/>
      <c r="FB100" s="77"/>
      <c r="FC100" s="77"/>
      <c r="FD100" s="77"/>
      <c r="FE100" s="77"/>
      <c r="FF100" s="77"/>
      <c r="FG100" s="77"/>
      <c r="FH100" s="77"/>
      <c r="FI100" s="77"/>
      <c r="FJ100" s="77"/>
      <c r="FK100" s="77"/>
      <c r="FL100" s="77"/>
      <c r="FM100" s="77"/>
      <c r="FN100" s="77"/>
      <c r="FO100" s="77"/>
      <c r="FP100" s="77"/>
      <c r="FQ100" s="77"/>
      <c r="FR100" s="77"/>
      <c r="FS100" s="77"/>
      <c r="FT100" s="77"/>
      <c r="FU100" s="77"/>
      <c r="FV100" s="77"/>
      <c r="FW100" s="77"/>
      <c r="FX100" s="77"/>
      <c r="FY100" s="77"/>
      <c r="FZ100" s="77"/>
      <c r="GA100" s="77"/>
      <c r="GB100" s="77"/>
      <c r="GC100" s="77"/>
      <c r="GD100" s="77"/>
      <c r="GE100" s="77"/>
      <c r="GF100" s="77"/>
      <c r="GG100" s="77"/>
      <c r="GH100" s="77"/>
      <c r="GI100" s="77"/>
      <c r="GJ100" s="77"/>
      <c r="GK100" s="77"/>
      <c r="GL100" s="77"/>
      <c r="GM100" s="77"/>
      <c r="GN100" s="77"/>
      <c r="GO100" s="77"/>
      <c r="GP100" s="77"/>
      <c r="GQ100" s="77"/>
      <c r="GR100" s="77"/>
      <c r="GS100" s="77"/>
      <c r="GT100" s="77"/>
      <c r="GU100" s="77"/>
      <c r="GV100" s="77"/>
      <c r="GW100" s="77"/>
      <c r="GX100" s="77"/>
      <c r="GY100" s="77"/>
      <c r="GZ100" s="77"/>
      <c r="HA100" s="77"/>
      <c r="HB100" s="77"/>
      <c r="HC100" s="77"/>
      <c r="HD100" s="77"/>
      <c r="HE100" s="77"/>
      <c r="HF100" s="77"/>
      <c r="HG100" s="77"/>
      <c r="HH100" s="77"/>
      <c r="HI100" s="77"/>
      <c r="HJ100" s="77"/>
      <c r="HK100" s="77"/>
      <c r="ID100" s="77"/>
      <c r="IE100" s="77"/>
      <c r="IF100" s="77"/>
      <c r="IG100" s="77"/>
      <c r="IH100" s="77"/>
      <c r="II100" s="77"/>
      <c r="IJ100" s="77"/>
      <c r="IK100" s="77"/>
      <c r="IL100" s="77"/>
      <c r="IM100" s="77"/>
      <c r="IN100" s="77"/>
      <c r="IO100" s="77"/>
      <c r="IP100" s="77"/>
      <c r="IQ100" s="77"/>
      <c r="IR100" s="77"/>
      <c r="IS100" s="77"/>
      <c r="IT100" s="77"/>
      <c r="IU100" s="77"/>
      <c r="IV100" s="77"/>
      <c r="IW100" s="77"/>
      <c r="IX100" s="77"/>
      <c r="IY100" s="77"/>
      <c r="IZ100" s="77"/>
      <c r="JA100" s="77"/>
      <c r="JB100" s="77"/>
      <c r="JC100" s="77"/>
      <c r="JD100" s="77"/>
      <c r="JE100" s="77"/>
      <c r="JF100" s="77"/>
      <c r="JG100" s="77"/>
      <c r="JH100" s="77"/>
      <c r="JI100" s="77"/>
      <c r="JJ100" s="77"/>
      <c r="JK100" s="77"/>
      <c r="JL100" s="77"/>
      <c r="JM100" s="77"/>
      <c r="JN100" s="77"/>
      <c r="JO100" s="77"/>
      <c r="JP100" s="77"/>
      <c r="JQ100" s="77"/>
      <c r="JR100" s="77"/>
      <c r="JS100" s="77"/>
      <c r="JT100" s="77"/>
      <c r="JU100" s="77"/>
      <c r="JV100" s="77"/>
      <c r="JW100" s="77"/>
      <c r="JX100" s="77"/>
      <c r="LL100" s="77"/>
      <c r="LM100" s="77"/>
      <c r="LN100" s="77"/>
      <c r="LO100" s="77"/>
      <c r="LP100" s="77"/>
      <c r="LQ100" s="77"/>
      <c r="LR100" s="77"/>
      <c r="LS100" s="77"/>
      <c r="LT100" s="77"/>
      <c r="LU100" s="77"/>
      <c r="LV100" s="77"/>
      <c r="LW100" s="77"/>
      <c r="LX100" s="77"/>
    </row>
    <row r="101" spans="1:368" ht="18.600000000000001" customHeight="1" x14ac:dyDescent="0.25">
      <c r="A101" s="119" t="s">
        <v>1681</v>
      </c>
      <c r="B101" s="27" t="s">
        <v>1682</v>
      </c>
      <c r="C101" s="27" t="s">
        <v>4546</v>
      </c>
      <c r="D101" s="30" t="str">
        <f>HYPERLINK("https://twitter.com/UAEmGov","https://twitter.com/UAEmGov")</f>
        <v>https://twitter.com/UAEmGov</v>
      </c>
      <c r="E101" s="30" t="str">
        <f>HYPERLINK("http://twiplomacy.com/info/asia/United-Arab-Emirates","http://twiplomacy.com/info/asia/United-Arab-Emirates")</f>
        <v>http://twiplomacy.com/info/asia/United-Arab-Emirates</v>
      </c>
      <c r="F101" s="10" t="s">
        <v>154</v>
      </c>
      <c r="G101" s="10" t="s">
        <v>317</v>
      </c>
      <c r="H101" s="10" t="s">
        <v>788</v>
      </c>
      <c r="I101" s="10" t="s">
        <v>782</v>
      </c>
      <c r="J101" s="27" t="s">
        <v>789</v>
      </c>
      <c r="K101" s="15" t="s">
        <v>777</v>
      </c>
      <c r="L101" s="10" t="s">
        <v>771</v>
      </c>
      <c r="M101" s="10" t="s">
        <v>770</v>
      </c>
      <c r="N101" s="30" t="str">
        <f>HYPERLINK("https://twitter.com/UAEmGov/statuses/31972718500904960","https://twitter.com/UAEmGov/statuses/31972718500904960")</f>
        <v>https://twitter.com/UAEmGov/statuses/31972718500904960</v>
      </c>
      <c r="O101" s="20" t="s">
        <v>1683</v>
      </c>
      <c r="P101" s="46">
        <v>470</v>
      </c>
      <c r="Q101" s="46">
        <v>64</v>
      </c>
      <c r="R101" s="27" t="s">
        <v>2994</v>
      </c>
      <c r="S101" s="10" t="s">
        <v>1684</v>
      </c>
      <c r="T101" s="10" t="s">
        <v>771</v>
      </c>
      <c r="U101" s="10" t="s">
        <v>771</v>
      </c>
      <c r="V101" s="10" t="s">
        <v>771</v>
      </c>
      <c r="W101" s="10"/>
      <c r="X101" s="27" t="s">
        <v>1681</v>
      </c>
      <c r="Y101" s="27" t="s">
        <v>1682</v>
      </c>
      <c r="Z101" s="80">
        <v>10885</v>
      </c>
      <c r="AA101" s="27">
        <v>490</v>
      </c>
      <c r="AB101" s="80">
        <v>320467</v>
      </c>
      <c r="AC101" s="27">
        <v>83</v>
      </c>
      <c r="AD101" s="27" t="s">
        <v>4547</v>
      </c>
      <c r="AE101" s="27">
        <v>245243568</v>
      </c>
      <c r="AF101" s="27" t="s">
        <v>4546</v>
      </c>
      <c r="AG101" s="27" t="s">
        <v>1685</v>
      </c>
      <c r="AH101" s="79">
        <v>5.6751824817518202</v>
      </c>
      <c r="AI101" s="83">
        <v>16.605128205128199</v>
      </c>
      <c r="AJ101" s="80">
        <v>5.3492307692307701</v>
      </c>
      <c r="AK101" s="80">
        <v>7.7</v>
      </c>
      <c r="AL101" s="96">
        <v>13</v>
      </c>
      <c r="AM101" s="97">
        <f t="shared" si="1"/>
        <v>4.0625000000000001E-3</v>
      </c>
      <c r="AN101" s="27" t="s">
        <v>1681</v>
      </c>
      <c r="AO101" s="27">
        <v>2</v>
      </c>
      <c r="AP101" s="27">
        <v>10</v>
      </c>
      <c r="AQ101" s="27">
        <v>5</v>
      </c>
      <c r="AR101" s="27">
        <f>SUM(AO101:AQ101)</f>
        <v>17</v>
      </c>
      <c r="AS101" s="27" t="s">
        <v>5532</v>
      </c>
      <c r="AT101" s="27" t="s">
        <v>6350</v>
      </c>
      <c r="AU101" s="84" t="s">
        <v>4975</v>
      </c>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7"/>
      <c r="CW101" s="77"/>
      <c r="CX101" s="77"/>
      <c r="CY101" s="77"/>
      <c r="CZ101" s="77"/>
      <c r="DA101" s="77"/>
      <c r="DB101" s="77"/>
      <c r="DC101" s="77"/>
      <c r="DD101" s="77"/>
      <c r="DE101" s="77"/>
      <c r="DF101" s="77"/>
      <c r="DG101" s="77"/>
      <c r="DH101" s="77"/>
      <c r="DI101" s="77"/>
      <c r="DJ101" s="77"/>
      <c r="DK101" s="77"/>
      <c r="DL101" s="77"/>
      <c r="DM101" s="77"/>
      <c r="DN101" s="77"/>
      <c r="DO101" s="77"/>
      <c r="DP101" s="77"/>
      <c r="DQ101" s="77"/>
      <c r="DR101" s="77"/>
      <c r="DS101" s="77"/>
      <c r="DT101" s="77"/>
      <c r="DU101" s="77"/>
      <c r="DV101" s="77"/>
      <c r="DW101" s="77"/>
      <c r="DX101" s="77"/>
      <c r="DY101" s="77"/>
      <c r="DZ101" s="77"/>
      <c r="EA101" s="77"/>
      <c r="EB101" s="77"/>
      <c r="EC101" s="77"/>
      <c r="ED101" s="77"/>
      <c r="EE101" s="77"/>
      <c r="EF101" s="77"/>
      <c r="EG101" s="77"/>
      <c r="EH101" s="77"/>
      <c r="EI101" s="77"/>
      <c r="EJ101" s="77"/>
      <c r="EK101" s="77"/>
      <c r="EL101" s="77"/>
      <c r="EM101" s="77"/>
      <c r="EN101" s="77"/>
      <c r="EO101" s="77"/>
      <c r="EP101" s="77"/>
      <c r="EQ101" s="77"/>
      <c r="ER101" s="77"/>
      <c r="ES101" s="77"/>
      <c r="ET101" s="77"/>
      <c r="EU101" s="77"/>
      <c r="EV101" s="77"/>
      <c r="EW101" s="77"/>
      <c r="EX101" s="77"/>
      <c r="EY101" s="77"/>
      <c r="EZ101" s="77"/>
      <c r="FA101" s="77"/>
      <c r="FB101" s="77"/>
      <c r="FC101" s="77"/>
      <c r="FD101" s="77"/>
      <c r="FE101" s="77"/>
      <c r="FF101" s="77"/>
      <c r="FG101" s="77"/>
      <c r="FH101" s="77"/>
      <c r="FI101" s="77"/>
      <c r="FJ101" s="77"/>
      <c r="FK101" s="77"/>
      <c r="FL101" s="77"/>
      <c r="FM101" s="77"/>
      <c r="FN101" s="77"/>
      <c r="FO101" s="77"/>
      <c r="FP101" s="77"/>
      <c r="FQ101" s="77"/>
      <c r="FR101" s="77"/>
      <c r="FS101" s="77"/>
      <c r="FT101" s="77"/>
      <c r="FU101" s="77"/>
      <c r="FV101" s="77"/>
      <c r="FW101" s="77"/>
      <c r="FX101" s="77"/>
      <c r="FY101" s="77"/>
      <c r="FZ101" s="77"/>
      <c r="GA101" s="77"/>
      <c r="GB101" s="77"/>
      <c r="GC101" s="77"/>
      <c r="GD101" s="77"/>
      <c r="GE101" s="77"/>
      <c r="GF101" s="77"/>
      <c r="GG101" s="77"/>
      <c r="GH101" s="77"/>
      <c r="GI101" s="77"/>
      <c r="GJ101" s="77"/>
      <c r="GK101" s="77"/>
      <c r="GL101" s="77"/>
      <c r="GM101" s="77"/>
      <c r="GN101" s="77"/>
      <c r="GO101" s="77"/>
      <c r="GP101" s="77"/>
      <c r="GQ101" s="77"/>
      <c r="GR101" s="77"/>
      <c r="GS101" s="77"/>
      <c r="GT101" s="77"/>
      <c r="GU101" s="77"/>
      <c r="GV101" s="77"/>
      <c r="GW101" s="77"/>
      <c r="GX101" s="77"/>
      <c r="GY101" s="77"/>
      <c r="GZ101" s="77"/>
      <c r="HA101" s="77"/>
      <c r="HB101" s="77"/>
      <c r="HC101" s="77"/>
      <c r="HD101" s="77"/>
      <c r="HE101" s="77"/>
      <c r="HF101" s="77"/>
      <c r="HG101" s="77"/>
      <c r="HH101" s="77"/>
      <c r="HI101" s="77"/>
      <c r="HJ101" s="77"/>
      <c r="HK101" s="77"/>
      <c r="HL101" s="77"/>
      <c r="HM101" s="77"/>
      <c r="HN101" s="77"/>
      <c r="HO101" s="77"/>
      <c r="HP101" s="77"/>
      <c r="HQ101" s="77"/>
      <c r="HR101" s="77"/>
      <c r="HS101" s="77"/>
      <c r="HT101" s="77"/>
      <c r="HU101" s="77"/>
      <c r="HV101" s="77"/>
      <c r="HW101" s="77"/>
      <c r="HX101" s="77"/>
      <c r="HY101" s="77"/>
      <c r="HZ101" s="77"/>
      <c r="IA101" s="77"/>
      <c r="IB101" s="77"/>
      <c r="IC101" s="77"/>
      <c r="ID101" s="77"/>
      <c r="IE101" s="77"/>
      <c r="IF101" s="77"/>
      <c r="IG101" s="77"/>
      <c r="IH101" s="77"/>
      <c r="II101" s="77"/>
      <c r="IJ101" s="77"/>
      <c r="IK101" s="77"/>
      <c r="IL101" s="77"/>
      <c r="IM101" s="77"/>
      <c r="IN101" s="77"/>
      <c r="IO101" s="77"/>
      <c r="IP101" s="77"/>
      <c r="IQ101" s="77"/>
      <c r="IR101" s="77"/>
      <c r="IS101" s="77"/>
      <c r="IT101" s="77"/>
      <c r="IU101" s="77"/>
      <c r="IV101" s="77"/>
      <c r="IW101" s="77"/>
      <c r="IX101" s="77"/>
      <c r="IY101" s="77"/>
      <c r="IZ101" s="77"/>
      <c r="JA101" s="77"/>
      <c r="JB101" s="77"/>
      <c r="JC101" s="77"/>
      <c r="JD101" s="77"/>
      <c r="JE101" s="77"/>
      <c r="JF101" s="77"/>
      <c r="JG101" s="77"/>
      <c r="JH101" s="77"/>
      <c r="JI101" s="77"/>
      <c r="JJ101" s="77"/>
      <c r="JK101" s="77"/>
      <c r="JL101" s="77"/>
      <c r="JM101" s="77"/>
      <c r="JN101" s="77"/>
      <c r="JO101" s="77"/>
      <c r="JP101" s="77"/>
      <c r="JQ101" s="77"/>
      <c r="JR101" s="77"/>
      <c r="JS101" s="77"/>
      <c r="JT101" s="77"/>
      <c r="JU101" s="77"/>
      <c r="JV101" s="77"/>
      <c r="JW101" s="77"/>
      <c r="JX101" s="77"/>
      <c r="JY101" s="77"/>
      <c r="JZ101" s="77"/>
      <c r="KA101" s="77"/>
      <c r="KB101" s="77"/>
      <c r="KC101" s="77"/>
      <c r="KD101" s="77"/>
      <c r="KE101" s="77"/>
      <c r="KF101" s="77"/>
      <c r="KG101" s="77"/>
      <c r="KH101" s="77"/>
      <c r="KI101" s="77"/>
      <c r="KJ101" s="77"/>
      <c r="KK101" s="77"/>
      <c r="KL101" s="77"/>
      <c r="KM101" s="77"/>
      <c r="KN101" s="77"/>
      <c r="KO101" s="77"/>
      <c r="KP101" s="77"/>
      <c r="KQ101" s="77"/>
      <c r="KR101" s="77"/>
      <c r="KS101" s="77"/>
      <c r="KT101" s="77"/>
      <c r="KU101" s="77"/>
      <c r="KV101" s="77"/>
      <c r="KW101" s="77"/>
      <c r="KX101" s="77"/>
      <c r="KY101" s="77"/>
      <c r="KZ101" s="77"/>
      <c r="LA101" s="77"/>
      <c r="LB101" s="77"/>
      <c r="LC101" s="77"/>
      <c r="LD101" s="77"/>
      <c r="LE101" s="77"/>
      <c r="LF101" s="77"/>
      <c r="LG101" s="77"/>
      <c r="LH101" s="77"/>
      <c r="LI101" s="77"/>
      <c r="LJ101" s="77"/>
      <c r="LK101" s="77"/>
      <c r="LL101" s="77"/>
      <c r="LM101" s="77"/>
      <c r="LN101" s="77"/>
      <c r="LO101" s="77"/>
      <c r="LP101" s="77"/>
      <c r="LQ101" s="77"/>
      <c r="LR101" s="77"/>
      <c r="LS101" s="77"/>
      <c r="LT101" s="77"/>
      <c r="LU101" s="77"/>
      <c r="LV101" s="77"/>
      <c r="LW101" s="16"/>
      <c r="LX101" s="16"/>
      <c r="LY101" s="77"/>
      <c r="LZ101" s="77"/>
      <c r="MA101" s="77"/>
      <c r="MB101" s="77"/>
      <c r="MC101" s="77"/>
      <c r="MD101" s="77"/>
      <c r="ME101" s="77"/>
      <c r="MF101" s="77"/>
      <c r="MG101" s="77"/>
      <c r="MH101" s="77"/>
      <c r="MI101" s="77"/>
      <c r="MJ101" s="77"/>
      <c r="MK101" s="77"/>
      <c r="ML101" s="77"/>
      <c r="MM101" s="77"/>
      <c r="MN101" s="77"/>
      <c r="MO101" s="77"/>
      <c r="MP101" s="77"/>
      <c r="MQ101" s="77"/>
      <c r="MR101" s="77"/>
    </row>
    <row r="102" spans="1:368" ht="18.600000000000001" customHeight="1" x14ac:dyDescent="0.25">
      <c r="A102" s="119" t="s">
        <v>432</v>
      </c>
      <c r="B102" s="27" t="s">
        <v>1991</v>
      </c>
      <c r="C102" s="27" t="s">
        <v>1992</v>
      </c>
      <c r="D102" s="30" t="str">
        <f>HYPERLINK("https://twitter.com/edgarsrinkevics","https://twitter.com/edgarsrinkevics")</f>
        <v>https://twitter.com/edgarsrinkevics</v>
      </c>
      <c r="E102" s="30" t="str">
        <f>HYPERLINK("http://twiplomacy.com/info/europe/Latvia","http://twiplomacy.com/info/europe/Latvia")</f>
        <v>http://twiplomacy.com/info/europe/Latvia</v>
      </c>
      <c r="F102" s="10" t="s">
        <v>332</v>
      </c>
      <c r="G102" s="10" t="s">
        <v>428</v>
      </c>
      <c r="H102" s="10" t="s">
        <v>860</v>
      </c>
      <c r="I102" s="10" t="s">
        <v>773</v>
      </c>
      <c r="J102" s="27" t="s">
        <v>789</v>
      </c>
      <c r="K102" s="15" t="s">
        <v>777</v>
      </c>
      <c r="L102" s="10" t="s">
        <v>905</v>
      </c>
      <c r="M102" s="10" t="s">
        <v>770</v>
      </c>
      <c r="N102" s="30" t="str">
        <f>HYPERLINK("https://twitter.com/edgarsrinkevics/statuses/23047447686","https://twitter.com/edgarsrinkevics/statuses/23047447686")</f>
        <v>https://twitter.com/edgarsrinkevics/statuses/23047447686</v>
      </c>
      <c r="O102" s="30" t="str">
        <f>HYPERLINK("https://twitter.com/edgarsrinkevics/statuses/530450808132108288","https://twitter.com/edgarsrinkevics/statuses/530450808132108288")</f>
        <v>https://twitter.com/edgarsrinkevics/statuses/530450808132108288</v>
      </c>
      <c r="P102" s="46">
        <v>2497</v>
      </c>
      <c r="Q102" s="46">
        <v>3496</v>
      </c>
      <c r="R102" s="27" t="s">
        <v>2995</v>
      </c>
      <c r="S102" s="12" t="str">
        <f>HYPERLINK("https://twitter.com/edgarsrinkevics/lists","https://twitter.com/edgarsrinkevics/lists")</f>
        <v>https://twitter.com/edgarsrinkevics/lists</v>
      </c>
      <c r="T102" s="10" t="s">
        <v>771</v>
      </c>
      <c r="U102" s="10">
        <v>1</v>
      </c>
      <c r="V102" s="10" t="s">
        <v>771</v>
      </c>
      <c r="W102" s="10"/>
      <c r="X102" s="27" t="s">
        <v>432</v>
      </c>
      <c r="Y102" s="27" t="s">
        <v>1991</v>
      </c>
      <c r="Z102" s="80">
        <v>10883</v>
      </c>
      <c r="AA102" s="27">
        <v>2153</v>
      </c>
      <c r="AB102" s="80">
        <v>24067</v>
      </c>
      <c r="AC102" s="27">
        <v>2006</v>
      </c>
      <c r="AD102" s="27" t="s">
        <v>3637</v>
      </c>
      <c r="AE102" s="27">
        <v>61454352</v>
      </c>
      <c r="AF102" s="27" t="s">
        <v>1992</v>
      </c>
      <c r="AG102" s="27" t="s">
        <v>1993</v>
      </c>
      <c r="AH102" s="79">
        <v>4.4096434359805503</v>
      </c>
      <c r="AI102" s="83">
        <v>6.0301318267420001</v>
      </c>
      <c r="AJ102" s="80">
        <v>15.317167798254101</v>
      </c>
      <c r="AK102" s="80">
        <v>12.646944713870001</v>
      </c>
      <c r="AL102" s="27">
        <v>84</v>
      </c>
      <c r="AM102" s="97">
        <f t="shared" si="1"/>
        <v>2.6249999999999999E-2</v>
      </c>
      <c r="AN102" s="27" t="s">
        <v>432</v>
      </c>
      <c r="AO102" s="27">
        <v>68</v>
      </c>
      <c r="AP102" s="27">
        <v>16</v>
      </c>
      <c r="AQ102" s="27">
        <v>63</v>
      </c>
      <c r="AR102" s="27">
        <f>SUM(AO102:AQ102)</f>
        <v>147</v>
      </c>
      <c r="AS102" s="27" t="s">
        <v>6639</v>
      </c>
      <c r="AT102" s="27" t="s">
        <v>6707</v>
      </c>
      <c r="AU102" s="84" t="s">
        <v>6154</v>
      </c>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GL102" s="77"/>
      <c r="GM102" s="77"/>
      <c r="GN102" s="77"/>
      <c r="GO102" s="77"/>
      <c r="GP102" s="77"/>
      <c r="GQ102" s="77"/>
      <c r="GR102" s="77"/>
      <c r="GS102" s="77"/>
      <c r="GT102" s="77"/>
      <c r="GU102" s="77"/>
      <c r="GV102" s="77"/>
      <c r="GW102" s="77"/>
      <c r="GX102" s="77"/>
      <c r="GY102" s="77"/>
      <c r="GZ102" s="77"/>
      <c r="HA102" s="77"/>
      <c r="HB102" s="77"/>
      <c r="HC102" s="77"/>
      <c r="HD102" s="77"/>
      <c r="HE102" s="77"/>
      <c r="HF102" s="77"/>
      <c r="HG102" s="77"/>
      <c r="HH102" s="77"/>
      <c r="HI102" s="77"/>
      <c r="HJ102" s="77"/>
      <c r="HK102" s="77"/>
      <c r="HL102" s="77"/>
      <c r="HM102" s="77"/>
      <c r="HN102" s="77"/>
      <c r="HO102" s="77"/>
      <c r="HP102" s="77"/>
      <c r="HQ102" s="77"/>
      <c r="HR102" s="77"/>
      <c r="HS102" s="77"/>
      <c r="HT102" s="77"/>
      <c r="HU102" s="77"/>
      <c r="HV102" s="77"/>
      <c r="HW102" s="77"/>
      <c r="HX102" s="77"/>
      <c r="HY102" s="77"/>
      <c r="HZ102" s="77"/>
      <c r="IA102" s="77"/>
      <c r="IB102" s="77"/>
      <c r="IC102" s="77"/>
      <c r="IF102" s="77"/>
      <c r="IG102" s="77"/>
      <c r="IH102" s="77"/>
      <c r="II102" s="77"/>
      <c r="IJ102" s="77"/>
      <c r="IK102" s="77"/>
      <c r="IL102" s="77"/>
      <c r="IM102" s="77"/>
      <c r="IN102" s="77"/>
      <c r="IO102" s="77"/>
      <c r="IP102" s="77"/>
      <c r="IQ102" s="77"/>
      <c r="IR102" s="77"/>
      <c r="IS102" s="77"/>
      <c r="IT102" s="77"/>
      <c r="IU102" s="77"/>
      <c r="IV102" s="77"/>
      <c r="IW102" s="77"/>
      <c r="IX102" s="77"/>
      <c r="IY102" s="77"/>
      <c r="IZ102" s="77"/>
      <c r="JA102" s="77"/>
      <c r="JB102" s="77"/>
      <c r="JC102" s="77"/>
      <c r="JD102" s="77"/>
      <c r="JE102" s="77"/>
      <c r="JF102" s="77"/>
      <c r="JG102" s="77"/>
      <c r="JH102" s="77"/>
      <c r="JI102" s="77"/>
      <c r="JJ102" s="77"/>
      <c r="JK102" s="77"/>
      <c r="JL102" s="77"/>
      <c r="JM102" s="77"/>
      <c r="JN102" s="77"/>
      <c r="JO102" s="77"/>
      <c r="JP102" s="77"/>
      <c r="JQ102" s="77"/>
      <c r="JR102" s="77"/>
      <c r="JS102" s="77"/>
      <c r="JT102" s="77"/>
      <c r="JU102" s="77"/>
      <c r="JV102" s="77"/>
      <c r="JW102" s="77"/>
      <c r="JX102" s="77"/>
      <c r="LL102" s="77"/>
      <c r="LM102" s="77"/>
      <c r="LN102" s="77"/>
      <c r="LO102" s="77"/>
      <c r="LP102" s="77"/>
      <c r="LQ102" s="77"/>
      <c r="LR102" s="77"/>
      <c r="LS102" s="77"/>
      <c r="LT102" s="77"/>
      <c r="LU102" s="77"/>
      <c r="LV102" s="77"/>
      <c r="MS102" s="77"/>
    </row>
    <row r="103" spans="1:368" ht="18.600000000000001" customHeight="1" x14ac:dyDescent="0.25">
      <c r="A103" s="119" t="s">
        <v>227</v>
      </c>
      <c r="B103" s="27" t="s">
        <v>1427</v>
      </c>
      <c r="C103" s="27" t="s">
        <v>6447</v>
      </c>
      <c r="D103" s="30" t="str">
        <f>HYPERLINK("https://twitter.com/primeministerkz","https://twitter.com/primeministerkz")</f>
        <v>https://twitter.com/primeministerkz</v>
      </c>
      <c r="E103" s="30" t="str">
        <f>HYPERLINK("http://twiplomacy.com/info/asia/Kazakhstan","http://twiplomacy.com/info/asia/Kazakhstan")</f>
        <v>http://twiplomacy.com/info/asia/Kazakhstan</v>
      </c>
      <c r="F103" s="10" t="s">
        <v>154</v>
      </c>
      <c r="G103" s="10" t="s">
        <v>224</v>
      </c>
      <c r="H103" s="10" t="s">
        <v>788</v>
      </c>
      <c r="I103" s="10" t="s">
        <v>782</v>
      </c>
      <c r="J103" s="27" t="s">
        <v>1420</v>
      </c>
      <c r="K103" s="15" t="s">
        <v>777</v>
      </c>
      <c r="L103" s="10" t="s">
        <v>771</v>
      </c>
      <c r="M103" s="10" t="s">
        <v>771</v>
      </c>
      <c r="N103" s="30" t="str">
        <f>HYPERLINK("https://twitter.com/primeministerkz/statuses/62877994938675200","https://twitter.com/primeministerkz/statuses/62877994938675200")</f>
        <v>https://twitter.com/primeministerkz/statuses/62877994938675200</v>
      </c>
      <c r="O103" s="27" t="s">
        <v>6058</v>
      </c>
      <c r="P103" s="80">
        <v>13</v>
      </c>
      <c r="Q103" s="80">
        <v>1</v>
      </c>
      <c r="R103" s="27" t="s">
        <v>2995</v>
      </c>
      <c r="S103" s="10" t="s">
        <v>1428</v>
      </c>
      <c r="T103" s="10" t="s">
        <v>771</v>
      </c>
      <c r="U103" s="10" t="s">
        <v>771</v>
      </c>
      <c r="V103" s="10" t="s">
        <v>771</v>
      </c>
      <c r="W103" s="10"/>
      <c r="X103" s="27" t="s">
        <v>227</v>
      </c>
      <c r="Y103" s="27" t="s">
        <v>1427</v>
      </c>
      <c r="Z103" s="80">
        <v>10882</v>
      </c>
      <c r="AA103" s="27">
        <v>218</v>
      </c>
      <c r="AB103" s="80">
        <v>79309</v>
      </c>
      <c r="AC103" s="27">
        <v>648</v>
      </c>
      <c r="AD103" s="27" t="s">
        <v>4391</v>
      </c>
      <c r="AE103" s="27">
        <v>288234254</v>
      </c>
      <c r="AF103" s="27" t="s">
        <v>6447</v>
      </c>
      <c r="AG103" s="27" t="s">
        <v>1429</v>
      </c>
      <c r="AH103" s="79">
        <v>5.9367157665030001</v>
      </c>
      <c r="AI103" s="83">
        <v>3.7491248541423601</v>
      </c>
      <c r="AJ103" s="80">
        <v>0.90569561157796497</v>
      </c>
      <c r="AK103" s="80">
        <v>0.93401805166511098</v>
      </c>
      <c r="AL103" s="27">
        <v>6</v>
      </c>
      <c r="AM103" s="97">
        <f t="shared" si="1"/>
        <v>1.8749999999999999E-3</v>
      </c>
      <c r="AN103" s="27" t="s">
        <v>227</v>
      </c>
      <c r="AO103" s="27">
        <v>3</v>
      </c>
      <c r="AP103" s="27">
        <v>5</v>
      </c>
      <c r="AQ103" s="27">
        <v>3</v>
      </c>
      <c r="AR103" s="27">
        <f>SUM(AO103:AQ103)</f>
        <v>11</v>
      </c>
      <c r="AS103" s="27" t="s">
        <v>5452</v>
      </c>
      <c r="AT103" s="27" t="s">
        <v>5453</v>
      </c>
      <c r="AU103" s="84" t="s">
        <v>4931</v>
      </c>
      <c r="AV103" s="77"/>
      <c r="AW103" s="77"/>
      <c r="AX103" s="77"/>
      <c r="AY103" s="77"/>
      <c r="AZ103" s="77"/>
      <c r="BA103" s="77"/>
      <c r="BB103" s="77"/>
      <c r="BC103" s="77"/>
      <c r="BD103" s="77"/>
      <c r="BE103" s="77"/>
      <c r="BF103" s="77"/>
      <c r="BG103" s="77"/>
      <c r="BH103" s="77"/>
      <c r="BI103" s="77"/>
      <c r="BJ103" s="77"/>
      <c r="BK103" s="77"/>
      <c r="BL103" s="77"/>
      <c r="BQ103" s="77"/>
      <c r="BR103" s="77"/>
      <c r="BS103" s="77"/>
      <c r="BT103" s="77"/>
      <c r="BU103" s="77"/>
      <c r="BV103" s="77"/>
      <c r="BW103" s="77"/>
      <c r="BX103" s="77"/>
      <c r="BY103" s="77"/>
      <c r="BZ103" s="77"/>
      <c r="CA103" s="77"/>
      <c r="CB103" s="77"/>
      <c r="CK103" s="77"/>
      <c r="CL103" s="77"/>
      <c r="CM103" s="77"/>
      <c r="CN103" s="77"/>
      <c r="CO103" s="77"/>
      <c r="CP103" s="77"/>
      <c r="CQ103" s="77"/>
      <c r="CR103" s="77"/>
      <c r="CS103" s="77"/>
      <c r="CT103" s="77"/>
      <c r="CU103" s="77"/>
      <c r="CV103" s="77"/>
      <c r="CW103" s="77"/>
      <c r="CX103" s="77"/>
      <c r="CY103" s="77"/>
      <c r="CZ103" s="77"/>
      <c r="DA103" s="77"/>
      <c r="DB103" s="77"/>
      <c r="DC103" s="77"/>
      <c r="DD103" s="77"/>
      <c r="DE103" s="77"/>
      <c r="DF103" s="77"/>
      <c r="DG103" s="77"/>
      <c r="DH103" s="77"/>
      <c r="DI103" s="77"/>
      <c r="DJ103" s="77"/>
      <c r="DK103" s="77"/>
      <c r="DL103" s="77"/>
      <c r="DM103" s="77"/>
      <c r="DN103" s="77"/>
      <c r="DO103" s="77"/>
      <c r="DP103" s="77"/>
      <c r="DQ103" s="77"/>
      <c r="DR103" s="77"/>
      <c r="DS103" s="77"/>
      <c r="DT103" s="77"/>
      <c r="DU103" s="77"/>
      <c r="DV103" s="77"/>
      <c r="DW103" s="77"/>
      <c r="DX103" s="77"/>
      <c r="DY103" s="77"/>
      <c r="DZ103" s="77"/>
      <c r="EA103" s="77"/>
      <c r="EB103" s="77"/>
      <c r="EC103" s="77"/>
      <c r="ED103" s="77"/>
      <c r="EE103" s="77"/>
      <c r="EF103" s="77"/>
      <c r="EG103" s="77"/>
      <c r="EH103" s="77"/>
      <c r="EI103" s="77"/>
      <c r="EJ103" s="77"/>
      <c r="EK103" s="77"/>
      <c r="EL103" s="77"/>
      <c r="EM103" s="77"/>
      <c r="EN103" s="77"/>
      <c r="EO103" s="77"/>
      <c r="EP103" s="77"/>
      <c r="EQ103" s="77"/>
      <c r="ER103" s="77"/>
      <c r="ES103" s="77"/>
      <c r="ET103" s="77"/>
      <c r="EU103" s="77"/>
      <c r="EV103" s="77"/>
      <c r="EW103" s="77"/>
      <c r="EX103" s="77"/>
      <c r="EY103" s="77"/>
      <c r="EZ103" s="77"/>
      <c r="FA103" s="77"/>
      <c r="FB103" s="77"/>
      <c r="FC103" s="77"/>
      <c r="FD103" s="77"/>
      <c r="FE103" s="77"/>
      <c r="FF103" s="77"/>
      <c r="FG103" s="77"/>
      <c r="FH103" s="77"/>
      <c r="FI103" s="77"/>
      <c r="FJ103" s="77"/>
      <c r="FK103" s="77"/>
      <c r="FL103" s="77"/>
      <c r="FM103" s="77"/>
      <c r="FN103" s="77"/>
      <c r="FO103" s="77"/>
      <c r="FP103" s="77"/>
      <c r="FQ103" s="77"/>
      <c r="FR103" s="77"/>
      <c r="FS103" s="77"/>
      <c r="FT103" s="77"/>
      <c r="FU103" s="77"/>
      <c r="FV103" s="77"/>
      <c r="FW103" s="77"/>
      <c r="FX103" s="77"/>
      <c r="FY103" s="77"/>
      <c r="FZ103" s="77"/>
      <c r="GA103" s="77"/>
      <c r="GB103" s="77"/>
      <c r="GC103" s="77"/>
      <c r="GD103" s="77"/>
      <c r="GE103" s="77"/>
      <c r="GF103" s="77"/>
      <c r="GG103" s="77"/>
      <c r="GH103" s="77"/>
      <c r="GI103" s="77"/>
      <c r="GJ103" s="77"/>
      <c r="GK103" s="77"/>
      <c r="GL103" s="77"/>
      <c r="GM103" s="77"/>
      <c r="GN103" s="77"/>
      <c r="GO103" s="77"/>
      <c r="GP103" s="77"/>
      <c r="GQ103" s="77"/>
      <c r="GR103" s="77"/>
      <c r="GS103" s="77"/>
      <c r="GT103" s="77"/>
      <c r="GU103" s="77"/>
      <c r="GV103" s="77"/>
      <c r="GW103" s="77"/>
      <c r="GX103" s="77"/>
      <c r="GY103" s="77"/>
      <c r="GZ103" s="77"/>
      <c r="HA103" s="77"/>
      <c r="HB103" s="77"/>
      <c r="HC103" s="77"/>
      <c r="HD103" s="77"/>
      <c r="HE103" s="77"/>
      <c r="HF103" s="77"/>
      <c r="HG103" s="77"/>
      <c r="HH103" s="77"/>
      <c r="HI103" s="77"/>
      <c r="HJ103" s="77"/>
      <c r="HK103" s="77"/>
      <c r="HL103" s="77"/>
      <c r="HM103" s="77"/>
      <c r="HN103" s="77"/>
      <c r="HO103" s="77"/>
      <c r="HP103" s="77"/>
      <c r="HQ103" s="77"/>
      <c r="HR103" s="77"/>
      <c r="HS103" s="77"/>
      <c r="HT103" s="77"/>
      <c r="HU103" s="77"/>
      <c r="HV103" s="77"/>
      <c r="HW103" s="77"/>
      <c r="HX103" s="77"/>
      <c r="HY103" s="77"/>
      <c r="HZ103" s="77"/>
      <c r="IA103" s="77"/>
      <c r="IB103" s="77"/>
      <c r="IC103" s="77"/>
      <c r="ID103" s="77"/>
      <c r="IE103" s="77"/>
      <c r="IF103" s="77"/>
      <c r="IG103" s="77"/>
      <c r="IH103" s="77"/>
      <c r="II103" s="77"/>
      <c r="IJ103" s="77"/>
      <c r="IK103" s="77"/>
      <c r="IL103" s="77"/>
      <c r="IM103" s="77"/>
      <c r="IN103" s="77"/>
      <c r="IO103" s="77"/>
      <c r="IP103" s="77"/>
      <c r="IQ103" s="77"/>
      <c r="IR103" s="77"/>
      <c r="IS103" s="77"/>
      <c r="IT103" s="77"/>
      <c r="IU103" s="77"/>
      <c r="IV103" s="77"/>
      <c r="IW103" s="77"/>
      <c r="IX103" s="77"/>
      <c r="IY103" s="77"/>
      <c r="IZ103" s="77"/>
      <c r="JA103" s="77"/>
      <c r="JB103" s="77"/>
      <c r="JC103" s="77"/>
      <c r="JD103" s="77"/>
      <c r="JE103" s="77"/>
      <c r="JF103" s="77"/>
      <c r="JG103" s="77"/>
      <c r="JH103" s="77"/>
      <c r="JI103" s="77"/>
      <c r="JJ103" s="77"/>
      <c r="JK103" s="77"/>
      <c r="JL103" s="77"/>
      <c r="JM103" s="77"/>
      <c r="JN103" s="77"/>
      <c r="JO103" s="77"/>
      <c r="JP103" s="77"/>
      <c r="JQ103" s="77"/>
      <c r="JR103" s="77"/>
      <c r="JS103" s="77"/>
      <c r="JT103" s="77"/>
      <c r="JU103" s="77"/>
      <c r="JV103" s="77"/>
      <c r="JW103" s="77"/>
      <c r="JX103" s="77"/>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77"/>
      <c r="LM103" s="77"/>
      <c r="LN103" s="77"/>
      <c r="LO103" s="77"/>
      <c r="LP103" s="77"/>
      <c r="LQ103" s="77"/>
      <c r="LR103" s="77"/>
      <c r="LS103" s="77"/>
      <c r="LT103" s="77"/>
      <c r="LU103" s="77"/>
      <c r="LV103" s="77"/>
      <c r="ND103" s="77"/>
    </row>
    <row r="104" spans="1:368" ht="18.600000000000001" customHeight="1" x14ac:dyDescent="0.25">
      <c r="A104" s="119" t="s">
        <v>238</v>
      </c>
      <c r="B104" s="27" t="s">
        <v>1461</v>
      </c>
      <c r="C104" s="27" t="s">
        <v>3714</v>
      </c>
      <c r="D104" s="30" t="str">
        <f>HYPERLINK("https://twitter.com/Gebran_Bassil","https://twitter.com/Gebran_Bassil")</f>
        <v>https://twitter.com/Gebran_Bassil</v>
      </c>
      <c r="E104" s="30" t="str">
        <f>HYPERLINK("http://twiplomacy.com/info/asia/Lebanon","http://twiplomacy.com/info/asia/Lebanon")</f>
        <v>http://twiplomacy.com/info/asia/Lebanon</v>
      </c>
      <c r="F104" s="10" t="s">
        <v>154</v>
      </c>
      <c r="G104" s="10" t="s">
        <v>236</v>
      </c>
      <c r="H104" s="10" t="s">
        <v>860</v>
      </c>
      <c r="I104" s="10" t="s">
        <v>773</v>
      </c>
      <c r="J104" s="27" t="s">
        <v>789</v>
      </c>
      <c r="K104" s="15" t="s">
        <v>777</v>
      </c>
      <c r="L104" s="10"/>
      <c r="M104" s="10" t="s">
        <v>770</v>
      </c>
      <c r="N104" s="30" t="str">
        <f>HYPERLINK("https://twitter.com/Gebran_Bassil/statuses/18510101897","https://twitter.com/Gebran_Bassil/statuses/18510101897")</f>
        <v>https://twitter.com/Gebran_Bassil/statuses/18510101897</v>
      </c>
      <c r="O104" s="30" t="str">
        <f>HYPERLINK("https://twitter.com/Gebran_Bassil/statuses/522687853919092736","https://twitter.com/Gebran_Bassil/statuses/522687853919092736")</f>
        <v>https://twitter.com/Gebran_Bassil/statuses/522687853919092736</v>
      </c>
      <c r="P104" s="46">
        <v>204</v>
      </c>
      <c r="Q104" s="46">
        <v>7</v>
      </c>
      <c r="R104" s="27" t="s">
        <v>2994</v>
      </c>
      <c r="S104" s="30" t="str">
        <f>HYPERLINK("https://twitter.com/Gebran_Bassil/lists","https://twitter.com/Gebran_Bassil/lists")</f>
        <v>https://twitter.com/Gebran_Bassil/lists</v>
      </c>
      <c r="T104" s="10" t="s">
        <v>771</v>
      </c>
      <c r="U104" s="10">
        <v>14</v>
      </c>
      <c r="V104" s="10" t="s">
        <v>771</v>
      </c>
      <c r="W104" s="10"/>
      <c r="X104" s="27" t="s">
        <v>238</v>
      </c>
      <c r="Y104" s="27" t="s">
        <v>1461</v>
      </c>
      <c r="Z104" s="80">
        <v>10812</v>
      </c>
      <c r="AA104" s="27">
        <v>599</v>
      </c>
      <c r="AB104" s="80">
        <v>86165</v>
      </c>
      <c r="AC104" s="27">
        <v>525</v>
      </c>
      <c r="AD104" s="27" t="s">
        <v>3715</v>
      </c>
      <c r="AE104" s="27">
        <v>166513119</v>
      </c>
      <c r="AF104" s="27" t="s">
        <v>3714</v>
      </c>
      <c r="AG104" s="27" t="s">
        <v>6392</v>
      </c>
      <c r="AH104" s="79">
        <v>5.1024067956583297</v>
      </c>
      <c r="AI104" s="83">
        <v>5.7793851717902296</v>
      </c>
      <c r="AJ104" s="80">
        <v>4.4378854625550703</v>
      </c>
      <c r="AK104" s="80">
        <v>9.5352422907489007</v>
      </c>
      <c r="AL104" s="27">
        <v>73</v>
      </c>
      <c r="AM104" s="97">
        <f t="shared" si="1"/>
        <v>2.2812499999999999E-2</v>
      </c>
      <c r="AN104" s="27" t="s">
        <v>238</v>
      </c>
      <c r="AO104" s="27">
        <v>8</v>
      </c>
      <c r="AP104" s="27">
        <v>20</v>
      </c>
      <c r="AQ104" s="27">
        <v>10</v>
      </c>
      <c r="AR104" s="27">
        <f>SUM(AO104:AQ104)</f>
        <v>38</v>
      </c>
      <c r="AS104" s="27" t="s">
        <v>5133</v>
      </c>
      <c r="AT104" s="27" t="s">
        <v>6729</v>
      </c>
      <c r="AU104" s="84" t="s">
        <v>4729</v>
      </c>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7"/>
      <c r="ET104" s="77"/>
      <c r="EU104" s="77"/>
      <c r="EV104" s="77"/>
      <c r="EW104" s="77"/>
      <c r="EX104" s="77"/>
      <c r="EY104" s="77"/>
      <c r="EZ104" s="77"/>
      <c r="FA104" s="77"/>
      <c r="FB104" s="77"/>
      <c r="FC104" s="77"/>
      <c r="FD104" s="77"/>
      <c r="FE104" s="77"/>
      <c r="FF104" s="77"/>
      <c r="FG104" s="77"/>
      <c r="FH104" s="77"/>
      <c r="FI104" s="77"/>
      <c r="FJ104" s="77"/>
      <c r="FK104" s="77"/>
      <c r="FL104" s="77"/>
      <c r="FM104" s="77"/>
      <c r="FN104" s="77"/>
      <c r="FO104" s="77"/>
      <c r="FP104" s="77"/>
      <c r="FQ104" s="77"/>
      <c r="FR104" s="77"/>
      <c r="FS104" s="77"/>
      <c r="FT104" s="77"/>
      <c r="FU104" s="77"/>
      <c r="FV104" s="77"/>
      <c r="FW104" s="77"/>
      <c r="FX104" s="77"/>
      <c r="FY104" s="77"/>
      <c r="FZ104" s="77"/>
      <c r="GA104" s="77"/>
      <c r="GB104" s="77"/>
      <c r="GC104" s="77"/>
      <c r="GD104" s="77"/>
      <c r="GE104" s="77"/>
      <c r="GF104" s="77"/>
      <c r="GG104" s="77"/>
      <c r="GH104" s="77"/>
      <c r="GI104" s="77"/>
      <c r="GJ104" s="77"/>
      <c r="GK104" s="77"/>
      <c r="GL104" s="77"/>
      <c r="GM104" s="77"/>
      <c r="GN104" s="77"/>
      <c r="GO104" s="77"/>
      <c r="GP104" s="77"/>
      <c r="GQ104" s="77"/>
      <c r="GR104" s="77"/>
      <c r="GS104" s="77"/>
      <c r="GT104" s="77"/>
      <c r="GU104" s="77"/>
      <c r="GV104" s="77"/>
      <c r="GW104" s="77"/>
      <c r="GX104" s="77"/>
      <c r="GY104" s="77"/>
      <c r="GZ104" s="77"/>
      <c r="HA104" s="77"/>
      <c r="HB104" s="77"/>
      <c r="HC104" s="77"/>
      <c r="HD104" s="77"/>
      <c r="HE104" s="77"/>
      <c r="HF104" s="77"/>
      <c r="HG104" s="77"/>
      <c r="HH104" s="77"/>
      <c r="HI104" s="77"/>
      <c r="HJ104" s="77"/>
      <c r="HK104" s="77"/>
      <c r="HL104" s="77"/>
      <c r="HM104" s="77"/>
      <c r="HN104" s="77"/>
      <c r="HO104" s="77"/>
      <c r="HP104" s="77"/>
      <c r="HQ104" s="77"/>
      <c r="HR104" s="77"/>
      <c r="HS104" s="77"/>
      <c r="HT104" s="77"/>
      <c r="HU104" s="77"/>
      <c r="HV104" s="77"/>
      <c r="HW104" s="77"/>
      <c r="HX104" s="77"/>
      <c r="HY104" s="77"/>
      <c r="HZ104" s="77"/>
      <c r="IA104" s="77"/>
      <c r="IB104" s="77"/>
      <c r="IC104" s="77"/>
      <c r="ID104" s="77"/>
      <c r="IE104" s="77"/>
      <c r="JY104" s="77"/>
      <c r="JZ104" s="77"/>
      <c r="KA104" s="77"/>
      <c r="KB104" s="77"/>
      <c r="KC104" s="77"/>
      <c r="KD104" s="77"/>
      <c r="KE104" s="77"/>
      <c r="KF104" s="77"/>
      <c r="KG104" s="77"/>
      <c r="KH104" s="77"/>
      <c r="KI104" s="77"/>
      <c r="KJ104" s="77"/>
      <c r="KK104" s="77"/>
      <c r="KL104" s="77"/>
      <c r="KM104" s="77"/>
      <c r="KN104" s="77"/>
      <c r="KO104" s="77"/>
      <c r="KP104" s="77"/>
      <c r="KQ104" s="77"/>
      <c r="KR104" s="77"/>
      <c r="KS104" s="77"/>
      <c r="KT104" s="77"/>
      <c r="KU104" s="77"/>
      <c r="KV104" s="77"/>
      <c r="KW104" s="77"/>
      <c r="KX104" s="77"/>
      <c r="KY104" s="77"/>
      <c r="KZ104" s="77"/>
      <c r="LA104" s="77"/>
      <c r="LB104" s="77"/>
      <c r="LC104" s="77"/>
      <c r="LD104" s="77"/>
      <c r="LE104" s="77"/>
      <c r="LF104" s="77"/>
      <c r="LG104" s="77"/>
      <c r="LH104" s="77"/>
      <c r="LI104" s="77"/>
      <c r="LJ104" s="77"/>
      <c r="LK104" s="77"/>
      <c r="LL104" s="77"/>
      <c r="LM104" s="77"/>
      <c r="LN104" s="77"/>
      <c r="LO104" s="77"/>
      <c r="LP104" s="77"/>
      <c r="LQ104" s="77"/>
      <c r="LR104" s="77"/>
      <c r="LS104" s="77"/>
      <c r="LT104" s="77"/>
      <c r="LU104" s="77"/>
      <c r="LV104" s="77"/>
      <c r="MS104" s="77"/>
    </row>
    <row r="105" spans="1:368" s="59" customFormat="1" ht="18.600000000000001" customHeight="1" x14ac:dyDescent="0.25">
      <c r="A105" s="119" t="s">
        <v>551</v>
      </c>
      <c r="B105" s="27" t="s">
        <v>2346</v>
      </c>
      <c r="C105" s="27" t="s">
        <v>6433</v>
      </c>
      <c r="D105" s="30" t="str">
        <f>HYPERLINK("https://twitter.com/Number10gov","https://twitter.com/Number10gov")</f>
        <v>https://twitter.com/Number10gov</v>
      </c>
      <c r="E105" s="30" t="str">
        <f>HYPERLINK("http://twiplomacy.com/info/europe/United-Kingdom","http://twiplomacy.com/info/europe/United-Kingdom")</f>
        <v>http://twiplomacy.com/info/europe/United-Kingdom</v>
      </c>
      <c r="F105" s="10" t="s">
        <v>332</v>
      </c>
      <c r="G105" s="10" t="s">
        <v>549</v>
      </c>
      <c r="H105" s="10" t="s">
        <v>788</v>
      </c>
      <c r="I105" s="10" t="s">
        <v>782</v>
      </c>
      <c r="J105" s="27" t="s">
        <v>789</v>
      </c>
      <c r="K105" s="15" t="s">
        <v>777</v>
      </c>
      <c r="L105" s="10" t="s">
        <v>771</v>
      </c>
      <c r="M105" s="10" t="s">
        <v>770</v>
      </c>
      <c r="N105" s="30" t="str">
        <f>HYPERLINK("https://twitter.com/number10gov/statuses/777422677","https://twitter.com/number10gov/statuses/777422677")</f>
        <v>https://twitter.com/number10gov/statuses/777422677</v>
      </c>
      <c r="O105" s="27" t="s">
        <v>5994</v>
      </c>
      <c r="P105" s="80">
        <v>9679</v>
      </c>
      <c r="Q105" s="80">
        <v>7966</v>
      </c>
      <c r="R105" s="27" t="s">
        <v>2994</v>
      </c>
      <c r="S105" s="30" t="str">
        <f>HYPERLINK("https://twitter.com/Number10gov/lists","https://twitter.com/Number10gov/lists")</f>
        <v>https://twitter.com/Number10gov/lists</v>
      </c>
      <c r="T105" s="10">
        <v>1</v>
      </c>
      <c r="U105" s="10" t="s">
        <v>771</v>
      </c>
      <c r="V105" s="10" t="s">
        <v>771</v>
      </c>
      <c r="W105" s="10"/>
      <c r="X105" s="27" t="s">
        <v>551</v>
      </c>
      <c r="Y105" s="27" t="s">
        <v>2346</v>
      </c>
      <c r="Z105" s="80">
        <v>10662</v>
      </c>
      <c r="AA105" s="27">
        <v>746</v>
      </c>
      <c r="AB105" s="80">
        <v>4460611</v>
      </c>
      <c r="AC105" s="27">
        <v>1763</v>
      </c>
      <c r="AD105" s="27" t="s">
        <v>4204</v>
      </c>
      <c r="AE105" s="27">
        <v>14224719</v>
      </c>
      <c r="AF105" s="27" t="s">
        <v>6433</v>
      </c>
      <c r="AG105" s="27" t="s">
        <v>2347</v>
      </c>
      <c r="AH105" s="79">
        <v>3.6032443393038198</v>
      </c>
      <c r="AI105" s="83">
        <v>6.0204460966542799</v>
      </c>
      <c r="AJ105" s="80">
        <v>110.69902006532899</v>
      </c>
      <c r="AK105" s="80">
        <v>121.605692953803</v>
      </c>
      <c r="AL105" s="27">
        <v>11</v>
      </c>
      <c r="AM105" s="97">
        <f t="shared" si="1"/>
        <v>3.4375E-3</v>
      </c>
      <c r="AN105" s="27" t="s">
        <v>551</v>
      </c>
      <c r="AO105" s="27">
        <v>6</v>
      </c>
      <c r="AP105" s="27">
        <v>179</v>
      </c>
      <c r="AQ105" s="27">
        <v>21</v>
      </c>
      <c r="AR105" s="27">
        <f>SUM(AO105:AQ105)</f>
        <v>206</v>
      </c>
      <c r="AS105" s="27" t="s">
        <v>5368</v>
      </c>
      <c r="AT105" s="27" t="s">
        <v>6808</v>
      </c>
      <c r="AU105" s="84" t="s">
        <v>6520</v>
      </c>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77"/>
      <c r="EN105" s="77"/>
      <c r="EO105" s="77"/>
      <c r="EP105" s="77"/>
      <c r="EQ105" s="77"/>
      <c r="ER105" s="77"/>
      <c r="ES105" s="77"/>
      <c r="ET105" s="77"/>
      <c r="EU105" s="77"/>
      <c r="EV105" s="77"/>
      <c r="EW105" s="77"/>
      <c r="EX105" s="77"/>
      <c r="EY105" s="77"/>
      <c r="EZ105" s="77"/>
      <c r="FA105" s="77"/>
      <c r="FB105" s="77"/>
      <c r="FC105" s="77"/>
      <c r="FD105" s="77"/>
      <c r="FE105" s="77"/>
      <c r="FF105" s="77"/>
      <c r="FG105" s="77"/>
      <c r="FH105" s="77"/>
      <c r="FI105" s="77"/>
      <c r="FJ105" s="77"/>
      <c r="FK105" s="77"/>
      <c r="FL105" s="77"/>
      <c r="FM105" s="77"/>
      <c r="FN105" s="77"/>
      <c r="FO105" s="77"/>
      <c r="FP105" s="77"/>
      <c r="FQ105" s="77"/>
      <c r="FR105" s="77"/>
      <c r="FS105" s="77"/>
      <c r="FT105" s="77"/>
      <c r="FU105" s="77"/>
      <c r="FV105" s="77"/>
      <c r="FW105" s="77"/>
      <c r="FX105" s="77"/>
      <c r="FY105" s="77"/>
      <c r="FZ105" s="77"/>
      <c r="GA105" s="77"/>
      <c r="GB105" s="77"/>
      <c r="GC105" s="77"/>
      <c r="GD105" s="77"/>
      <c r="GE105" s="77"/>
      <c r="GF105" s="77"/>
      <c r="GG105" s="77"/>
      <c r="GH105" s="77"/>
      <c r="GI105" s="77"/>
      <c r="GJ105" s="77"/>
      <c r="GK105" s="77"/>
      <c r="GL105" s="77"/>
      <c r="GM105" s="77"/>
      <c r="GN105" s="77"/>
      <c r="GO105" s="77"/>
      <c r="GP105" s="77"/>
      <c r="GQ105" s="77"/>
      <c r="GR105" s="77"/>
      <c r="GS105" s="77"/>
      <c r="GT105" s="77"/>
      <c r="GU105" s="77"/>
      <c r="GV105" s="77"/>
      <c r="GW105" s="77"/>
      <c r="GX105" s="77"/>
      <c r="GY105" s="77"/>
      <c r="GZ105" s="77"/>
      <c r="HA105" s="77"/>
      <c r="HB105" s="77"/>
      <c r="HC105" s="77"/>
      <c r="HD105" s="77"/>
      <c r="HE105" s="77"/>
      <c r="HF105" s="77"/>
      <c r="HG105" s="77"/>
      <c r="HH105" s="77"/>
      <c r="HI105" s="77"/>
      <c r="HJ105" s="77"/>
      <c r="HK105" s="77"/>
      <c r="HL105" s="77"/>
      <c r="HM105" s="77"/>
      <c r="HN105" s="77"/>
      <c r="HO105" s="77"/>
      <c r="HP105" s="77"/>
      <c r="HQ105" s="77"/>
      <c r="HR105" s="77"/>
      <c r="HS105" s="77"/>
      <c r="HT105" s="77"/>
      <c r="HU105" s="77"/>
      <c r="HV105" s="77"/>
      <c r="HW105" s="77"/>
      <c r="HX105" s="77"/>
      <c r="HY105" s="77"/>
      <c r="HZ105" s="77"/>
      <c r="IA105" s="77"/>
      <c r="IB105" s="77"/>
      <c r="IC105" s="77"/>
      <c r="ID105" s="77"/>
      <c r="IE105" s="77"/>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KM105" s="77"/>
      <c r="KN105" s="77"/>
      <c r="KO105" s="77"/>
      <c r="KP105" s="77"/>
      <c r="KQ105" s="77"/>
      <c r="KR105" s="77"/>
      <c r="KS105" s="77"/>
      <c r="KT105" s="77"/>
      <c r="KU105" s="77"/>
      <c r="KV105" s="77"/>
      <c r="KW105" s="77"/>
      <c r="KX105" s="77"/>
      <c r="KY105" s="77"/>
      <c r="KZ105" s="77"/>
      <c r="LA105" s="77"/>
      <c r="LB105" s="77"/>
      <c r="LC105" s="77"/>
      <c r="LD105" s="77"/>
      <c r="LE105" s="77"/>
      <c r="LF105" s="77"/>
      <c r="LG105" s="77"/>
      <c r="LH105" s="77"/>
      <c r="LI105" s="77"/>
      <c r="LJ105" s="77"/>
      <c r="LK105" s="77"/>
      <c r="LL105" s="77"/>
      <c r="LM105" s="77"/>
      <c r="LN105" s="77"/>
      <c r="LO105" s="77"/>
      <c r="LP105" s="77"/>
      <c r="LQ105" s="77"/>
      <c r="LR105" s="77"/>
      <c r="LS105" s="77"/>
      <c r="LT105" s="77"/>
      <c r="LU105" s="77"/>
      <c r="LV105" s="77"/>
      <c r="LW105" s="77"/>
      <c r="LX105" s="77"/>
      <c r="MS105" s="77"/>
    </row>
    <row r="106" spans="1:368" ht="18.600000000000001" customHeight="1" x14ac:dyDescent="0.25">
      <c r="A106" s="119" t="s">
        <v>569</v>
      </c>
      <c r="B106" s="27" t="s">
        <v>2429</v>
      </c>
      <c r="C106" s="27" t="s">
        <v>3911</v>
      </c>
      <c r="D106" s="30" t="s">
        <v>2428</v>
      </c>
      <c r="E106" s="30" t="str">
        <f>HYPERLINK("http://twiplomacy.com/info/north-america/Canada","http://twiplomacy.com/info/north-america/Canada")</f>
        <v>http://twiplomacy.com/info/north-america/Canada</v>
      </c>
      <c r="F106" s="10" t="s">
        <v>558</v>
      </c>
      <c r="G106" s="10" t="s">
        <v>568</v>
      </c>
      <c r="H106" s="10" t="s">
        <v>776</v>
      </c>
      <c r="I106" s="10" t="s">
        <v>773</v>
      </c>
      <c r="J106" s="27" t="s">
        <v>789</v>
      </c>
      <c r="K106" s="15" t="s">
        <v>777</v>
      </c>
      <c r="L106" s="10" t="s">
        <v>770</v>
      </c>
      <c r="M106" s="42" t="s">
        <v>770</v>
      </c>
      <c r="N106" s="30" t="s">
        <v>2430</v>
      </c>
      <c r="O106" s="11" t="s">
        <v>3162</v>
      </c>
      <c r="P106" s="80">
        <v>76636</v>
      </c>
      <c r="Q106" s="80">
        <v>16171</v>
      </c>
      <c r="R106" s="27" t="s">
        <v>2994</v>
      </c>
      <c r="S106" s="30" t="s">
        <v>2431</v>
      </c>
      <c r="T106" s="10">
        <v>1</v>
      </c>
      <c r="U106" s="10" t="s">
        <v>771</v>
      </c>
      <c r="V106" s="10" t="s">
        <v>771</v>
      </c>
      <c r="W106" s="73"/>
      <c r="X106" s="27" t="s">
        <v>569</v>
      </c>
      <c r="Y106" s="27" t="s">
        <v>2429</v>
      </c>
      <c r="Z106" s="80">
        <v>10601</v>
      </c>
      <c r="AA106" s="27">
        <v>936</v>
      </c>
      <c r="AB106" s="80">
        <v>1672419</v>
      </c>
      <c r="AC106" s="27">
        <v>48</v>
      </c>
      <c r="AD106" s="27" t="s">
        <v>3912</v>
      </c>
      <c r="AE106" s="27">
        <v>14260960</v>
      </c>
      <c r="AF106" s="27" t="s">
        <v>3911</v>
      </c>
      <c r="AG106" s="27" t="s">
        <v>3913</v>
      </c>
      <c r="AH106" s="79">
        <v>3.5886932972241001</v>
      </c>
      <c r="AI106" s="83">
        <v>10.0282131661442</v>
      </c>
      <c r="AJ106" s="80">
        <v>268.08565385971099</v>
      </c>
      <c r="AK106" s="80">
        <v>451.14804370814198</v>
      </c>
      <c r="AL106" s="27">
        <v>54</v>
      </c>
      <c r="AM106" s="97">
        <f t="shared" si="1"/>
        <v>1.6875000000000001E-2</v>
      </c>
      <c r="AN106" s="27" t="s">
        <v>569</v>
      </c>
      <c r="AO106" s="27">
        <v>3</v>
      </c>
      <c r="AP106" s="27">
        <v>52</v>
      </c>
      <c r="AQ106" s="27">
        <v>1</v>
      </c>
      <c r="AR106" s="27">
        <f>SUM(AO106:AQ106)</f>
        <v>56</v>
      </c>
      <c r="AS106" s="27" t="s">
        <v>5223</v>
      </c>
      <c r="AT106" s="27" t="s">
        <v>6303</v>
      </c>
      <c r="AU106" s="84" t="s">
        <v>571</v>
      </c>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7"/>
      <c r="EF106" s="77"/>
      <c r="EG106" s="77"/>
      <c r="EH106" s="77"/>
      <c r="EI106" s="77"/>
      <c r="EJ106" s="77"/>
      <c r="EK106" s="77"/>
      <c r="EL106" s="77"/>
      <c r="EM106" s="77"/>
      <c r="EN106" s="77"/>
      <c r="EO106" s="77"/>
      <c r="EP106" s="77"/>
      <c r="ER106" s="77"/>
      <c r="ES106" s="77"/>
      <c r="ET106" s="77"/>
      <c r="EU106" s="77"/>
      <c r="EV106" s="77"/>
      <c r="EW106" s="77"/>
      <c r="EX106" s="77"/>
      <c r="EY106" s="77"/>
      <c r="EZ106" s="77"/>
      <c r="FA106" s="77"/>
      <c r="FB106" s="77"/>
      <c r="FC106" s="77"/>
      <c r="FD106" s="77"/>
      <c r="FE106" s="77"/>
      <c r="FF106" s="77"/>
      <c r="FG106" s="77"/>
      <c r="FH106" s="77"/>
      <c r="FI106" s="77"/>
      <c r="FJ106" s="77"/>
      <c r="FK106" s="77"/>
      <c r="FL106" s="77"/>
      <c r="FM106" s="77"/>
      <c r="FN106" s="77"/>
      <c r="FO106" s="77"/>
      <c r="FP106" s="77"/>
      <c r="FQ106" s="77"/>
      <c r="FR106" s="77"/>
      <c r="FS106" s="77"/>
      <c r="FT106" s="77"/>
      <c r="FU106" s="77"/>
      <c r="FV106" s="77"/>
      <c r="FW106" s="77"/>
      <c r="FX106" s="77"/>
      <c r="FY106" s="77"/>
      <c r="FZ106" s="77"/>
      <c r="GA106" s="77"/>
      <c r="GB106" s="77"/>
      <c r="GC106" s="77"/>
      <c r="GD106" s="77"/>
      <c r="GE106" s="77"/>
      <c r="GF106" s="77"/>
      <c r="GG106" s="77"/>
      <c r="GH106" s="77"/>
      <c r="GI106" s="77"/>
      <c r="GJ106" s="77"/>
      <c r="GK106" s="77"/>
      <c r="GL106" s="77"/>
      <c r="GM106" s="77"/>
      <c r="GN106" s="77"/>
      <c r="GO106" s="77"/>
      <c r="GP106" s="77"/>
      <c r="GQ106" s="77"/>
      <c r="GR106" s="77"/>
      <c r="GS106" s="77"/>
      <c r="GT106" s="77"/>
      <c r="GU106" s="77"/>
      <c r="GV106" s="77"/>
      <c r="GW106" s="77"/>
      <c r="GX106" s="77"/>
      <c r="GY106" s="77"/>
      <c r="GZ106" s="77"/>
      <c r="HA106" s="77"/>
      <c r="HB106" s="77"/>
      <c r="HC106" s="77"/>
      <c r="HD106" s="77"/>
      <c r="HE106" s="77"/>
      <c r="HF106" s="77"/>
      <c r="HG106" s="77"/>
      <c r="HH106" s="77"/>
      <c r="HI106" s="77"/>
      <c r="HJ106" s="77"/>
      <c r="HK106" s="77"/>
      <c r="HL106" s="77"/>
      <c r="HM106" s="77"/>
      <c r="HN106" s="77"/>
      <c r="HO106" s="77"/>
      <c r="HP106" s="77"/>
      <c r="HQ106" s="77"/>
      <c r="HR106" s="77"/>
      <c r="HS106" s="77"/>
      <c r="HT106" s="77"/>
      <c r="HU106" s="77"/>
      <c r="HV106" s="77"/>
      <c r="HW106" s="77"/>
      <c r="HX106" s="77"/>
      <c r="HY106" s="77"/>
      <c r="HZ106" s="77"/>
      <c r="IA106" s="77"/>
      <c r="IB106" s="77"/>
      <c r="IC106" s="77"/>
      <c r="ID106" s="77"/>
      <c r="IE106" s="77"/>
      <c r="IF106" s="77"/>
      <c r="IG106" s="77"/>
      <c r="IH106" s="77"/>
      <c r="II106" s="77"/>
      <c r="IJ106" s="77"/>
      <c r="IK106" s="77"/>
      <c r="IL106" s="77"/>
      <c r="IM106" s="77"/>
      <c r="IN106" s="77"/>
      <c r="IO106" s="77"/>
      <c r="IP106" s="77"/>
      <c r="IQ106" s="77"/>
      <c r="IR106" s="77"/>
      <c r="IS106" s="77"/>
      <c r="IT106" s="77"/>
      <c r="IU106" s="77"/>
      <c r="IV106" s="77"/>
      <c r="IW106" s="77"/>
      <c r="IX106" s="77"/>
      <c r="IY106" s="77"/>
      <c r="IZ106" s="77"/>
      <c r="JA106" s="77"/>
      <c r="JB106" s="77"/>
      <c r="JC106" s="77"/>
      <c r="JD106" s="77"/>
      <c r="JE106" s="77"/>
      <c r="JF106" s="77"/>
      <c r="JG106" s="77"/>
      <c r="JH106" s="77"/>
      <c r="JI106" s="77"/>
      <c r="JJ106" s="77"/>
      <c r="JK106" s="77"/>
      <c r="JL106" s="77"/>
      <c r="JM106" s="77"/>
      <c r="JN106" s="77"/>
      <c r="JO106" s="77"/>
      <c r="JP106" s="77"/>
      <c r="JQ106" s="77"/>
      <c r="JR106" s="77"/>
      <c r="JS106" s="77"/>
      <c r="JT106" s="77"/>
      <c r="JU106" s="77"/>
      <c r="JV106" s="77"/>
      <c r="JW106" s="77"/>
      <c r="JX106" s="77"/>
      <c r="JY106" s="77"/>
      <c r="JZ106" s="77"/>
      <c r="KA106" s="77"/>
      <c r="KB106" s="77"/>
      <c r="KC106" s="77"/>
      <c r="KD106" s="77"/>
      <c r="KE106" s="77"/>
      <c r="KF106" s="77"/>
      <c r="KG106" s="77"/>
      <c r="KH106" s="77"/>
      <c r="KI106" s="77"/>
      <c r="KJ106" s="77"/>
      <c r="KK106" s="77"/>
      <c r="KL106" s="77"/>
      <c r="KM106" s="77"/>
      <c r="KN106" s="77"/>
      <c r="KO106" s="77"/>
      <c r="KP106" s="77"/>
      <c r="KQ106" s="77"/>
      <c r="KR106" s="77"/>
      <c r="KS106" s="77"/>
      <c r="KT106" s="77"/>
      <c r="KU106" s="77"/>
      <c r="KV106" s="77"/>
      <c r="KW106" s="77"/>
      <c r="KX106" s="77"/>
      <c r="KY106" s="77"/>
      <c r="KZ106" s="77"/>
      <c r="LA106" s="77"/>
      <c r="LB106" s="77"/>
      <c r="LC106" s="77"/>
      <c r="LD106" s="77"/>
      <c r="LE106" s="77"/>
      <c r="LF106" s="77"/>
      <c r="LG106" s="77"/>
      <c r="LH106" s="77"/>
      <c r="LI106" s="77"/>
      <c r="LJ106" s="77"/>
      <c r="LK106" s="77"/>
      <c r="LW106" s="77"/>
      <c r="LX106" s="77"/>
      <c r="ND106" s="16"/>
    </row>
    <row r="107" spans="1:368" ht="18.600000000000001" customHeight="1" x14ac:dyDescent="0.25">
      <c r="A107" s="119" t="s">
        <v>697</v>
      </c>
      <c r="B107" s="27" t="s">
        <v>697</v>
      </c>
      <c r="C107" s="27" t="s">
        <v>2746</v>
      </c>
      <c r="D107" s="30" t="str">
        <f>HYPERLINK("https://twitter.com/Horacio_Cartes","https://twitter.com/Horacio_Cartes")</f>
        <v>https://twitter.com/Horacio_Cartes</v>
      </c>
      <c r="E107" s="30" t="str">
        <f>HYPERLINK("http://twiplomacy.com/info/south-america/Paraguay","http://twiplomacy.com/info/south-america/Paraguay")</f>
        <v>http://twiplomacy.com/info/south-america/Paraguay</v>
      </c>
      <c r="F107" s="10" t="s">
        <v>668</v>
      </c>
      <c r="G107" s="10" t="s">
        <v>696</v>
      </c>
      <c r="H107" s="10" t="s">
        <v>772</v>
      </c>
      <c r="I107" s="10" t="s">
        <v>773</v>
      </c>
      <c r="J107" s="27" t="s">
        <v>2226</v>
      </c>
      <c r="K107" s="15" t="s">
        <v>777</v>
      </c>
      <c r="L107" s="10" t="s">
        <v>1114</v>
      </c>
      <c r="M107" s="10" t="s">
        <v>770</v>
      </c>
      <c r="N107" s="30" t="str">
        <f>HYPERLINK("https://twitter.com/Horacio_Cartes/statuses/106457364307259393","https://twitter.com/Horacio_Cartes/statuses/106457364307259393")</f>
        <v>https://twitter.com/Horacio_Cartes/statuses/106457364307259393</v>
      </c>
      <c r="O107" s="27" t="s">
        <v>5864</v>
      </c>
      <c r="P107" s="80">
        <v>1518</v>
      </c>
      <c r="Q107" s="80">
        <v>1007</v>
      </c>
      <c r="R107" s="27" t="s">
        <v>2994</v>
      </c>
      <c r="S107" s="10" t="s">
        <v>2747</v>
      </c>
      <c r="T107" s="10" t="s">
        <v>771</v>
      </c>
      <c r="U107" s="10" t="s">
        <v>771</v>
      </c>
      <c r="V107" s="10" t="s">
        <v>771</v>
      </c>
      <c r="W107" s="10"/>
      <c r="X107" s="27" t="s">
        <v>697</v>
      </c>
      <c r="Y107" s="27" t="s">
        <v>697</v>
      </c>
      <c r="Z107" s="80">
        <v>10478</v>
      </c>
      <c r="AA107" s="27">
        <v>132</v>
      </c>
      <c r="AB107" s="80">
        <v>246145</v>
      </c>
      <c r="AC107" s="27">
        <v>98</v>
      </c>
      <c r="AD107" s="27" t="s">
        <v>3815</v>
      </c>
      <c r="AE107" s="27">
        <v>361445173</v>
      </c>
      <c r="AF107" s="27" t="s">
        <v>2746</v>
      </c>
      <c r="AG107" s="27"/>
      <c r="AH107" s="79">
        <v>6.1203271028037403</v>
      </c>
      <c r="AI107" s="83">
        <v>2.73143350604491</v>
      </c>
      <c r="AJ107" s="80">
        <v>59.871566443949497</v>
      </c>
      <c r="AK107" s="80">
        <v>24.3756495916852</v>
      </c>
      <c r="AL107" s="27">
        <v>94</v>
      </c>
      <c r="AM107" s="97">
        <f t="shared" si="1"/>
        <v>2.9374999999999998E-2</v>
      </c>
      <c r="AN107" s="27" t="s">
        <v>697</v>
      </c>
      <c r="AO107" s="27">
        <v>6</v>
      </c>
      <c r="AP107" s="27">
        <v>19</v>
      </c>
      <c r="AQ107" s="27">
        <v>4</v>
      </c>
      <c r="AR107" s="27">
        <f>SUM(AO107:AQ107)</f>
        <v>29</v>
      </c>
      <c r="AS107" s="27" t="s">
        <v>5183</v>
      </c>
      <c r="AT107" s="27" t="s">
        <v>6748</v>
      </c>
      <c r="AU107" s="84" t="s">
        <v>6489</v>
      </c>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c r="GC107" s="77"/>
      <c r="GD107" s="77"/>
      <c r="GE107" s="77"/>
      <c r="GF107" s="77"/>
      <c r="GG107" s="77"/>
      <c r="GH107" s="77"/>
      <c r="GI107" s="77"/>
      <c r="GJ107" s="77"/>
      <c r="GK107" s="77"/>
      <c r="HL107" s="77"/>
      <c r="HM107" s="77"/>
      <c r="HN107" s="77"/>
      <c r="HO107" s="77"/>
      <c r="HP107" s="77"/>
      <c r="HQ107" s="77"/>
      <c r="HR107" s="77"/>
      <c r="HS107" s="77"/>
      <c r="HT107" s="77"/>
      <c r="HU107" s="77"/>
      <c r="HV107" s="77"/>
      <c r="HW107" s="77"/>
      <c r="HX107" s="77"/>
      <c r="HY107" s="77"/>
      <c r="HZ107" s="77"/>
      <c r="IA107" s="77"/>
      <c r="IB107" s="77"/>
      <c r="IC107" s="77"/>
      <c r="ID107" s="77"/>
      <c r="IE107" s="77"/>
      <c r="IF107" s="77"/>
      <c r="IG107" s="77"/>
      <c r="IH107" s="77"/>
      <c r="II107" s="77"/>
      <c r="IJ107" s="77"/>
      <c r="IK107" s="77"/>
      <c r="IL107" s="77"/>
      <c r="IM107" s="77"/>
      <c r="IN107" s="77"/>
      <c r="IO107" s="77"/>
      <c r="IP107" s="77"/>
      <c r="IQ107" s="77"/>
      <c r="IR107" s="77"/>
      <c r="IS107" s="77"/>
      <c r="IT107" s="77"/>
      <c r="IU107" s="77"/>
      <c r="IV107" s="77"/>
      <c r="IW107" s="77"/>
      <c r="IX107" s="77"/>
      <c r="IY107" s="77"/>
      <c r="IZ107" s="77"/>
      <c r="JA107" s="77"/>
      <c r="JB107" s="77"/>
      <c r="JC107" s="77"/>
      <c r="JD107" s="77"/>
      <c r="JE107" s="77"/>
      <c r="JF107" s="77"/>
      <c r="JG107" s="77"/>
      <c r="JH107" s="77"/>
      <c r="JI107" s="77"/>
      <c r="JJ107" s="77"/>
      <c r="JK107" s="77"/>
      <c r="JL107" s="77"/>
      <c r="JM107" s="77"/>
      <c r="JN107" s="77"/>
      <c r="JO107" s="77"/>
      <c r="JP107" s="77"/>
      <c r="JQ107" s="77"/>
      <c r="JR107" s="77"/>
      <c r="JS107" s="77"/>
      <c r="JT107" s="77"/>
      <c r="JU107" s="77"/>
      <c r="JV107" s="77"/>
      <c r="JW107" s="77"/>
      <c r="JX107" s="77"/>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77"/>
      <c r="LM107" s="77"/>
      <c r="LN107" s="77"/>
      <c r="LO107" s="77"/>
      <c r="LP107" s="77"/>
      <c r="LQ107" s="77"/>
      <c r="LR107" s="77"/>
      <c r="LS107" s="77"/>
      <c r="LT107" s="77"/>
      <c r="LU107" s="77"/>
      <c r="LV107" s="77"/>
      <c r="LW107" s="77"/>
      <c r="LX107" s="77"/>
    </row>
    <row r="108" spans="1:368" ht="18.600000000000001" customHeight="1" x14ac:dyDescent="0.25">
      <c r="A108" s="119" t="s">
        <v>682</v>
      </c>
      <c r="B108" s="27" t="s">
        <v>2716</v>
      </c>
      <c r="C108" s="27" t="s">
        <v>4127</v>
      </c>
      <c r="D108" s="30" t="str">
        <f>HYPERLINK("https://twitter.com/Minrel_Chile","https://twitter.com/Minrel_Chile")</f>
        <v>https://twitter.com/Minrel_Chile</v>
      </c>
      <c r="E108" s="30" t="str">
        <f>HYPERLINK("http://twiplomacy.com/info/south-america/Chile","http://twiplomacy.com/info/south-america/Chile")</f>
        <v>http://twiplomacy.com/info/south-america/Chile</v>
      </c>
      <c r="F108" s="10" t="s">
        <v>668</v>
      </c>
      <c r="G108" s="10" t="s">
        <v>678</v>
      </c>
      <c r="H108" s="10" t="s">
        <v>795</v>
      </c>
      <c r="I108" s="10" t="s">
        <v>782</v>
      </c>
      <c r="J108" s="27" t="s">
        <v>2226</v>
      </c>
      <c r="K108" s="15" t="s">
        <v>777</v>
      </c>
      <c r="L108" s="10" t="s">
        <v>771</v>
      </c>
      <c r="M108" s="10" t="s">
        <v>770</v>
      </c>
      <c r="N108" s="72" t="str">
        <f>HYPERLINK("https://twitter.com/Minrel_Chile/status/459399447273672704","https://twitter.com/Minrel_Chile/status/459399447273672704")</f>
        <v>https://twitter.com/Minrel_Chile/status/459399447273672704</v>
      </c>
      <c r="O108" s="27" t="s">
        <v>5965</v>
      </c>
      <c r="P108" s="80">
        <v>509</v>
      </c>
      <c r="Q108" s="80">
        <v>118</v>
      </c>
      <c r="R108" s="27" t="s">
        <v>2994</v>
      </c>
      <c r="S108" s="12" t="str">
        <f>HYPERLINK("https://twitter.com/Minrel_Chile/lists","https://twitter.com/Minrel_Chile/lists")</f>
        <v>https://twitter.com/Minrel_Chile/lists</v>
      </c>
      <c r="T108" s="10">
        <v>5</v>
      </c>
      <c r="U108" s="10">
        <v>3</v>
      </c>
      <c r="V108" s="12" t="s">
        <v>6887</v>
      </c>
      <c r="W108" s="10">
        <v>46</v>
      </c>
      <c r="X108" s="27" t="s">
        <v>682</v>
      </c>
      <c r="Y108" s="27" t="s">
        <v>2716</v>
      </c>
      <c r="Z108" s="80">
        <v>10417</v>
      </c>
      <c r="AA108" s="27">
        <v>1777</v>
      </c>
      <c r="AB108" s="80">
        <v>14401</v>
      </c>
      <c r="AC108" s="27">
        <v>2123</v>
      </c>
      <c r="AD108" s="27" t="s">
        <v>4128</v>
      </c>
      <c r="AE108" s="27">
        <v>2456754781</v>
      </c>
      <c r="AF108" s="27" t="s">
        <v>4127</v>
      </c>
      <c r="AG108" s="27" t="s">
        <v>3584</v>
      </c>
      <c r="AH108" s="79">
        <v>14.0390835579515</v>
      </c>
      <c r="AI108" s="83">
        <v>16</v>
      </c>
      <c r="AJ108" s="80">
        <v>7.5253232758620703</v>
      </c>
      <c r="AK108" s="80">
        <v>3.8011853448275899</v>
      </c>
      <c r="AL108" s="27">
        <v>230</v>
      </c>
      <c r="AM108" s="97">
        <f t="shared" si="1"/>
        <v>7.1874999999999994E-2</v>
      </c>
      <c r="AN108" s="27" t="s">
        <v>682</v>
      </c>
      <c r="AO108" s="27">
        <v>70</v>
      </c>
      <c r="AP108" s="27">
        <v>13</v>
      </c>
      <c r="AQ108" s="27">
        <v>38</v>
      </c>
      <c r="AR108" s="27">
        <f>SUM(AO108:AQ108)</f>
        <v>121</v>
      </c>
      <c r="AS108" s="27" t="s">
        <v>6602</v>
      </c>
      <c r="AT108" s="27" t="s">
        <v>6795</v>
      </c>
      <c r="AU108" s="84" t="s">
        <v>4859</v>
      </c>
      <c r="AV108" s="77"/>
      <c r="AW108" s="77"/>
      <c r="AX108" s="77"/>
      <c r="AY108" s="77"/>
      <c r="AZ108" s="77"/>
      <c r="BA108" s="77"/>
      <c r="BB108" s="77"/>
      <c r="BC108" s="77"/>
      <c r="BD108" s="77"/>
      <c r="BE108" s="77"/>
      <c r="BF108" s="77"/>
      <c r="BG108" s="77"/>
      <c r="BH108" s="77"/>
      <c r="BI108" s="77"/>
      <c r="BJ108" s="77"/>
      <c r="BK108" s="77"/>
      <c r="BL108" s="77"/>
      <c r="BM108" s="77"/>
      <c r="BN108" s="77"/>
      <c r="BO108" s="77"/>
      <c r="BP108" s="77"/>
      <c r="CC108" s="77"/>
      <c r="CD108" s="77"/>
      <c r="CE108" s="77"/>
      <c r="CF108" s="77"/>
      <c r="CG108" s="77"/>
      <c r="CH108" s="77"/>
      <c r="CI108" s="77"/>
      <c r="CJ108" s="77"/>
      <c r="CX108" s="77"/>
      <c r="CY108" s="77"/>
      <c r="CZ108" s="77"/>
      <c r="DA108" s="77"/>
      <c r="DB108" s="77"/>
      <c r="DC108" s="77"/>
      <c r="DD108" s="77"/>
      <c r="DE108" s="77"/>
      <c r="DF108" s="77"/>
      <c r="DG108" s="77"/>
      <c r="DH108" s="77"/>
      <c r="DI108" s="77"/>
      <c r="DJ108" s="77"/>
      <c r="DK108" s="77"/>
      <c r="DL108" s="77"/>
      <c r="DM108" s="77"/>
      <c r="DN108" s="77"/>
      <c r="DO108" s="77"/>
      <c r="DP108" s="77"/>
      <c r="DQ108" s="77"/>
      <c r="DR108" s="77"/>
      <c r="DS108" s="77"/>
      <c r="DT108" s="77"/>
      <c r="DU108" s="77"/>
      <c r="DV108" s="77"/>
      <c r="DW108" s="77"/>
      <c r="DX108" s="77"/>
      <c r="DY108" s="77"/>
      <c r="DZ108" s="77"/>
      <c r="EA108" s="77"/>
      <c r="EB108" s="77"/>
      <c r="EC108" s="77"/>
      <c r="ED108" s="77"/>
      <c r="EE108" s="77"/>
      <c r="EF108" s="77"/>
      <c r="EG108" s="77"/>
      <c r="EH108" s="77"/>
      <c r="EI108" s="77"/>
      <c r="EJ108" s="77"/>
      <c r="EK108" s="77"/>
      <c r="EL108" s="77"/>
      <c r="EM108" s="77"/>
      <c r="EN108" s="77"/>
      <c r="EO108" s="77"/>
      <c r="EP108" s="77"/>
      <c r="EQ108" s="77"/>
      <c r="GL108" s="77"/>
      <c r="GM108" s="77"/>
      <c r="GN108" s="77"/>
      <c r="GO108" s="77"/>
      <c r="GP108" s="77"/>
      <c r="GQ108" s="77"/>
      <c r="GR108" s="77"/>
      <c r="GS108" s="77"/>
      <c r="GT108" s="77"/>
      <c r="GU108" s="77"/>
      <c r="GV108" s="77"/>
      <c r="GW108" s="77"/>
      <c r="GX108" s="77"/>
      <c r="GY108" s="77"/>
      <c r="GZ108" s="77"/>
      <c r="HA108" s="77"/>
      <c r="HB108" s="77"/>
      <c r="HC108" s="77"/>
      <c r="HD108" s="77"/>
      <c r="HE108" s="77"/>
      <c r="HF108" s="77"/>
      <c r="HG108" s="77"/>
      <c r="HH108" s="77"/>
      <c r="HI108" s="77"/>
      <c r="HJ108" s="77"/>
      <c r="HK108" s="77"/>
      <c r="HL108" s="77"/>
      <c r="HM108" s="77"/>
      <c r="HN108" s="77"/>
      <c r="HO108" s="77"/>
      <c r="HP108" s="77"/>
      <c r="HQ108" s="77"/>
      <c r="HR108" s="77"/>
      <c r="HS108" s="77"/>
      <c r="HT108" s="77"/>
      <c r="HU108" s="77"/>
      <c r="HV108" s="77"/>
      <c r="HW108" s="77"/>
      <c r="HX108" s="77"/>
      <c r="HY108" s="77"/>
      <c r="HZ108" s="77"/>
      <c r="IA108" s="77"/>
      <c r="IB108" s="77"/>
      <c r="IC108" s="77"/>
      <c r="ID108" s="77"/>
      <c r="IE108" s="77"/>
      <c r="IF108" s="77"/>
      <c r="IG108" s="77"/>
      <c r="IH108" s="77"/>
      <c r="II108" s="77"/>
      <c r="IJ108" s="77"/>
      <c r="IK108" s="77"/>
      <c r="IL108" s="77"/>
      <c r="IM108" s="77"/>
      <c r="IN108" s="77"/>
      <c r="IO108" s="77"/>
      <c r="IP108" s="77"/>
      <c r="IQ108" s="77"/>
      <c r="IR108" s="77"/>
      <c r="IS108" s="77"/>
      <c r="IT108" s="77"/>
      <c r="IU108" s="77"/>
      <c r="IV108" s="77"/>
      <c r="IW108" s="77"/>
      <c r="IX108" s="77"/>
      <c r="IY108" s="77"/>
      <c r="IZ108" s="77"/>
      <c r="JA108" s="77"/>
      <c r="JB108" s="77"/>
      <c r="JC108" s="77"/>
      <c r="JD108" s="77"/>
      <c r="JE108" s="77"/>
      <c r="JF108" s="77"/>
      <c r="JG108" s="77"/>
      <c r="JH108" s="77"/>
      <c r="JI108" s="77"/>
      <c r="JJ108" s="77"/>
      <c r="JK108" s="77"/>
      <c r="JL108" s="77"/>
      <c r="JM108" s="77"/>
      <c r="JN108" s="77"/>
      <c r="JO108" s="77"/>
      <c r="JP108" s="77"/>
      <c r="JQ108" s="77"/>
      <c r="JR108" s="77"/>
      <c r="JS108" s="77"/>
      <c r="JT108" s="77"/>
      <c r="JU108" s="77"/>
      <c r="JV108" s="77"/>
      <c r="JW108" s="77"/>
      <c r="JX108" s="77"/>
      <c r="JY108" s="77"/>
      <c r="JZ108" s="77"/>
      <c r="KA108" s="77"/>
      <c r="KB108" s="77"/>
      <c r="KC108" s="77"/>
      <c r="KD108" s="77"/>
      <c r="KE108" s="77"/>
      <c r="KF108" s="77"/>
      <c r="KG108" s="77"/>
      <c r="KH108" s="77"/>
      <c r="KI108" s="77"/>
      <c r="KJ108" s="77"/>
      <c r="KK108" s="77"/>
      <c r="KL108" s="77"/>
      <c r="LL108" s="77"/>
      <c r="LM108" s="77"/>
      <c r="LN108" s="77"/>
      <c r="LO108" s="77"/>
      <c r="LP108" s="77"/>
      <c r="LQ108" s="77"/>
      <c r="LR108" s="77"/>
      <c r="LS108" s="77"/>
      <c r="LT108" s="77"/>
      <c r="LU108" s="77"/>
      <c r="LV108" s="77"/>
      <c r="LW108" s="77"/>
      <c r="LX108" s="77"/>
      <c r="MS108" s="77"/>
      <c r="ND108" s="77"/>
    </row>
    <row r="109" spans="1:368" ht="18.600000000000001" customHeight="1" x14ac:dyDescent="0.25">
      <c r="A109" s="119" t="s">
        <v>688</v>
      </c>
      <c r="B109" s="27" t="s">
        <v>2723</v>
      </c>
      <c r="C109" s="27" t="s">
        <v>2724</v>
      </c>
      <c r="D109" s="30" t="str">
        <f>HYPERLINK("https://twitter.com/MashiRafael","https://twitter.com/MashiRafael")</f>
        <v>https://twitter.com/MashiRafael</v>
      </c>
      <c r="E109" s="30" t="str">
        <f>HYPERLINK("http://twiplomacy.com/info/south-america/Ecuador","http://twiplomacy.com/info/south-america/Ecuador")</f>
        <v>http://twiplomacy.com/info/south-america/Ecuador</v>
      </c>
      <c r="F109" s="10" t="s">
        <v>668</v>
      </c>
      <c r="G109" s="10" t="s">
        <v>687</v>
      </c>
      <c r="H109" s="10" t="s">
        <v>772</v>
      </c>
      <c r="I109" s="10" t="s">
        <v>773</v>
      </c>
      <c r="J109" s="27" t="s">
        <v>2226</v>
      </c>
      <c r="K109" s="15" t="s">
        <v>777</v>
      </c>
      <c r="L109" s="10" t="s">
        <v>1020</v>
      </c>
      <c r="M109" s="10" t="s">
        <v>771</v>
      </c>
      <c r="N109" s="30" t="str">
        <f>HYPERLINK("https://twitter.com/mashirafael/statuses/97076030212288512","https://twitter.com/mashirafael/statuses/97076030212288512")</f>
        <v>https://twitter.com/mashirafael/statuses/97076030212288512</v>
      </c>
      <c r="O109" s="20" t="s">
        <v>2726</v>
      </c>
      <c r="P109" s="46">
        <v>8662</v>
      </c>
      <c r="Q109" s="46">
        <v>1653</v>
      </c>
      <c r="R109" s="27" t="s">
        <v>2994</v>
      </c>
      <c r="S109" s="10" t="s">
        <v>2727</v>
      </c>
      <c r="T109" s="10" t="s">
        <v>771</v>
      </c>
      <c r="U109" s="10" t="s">
        <v>771</v>
      </c>
      <c r="V109" s="10" t="s">
        <v>771</v>
      </c>
      <c r="W109" s="10"/>
      <c r="X109" s="27" t="s">
        <v>688</v>
      </c>
      <c r="Y109" s="27" t="s">
        <v>2723</v>
      </c>
      <c r="Z109" s="80">
        <v>10414</v>
      </c>
      <c r="AA109" s="27">
        <v>6</v>
      </c>
      <c r="AB109" s="80">
        <v>2732125</v>
      </c>
      <c r="AC109" s="27">
        <v>20</v>
      </c>
      <c r="AD109" s="27" t="s">
        <v>4033</v>
      </c>
      <c r="AE109" s="27">
        <v>209780362</v>
      </c>
      <c r="AF109" s="27" t="s">
        <v>2724</v>
      </c>
      <c r="AG109" s="27" t="s">
        <v>687</v>
      </c>
      <c r="AH109" s="79">
        <v>5.1785181501740398</v>
      </c>
      <c r="AI109" s="83">
        <v>6.18546845124283</v>
      </c>
      <c r="AJ109" s="80">
        <v>400.59013546370301</v>
      </c>
      <c r="AK109" s="80">
        <v>284.95310871830497</v>
      </c>
      <c r="AL109" s="27">
        <v>1410</v>
      </c>
      <c r="AM109" s="97">
        <f t="shared" si="1"/>
        <v>0.44062499999999999</v>
      </c>
      <c r="AN109" s="27" t="s">
        <v>688</v>
      </c>
      <c r="AO109" s="27">
        <v>1</v>
      </c>
      <c r="AP109" s="27">
        <v>60</v>
      </c>
      <c r="AQ109" s="27">
        <v>2</v>
      </c>
      <c r="AR109" s="27">
        <f>SUM(AO109:AQ109)</f>
        <v>63</v>
      </c>
      <c r="AS109" s="27" t="s">
        <v>2366</v>
      </c>
      <c r="AT109" s="27" t="s">
        <v>6782</v>
      </c>
      <c r="AU109" s="84" t="s">
        <v>4828</v>
      </c>
      <c r="AV109" s="77"/>
      <c r="AW109" s="77"/>
      <c r="AX109" s="77"/>
      <c r="AY109" s="77"/>
      <c r="AZ109" s="77"/>
      <c r="BA109" s="77"/>
      <c r="BB109" s="77"/>
      <c r="BC109" s="77"/>
      <c r="BD109" s="77"/>
      <c r="BE109" s="77"/>
      <c r="BF109" s="77"/>
      <c r="BG109" s="77"/>
      <c r="BH109" s="77"/>
      <c r="BI109" s="77"/>
      <c r="BJ109" s="77"/>
      <c r="BK109" s="77"/>
      <c r="BL109" s="77"/>
      <c r="BM109" s="75"/>
      <c r="BN109" s="75"/>
      <c r="BO109" s="75"/>
      <c r="BP109" s="75"/>
      <c r="BQ109" s="77"/>
      <c r="BR109" s="77"/>
      <c r="BS109" s="77"/>
      <c r="BT109" s="77"/>
      <c r="BU109" s="77"/>
      <c r="BV109" s="77"/>
      <c r="BW109" s="77"/>
      <c r="BX109" s="77"/>
      <c r="BY109" s="77"/>
      <c r="BZ109" s="77"/>
      <c r="CA109" s="77"/>
      <c r="CB109" s="77"/>
      <c r="CX109" s="77"/>
      <c r="CY109" s="77"/>
      <c r="CZ109" s="77"/>
      <c r="DA109" s="77"/>
      <c r="DB109" s="77"/>
      <c r="DC109" s="77"/>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7"/>
      <c r="ET109" s="77"/>
      <c r="EU109" s="77"/>
      <c r="EV109" s="77"/>
      <c r="EW109" s="77"/>
      <c r="EX109" s="77"/>
      <c r="EY109" s="77"/>
      <c r="EZ109" s="77"/>
      <c r="FA109" s="77"/>
      <c r="FB109" s="77"/>
      <c r="FC109" s="77"/>
      <c r="FD109" s="77"/>
      <c r="FE109" s="77"/>
      <c r="FF109" s="77"/>
      <c r="FG109" s="77"/>
      <c r="FH109" s="77"/>
      <c r="FI109" s="77"/>
      <c r="FJ109" s="77"/>
      <c r="FK109" s="77"/>
      <c r="FL109" s="77"/>
      <c r="FM109" s="77"/>
      <c r="FN109" s="77"/>
      <c r="FO109" s="77"/>
      <c r="FP109" s="77"/>
      <c r="FQ109" s="77"/>
      <c r="FR109" s="77"/>
      <c r="FS109" s="77"/>
      <c r="FT109" s="77"/>
      <c r="FU109" s="77"/>
      <c r="FV109" s="77"/>
      <c r="FW109" s="77"/>
      <c r="FX109" s="77"/>
      <c r="FY109" s="77"/>
      <c r="FZ109" s="77"/>
      <c r="GA109" s="77"/>
      <c r="GB109" s="77"/>
      <c r="GC109" s="77"/>
      <c r="GD109" s="77"/>
      <c r="GE109" s="77"/>
      <c r="GF109" s="77"/>
      <c r="GG109" s="77"/>
      <c r="GH109" s="77"/>
      <c r="GI109" s="77"/>
      <c r="GJ109" s="77"/>
      <c r="GK109" s="77"/>
      <c r="GL109" s="77"/>
      <c r="GM109" s="77"/>
      <c r="GN109" s="77"/>
      <c r="GO109" s="77"/>
      <c r="GP109" s="77"/>
      <c r="GQ109" s="77"/>
      <c r="GR109" s="77"/>
      <c r="GS109" s="77"/>
      <c r="GT109" s="77"/>
      <c r="GU109" s="77"/>
      <c r="GV109" s="77"/>
      <c r="GW109" s="77"/>
      <c r="GX109" s="77"/>
      <c r="GY109" s="77"/>
      <c r="GZ109" s="77"/>
      <c r="HA109" s="77"/>
      <c r="HB109" s="77"/>
      <c r="HC109" s="77"/>
      <c r="HD109" s="77"/>
      <c r="HE109" s="77"/>
      <c r="HF109" s="77"/>
      <c r="HG109" s="77"/>
      <c r="HH109" s="77"/>
      <c r="HI109" s="77"/>
      <c r="HJ109" s="77"/>
      <c r="HK109" s="77"/>
      <c r="HL109" s="77"/>
      <c r="HM109" s="77"/>
      <c r="HN109" s="77"/>
      <c r="HO109" s="77"/>
      <c r="HP109" s="77"/>
      <c r="HQ109" s="77"/>
      <c r="HR109" s="77"/>
      <c r="HS109" s="77"/>
      <c r="HT109" s="77"/>
      <c r="HU109" s="77"/>
      <c r="HV109" s="77"/>
      <c r="HW109" s="77"/>
      <c r="HX109" s="77"/>
      <c r="HY109" s="77"/>
      <c r="HZ109" s="77"/>
      <c r="IA109" s="77"/>
      <c r="IB109" s="77"/>
      <c r="IC109" s="77"/>
      <c r="ID109" s="77"/>
      <c r="IE109" s="77"/>
      <c r="JY109" s="77"/>
      <c r="JZ109" s="77"/>
      <c r="KA109" s="77"/>
      <c r="KB109" s="77"/>
      <c r="KC109" s="77"/>
      <c r="KD109" s="77"/>
      <c r="KE109" s="77"/>
      <c r="KF109" s="77"/>
      <c r="KG109" s="77"/>
      <c r="KH109" s="77"/>
      <c r="KI109" s="77"/>
      <c r="KJ109" s="77"/>
      <c r="KK109" s="77"/>
      <c r="KL109" s="77"/>
      <c r="KM109" s="77"/>
      <c r="KN109" s="77"/>
      <c r="KO109" s="77"/>
      <c r="KP109" s="77"/>
      <c r="KQ109" s="77"/>
      <c r="KR109" s="77"/>
      <c r="KS109" s="77"/>
      <c r="KT109" s="77"/>
      <c r="KU109" s="77"/>
      <c r="KV109" s="77"/>
      <c r="KW109" s="77"/>
      <c r="KX109" s="77"/>
      <c r="KY109" s="77"/>
      <c r="KZ109" s="77"/>
      <c r="LA109" s="77"/>
      <c r="LB109" s="77"/>
      <c r="LC109" s="77"/>
      <c r="LD109" s="77"/>
      <c r="LE109" s="77"/>
      <c r="LF109" s="77"/>
      <c r="LG109" s="77"/>
      <c r="LH109" s="77"/>
      <c r="LI109" s="77"/>
      <c r="LJ109" s="77"/>
      <c r="LK109" s="77"/>
      <c r="MS109" s="77"/>
    </row>
    <row r="110" spans="1:368" s="62" customFormat="1" ht="18.600000000000001" customHeight="1" x14ac:dyDescent="0.25">
      <c r="A110" s="119" t="s">
        <v>1898</v>
      </c>
      <c r="B110" s="27" t="s">
        <v>1899</v>
      </c>
      <c r="C110" s="27" t="s">
        <v>1900</v>
      </c>
      <c r="D110" s="30" t="str">
        <f>HYPERLINK("https://twitter.com/francediplo_EN","https://twitter.com/francediplo_EN")</f>
        <v>https://twitter.com/francediplo_EN</v>
      </c>
      <c r="E110" s="30" t="str">
        <f>HYPERLINK("http://twiplomacy.com/info/europe/France","http://twiplomacy.com/info/europe/France")</f>
        <v>http://twiplomacy.com/info/europe/France</v>
      </c>
      <c r="F110" s="10" t="s">
        <v>332</v>
      </c>
      <c r="G110" s="10" t="s">
        <v>395</v>
      </c>
      <c r="H110" s="10" t="s">
        <v>795</v>
      </c>
      <c r="I110" s="10" t="s">
        <v>782</v>
      </c>
      <c r="J110" s="27" t="s">
        <v>789</v>
      </c>
      <c r="K110" s="15" t="s">
        <v>777</v>
      </c>
      <c r="L110" s="10" t="s">
        <v>771</v>
      </c>
      <c r="M110" s="10" t="s">
        <v>770</v>
      </c>
      <c r="N110" s="30" t="str">
        <f>HYPERLINK("https://twitter.com/francediplo_EN/statuses/147687501673398272","https://twitter.com/francediplo_EN/statuses/147687501673398272")</f>
        <v>https://twitter.com/francediplo_EN/statuses/147687501673398272</v>
      </c>
      <c r="O110" s="27" t="s">
        <v>5776</v>
      </c>
      <c r="P110" s="80">
        <v>829</v>
      </c>
      <c r="Q110" s="80">
        <v>239</v>
      </c>
      <c r="R110" s="27" t="s">
        <v>2994</v>
      </c>
      <c r="S110" s="30" t="str">
        <f>HYPERLINK("https://twitter.com/francediplo_EN/lists","https://twitter.com/francediplo_EN/lists")</f>
        <v>https://twitter.com/francediplo_EN/lists</v>
      </c>
      <c r="T110" s="10" t="s">
        <v>771</v>
      </c>
      <c r="U110" s="10">
        <v>3</v>
      </c>
      <c r="V110" s="10" t="s">
        <v>771</v>
      </c>
      <c r="W110" s="10"/>
      <c r="X110" s="27" t="s">
        <v>1898</v>
      </c>
      <c r="Y110" s="27" t="s">
        <v>1899</v>
      </c>
      <c r="Z110" s="80">
        <v>10316</v>
      </c>
      <c r="AA110" s="27">
        <v>907</v>
      </c>
      <c r="AB110" s="80">
        <v>30231</v>
      </c>
      <c r="AC110" s="27">
        <v>160</v>
      </c>
      <c r="AD110" s="27" t="s">
        <v>3708</v>
      </c>
      <c r="AE110" s="27">
        <v>438355707</v>
      </c>
      <c r="AF110" s="27" t="s">
        <v>1900</v>
      </c>
      <c r="AG110" s="27" t="s">
        <v>1897</v>
      </c>
      <c r="AH110" s="79">
        <v>6.4521575984990598</v>
      </c>
      <c r="AI110" s="83">
        <v>6.3896620278330003</v>
      </c>
      <c r="AJ110" s="80">
        <v>8.8286961265684702</v>
      </c>
      <c r="AK110" s="80">
        <v>4.6361156573922502</v>
      </c>
      <c r="AL110" s="27">
        <v>40</v>
      </c>
      <c r="AM110" s="97">
        <f t="shared" si="1"/>
        <v>1.2500000000000001E-2</v>
      </c>
      <c r="AN110" s="27" t="s">
        <v>1898</v>
      </c>
      <c r="AO110" s="27">
        <v>44</v>
      </c>
      <c r="AP110" s="27">
        <v>46</v>
      </c>
      <c r="AQ110" s="27">
        <v>74</v>
      </c>
      <c r="AR110" s="27">
        <f>SUM(AO110:AQ110)</f>
        <v>164</v>
      </c>
      <c r="AS110" s="27" t="s">
        <v>5608</v>
      </c>
      <c r="AT110" s="27" t="s">
        <v>5129</v>
      </c>
      <c r="AU110" s="84" t="s">
        <v>4726</v>
      </c>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16"/>
      <c r="CD110" s="16"/>
      <c r="CE110" s="16"/>
      <c r="CF110" s="16"/>
      <c r="CG110" s="16"/>
      <c r="CH110" s="16"/>
      <c r="CI110" s="16"/>
      <c r="CJ110" s="16"/>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c r="EY110" s="77"/>
      <c r="EZ110" s="77"/>
      <c r="FA110" s="77"/>
      <c r="FB110" s="77"/>
      <c r="FC110" s="77"/>
      <c r="FD110" s="77"/>
      <c r="FE110" s="77"/>
      <c r="FF110" s="77"/>
      <c r="FG110" s="77"/>
      <c r="FH110" s="77"/>
      <c r="FI110" s="77"/>
      <c r="FJ110" s="77"/>
      <c r="FK110" s="77"/>
      <c r="FL110" s="77"/>
      <c r="FM110" s="77"/>
      <c r="FN110" s="77"/>
      <c r="FO110" s="77"/>
      <c r="FP110" s="77"/>
      <c r="FQ110" s="77"/>
      <c r="FR110" s="77"/>
      <c r="FS110" s="77"/>
      <c r="FT110" s="77"/>
      <c r="FU110" s="77"/>
      <c r="FV110" s="77"/>
      <c r="FW110" s="77"/>
      <c r="FX110" s="77"/>
      <c r="FY110" s="77"/>
      <c r="FZ110" s="77"/>
      <c r="GA110" s="77"/>
      <c r="GB110" s="77"/>
      <c r="GC110" s="77"/>
      <c r="GD110" s="77"/>
      <c r="GE110" s="77"/>
      <c r="GF110" s="77"/>
      <c r="GG110" s="77"/>
      <c r="GH110" s="77"/>
      <c r="GI110" s="77"/>
      <c r="GJ110" s="77"/>
      <c r="GK110" s="77"/>
      <c r="GL110" s="77"/>
      <c r="GM110" s="77"/>
      <c r="GN110" s="77"/>
      <c r="GO110" s="77"/>
      <c r="GP110" s="77"/>
      <c r="GQ110" s="77"/>
      <c r="GR110" s="77"/>
      <c r="GS110" s="77"/>
      <c r="GT110" s="77"/>
      <c r="GU110" s="77"/>
      <c r="GV110" s="77"/>
      <c r="GW110" s="77"/>
      <c r="GX110" s="77"/>
      <c r="GY110" s="77"/>
      <c r="GZ110" s="77"/>
      <c r="HA110" s="77"/>
      <c r="HB110" s="77"/>
      <c r="HC110" s="77"/>
      <c r="HD110" s="77"/>
      <c r="HE110" s="77"/>
      <c r="HF110" s="77"/>
      <c r="HG110" s="77"/>
      <c r="HH110" s="77"/>
      <c r="HI110" s="77"/>
      <c r="HJ110" s="77"/>
      <c r="HK110" s="77"/>
      <c r="HL110" s="77"/>
      <c r="HM110" s="77"/>
      <c r="HN110" s="77"/>
      <c r="HO110" s="77"/>
      <c r="HP110" s="77"/>
      <c r="HQ110" s="77"/>
      <c r="HR110" s="77"/>
      <c r="HS110" s="77"/>
      <c r="HT110" s="77"/>
      <c r="HU110" s="77"/>
      <c r="HV110" s="77"/>
      <c r="HW110" s="77"/>
      <c r="HX110" s="77"/>
      <c r="HY110" s="77"/>
      <c r="HZ110" s="77"/>
      <c r="IA110" s="77"/>
      <c r="IB110" s="77"/>
      <c r="IC110" s="77"/>
      <c r="ID110" s="77"/>
      <c r="IE110" s="77"/>
      <c r="JY110" s="77"/>
      <c r="JZ110" s="77"/>
      <c r="KA110" s="77"/>
      <c r="KB110" s="77"/>
      <c r="KC110" s="77"/>
      <c r="KD110" s="77"/>
      <c r="KE110" s="77"/>
      <c r="KF110" s="77"/>
      <c r="KG110" s="77"/>
      <c r="KH110" s="77"/>
      <c r="KI110" s="77"/>
      <c r="KJ110" s="77"/>
      <c r="KK110" s="77"/>
      <c r="KL110" s="77"/>
      <c r="LW110" s="77"/>
      <c r="LX110" s="77"/>
    </row>
    <row r="111" spans="1:368" ht="18.600000000000001" customHeight="1" x14ac:dyDescent="0.25">
      <c r="A111" s="119" t="s">
        <v>185</v>
      </c>
      <c r="B111" s="27" t="s">
        <v>1287</v>
      </c>
      <c r="C111" s="27" t="s">
        <v>1288</v>
      </c>
      <c r="D111" s="30" t="str">
        <f>HYPERLINK("https://twitter.com/PMOIndia","https://twitter.com/PMOIndia")</f>
        <v>https://twitter.com/PMOIndia</v>
      </c>
      <c r="E111" s="30" t="str">
        <f>HYPERLINK("http://twiplomacy.com/info/asia/India","http://twiplomacy.com/info/asia/India")</f>
        <v>http://twiplomacy.com/info/asia/India</v>
      </c>
      <c r="F111" s="10" t="s">
        <v>154</v>
      </c>
      <c r="G111" s="10" t="s">
        <v>182</v>
      </c>
      <c r="H111" s="10" t="s">
        <v>776</v>
      </c>
      <c r="I111" s="10" t="s">
        <v>773</v>
      </c>
      <c r="J111" s="27" t="s">
        <v>789</v>
      </c>
      <c r="K111" s="15" t="s">
        <v>777</v>
      </c>
      <c r="L111" s="10" t="s">
        <v>771</v>
      </c>
      <c r="M111" s="10" t="s">
        <v>770</v>
      </c>
      <c r="N111" s="30" t="str">
        <f>HYPERLINK("https://twitter.com/PMOIndia/status/471292337973235712","https://twitter.com/PMOIndia/status/471292337973235712")</f>
        <v>https://twitter.com/PMOIndia/status/471292337973235712</v>
      </c>
      <c r="O111" s="27" t="s">
        <v>6015</v>
      </c>
      <c r="P111" s="80">
        <v>2579</v>
      </c>
      <c r="Q111" s="80">
        <v>6733</v>
      </c>
      <c r="R111" s="27" t="s">
        <v>2994</v>
      </c>
      <c r="S111" s="10" t="s">
        <v>1289</v>
      </c>
      <c r="T111" s="10" t="s">
        <v>771</v>
      </c>
      <c r="U111" s="10" t="s">
        <v>771</v>
      </c>
      <c r="V111" s="10" t="s">
        <v>771</v>
      </c>
      <c r="W111" s="10"/>
      <c r="X111" s="27" t="s">
        <v>185</v>
      </c>
      <c r="Y111" s="27" t="s">
        <v>1287</v>
      </c>
      <c r="Z111" s="80">
        <v>10216</v>
      </c>
      <c r="AA111" s="27">
        <v>266</v>
      </c>
      <c r="AB111" s="80">
        <v>11210003</v>
      </c>
      <c r="AC111" s="27">
        <v>0</v>
      </c>
      <c r="AD111" s="27" t="s">
        <v>4272</v>
      </c>
      <c r="AE111" s="27">
        <v>471741741</v>
      </c>
      <c r="AF111" s="27" t="s">
        <v>1288</v>
      </c>
      <c r="AG111" s="27" t="s">
        <v>6441</v>
      </c>
      <c r="AH111" s="79">
        <v>6.5445227418321599</v>
      </c>
      <c r="AI111" s="83">
        <v>15.2253521126761</v>
      </c>
      <c r="AJ111" s="80">
        <v>358.748527412778</v>
      </c>
      <c r="AK111" s="80">
        <v>852.23425464431398</v>
      </c>
      <c r="AL111" s="27">
        <v>11</v>
      </c>
      <c r="AM111" s="97">
        <f t="shared" si="1"/>
        <v>3.4375E-3</v>
      </c>
      <c r="AN111" s="27" t="s">
        <v>185</v>
      </c>
      <c r="AO111" s="27">
        <v>24</v>
      </c>
      <c r="AP111" s="27">
        <v>56</v>
      </c>
      <c r="AQ111" s="27">
        <v>16</v>
      </c>
      <c r="AR111" s="27">
        <f>SUM(AO111:AQ111)</f>
        <v>96</v>
      </c>
      <c r="AS111" s="27" t="s">
        <v>5399</v>
      </c>
      <c r="AT111" s="27" t="s">
        <v>6330</v>
      </c>
      <c r="AU111" s="84" t="s">
        <v>6526</v>
      </c>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16"/>
      <c r="BR111" s="16"/>
      <c r="BS111" s="16"/>
      <c r="BT111" s="16"/>
      <c r="BU111" s="16"/>
      <c r="BV111" s="16"/>
      <c r="BW111" s="16"/>
      <c r="BX111" s="16"/>
      <c r="BY111" s="16"/>
      <c r="BZ111" s="16"/>
      <c r="CA111" s="16"/>
      <c r="CB111" s="16"/>
      <c r="CC111" s="77"/>
      <c r="CD111" s="77"/>
      <c r="CE111" s="77"/>
      <c r="CF111" s="77"/>
      <c r="CG111" s="77"/>
      <c r="CH111" s="77"/>
      <c r="CI111" s="77"/>
      <c r="CJ111" s="77"/>
      <c r="CK111" s="77"/>
      <c r="CL111" s="77"/>
      <c r="CM111" s="77"/>
      <c r="CN111" s="77"/>
      <c r="CO111" s="77"/>
      <c r="CP111" s="77"/>
      <c r="CQ111" s="77"/>
      <c r="CR111" s="77"/>
      <c r="CS111" s="77"/>
      <c r="CT111" s="77"/>
      <c r="CU111" s="77"/>
      <c r="CV111" s="77"/>
      <c r="CW111" s="77"/>
      <c r="EM111" s="77"/>
      <c r="EN111" s="77"/>
      <c r="EO111" s="77"/>
      <c r="EP111" s="77"/>
      <c r="GL111" s="77"/>
      <c r="GM111" s="77"/>
      <c r="GN111" s="77"/>
      <c r="GO111" s="77"/>
      <c r="GP111" s="77"/>
      <c r="GQ111" s="77"/>
      <c r="GR111" s="77"/>
      <c r="GS111" s="77"/>
      <c r="GT111" s="77"/>
      <c r="GU111" s="77"/>
      <c r="GV111" s="77"/>
      <c r="GW111" s="77"/>
      <c r="GX111" s="77"/>
      <c r="GY111" s="77"/>
      <c r="GZ111" s="77"/>
      <c r="HA111" s="77"/>
      <c r="HB111" s="77"/>
      <c r="HC111" s="77"/>
      <c r="HD111" s="77"/>
      <c r="HE111" s="77"/>
      <c r="HF111" s="77"/>
      <c r="HG111" s="77"/>
      <c r="HH111" s="77"/>
      <c r="HI111" s="77"/>
      <c r="HJ111" s="77"/>
      <c r="HK111" s="77"/>
      <c r="ID111" s="77"/>
      <c r="IE111" s="77"/>
      <c r="IF111" s="77"/>
      <c r="IG111" s="77"/>
      <c r="IH111" s="77"/>
      <c r="II111" s="77"/>
      <c r="IJ111" s="77"/>
      <c r="IK111" s="77"/>
      <c r="IL111" s="77"/>
      <c r="IM111" s="77"/>
      <c r="IN111" s="77"/>
      <c r="IO111" s="77"/>
      <c r="IP111" s="77"/>
      <c r="IQ111" s="77"/>
      <c r="IR111" s="77"/>
      <c r="IS111" s="77"/>
      <c r="IT111" s="77"/>
      <c r="IU111" s="77"/>
      <c r="IV111" s="77"/>
      <c r="IW111" s="77"/>
      <c r="IX111" s="77"/>
      <c r="IY111" s="77"/>
      <c r="IZ111" s="77"/>
      <c r="JA111" s="77"/>
      <c r="JB111" s="77"/>
      <c r="JC111" s="77"/>
      <c r="JD111" s="77"/>
      <c r="JE111" s="77"/>
      <c r="JF111" s="77"/>
      <c r="JG111" s="77"/>
      <c r="JH111" s="77"/>
      <c r="JI111" s="77"/>
      <c r="JJ111" s="77"/>
      <c r="JK111" s="77"/>
      <c r="JL111" s="77"/>
      <c r="JM111" s="77"/>
      <c r="JN111" s="77"/>
      <c r="JO111" s="77"/>
      <c r="JP111" s="77"/>
      <c r="JQ111" s="77"/>
      <c r="JR111" s="77"/>
      <c r="JS111" s="77"/>
      <c r="JT111" s="77"/>
      <c r="JU111" s="77"/>
      <c r="JV111" s="77"/>
      <c r="JW111" s="77"/>
      <c r="JX111" s="77"/>
      <c r="JY111" s="77"/>
      <c r="JZ111" s="77"/>
      <c r="KA111" s="77"/>
      <c r="KB111" s="77"/>
      <c r="KC111" s="77"/>
      <c r="KD111" s="77"/>
      <c r="KE111" s="77"/>
      <c r="KF111" s="77"/>
      <c r="KG111" s="77"/>
      <c r="KH111" s="77"/>
      <c r="KI111" s="77"/>
      <c r="KJ111" s="77"/>
      <c r="KK111" s="77"/>
      <c r="KL111" s="77"/>
      <c r="LL111" s="77"/>
      <c r="LM111" s="77"/>
      <c r="LN111" s="77"/>
      <c r="LO111" s="77"/>
      <c r="LP111" s="77"/>
      <c r="LQ111" s="77"/>
      <c r="LR111" s="77"/>
      <c r="LS111" s="77"/>
      <c r="LT111" s="77"/>
      <c r="LU111" s="77"/>
      <c r="LV111" s="77"/>
      <c r="MS111" s="77"/>
      <c r="MT111" s="77"/>
      <c r="MU111" s="77"/>
      <c r="MV111" s="77"/>
      <c r="MW111" s="77"/>
      <c r="MX111" s="77"/>
      <c r="MY111" s="77"/>
      <c r="MZ111" s="77"/>
      <c r="NA111" s="77"/>
      <c r="NB111" s="77"/>
      <c r="NC111" s="77"/>
    </row>
    <row r="112" spans="1:368" ht="18.600000000000001" customHeight="1" x14ac:dyDescent="0.25">
      <c r="A112" s="119" t="s">
        <v>3319</v>
      </c>
      <c r="B112" s="27" t="s">
        <v>4112</v>
      </c>
      <c r="C112" s="27" t="s">
        <v>4113</v>
      </c>
      <c r="D112" s="12" t="s">
        <v>3320</v>
      </c>
      <c r="E112" s="30" t="str">
        <f>HYPERLINK("http://twiplomacy.com/info/europe/Netherlands","http://twiplomacy.com/info/europe/Netherlands")</f>
        <v>http://twiplomacy.com/info/europe/Netherlands</v>
      </c>
      <c r="F112" s="10" t="s">
        <v>332</v>
      </c>
      <c r="G112" s="10" t="s">
        <v>467</v>
      </c>
      <c r="H112" s="10" t="s">
        <v>795</v>
      </c>
      <c r="I112" s="10" t="s">
        <v>782</v>
      </c>
      <c r="J112" s="27" t="s">
        <v>2084</v>
      </c>
      <c r="K112" s="15" t="s">
        <v>777</v>
      </c>
      <c r="L112" s="10" t="s">
        <v>771</v>
      </c>
      <c r="M112" s="10" t="s">
        <v>771</v>
      </c>
      <c r="N112" s="30" t="str">
        <f>HYPERLINK("https://twitter.com/MinBZ/statuses/16767556716","https://twitter.com/MinBZ/statuses/16767556716")</f>
        <v>https://twitter.com/MinBZ/statuses/16767556716</v>
      </c>
      <c r="O112" s="30" t="str">
        <f>HYPERLINK("https://twitter.com/MinBZ/statuses/489851125907357696","https://twitter.com/MinBZ/statuses/489851125907357696")</f>
        <v>https://twitter.com/MinBZ/statuses/489851125907357696</v>
      </c>
      <c r="P112" s="46">
        <v>481</v>
      </c>
      <c r="Q112" s="46">
        <v>18</v>
      </c>
      <c r="R112" s="27" t="s">
        <v>2994</v>
      </c>
      <c r="S112" s="30" t="str">
        <f>HYPERLINK("https://twitter.com/MinBZ/lists","https://twitter.com/MinBZ/lists")</f>
        <v>https://twitter.com/MinBZ/lists</v>
      </c>
      <c r="T112" s="10" t="s">
        <v>771</v>
      </c>
      <c r="U112" s="10" t="s">
        <v>771</v>
      </c>
      <c r="V112" s="10" t="s">
        <v>771</v>
      </c>
      <c r="W112" s="10"/>
      <c r="X112" s="27" t="s">
        <v>3319</v>
      </c>
      <c r="Y112" s="27" t="s">
        <v>4112</v>
      </c>
      <c r="Z112" s="80">
        <v>10214</v>
      </c>
      <c r="AA112" s="27">
        <v>846</v>
      </c>
      <c r="AB112" s="80">
        <v>38426</v>
      </c>
      <c r="AC112" s="27">
        <v>386</v>
      </c>
      <c r="AD112" s="27" t="s">
        <v>4114</v>
      </c>
      <c r="AE112" s="27">
        <v>76604446</v>
      </c>
      <c r="AF112" s="27" t="s">
        <v>4113</v>
      </c>
      <c r="AG112" s="27" t="s">
        <v>2083</v>
      </c>
      <c r="AH112" s="79">
        <v>4.23290509738914</v>
      </c>
      <c r="AI112" s="83">
        <v>9.2766570605187297</v>
      </c>
      <c r="AJ112" s="80">
        <v>4.3452755905511804</v>
      </c>
      <c r="AK112" s="80">
        <v>1.39566929133858</v>
      </c>
      <c r="AL112" s="27">
        <v>180</v>
      </c>
      <c r="AM112" s="97">
        <f t="shared" si="1"/>
        <v>5.6250000000000001E-2</v>
      </c>
      <c r="AN112" s="27" t="s">
        <v>3319</v>
      </c>
      <c r="AO112" s="27">
        <v>8</v>
      </c>
      <c r="AP112" s="27">
        <v>24</v>
      </c>
      <c r="AQ112" s="27">
        <v>7</v>
      </c>
      <c r="AR112" s="27">
        <f>SUM(AO112:AQ112)</f>
        <v>39</v>
      </c>
      <c r="AS112" s="27" t="s">
        <v>5324</v>
      </c>
      <c r="AT112" s="27" t="s">
        <v>5325</v>
      </c>
      <c r="AU112" s="84" t="s">
        <v>4856</v>
      </c>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GL112" s="77"/>
      <c r="GM112" s="77"/>
      <c r="GN112" s="77"/>
      <c r="GO112" s="77"/>
      <c r="GP112" s="77"/>
      <c r="GQ112" s="77"/>
      <c r="GR112" s="77"/>
      <c r="GS112" s="77"/>
      <c r="GT112" s="77"/>
      <c r="GU112" s="77"/>
      <c r="GV112" s="77"/>
      <c r="GW112" s="77"/>
      <c r="GX112" s="77"/>
      <c r="GY112" s="77"/>
      <c r="GZ112" s="77"/>
      <c r="HA112" s="77"/>
      <c r="HB112" s="77"/>
      <c r="HC112" s="77"/>
      <c r="HD112" s="77"/>
      <c r="HE112" s="77"/>
      <c r="HF112" s="77"/>
      <c r="HG112" s="77"/>
      <c r="HH112" s="77"/>
      <c r="HI112" s="77"/>
      <c r="HJ112" s="77"/>
      <c r="HK112" s="77"/>
      <c r="HL112" s="77"/>
      <c r="HM112" s="77"/>
      <c r="HN112" s="77"/>
      <c r="HO112" s="77"/>
      <c r="HP112" s="77"/>
      <c r="HQ112" s="77"/>
      <c r="HR112" s="77"/>
      <c r="HS112" s="77"/>
      <c r="HT112" s="77"/>
      <c r="HU112" s="77"/>
      <c r="HV112" s="77"/>
      <c r="HW112" s="77"/>
      <c r="HX112" s="77"/>
      <c r="HY112" s="77"/>
      <c r="HZ112" s="77"/>
      <c r="IA112" s="77"/>
      <c r="IB112" s="77"/>
      <c r="IC112" s="77"/>
      <c r="ID112" s="77"/>
      <c r="IE112" s="77"/>
      <c r="IF112" s="77"/>
      <c r="IG112" s="77"/>
      <c r="IH112" s="77"/>
      <c r="II112" s="77"/>
      <c r="IJ112" s="77"/>
      <c r="IK112" s="77"/>
      <c r="IL112" s="77"/>
      <c r="IM112" s="77"/>
      <c r="IN112" s="77"/>
      <c r="IO112" s="77"/>
      <c r="IP112" s="77"/>
      <c r="IQ112" s="77"/>
      <c r="IR112" s="77"/>
      <c r="IS112" s="77"/>
      <c r="IT112" s="77"/>
      <c r="IU112" s="77"/>
      <c r="IV112" s="77"/>
      <c r="IW112" s="77"/>
      <c r="IX112" s="77"/>
      <c r="IY112" s="77"/>
      <c r="IZ112" s="77"/>
      <c r="JA112" s="77"/>
      <c r="JB112" s="77"/>
      <c r="JC112" s="77"/>
      <c r="JD112" s="77"/>
      <c r="JE112" s="77"/>
      <c r="JF112" s="77"/>
      <c r="JG112" s="77"/>
      <c r="JH112" s="77"/>
      <c r="JI112" s="77"/>
      <c r="JJ112" s="77"/>
      <c r="JK112" s="77"/>
      <c r="JL112" s="77"/>
      <c r="JM112" s="77"/>
      <c r="JN112" s="77"/>
      <c r="JO112" s="77"/>
      <c r="JP112" s="77"/>
      <c r="JQ112" s="77"/>
      <c r="JR112" s="77"/>
      <c r="JS112" s="77"/>
      <c r="JT112" s="77"/>
      <c r="JU112" s="77"/>
      <c r="JV112" s="77"/>
      <c r="JW112" s="77"/>
      <c r="JX112" s="77"/>
      <c r="KM112" s="77"/>
      <c r="KN112" s="77"/>
      <c r="KO112" s="77"/>
      <c r="KP112" s="77"/>
      <c r="KQ112" s="77"/>
      <c r="KR112" s="77"/>
      <c r="KS112" s="77"/>
      <c r="KT112" s="77"/>
      <c r="KU112" s="77"/>
      <c r="KV112" s="77"/>
      <c r="KW112" s="77"/>
      <c r="KX112" s="77"/>
      <c r="KY112" s="77"/>
      <c r="KZ112" s="77"/>
      <c r="LA112" s="77"/>
      <c r="LB112" s="77"/>
      <c r="LC112" s="77"/>
      <c r="LD112" s="77"/>
      <c r="LE112" s="77"/>
      <c r="LF112" s="77"/>
      <c r="LG112" s="77"/>
      <c r="LH112" s="77"/>
      <c r="LI112" s="77"/>
      <c r="LJ112" s="77"/>
      <c r="LK112" s="77"/>
      <c r="LL112" s="77"/>
      <c r="LM112" s="77"/>
      <c r="LN112" s="77"/>
      <c r="LO112" s="77"/>
      <c r="LP112" s="77"/>
      <c r="LQ112" s="77"/>
      <c r="LR112" s="77"/>
      <c r="LS112" s="77"/>
      <c r="LT112" s="77"/>
      <c r="LU112" s="77"/>
      <c r="LV112" s="77"/>
      <c r="LW112" s="77"/>
      <c r="LX112" s="77"/>
      <c r="LY112" s="77"/>
      <c r="LZ112" s="77"/>
      <c r="MA112" s="77"/>
      <c r="MB112" s="77"/>
      <c r="MC112" s="77"/>
      <c r="MD112" s="77"/>
      <c r="ME112" s="77"/>
      <c r="MF112" s="77"/>
      <c r="MG112" s="77"/>
      <c r="MH112" s="77"/>
      <c r="MI112" s="77"/>
      <c r="MJ112" s="77"/>
      <c r="MK112" s="77"/>
      <c r="ML112" s="77"/>
      <c r="MM112" s="77"/>
      <c r="MN112" s="77"/>
      <c r="MO112" s="77"/>
      <c r="MP112" s="77"/>
      <c r="MQ112" s="77"/>
      <c r="MR112" s="77"/>
      <c r="MS112" s="77"/>
      <c r="ND112" s="77"/>
    </row>
    <row r="113" spans="1:421" ht="18.600000000000001" customHeight="1" x14ac:dyDescent="0.25">
      <c r="A113" s="119" t="s">
        <v>597</v>
      </c>
      <c r="B113" s="27" t="s">
        <v>2490</v>
      </c>
      <c r="C113" s="27" t="s">
        <v>3780</v>
      </c>
      <c r="D113" s="30" t="str">
        <f>HYPERLINK("https://twitter.com/GuatemalaGob","https://twitter.com/GuatemalaGob")</f>
        <v>https://twitter.com/GuatemalaGob</v>
      </c>
      <c r="E113" s="30" t="str">
        <f>HYPERLINK("http://twiplomacy.com/info/north-america/Guatemala","http://twiplomacy.com/info/north-america/Guatemala")</f>
        <v>http://twiplomacy.com/info/north-america/Guatemala</v>
      </c>
      <c r="F113" s="10" t="s">
        <v>558</v>
      </c>
      <c r="G113" s="10" t="s">
        <v>595</v>
      </c>
      <c r="H113" s="10" t="s">
        <v>788</v>
      </c>
      <c r="I113" s="10" t="s">
        <v>782</v>
      </c>
      <c r="J113" s="27" t="s">
        <v>2226</v>
      </c>
      <c r="K113" s="15" t="s">
        <v>777</v>
      </c>
      <c r="L113" s="10" t="s">
        <v>771</v>
      </c>
      <c r="M113" s="10" t="s">
        <v>770</v>
      </c>
      <c r="N113" s="30" t="str">
        <f>HYPERLINK("https://twitter.com/GuatemalaGob/statuses/170573195089428480","https://twitter.com/GuatemalaGob/statuses/170573195089428480")</f>
        <v>https://twitter.com/GuatemalaGob/statuses/170573195089428480</v>
      </c>
      <c r="O113" s="27" t="s">
        <v>5848</v>
      </c>
      <c r="P113" s="80">
        <v>404</v>
      </c>
      <c r="Q113" s="80">
        <v>162</v>
      </c>
      <c r="R113" s="27" t="s">
        <v>2994</v>
      </c>
      <c r="S113" s="10" t="s">
        <v>2491</v>
      </c>
      <c r="T113" s="10" t="s">
        <v>771</v>
      </c>
      <c r="U113" s="10" t="s">
        <v>771</v>
      </c>
      <c r="V113" s="10" t="s">
        <v>771</v>
      </c>
      <c r="W113" s="10"/>
      <c r="X113" s="27" t="s">
        <v>597</v>
      </c>
      <c r="Y113" s="27" t="s">
        <v>2490</v>
      </c>
      <c r="Z113" s="80">
        <v>10000</v>
      </c>
      <c r="AA113" s="27">
        <v>110</v>
      </c>
      <c r="AB113" s="80">
        <v>100549</v>
      </c>
      <c r="AC113" s="27">
        <v>57</v>
      </c>
      <c r="AD113" s="27" t="s">
        <v>3781</v>
      </c>
      <c r="AE113" s="27">
        <v>495102115</v>
      </c>
      <c r="AF113" s="27" t="s">
        <v>3780</v>
      </c>
      <c r="AG113" s="27" t="s">
        <v>595</v>
      </c>
      <c r="AH113" s="79">
        <v>6.5110677083333304</v>
      </c>
      <c r="AI113" s="83">
        <v>4.8547008547008499</v>
      </c>
      <c r="AJ113" s="80">
        <v>4.6394354148845203</v>
      </c>
      <c r="AK113" s="80">
        <v>3.9880239520958098</v>
      </c>
      <c r="AL113" s="27">
        <v>6</v>
      </c>
      <c r="AM113" s="97">
        <f t="shared" si="1"/>
        <v>1.8749999999999999E-3</v>
      </c>
      <c r="AN113" s="27" t="s">
        <v>597</v>
      </c>
      <c r="AO113" s="27">
        <v>7</v>
      </c>
      <c r="AP113" s="27">
        <v>11</v>
      </c>
      <c r="AQ113" s="27">
        <v>8</v>
      </c>
      <c r="AR113" s="27">
        <f>SUM(AO113:AQ113)</f>
        <v>26</v>
      </c>
      <c r="AS113" s="27" t="s">
        <v>5165</v>
      </c>
      <c r="AT113" s="27" t="s">
        <v>6742</v>
      </c>
      <c r="AU113" s="84" t="s">
        <v>4749</v>
      </c>
      <c r="AV113" s="77"/>
      <c r="AW113" s="77"/>
      <c r="AX113" s="77"/>
      <c r="AY113" s="77"/>
      <c r="AZ113" s="77"/>
      <c r="BA113" s="77"/>
      <c r="BB113" s="77"/>
      <c r="BC113" s="77"/>
      <c r="BD113" s="77"/>
      <c r="BE113" s="77"/>
      <c r="BF113" s="77"/>
      <c r="BG113" s="77"/>
      <c r="BH113" s="77"/>
      <c r="BI113" s="77"/>
      <c r="BJ113" s="77"/>
      <c r="BK113" s="77"/>
      <c r="BL113" s="77"/>
      <c r="BM113" s="76"/>
      <c r="BN113" s="76"/>
      <c r="BO113" s="76"/>
      <c r="BP113" s="76"/>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c r="CU113" s="77"/>
      <c r="CV113" s="77"/>
      <c r="CW113" s="77"/>
      <c r="CX113" s="77"/>
      <c r="CY113" s="77"/>
      <c r="CZ113" s="77"/>
      <c r="DA113" s="77"/>
      <c r="DB113" s="77"/>
      <c r="DC113" s="77"/>
      <c r="DD113" s="77"/>
      <c r="DE113" s="77"/>
      <c r="DF113" s="77"/>
      <c r="DG113" s="77"/>
      <c r="DH113" s="77"/>
      <c r="DI113" s="77"/>
      <c r="DJ113" s="77"/>
      <c r="DK113" s="77"/>
      <c r="DL113" s="77"/>
      <c r="DM113" s="77"/>
      <c r="DN113" s="77"/>
      <c r="DO113" s="77"/>
      <c r="DP113" s="77"/>
      <c r="DQ113" s="77"/>
      <c r="DR113" s="77"/>
      <c r="DS113" s="77"/>
      <c r="DT113" s="77"/>
      <c r="DU113" s="77"/>
      <c r="DV113" s="77"/>
      <c r="DW113" s="77"/>
      <c r="DX113" s="77"/>
      <c r="DY113" s="77"/>
      <c r="DZ113" s="77"/>
      <c r="EA113" s="77"/>
      <c r="EB113" s="77"/>
      <c r="EC113" s="77"/>
      <c r="ED113" s="77"/>
      <c r="EE113" s="77"/>
      <c r="EF113" s="77"/>
      <c r="EG113" s="77"/>
      <c r="EH113" s="77"/>
      <c r="EI113" s="77"/>
      <c r="EJ113" s="77"/>
      <c r="EK113" s="77"/>
      <c r="EL113" s="77"/>
      <c r="EM113" s="77"/>
      <c r="EN113" s="77"/>
      <c r="EO113" s="77"/>
      <c r="EP113" s="77"/>
      <c r="EQ113" s="77"/>
      <c r="GL113" s="77"/>
      <c r="GM113" s="77"/>
      <c r="GN113" s="77"/>
      <c r="GO113" s="77"/>
      <c r="GP113" s="77"/>
      <c r="GQ113" s="77"/>
      <c r="GR113" s="77"/>
      <c r="GS113" s="77"/>
      <c r="GT113" s="77"/>
      <c r="GU113" s="77"/>
      <c r="GV113" s="77"/>
      <c r="GW113" s="77"/>
      <c r="GX113" s="77"/>
      <c r="GY113" s="77"/>
      <c r="GZ113" s="77"/>
      <c r="HA113" s="77"/>
      <c r="HB113" s="77"/>
      <c r="HC113" s="77"/>
      <c r="HD113" s="77"/>
      <c r="HE113" s="77"/>
      <c r="HF113" s="77"/>
      <c r="HG113" s="77"/>
      <c r="HH113" s="77"/>
      <c r="HI113" s="77"/>
      <c r="HJ113" s="77"/>
      <c r="HK113" s="77"/>
      <c r="HL113" s="77"/>
      <c r="HM113" s="77"/>
      <c r="HN113" s="77"/>
      <c r="HO113" s="77"/>
      <c r="HP113" s="77"/>
      <c r="HQ113" s="77"/>
      <c r="HR113" s="77"/>
      <c r="HS113" s="77"/>
      <c r="HT113" s="77"/>
      <c r="HU113" s="77"/>
      <c r="HV113" s="77"/>
      <c r="HW113" s="77"/>
      <c r="HX113" s="77"/>
      <c r="HY113" s="77"/>
      <c r="HZ113" s="77"/>
      <c r="IA113" s="77"/>
      <c r="IB113" s="77"/>
      <c r="IC113" s="77"/>
      <c r="ID113" s="77"/>
      <c r="IE113" s="77"/>
      <c r="IF113" s="77"/>
      <c r="IG113" s="77"/>
      <c r="IH113" s="77"/>
      <c r="II113" s="77"/>
      <c r="IJ113" s="77"/>
      <c r="IK113" s="77"/>
      <c r="IL113" s="77"/>
      <c r="IM113" s="77"/>
      <c r="IN113" s="77"/>
      <c r="IO113" s="77"/>
      <c r="IP113" s="77"/>
      <c r="IQ113" s="77"/>
      <c r="IR113" s="77"/>
      <c r="IS113" s="77"/>
      <c r="IT113" s="77"/>
      <c r="IU113" s="77"/>
      <c r="IV113" s="77"/>
      <c r="IW113" s="77"/>
      <c r="IX113" s="77"/>
      <c r="IY113" s="77"/>
      <c r="IZ113" s="77"/>
      <c r="JA113" s="77"/>
      <c r="JB113" s="77"/>
      <c r="JC113" s="77"/>
      <c r="JD113" s="77"/>
      <c r="JE113" s="77"/>
      <c r="JF113" s="77"/>
      <c r="JG113" s="77"/>
      <c r="JH113" s="77"/>
      <c r="JI113" s="77"/>
      <c r="JJ113" s="77"/>
      <c r="JK113" s="77"/>
      <c r="JL113" s="77"/>
      <c r="JM113" s="77"/>
      <c r="JN113" s="77"/>
      <c r="JO113" s="77"/>
      <c r="JP113" s="77"/>
      <c r="JQ113" s="77"/>
      <c r="JR113" s="77"/>
      <c r="JS113" s="77"/>
      <c r="JT113" s="77"/>
      <c r="JU113" s="77"/>
      <c r="JV113" s="77"/>
      <c r="JW113" s="77"/>
      <c r="JX113" s="77"/>
      <c r="LL113" s="77"/>
      <c r="LM113" s="77"/>
      <c r="LN113" s="77"/>
      <c r="LO113" s="77"/>
      <c r="LP113" s="77"/>
      <c r="LQ113" s="77"/>
      <c r="LR113" s="77"/>
      <c r="LS113" s="77"/>
      <c r="LT113" s="77"/>
      <c r="LU113" s="77"/>
      <c r="LV113" s="77"/>
      <c r="LY113" s="77"/>
      <c r="LZ113" s="77"/>
      <c r="MA113" s="77"/>
      <c r="MB113" s="77"/>
      <c r="MC113" s="77"/>
      <c r="MD113" s="77"/>
      <c r="ME113" s="77"/>
      <c r="MF113" s="77"/>
      <c r="MG113" s="77"/>
      <c r="MH113" s="77"/>
      <c r="MI113" s="77"/>
      <c r="MJ113" s="77"/>
      <c r="MK113" s="77"/>
      <c r="ML113" s="77"/>
      <c r="MM113" s="77"/>
      <c r="MN113" s="77"/>
      <c r="MO113" s="77"/>
      <c r="MP113" s="77"/>
      <c r="MQ113" s="77"/>
      <c r="MR113" s="77"/>
      <c r="MS113" s="77"/>
      <c r="MT113" s="77"/>
      <c r="MU113" s="77"/>
      <c r="MV113" s="77"/>
      <c r="MW113" s="77"/>
      <c r="MX113" s="77"/>
      <c r="MY113" s="77"/>
      <c r="MZ113" s="77"/>
      <c r="NA113" s="77"/>
      <c r="NB113" s="77"/>
      <c r="NC113" s="77"/>
    </row>
    <row r="114" spans="1:421" ht="18.600000000000001" customHeight="1" x14ac:dyDescent="0.25">
      <c r="A114" s="119" t="s">
        <v>1437</v>
      </c>
      <c r="B114" s="27" t="s">
        <v>1437</v>
      </c>
      <c r="C114" s="27" t="s">
        <v>1438</v>
      </c>
      <c r="D114" s="30" t="str">
        <f>HYPERLINK("https://twitter.com/ortcomkzE","https://twitter.com/ortcomkzE")</f>
        <v>https://twitter.com/ortcomkzE</v>
      </c>
      <c r="E114" s="30" t="str">
        <f>HYPERLINK("http://twiplomacy.com/info/asia/Kazakhstan","http://twiplomacy.com/info/asia/Kazakhstan")</f>
        <v>http://twiplomacy.com/info/asia/Kazakhstan</v>
      </c>
      <c r="F114" s="10" t="s">
        <v>154</v>
      </c>
      <c r="G114" s="10" t="s">
        <v>224</v>
      </c>
      <c r="H114" s="10" t="s">
        <v>781</v>
      </c>
      <c r="I114" s="10" t="s">
        <v>782</v>
      </c>
      <c r="J114" s="27" t="s">
        <v>789</v>
      </c>
      <c r="K114" s="15" t="s">
        <v>777</v>
      </c>
      <c r="L114" s="10" t="s">
        <v>771</v>
      </c>
      <c r="M114" s="10" t="s">
        <v>770</v>
      </c>
      <c r="N114" s="30" t="str">
        <f>HYPERLINK("https://twitter.com/ortcomkzE/statuses/290055379340103682","https://twitter.com/ortcomkzE/statuses/290055379340103682")</f>
        <v>https://twitter.com/ortcomkzE/statuses/290055379340103682</v>
      </c>
      <c r="O114" s="12" t="s">
        <v>1439</v>
      </c>
      <c r="P114" s="46">
        <v>7</v>
      </c>
      <c r="Q114" s="46">
        <v>0</v>
      </c>
      <c r="R114" s="27" t="s">
        <v>2995</v>
      </c>
      <c r="S114" s="10" t="s">
        <v>1440</v>
      </c>
      <c r="T114" s="10" t="s">
        <v>771</v>
      </c>
      <c r="U114" s="10" t="s">
        <v>771</v>
      </c>
      <c r="V114" s="10" t="s">
        <v>771</v>
      </c>
      <c r="W114" s="10"/>
      <c r="X114" s="27" t="s">
        <v>1437</v>
      </c>
      <c r="Y114" s="27" t="s">
        <v>1437</v>
      </c>
      <c r="Z114" s="80">
        <v>9852</v>
      </c>
      <c r="AA114" s="27">
        <v>193</v>
      </c>
      <c r="AB114" s="80">
        <v>469</v>
      </c>
      <c r="AC114" s="27">
        <v>0</v>
      </c>
      <c r="AD114" s="27" t="s">
        <v>4222</v>
      </c>
      <c r="AE114" s="27">
        <v>927294824</v>
      </c>
      <c r="AF114" s="27" t="s">
        <v>1438</v>
      </c>
      <c r="AG114" s="27"/>
      <c r="AH114" s="79">
        <v>7.7331240188382999</v>
      </c>
      <c r="AI114" s="83">
        <v>9.3633720930232602</v>
      </c>
      <c r="AJ114" s="80">
        <v>7.8236572493014606E-2</v>
      </c>
      <c r="AK114" s="80">
        <v>5.2468177584601101E-2</v>
      </c>
      <c r="AL114" s="27">
        <v>1</v>
      </c>
      <c r="AM114" s="97">
        <f t="shared" si="1"/>
        <v>3.1250000000000001E-4</v>
      </c>
      <c r="AN114" s="27" t="s">
        <v>1437</v>
      </c>
      <c r="AO114" s="27">
        <v>3</v>
      </c>
      <c r="AP114" s="27">
        <v>3</v>
      </c>
      <c r="AQ114" s="27">
        <v>1</v>
      </c>
      <c r="AR114" s="27">
        <f>SUM(AO114:AQ114)</f>
        <v>7</v>
      </c>
      <c r="AS114" s="27" t="s">
        <v>5376</v>
      </c>
      <c r="AT114" s="27" t="s">
        <v>5377</v>
      </c>
      <c r="AU114" s="84" t="s">
        <v>1434</v>
      </c>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7"/>
      <c r="CW114" s="77"/>
      <c r="CX114" s="77"/>
      <c r="CY114" s="77"/>
      <c r="CZ114" s="77"/>
      <c r="DA114" s="77"/>
      <c r="DB114" s="77"/>
      <c r="DC114" s="77"/>
      <c r="DD114" s="77"/>
      <c r="DE114" s="77"/>
      <c r="DF114" s="77"/>
      <c r="DG114" s="77"/>
      <c r="DH114" s="77"/>
      <c r="DI114" s="77"/>
      <c r="DJ114" s="77"/>
      <c r="DK114" s="77"/>
      <c r="DL114" s="77"/>
      <c r="DM114" s="77"/>
      <c r="DN114" s="77"/>
      <c r="DO114" s="77"/>
      <c r="DP114" s="77"/>
      <c r="DQ114" s="77"/>
      <c r="DR114" s="77"/>
      <c r="DS114" s="77"/>
      <c r="DT114" s="77"/>
      <c r="DU114" s="77"/>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7"/>
      <c r="ET114" s="77"/>
      <c r="EU114" s="77"/>
      <c r="EV114" s="77"/>
      <c r="EW114" s="77"/>
      <c r="EX114" s="77"/>
      <c r="EY114" s="77"/>
      <c r="EZ114" s="77"/>
      <c r="FA114" s="77"/>
      <c r="FB114" s="77"/>
      <c r="FC114" s="77"/>
      <c r="FD114" s="77"/>
      <c r="FE114" s="77"/>
      <c r="FF114" s="77"/>
      <c r="FG114" s="77"/>
      <c r="FH114" s="77"/>
      <c r="FI114" s="77"/>
      <c r="FJ114" s="77"/>
      <c r="FK114" s="77"/>
      <c r="FL114" s="77"/>
      <c r="FM114" s="77"/>
      <c r="FN114" s="77"/>
      <c r="FO114" s="77"/>
      <c r="FP114" s="77"/>
      <c r="FQ114" s="77"/>
      <c r="FR114" s="77"/>
      <c r="FS114" s="77"/>
      <c r="FT114" s="77"/>
      <c r="FU114" s="77"/>
      <c r="FV114" s="77"/>
      <c r="FW114" s="77"/>
      <c r="FX114" s="77"/>
      <c r="FY114" s="77"/>
      <c r="FZ114" s="77"/>
      <c r="GA114" s="77"/>
      <c r="GB114" s="77"/>
      <c r="GC114" s="77"/>
      <c r="GD114" s="77"/>
      <c r="GE114" s="77"/>
      <c r="GF114" s="77"/>
      <c r="GG114" s="77"/>
      <c r="GH114" s="77"/>
      <c r="GI114" s="77"/>
      <c r="GJ114" s="77"/>
      <c r="GK114" s="77"/>
      <c r="GL114" s="77"/>
      <c r="GM114" s="77"/>
      <c r="GN114" s="77"/>
      <c r="GO114" s="77"/>
      <c r="GP114" s="77"/>
      <c r="GQ114" s="77"/>
      <c r="GR114" s="77"/>
      <c r="GS114" s="77"/>
      <c r="GT114" s="77"/>
      <c r="GU114" s="77"/>
      <c r="GV114" s="77"/>
      <c r="GW114" s="77"/>
      <c r="GX114" s="77"/>
      <c r="GY114" s="77"/>
      <c r="GZ114" s="77"/>
      <c r="HA114" s="77"/>
      <c r="HB114" s="77"/>
      <c r="HC114" s="77"/>
      <c r="HD114" s="77"/>
      <c r="HE114" s="77"/>
      <c r="HF114" s="77"/>
      <c r="HG114" s="77"/>
      <c r="HH114" s="77"/>
      <c r="HI114" s="77"/>
      <c r="HJ114" s="77"/>
      <c r="HK114" s="77"/>
      <c r="ID114" s="77"/>
      <c r="IE114" s="77"/>
      <c r="IF114" s="77"/>
      <c r="IG114" s="77"/>
      <c r="IH114" s="77"/>
      <c r="II114" s="77"/>
      <c r="IJ114" s="77"/>
      <c r="IK114" s="77"/>
      <c r="IL114" s="77"/>
      <c r="IM114" s="77"/>
      <c r="IN114" s="77"/>
      <c r="IO114" s="77"/>
      <c r="IP114" s="77"/>
      <c r="IQ114" s="77"/>
      <c r="IR114" s="77"/>
      <c r="IS114" s="77"/>
      <c r="IT114" s="77"/>
      <c r="IU114" s="77"/>
      <c r="IV114" s="77"/>
      <c r="IW114" s="77"/>
      <c r="IX114" s="77"/>
      <c r="IY114" s="77"/>
      <c r="IZ114" s="77"/>
      <c r="JA114" s="77"/>
      <c r="JB114" s="77"/>
      <c r="JC114" s="77"/>
      <c r="JD114" s="77"/>
      <c r="JE114" s="77"/>
      <c r="JF114" s="77"/>
      <c r="JG114" s="77"/>
      <c r="JH114" s="77"/>
      <c r="JI114" s="77"/>
      <c r="JJ114" s="77"/>
      <c r="JK114" s="77"/>
      <c r="JL114" s="77"/>
      <c r="JM114" s="77"/>
      <c r="JN114" s="77"/>
      <c r="JO114" s="77"/>
      <c r="JP114" s="77"/>
      <c r="JQ114" s="77"/>
      <c r="JR114" s="77"/>
      <c r="JS114" s="77"/>
      <c r="JT114" s="77"/>
      <c r="JU114" s="77"/>
      <c r="JV114" s="77"/>
      <c r="JW114" s="77"/>
      <c r="JX114" s="77"/>
      <c r="LW114" s="77"/>
      <c r="LX114" s="77"/>
      <c r="LY114" s="77"/>
      <c r="LZ114" s="77"/>
      <c r="MA114" s="77"/>
      <c r="MB114" s="77"/>
      <c r="MC114" s="77"/>
      <c r="MD114" s="77"/>
      <c r="ME114" s="77"/>
      <c r="MF114" s="77"/>
      <c r="MG114" s="77"/>
      <c r="MH114" s="77"/>
      <c r="MI114" s="77"/>
      <c r="MJ114" s="77"/>
      <c r="MK114" s="77"/>
      <c r="ML114" s="77"/>
      <c r="MM114" s="77"/>
      <c r="MN114" s="77"/>
      <c r="MO114" s="77"/>
      <c r="MP114" s="77"/>
      <c r="MQ114" s="77"/>
      <c r="MR114" s="77"/>
      <c r="ND114" s="77"/>
    </row>
    <row r="115" spans="1:421" ht="18.600000000000001" customHeight="1" x14ac:dyDescent="0.25">
      <c r="A115" s="119" t="s">
        <v>2266</v>
      </c>
      <c r="B115" s="27" t="s">
        <v>2267</v>
      </c>
      <c r="C115" s="27" t="s">
        <v>6456</v>
      </c>
      <c r="D115" s="30" t="str">
        <f>HYPERLINK("https://twitter.com/TC_Disisleri","https://twitter.com/TC_Disisleri")</f>
        <v>https://twitter.com/TC_Disisleri</v>
      </c>
      <c r="E115" s="30" t="str">
        <f>HYPERLINK("http://twiplomacy.com/info/europe/Turkey","http://twiplomacy.com/info/europe/Turkey")</f>
        <v>http://twiplomacy.com/info/europe/Turkey</v>
      </c>
      <c r="F115" s="10" t="s">
        <v>332</v>
      </c>
      <c r="G115" s="10" t="s">
        <v>536</v>
      </c>
      <c r="H115" s="10" t="s">
        <v>795</v>
      </c>
      <c r="I115" s="10" t="s">
        <v>782</v>
      </c>
      <c r="J115" s="27" t="s">
        <v>2254</v>
      </c>
      <c r="K115" s="10" t="s">
        <v>777</v>
      </c>
      <c r="L115" s="10" t="s">
        <v>771</v>
      </c>
      <c r="M115" s="10" t="s">
        <v>770</v>
      </c>
      <c r="N115" s="30" t="str">
        <f>HYPERLINK("https://twitter.com/TC_Disisleri/statuses/9677250817","https://twitter.com/TC_Disisleri/statuses/9677250817")</f>
        <v>https://twitter.com/TC_Disisleri/statuses/9677250817</v>
      </c>
      <c r="O115" s="27" t="s">
        <v>6106</v>
      </c>
      <c r="P115" s="80">
        <v>389</v>
      </c>
      <c r="Q115" s="80">
        <v>210</v>
      </c>
      <c r="R115" s="27" t="s">
        <v>2994</v>
      </c>
      <c r="S115" s="10" t="s">
        <v>2268</v>
      </c>
      <c r="T115" s="10" t="s">
        <v>771</v>
      </c>
      <c r="U115" s="10" t="s">
        <v>771</v>
      </c>
      <c r="V115" s="10" t="s">
        <v>771</v>
      </c>
      <c r="W115" s="10"/>
      <c r="X115" s="27" t="s">
        <v>2266</v>
      </c>
      <c r="Y115" s="27" t="s">
        <v>2267</v>
      </c>
      <c r="Z115" s="80">
        <v>9743</v>
      </c>
      <c r="AA115" s="27">
        <v>205</v>
      </c>
      <c r="AB115" s="80">
        <v>1173516</v>
      </c>
      <c r="AC115" s="27">
        <v>0</v>
      </c>
      <c r="AD115" s="27" t="s">
        <v>4514</v>
      </c>
      <c r="AE115" s="27">
        <v>95248383</v>
      </c>
      <c r="AF115" s="27" t="s">
        <v>6456</v>
      </c>
      <c r="AG115" s="27" t="s">
        <v>2269</v>
      </c>
      <c r="AH115" s="79">
        <v>4.1672369546621004</v>
      </c>
      <c r="AI115" s="83">
        <v>3.23523523523524</v>
      </c>
      <c r="AJ115" s="80">
        <v>22.7518438177874</v>
      </c>
      <c r="AK115" s="80">
        <v>17.8893709327549</v>
      </c>
      <c r="AL115" s="27">
        <v>16</v>
      </c>
      <c r="AM115" s="97">
        <f t="shared" si="1"/>
        <v>5.0000000000000001E-3</v>
      </c>
      <c r="AN115" s="27" t="s">
        <v>2266</v>
      </c>
      <c r="AO115" s="27">
        <v>3</v>
      </c>
      <c r="AP115" s="27">
        <v>25</v>
      </c>
      <c r="AQ115" s="27">
        <v>7</v>
      </c>
      <c r="AR115" s="27">
        <f>SUM(AO115:AQ115)</f>
        <v>35</v>
      </c>
      <c r="AS115" s="27" t="s">
        <v>5509</v>
      </c>
      <c r="AT115" s="27" t="s">
        <v>5510</v>
      </c>
      <c r="AU115" s="84" t="s">
        <v>4965</v>
      </c>
      <c r="AV115" s="77"/>
      <c r="AW115" s="77"/>
      <c r="AX115" s="77"/>
      <c r="AY115" s="77"/>
      <c r="AZ115" s="77"/>
      <c r="BA115" s="77"/>
      <c r="BB115" s="77"/>
      <c r="BC115" s="77"/>
      <c r="BD115" s="77"/>
      <c r="BE115" s="77"/>
      <c r="BF115" s="77"/>
      <c r="BG115" s="77"/>
      <c r="BH115" s="77"/>
      <c r="BI115" s="77"/>
      <c r="BJ115" s="77"/>
      <c r="BK115" s="77"/>
      <c r="BL115" s="77"/>
      <c r="BM115" s="77"/>
      <c r="BN115" s="77"/>
      <c r="BO115" s="77"/>
      <c r="BP115" s="77"/>
      <c r="CC115" s="77"/>
      <c r="CD115" s="77"/>
      <c r="CE115" s="77"/>
      <c r="CF115" s="77"/>
      <c r="CG115" s="77"/>
      <c r="CH115" s="77"/>
      <c r="CI115" s="77"/>
      <c r="CJ115" s="77"/>
      <c r="CX115" s="77"/>
      <c r="CY115" s="77"/>
      <c r="CZ115" s="77"/>
      <c r="DA115" s="77"/>
      <c r="DB115" s="77"/>
      <c r="DC115" s="77"/>
      <c r="DD115" s="77"/>
      <c r="DE115" s="77"/>
      <c r="DF115" s="77"/>
      <c r="DG115" s="77"/>
      <c r="DH115" s="77"/>
      <c r="DI115" s="77"/>
      <c r="DJ115" s="77"/>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Q115" s="77"/>
      <c r="ER115" s="77"/>
      <c r="ES115" s="77"/>
      <c r="ET115" s="77"/>
      <c r="EU115" s="77"/>
      <c r="EV115" s="77"/>
      <c r="EW115" s="77"/>
      <c r="EX115" s="77"/>
      <c r="EY115" s="77"/>
      <c r="EZ115" s="77"/>
      <c r="FA115" s="77"/>
      <c r="FB115" s="77"/>
      <c r="FC115" s="77"/>
      <c r="FD115" s="77"/>
      <c r="FE115" s="77"/>
      <c r="FF115" s="77"/>
      <c r="FG115" s="77"/>
      <c r="FH115" s="77"/>
      <c r="FI115" s="77"/>
      <c r="FJ115" s="77"/>
      <c r="FK115" s="77"/>
      <c r="FL115" s="77"/>
      <c r="FM115" s="77"/>
      <c r="FN115" s="77"/>
      <c r="FO115" s="77"/>
      <c r="FP115" s="77"/>
      <c r="FQ115" s="77"/>
      <c r="FR115" s="77"/>
      <c r="FS115" s="77"/>
      <c r="FT115" s="77"/>
      <c r="FU115" s="77"/>
      <c r="FV115" s="77"/>
      <c r="FW115" s="77"/>
      <c r="FX115" s="77"/>
      <c r="FY115" s="77"/>
      <c r="FZ115" s="77"/>
      <c r="GA115" s="77"/>
      <c r="GB115" s="77"/>
      <c r="GC115" s="77"/>
      <c r="GD115" s="77"/>
      <c r="GE115" s="77"/>
      <c r="GF115" s="77"/>
      <c r="GG115" s="77"/>
      <c r="GH115" s="77"/>
      <c r="GI115" s="77"/>
      <c r="GJ115" s="77"/>
      <c r="GK115" s="77"/>
      <c r="GL115" s="77"/>
      <c r="GM115" s="77"/>
      <c r="GN115" s="77"/>
      <c r="GO115" s="77"/>
      <c r="GP115" s="77"/>
      <c r="GQ115" s="77"/>
      <c r="GR115" s="77"/>
      <c r="GS115" s="77"/>
      <c r="GT115" s="77"/>
      <c r="GU115" s="77"/>
      <c r="GV115" s="77"/>
      <c r="GW115" s="77"/>
      <c r="GX115" s="77"/>
      <c r="GY115" s="77"/>
      <c r="GZ115" s="77"/>
      <c r="HA115" s="77"/>
      <c r="HB115" s="77"/>
      <c r="HC115" s="77"/>
      <c r="HD115" s="77"/>
      <c r="HE115" s="77"/>
      <c r="HF115" s="77"/>
      <c r="HG115" s="77"/>
      <c r="HH115" s="77"/>
      <c r="HI115" s="77"/>
      <c r="HJ115" s="77"/>
      <c r="HK115" s="77"/>
      <c r="HL115" s="77"/>
      <c r="HM115" s="77"/>
      <c r="HN115" s="77"/>
      <c r="HO115" s="77"/>
      <c r="HP115" s="77"/>
      <c r="HQ115" s="77"/>
      <c r="HR115" s="77"/>
      <c r="HS115" s="77"/>
      <c r="HT115" s="77"/>
      <c r="HU115" s="77"/>
      <c r="HV115" s="77"/>
      <c r="HW115" s="77"/>
      <c r="HX115" s="77"/>
      <c r="HY115" s="77"/>
      <c r="HZ115" s="77"/>
      <c r="IA115" s="77"/>
      <c r="IB115" s="77"/>
      <c r="IC115" s="77"/>
      <c r="IF115" s="77"/>
      <c r="IG115" s="77"/>
      <c r="IH115" s="77"/>
      <c r="II115" s="77"/>
      <c r="IJ115" s="77"/>
      <c r="IK115" s="77"/>
      <c r="IL115" s="77"/>
      <c r="IM115" s="77"/>
      <c r="IN115" s="77"/>
      <c r="IO115" s="77"/>
      <c r="IP115" s="77"/>
      <c r="IQ115" s="77"/>
      <c r="IR115" s="77"/>
      <c r="IS115" s="77"/>
      <c r="IT115" s="77"/>
      <c r="IU115" s="77"/>
      <c r="IV115" s="77"/>
      <c r="IW115" s="77"/>
      <c r="IX115" s="77"/>
      <c r="IY115" s="77"/>
      <c r="IZ115" s="77"/>
      <c r="JA115" s="77"/>
      <c r="JB115" s="77"/>
      <c r="JC115" s="77"/>
      <c r="JD115" s="77"/>
      <c r="JE115" s="77"/>
      <c r="JF115" s="77"/>
      <c r="JG115" s="77"/>
      <c r="JH115" s="77"/>
      <c r="JI115" s="77"/>
      <c r="JJ115" s="77"/>
      <c r="JK115" s="77"/>
      <c r="JL115" s="77"/>
      <c r="JM115" s="77"/>
      <c r="JN115" s="77"/>
      <c r="JO115" s="77"/>
      <c r="JP115" s="77"/>
      <c r="JQ115" s="77"/>
      <c r="JR115" s="77"/>
      <c r="JS115" s="77"/>
      <c r="JT115" s="77"/>
      <c r="JU115" s="77"/>
      <c r="JV115" s="77"/>
      <c r="JW115" s="77"/>
      <c r="JX115" s="77"/>
      <c r="JY115" s="77"/>
      <c r="JZ115" s="77"/>
      <c r="KA115" s="77"/>
      <c r="KB115" s="77"/>
      <c r="KC115" s="77"/>
      <c r="KD115" s="77"/>
      <c r="KE115" s="77"/>
      <c r="KF115" s="77"/>
      <c r="KG115" s="77"/>
      <c r="KH115" s="77"/>
      <c r="KI115" s="77"/>
      <c r="KJ115" s="77"/>
      <c r="KK115" s="77"/>
      <c r="KL115" s="77"/>
      <c r="LL115" s="77"/>
      <c r="LM115" s="77"/>
      <c r="LN115" s="77"/>
      <c r="LO115" s="77"/>
      <c r="LP115" s="77"/>
      <c r="LQ115" s="77"/>
      <c r="LR115" s="77"/>
      <c r="LS115" s="77"/>
      <c r="LT115" s="77"/>
      <c r="LU115" s="77"/>
      <c r="LV115" s="77"/>
      <c r="LW115" s="77"/>
      <c r="LX115" s="77"/>
    </row>
    <row r="116" spans="1:421" ht="18.600000000000001" customHeight="1" x14ac:dyDescent="0.25">
      <c r="A116" s="119" t="s">
        <v>644</v>
      </c>
      <c r="B116" s="27" t="s">
        <v>2627</v>
      </c>
      <c r="C116" s="27" t="s">
        <v>4542</v>
      </c>
      <c r="D116" s="30" t="str">
        <f>HYPERLINK("https://twitter.com/TurnbullMalcolm","https://twitter.com/TurnbullMalcolm")</f>
        <v>https://twitter.com/TurnbullMalcolm</v>
      </c>
      <c r="E116" s="30" t="str">
        <f>HYPERLINK("http://twiplomacy.com/info/north-america/Australia","http://twiplomacy.com/info/north-america/Australia")</f>
        <v>http://twiplomacy.com/info/north-america/Australia</v>
      </c>
      <c r="F116" s="10" t="s">
        <v>643</v>
      </c>
      <c r="G116" s="10" t="s">
        <v>642</v>
      </c>
      <c r="H116" s="10" t="s">
        <v>776</v>
      </c>
      <c r="I116" s="10" t="s">
        <v>773</v>
      </c>
      <c r="J116" s="27" t="s">
        <v>789</v>
      </c>
      <c r="K116" s="15" t="s">
        <v>777</v>
      </c>
      <c r="L116" s="10"/>
      <c r="M116" s="10" t="s">
        <v>770</v>
      </c>
      <c r="N116" s="30" t="s">
        <v>3128</v>
      </c>
      <c r="O116" s="27" t="s">
        <v>3158</v>
      </c>
      <c r="P116" s="80">
        <v>1641</v>
      </c>
      <c r="Q116" s="80">
        <v>2060</v>
      </c>
      <c r="R116" s="27" t="s">
        <v>2994</v>
      </c>
      <c r="S116" s="12" t="s">
        <v>3099</v>
      </c>
      <c r="T116" s="10">
        <v>2</v>
      </c>
      <c r="U116" s="10">
        <v>2</v>
      </c>
      <c r="V116" s="10" t="s">
        <v>771</v>
      </c>
      <c r="W116" s="10"/>
      <c r="X116" s="27" t="s">
        <v>644</v>
      </c>
      <c r="Y116" s="27" t="s">
        <v>2627</v>
      </c>
      <c r="Z116" s="80">
        <v>9663</v>
      </c>
      <c r="AA116" s="27">
        <v>4512</v>
      </c>
      <c r="AB116" s="80">
        <v>606823</v>
      </c>
      <c r="AC116" s="27">
        <v>76</v>
      </c>
      <c r="AD116" s="27" t="s">
        <v>4543</v>
      </c>
      <c r="AE116" s="27">
        <v>16734909</v>
      </c>
      <c r="AF116" s="27" t="s">
        <v>4542</v>
      </c>
      <c r="AG116" s="27" t="s">
        <v>4544</v>
      </c>
      <c r="AH116" s="79">
        <v>3.5048966267682302</v>
      </c>
      <c r="AI116" s="83">
        <v>2.90224215246637</v>
      </c>
      <c r="AJ116" s="80">
        <v>22.2703016241299</v>
      </c>
      <c r="AK116" s="80">
        <v>30.479118329466399</v>
      </c>
      <c r="AL116" s="96">
        <v>879</v>
      </c>
      <c r="AM116" s="97">
        <f t="shared" si="1"/>
        <v>0.27468749999999997</v>
      </c>
      <c r="AN116" s="27" t="s">
        <v>644</v>
      </c>
      <c r="AO116" s="27">
        <v>5</v>
      </c>
      <c r="AP116" s="27">
        <v>14</v>
      </c>
      <c r="AQ116" s="27">
        <v>4</v>
      </c>
      <c r="AR116" s="27">
        <f>SUM(AO116:AQ116)</f>
        <v>23</v>
      </c>
      <c r="AS116" s="27" t="s">
        <v>5528</v>
      </c>
      <c r="AT116" s="27" t="s">
        <v>5529</v>
      </c>
      <c r="AU116" s="84" t="s">
        <v>4974</v>
      </c>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7"/>
      <c r="DV116" s="77"/>
      <c r="DW116" s="77"/>
      <c r="DX116" s="77"/>
      <c r="DY116" s="77"/>
      <c r="DZ116" s="77"/>
      <c r="EA116" s="77"/>
      <c r="EB116" s="77"/>
      <c r="EC116" s="77"/>
      <c r="ED116" s="77"/>
      <c r="EE116" s="77"/>
      <c r="EF116" s="77"/>
      <c r="EG116" s="77"/>
      <c r="EH116" s="77"/>
      <c r="EI116" s="77"/>
      <c r="EJ116" s="77"/>
      <c r="EK116" s="77"/>
      <c r="EL116" s="77"/>
      <c r="EM116" s="77"/>
      <c r="EN116" s="77"/>
      <c r="EO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c r="FL116" s="77"/>
      <c r="FM116" s="77"/>
      <c r="FN116" s="77"/>
      <c r="FO116" s="77"/>
      <c r="FP116" s="77"/>
      <c r="FQ116" s="77"/>
      <c r="FR116" s="77"/>
      <c r="FS116" s="77"/>
      <c r="FT116" s="77"/>
      <c r="FU116" s="77"/>
      <c r="FV116" s="77"/>
      <c r="FW116" s="77"/>
      <c r="FX116" s="77"/>
      <c r="FY116" s="77"/>
      <c r="FZ116" s="77"/>
      <c r="GA116" s="77"/>
      <c r="GB116" s="77"/>
      <c r="GC116" s="77"/>
      <c r="GD116" s="77"/>
      <c r="GE116" s="77"/>
      <c r="GF116" s="77"/>
      <c r="GG116" s="77"/>
      <c r="GH116" s="77"/>
      <c r="GI116" s="77"/>
      <c r="GJ116" s="77"/>
      <c r="GK116" s="77"/>
      <c r="GL116" s="77"/>
      <c r="GM116" s="77"/>
      <c r="GN116" s="77"/>
      <c r="GO116" s="77"/>
      <c r="GP116" s="77"/>
      <c r="GQ116" s="77"/>
      <c r="GR116" s="77"/>
      <c r="GS116" s="77"/>
      <c r="GT116" s="77"/>
      <c r="GU116" s="77"/>
      <c r="GV116" s="77"/>
      <c r="GW116" s="77"/>
      <c r="GX116" s="77"/>
      <c r="GY116" s="77"/>
      <c r="GZ116" s="77"/>
      <c r="HA116" s="77"/>
      <c r="HB116" s="77"/>
      <c r="HC116" s="77"/>
      <c r="HD116" s="77"/>
      <c r="HE116" s="77"/>
      <c r="HF116" s="77"/>
      <c r="HG116" s="77"/>
      <c r="HH116" s="77"/>
      <c r="HI116" s="77"/>
      <c r="HJ116" s="77"/>
      <c r="HK116" s="77"/>
      <c r="HL116" s="77"/>
      <c r="HM116" s="77"/>
      <c r="HN116" s="77"/>
      <c r="HO116" s="77"/>
      <c r="HP116" s="77"/>
      <c r="HQ116" s="77"/>
      <c r="HR116" s="77"/>
      <c r="HS116" s="77"/>
      <c r="HT116" s="77"/>
      <c r="HU116" s="77"/>
      <c r="HV116" s="77"/>
      <c r="HW116" s="77"/>
      <c r="HX116" s="77"/>
      <c r="HY116" s="77"/>
      <c r="HZ116" s="77"/>
      <c r="IA116" s="77"/>
      <c r="IB116" s="77"/>
      <c r="IC116" s="77"/>
      <c r="ID116" s="77"/>
      <c r="IE116" s="77"/>
      <c r="IF116" s="77"/>
      <c r="IG116" s="77"/>
      <c r="IH116" s="77"/>
      <c r="II116" s="77"/>
      <c r="IJ116" s="77"/>
      <c r="IK116" s="77"/>
      <c r="IL116" s="77"/>
      <c r="IM116" s="77"/>
      <c r="IN116" s="77"/>
      <c r="IO116" s="77"/>
      <c r="IP116" s="77"/>
      <c r="IQ116" s="77"/>
      <c r="IR116" s="77"/>
      <c r="IS116" s="77"/>
      <c r="IT116" s="77"/>
      <c r="IU116" s="77"/>
      <c r="IV116" s="77"/>
      <c r="IW116" s="77"/>
      <c r="IX116" s="77"/>
      <c r="IY116" s="77"/>
      <c r="IZ116" s="77"/>
      <c r="JA116" s="77"/>
      <c r="JB116" s="77"/>
      <c r="JC116" s="77"/>
      <c r="JD116" s="77"/>
      <c r="JE116" s="77"/>
      <c r="JF116" s="77"/>
      <c r="JG116" s="77"/>
      <c r="JH116" s="77"/>
      <c r="JI116" s="77"/>
      <c r="JJ116" s="77"/>
      <c r="JK116" s="77"/>
      <c r="JL116" s="77"/>
      <c r="JM116" s="77"/>
      <c r="JN116" s="77"/>
      <c r="JO116" s="77"/>
      <c r="JP116" s="77"/>
      <c r="JQ116" s="77"/>
      <c r="JR116" s="77"/>
      <c r="JS116" s="77"/>
      <c r="JT116" s="77"/>
      <c r="JU116" s="77"/>
      <c r="JV116" s="77"/>
      <c r="JW116" s="77"/>
      <c r="JX116" s="77"/>
      <c r="LL116" s="77"/>
      <c r="LM116" s="77"/>
      <c r="LN116" s="77"/>
      <c r="LO116" s="77"/>
      <c r="LP116" s="77"/>
      <c r="LQ116" s="77"/>
      <c r="LR116" s="77"/>
      <c r="LS116" s="77"/>
      <c r="LT116" s="77"/>
      <c r="LU116" s="77"/>
      <c r="LV116" s="77"/>
      <c r="ND116" s="77"/>
    </row>
    <row r="117" spans="1:421" ht="18.600000000000001" customHeight="1" x14ac:dyDescent="0.25">
      <c r="A117" s="119" t="s">
        <v>431</v>
      </c>
      <c r="B117" s="27" t="s">
        <v>1988</v>
      </c>
      <c r="C117" s="27" t="s">
        <v>1989</v>
      </c>
      <c r="D117" s="30" t="str">
        <f>HYPERLINK("https://twitter.com/Brivibas36","https://twitter.com/Brivibas36")</f>
        <v>https://twitter.com/Brivibas36</v>
      </c>
      <c r="E117" s="30" t="str">
        <f>HYPERLINK("http://twiplomacy.com/info/europe/Latvia","http://twiplomacy.com/info/europe/Latvia")</f>
        <v>http://twiplomacy.com/info/europe/Latvia</v>
      </c>
      <c r="F117" s="10" t="s">
        <v>332</v>
      </c>
      <c r="G117" s="10" t="s">
        <v>428</v>
      </c>
      <c r="H117" s="10" t="s">
        <v>788</v>
      </c>
      <c r="I117" s="10" t="s">
        <v>782</v>
      </c>
      <c r="J117" s="27" t="s">
        <v>789</v>
      </c>
      <c r="K117" s="15" t="s">
        <v>777</v>
      </c>
      <c r="L117" s="10" t="s">
        <v>771</v>
      </c>
      <c r="M117" s="10" t="s">
        <v>770</v>
      </c>
      <c r="N117" s="30" t="str">
        <f>HYPERLINK("https://twitter.com/Brivibas36/statuses/2074162215","https://twitter.com/Brivibas36/statuses/2074162215")</f>
        <v>https://twitter.com/Brivibas36/statuses/2074162215</v>
      </c>
      <c r="O117" s="30" t="str">
        <f>HYPERLINK("https://twitter.com/Brivibas36/statuses/403833744600993792","https://twitter.com/Brivibas36/statuses/403833744600993792")</f>
        <v>https://twitter.com/Brivibas36/statuses/403833744600993792</v>
      </c>
      <c r="P117" s="46">
        <v>428</v>
      </c>
      <c r="Q117" s="46">
        <v>71</v>
      </c>
      <c r="R117" s="27" t="s">
        <v>2994</v>
      </c>
      <c r="S117" s="30" t="str">
        <f>HYPERLINK("https://twitter.com/Brivibas36/lists","https://twitter.com/Brivibas36/lists")</f>
        <v>https://twitter.com/Brivibas36/lists</v>
      </c>
      <c r="T117" s="10">
        <v>3</v>
      </c>
      <c r="U117" s="10">
        <v>3</v>
      </c>
      <c r="V117" s="10" t="s">
        <v>771</v>
      </c>
      <c r="W117" s="10"/>
      <c r="X117" s="27" t="s">
        <v>431</v>
      </c>
      <c r="Y117" s="27" t="s">
        <v>1988</v>
      </c>
      <c r="Z117" s="80">
        <v>9636</v>
      </c>
      <c r="AA117" s="27">
        <v>1451</v>
      </c>
      <c r="AB117" s="80">
        <v>11956</v>
      </c>
      <c r="AC117" s="27">
        <v>749</v>
      </c>
      <c r="AD117" s="27" t="s">
        <v>3528</v>
      </c>
      <c r="AE117" s="27">
        <v>45522221</v>
      </c>
      <c r="AF117" s="27" t="s">
        <v>1989</v>
      </c>
      <c r="AG117" s="27" t="s">
        <v>1990</v>
      </c>
      <c r="AH117" s="79">
        <v>3.8230860769535902</v>
      </c>
      <c r="AI117" s="83">
        <v>4.9846153846153802</v>
      </c>
      <c r="AJ117" s="80">
        <v>2.0059469350411701</v>
      </c>
      <c r="AK117" s="80">
        <v>1.38197621225984</v>
      </c>
      <c r="AL117" s="27">
        <v>139</v>
      </c>
      <c r="AM117" s="97">
        <f t="shared" si="1"/>
        <v>4.3437499999999997E-2</v>
      </c>
      <c r="AN117" s="27" t="s">
        <v>431</v>
      </c>
      <c r="AO117" s="27">
        <v>26</v>
      </c>
      <c r="AP117" s="27">
        <v>9</v>
      </c>
      <c r="AQ117" s="27">
        <v>14</v>
      </c>
      <c r="AR117" s="27">
        <f>SUM(AO117:AQ117)</f>
        <v>49</v>
      </c>
      <c r="AS117" s="27" t="s">
        <v>6201</v>
      </c>
      <c r="AT117" s="27" t="s">
        <v>6683</v>
      </c>
      <c r="AU117" s="84" t="s">
        <v>4666</v>
      </c>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EP117" s="77"/>
      <c r="GL117" s="77"/>
      <c r="GM117" s="77"/>
      <c r="GN117" s="77"/>
      <c r="GO117" s="77"/>
      <c r="GP117" s="77"/>
      <c r="GQ117" s="77"/>
      <c r="GR117" s="77"/>
      <c r="GS117" s="77"/>
      <c r="GT117" s="77"/>
      <c r="GU117" s="77"/>
      <c r="GV117" s="77"/>
      <c r="GW117" s="77"/>
      <c r="GX117" s="77"/>
      <c r="GY117" s="77"/>
      <c r="GZ117" s="77"/>
      <c r="HA117" s="77"/>
      <c r="HB117" s="77"/>
      <c r="HC117" s="77"/>
      <c r="HD117" s="77"/>
      <c r="HE117" s="77"/>
      <c r="HF117" s="77"/>
      <c r="HG117" s="77"/>
      <c r="HH117" s="77"/>
      <c r="HI117" s="77"/>
      <c r="HJ117" s="77"/>
      <c r="HK117" s="77"/>
      <c r="HL117" s="77"/>
      <c r="HM117" s="77"/>
      <c r="HN117" s="77"/>
      <c r="HO117" s="77"/>
      <c r="HP117" s="77"/>
      <c r="HQ117" s="77"/>
      <c r="HR117" s="77"/>
      <c r="HS117" s="77"/>
      <c r="HT117" s="77"/>
      <c r="HU117" s="77"/>
      <c r="HV117" s="77"/>
      <c r="HW117" s="77"/>
      <c r="HX117" s="77"/>
      <c r="HY117" s="77"/>
      <c r="HZ117" s="77"/>
      <c r="IA117" s="77"/>
      <c r="IB117" s="77"/>
      <c r="IC117" s="77"/>
      <c r="JY117" s="16"/>
      <c r="JZ117" s="16"/>
      <c r="KA117" s="16"/>
      <c r="KB117" s="16"/>
      <c r="KC117" s="16"/>
      <c r="KD117" s="16"/>
      <c r="KE117" s="16"/>
      <c r="KF117" s="16"/>
      <c r="KG117" s="16"/>
      <c r="KH117" s="16"/>
      <c r="KI117" s="16"/>
      <c r="KJ117" s="16"/>
      <c r="KK117" s="16"/>
      <c r="KL117" s="16"/>
      <c r="LL117" s="77"/>
      <c r="LM117" s="77"/>
      <c r="LN117" s="77"/>
      <c r="LO117" s="77"/>
      <c r="LP117" s="77"/>
      <c r="LQ117" s="77"/>
      <c r="LR117" s="77"/>
      <c r="LS117" s="77"/>
      <c r="LT117" s="77"/>
      <c r="LU117" s="77"/>
      <c r="LV117" s="77"/>
      <c r="LY117" s="77"/>
      <c r="LZ117" s="77"/>
      <c r="MA117" s="77"/>
      <c r="MB117" s="77"/>
      <c r="MC117" s="77"/>
      <c r="MD117" s="77"/>
      <c r="ME117" s="77"/>
      <c r="MF117" s="77"/>
      <c r="MG117" s="77"/>
      <c r="MH117" s="77"/>
      <c r="MI117" s="77"/>
      <c r="MJ117" s="77"/>
      <c r="MK117" s="77"/>
      <c r="ML117" s="77"/>
      <c r="MM117" s="77"/>
      <c r="MN117" s="77"/>
      <c r="MO117" s="77"/>
      <c r="MP117" s="77"/>
      <c r="MQ117" s="77"/>
      <c r="MR117" s="77"/>
      <c r="MS117" s="16"/>
    </row>
    <row r="118" spans="1:421" ht="18.600000000000001" customHeight="1" x14ac:dyDescent="0.25">
      <c r="A118" s="119" t="s">
        <v>240</v>
      </c>
      <c r="B118" s="27" t="s">
        <v>1462</v>
      </c>
      <c r="C118" s="27" t="s">
        <v>1463</v>
      </c>
      <c r="D118" s="30" t="str">
        <f>HYPERLINK("https://twitter.com/NajibRazak","https://twitter.com/NajibRazak")</f>
        <v>https://twitter.com/NajibRazak</v>
      </c>
      <c r="E118" s="30" t="str">
        <f>HYPERLINK("http://twiplomacy.com/info/asia/Malaysia","http://twiplomacy.com/info/asia/Malaysia")</f>
        <v>http://twiplomacy.com/info/asia/Malaysia</v>
      </c>
      <c r="F118" s="10" t="s">
        <v>154</v>
      </c>
      <c r="G118" s="10" t="s">
        <v>239</v>
      </c>
      <c r="H118" s="10" t="s">
        <v>776</v>
      </c>
      <c r="I118" s="10" t="s">
        <v>773</v>
      </c>
      <c r="J118" s="27" t="s">
        <v>789</v>
      </c>
      <c r="K118" s="15" t="s">
        <v>777</v>
      </c>
      <c r="L118" s="10" t="s">
        <v>905</v>
      </c>
      <c r="M118" s="10" t="s">
        <v>770</v>
      </c>
      <c r="N118" s="30" t="str">
        <f>HYPERLINK("https://twitter.com/najibrazak/statuses/931653995","https://twitter.com/najibrazak/statuses/931653995")</f>
        <v>https://twitter.com/najibrazak/statuses/931653995</v>
      </c>
      <c r="O118" s="12" t="str">
        <f>HYPERLINK("https://twitter.com/NajibRazak/statuses/448097839541784577","https://twitter.com/NajibRazak/statuses/448097839541784577")</f>
        <v>https://twitter.com/NajibRazak/statuses/448097839541784577</v>
      </c>
      <c r="P118" s="46">
        <v>32980</v>
      </c>
      <c r="Q118" s="46">
        <v>4187</v>
      </c>
      <c r="R118" s="27" t="s">
        <v>2994</v>
      </c>
      <c r="S118" s="30" t="str">
        <f>HYPERLINK("https://twitter.com/NajibRazak/lists","https://twitter.com/NajibRazak/lists")</f>
        <v>https://twitter.com/NajibRazak/lists</v>
      </c>
      <c r="T118" s="10">
        <v>4</v>
      </c>
      <c r="U118" s="10" t="s">
        <v>771</v>
      </c>
      <c r="V118" s="10" t="s">
        <v>771</v>
      </c>
      <c r="W118" s="10"/>
      <c r="X118" s="27" t="s">
        <v>240</v>
      </c>
      <c r="Y118" s="27" t="s">
        <v>1462</v>
      </c>
      <c r="Z118" s="80">
        <v>9562</v>
      </c>
      <c r="AA118" s="27">
        <v>155</v>
      </c>
      <c r="AB118" s="80">
        <v>2697512</v>
      </c>
      <c r="AC118" s="27">
        <v>39</v>
      </c>
      <c r="AD118" s="27" t="s">
        <v>4181</v>
      </c>
      <c r="AE118" s="27">
        <v>16389180</v>
      </c>
      <c r="AF118" s="27" t="s">
        <v>1463</v>
      </c>
      <c r="AG118" s="27" t="s">
        <v>239</v>
      </c>
      <c r="AH118" s="79">
        <v>3.4395683453237398</v>
      </c>
      <c r="AI118" s="83">
        <v>4.1472868217054302</v>
      </c>
      <c r="AJ118" s="80">
        <v>322.11279826464198</v>
      </c>
      <c r="AK118" s="80">
        <v>219.05169920462799</v>
      </c>
      <c r="AL118" s="27">
        <v>24</v>
      </c>
      <c r="AM118" s="97">
        <f t="shared" si="1"/>
        <v>7.4999999999999997E-3</v>
      </c>
      <c r="AN118" s="27" t="s">
        <v>240</v>
      </c>
      <c r="AO118" s="27">
        <v>5</v>
      </c>
      <c r="AP118" s="27">
        <v>39</v>
      </c>
      <c r="AQ118" s="27">
        <v>7</v>
      </c>
      <c r="AR118" s="27">
        <f>SUM(AO118:AQ118)</f>
        <v>51</v>
      </c>
      <c r="AS118" s="27" t="s">
        <v>5357</v>
      </c>
      <c r="AT118" s="27" t="s">
        <v>5358</v>
      </c>
      <c r="AU118" s="84" t="s">
        <v>4877</v>
      </c>
      <c r="AV118" s="77"/>
      <c r="AW118" s="77"/>
      <c r="AX118" s="77"/>
      <c r="AY118" s="77"/>
      <c r="AZ118" s="77"/>
      <c r="BA118" s="77"/>
      <c r="BB118" s="77"/>
      <c r="BC118" s="77"/>
      <c r="BD118" s="77"/>
      <c r="BE118" s="77"/>
      <c r="BF118" s="77"/>
      <c r="BG118" s="77"/>
      <c r="BH118" s="77"/>
      <c r="BI118" s="77"/>
      <c r="BJ118" s="77"/>
      <c r="BK118" s="77"/>
      <c r="BL118" s="77"/>
      <c r="BM118" s="77"/>
      <c r="BN118" s="71"/>
      <c r="BO118" s="71"/>
      <c r="BP118" s="71"/>
      <c r="BQ118" s="71"/>
      <c r="BR118" s="71"/>
      <c r="BS118" s="71"/>
      <c r="BT118" s="71"/>
      <c r="BU118" s="71"/>
      <c r="BV118" s="71"/>
      <c r="BW118" s="71"/>
      <c r="BX118" s="71"/>
      <c r="BY118" s="71"/>
      <c r="BZ118" s="71"/>
      <c r="CA118" s="71"/>
      <c r="CB118" s="71"/>
      <c r="CC118" s="77"/>
      <c r="CD118" s="77"/>
      <c r="CE118" s="77"/>
      <c r="CF118" s="77"/>
      <c r="CG118" s="77"/>
      <c r="CH118" s="77"/>
      <c r="CI118" s="77"/>
      <c r="CJ118" s="77"/>
      <c r="CK118" s="77"/>
      <c r="CL118" s="77"/>
      <c r="CM118" s="77"/>
      <c r="CN118" s="77"/>
      <c r="CO118" s="77"/>
      <c r="CP118" s="77"/>
      <c r="CQ118" s="77"/>
      <c r="CR118" s="77"/>
      <c r="CS118" s="77"/>
      <c r="CT118" s="77"/>
      <c r="CU118" s="77"/>
      <c r="CV118" s="77"/>
      <c r="CW118" s="77"/>
      <c r="EM118" s="77"/>
      <c r="EN118" s="77"/>
      <c r="EO118" s="77"/>
      <c r="EP118" s="16"/>
      <c r="EQ118" s="77"/>
      <c r="GL118" s="77"/>
      <c r="GM118" s="77"/>
      <c r="GN118" s="77"/>
      <c r="GO118" s="77"/>
      <c r="GP118" s="77"/>
      <c r="GQ118" s="77"/>
      <c r="GR118" s="77"/>
      <c r="GS118" s="77"/>
      <c r="GT118" s="77"/>
      <c r="GU118" s="77"/>
      <c r="GV118" s="77"/>
      <c r="GW118" s="77"/>
      <c r="GX118" s="77"/>
      <c r="GY118" s="77"/>
      <c r="GZ118" s="77"/>
      <c r="HA118" s="77"/>
      <c r="HB118" s="77"/>
      <c r="HC118" s="77"/>
      <c r="HD118" s="77"/>
      <c r="HE118" s="77"/>
      <c r="HF118" s="77"/>
      <c r="HG118" s="77"/>
      <c r="HH118" s="77"/>
      <c r="HI118" s="77"/>
      <c r="HJ118" s="77"/>
      <c r="HK118" s="77"/>
      <c r="HL118" s="77"/>
      <c r="HM118" s="77"/>
      <c r="HN118" s="77"/>
      <c r="HO118" s="77"/>
      <c r="HP118" s="77"/>
      <c r="HQ118" s="77"/>
      <c r="HR118" s="77"/>
      <c r="HS118" s="77"/>
      <c r="HT118" s="77"/>
      <c r="HU118" s="77"/>
      <c r="HV118" s="77"/>
      <c r="HW118" s="77"/>
      <c r="HX118" s="77"/>
      <c r="HY118" s="77"/>
      <c r="HZ118" s="77"/>
      <c r="IA118" s="77"/>
      <c r="IB118" s="77"/>
      <c r="IC118" s="77"/>
      <c r="IF118" s="77"/>
      <c r="IG118" s="77"/>
      <c r="IH118" s="77"/>
      <c r="II118" s="77"/>
      <c r="IJ118" s="77"/>
      <c r="IK118" s="77"/>
      <c r="IL118" s="77"/>
      <c r="IM118" s="77"/>
      <c r="IN118" s="77"/>
      <c r="IO118" s="77"/>
      <c r="IP118" s="77"/>
      <c r="IQ118" s="77"/>
      <c r="IR118" s="77"/>
      <c r="IS118" s="77"/>
      <c r="IT118" s="77"/>
      <c r="IU118" s="77"/>
      <c r="IV118" s="77"/>
      <c r="IW118" s="77"/>
      <c r="IX118" s="77"/>
      <c r="IY118" s="77"/>
      <c r="IZ118" s="77"/>
      <c r="JA118" s="77"/>
      <c r="JB118" s="77"/>
      <c r="JC118" s="77"/>
      <c r="JD118" s="77"/>
      <c r="JE118" s="77"/>
      <c r="JF118" s="77"/>
      <c r="JG118" s="77"/>
      <c r="JH118" s="77"/>
      <c r="JI118" s="77"/>
      <c r="JJ118" s="77"/>
      <c r="JK118" s="77"/>
      <c r="JL118" s="77"/>
      <c r="JM118" s="77"/>
      <c r="JN118" s="77"/>
      <c r="JO118" s="77"/>
      <c r="JP118" s="77"/>
      <c r="JQ118" s="77"/>
      <c r="JR118" s="77"/>
      <c r="JS118" s="77"/>
      <c r="JT118" s="77"/>
      <c r="JU118" s="77"/>
      <c r="JV118" s="77"/>
      <c r="JW118" s="77"/>
      <c r="JX118" s="77"/>
      <c r="KM118" s="77"/>
      <c r="KN118" s="77"/>
      <c r="KO118" s="77"/>
      <c r="KP118" s="77"/>
      <c r="KQ118" s="77"/>
      <c r="KR118" s="77"/>
      <c r="KS118" s="77"/>
      <c r="KT118" s="77"/>
      <c r="KU118" s="77"/>
      <c r="KV118" s="77"/>
      <c r="KW118" s="77"/>
      <c r="KX118" s="77"/>
      <c r="KY118" s="77"/>
      <c r="KZ118" s="77"/>
      <c r="LA118" s="77"/>
      <c r="LB118" s="77"/>
      <c r="LC118" s="77"/>
      <c r="LD118" s="77"/>
      <c r="LE118" s="77"/>
      <c r="LF118" s="77"/>
      <c r="LG118" s="77"/>
      <c r="LH118" s="77"/>
      <c r="LI118" s="77"/>
      <c r="LJ118" s="77"/>
      <c r="LK118" s="77"/>
      <c r="LY118" s="77"/>
      <c r="LZ118" s="77"/>
      <c r="MA118" s="77"/>
      <c r="MB118" s="77"/>
      <c r="MC118" s="77"/>
      <c r="MD118" s="77"/>
      <c r="ME118" s="77"/>
      <c r="MF118" s="77"/>
      <c r="MG118" s="77"/>
      <c r="MH118" s="77"/>
      <c r="MI118" s="77"/>
      <c r="MJ118" s="77"/>
      <c r="MK118" s="77"/>
      <c r="ML118" s="77"/>
      <c r="MM118" s="77"/>
      <c r="MN118" s="77"/>
      <c r="MO118" s="77"/>
      <c r="MP118" s="77"/>
      <c r="MQ118" s="77"/>
      <c r="MR118" s="77"/>
    </row>
    <row r="119" spans="1:421" ht="18.600000000000001" customHeight="1" x14ac:dyDescent="0.25">
      <c r="A119" s="119" t="s">
        <v>422</v>
      </c>
      <c r="B119" s="27" t="s">
        <v>1962</v>
      </c>
      <c r="C119" s="27" t="s">
        <v>1963</v>
      </c>
      <c r="D119" s="30" t="str">
        <f>HYPERLINK("https://twitter.com/dfatirl","https://twitter.com/dfatirl")</f>
        <v>https://twitter.com/dfatirl</v>
      </c>
      <c r="E119" s="30" t="str">
        <f>HYPERLINK("http://twiplomacy.com/info/europe/Ireland","http://twiplomacy.com/info/europe/Ireland")</f>
        <v>http://twiplomacy.com/info/europe/Ireland</v>
      </c>
      <c r="F119" s="10" t="s">
        <v>332</v>
      </c>
      <c r="G119" s="10" t="s">
        <v>416</v>
      </c>
      <c r="H119" s="10" t="s">
        <v>795</v>
      </c>
      <c r="I119" s="10" t="s">
        <v>782</v>
      </c>
      <c r="J119" s="27" t="s">
        <v>789</v>
      </c>
      <c r="K119" s="15" t="s">
        <v>777</v>
      </c>
      <c r="L119" s="10" t="s">
        <v>771</v>
      </c>
      <c r="M119" s="10" t="s">
        <v>770</v>
      </c>
      <c r="N119" s="30" t="str">
        <f>HYPERLINK("https://twitter.com/dfatirl/statuses/111403102451679232","https://twitter.com/dfatirl/statuses/111403102451679232")</f>
        <v>https://twitter.com/dfatirl/statuses/111403102451679232</v>
      </c>
      <c r="O119" s="27" t="s">
        <v>5798</v>
      </c>
      <c r="P119" s="80">
        <v>1132</v>
      </c>
      <c r="Q119" s="80">
        <v>523</v>
      </c>
      <c r="R119" s="27" t="s">
        <v>2994</v>
      </c>
      <c r="S119" s="30" t="str">
        <f>HYPERLINK("https://twitter.com/dfatirl/lists","https://twitter.com/dfatirl/lists")</f>
        <v>https://twitter.com/dfatirl/lists</v>
      </c>
      <c r="T119" s="10">
        <v>2</v>
      </c>
      <c r="U119" s="10" t="s">
        <v>771</v>
      </c>
      <c r="V119" s="30" t="str">
        <f>HYPERLINK("https://twitter.com/dfatirl/dfat-twitter-accounts/members","https://twitter.com/dfatirl/dfat-twitter-accounts/members")</f>
        <v>https://twitter.com/dfatirl/dfat-twitter-accounts/members</v>
      </c>
      <c r="W119" s="10">
        <v>85</v>
      </c>
      <c r="X119" s="27" t="s">
        <v>422</v>
      </c>
      <c r="Y119" s="27" t="s">
        <v>1962</v>
      </c>
      <c r="Z119" s="80">
        <v>9476</v>
      </c>
      <c r="AA119" s="27">
        <v>607</v>
      </c>
      <c r="AB119" s="80">
        <v>24320</v>
      </c>
      <c r="AC119" s="27">
        <v>536</v>
      </c>
      <c r="AD119" s="27" t="s">
        <v>3609</v>
      </c>
      <c r="AE119" s="27">
        <v>364198635</v>
      </c>
      <c r="AF119" s="27" t="s">
        <v>1963</v>
      </c>
      <c r="AG119" s="27" t="s">
        <v>1964</v>
      </c>
      <c r="AH119" s="79">
        <v>5.5480093676814999</v>
      </c>
      <c r="AI119" s="83">
        <v>7.20444444444444</v>
      </c>
      <c r="AJ119" s="80">
        <v>10.8560426540284</v>
      </c>
      <c r="AK119" s="80">
        <v>6.8483412322274901</v>
      </c>
      <c r="AL119" s="27">
        <v>103</v>
      </c>
      <c r="AM119" s="97">
        <f t="shared" si="1"/>
        <v>3.2187500000000001E-2</v>
      </c>
      <c r="AN119" s="27" t="s">
        <v>422</v>
      </c>
      <c r="AO119" s="27">
        <v>14</v>
      </c>
      <c r="AP119" s="27">
        <v>61</v>
      </c>
      <c r="AQ119" s="27">
        <v>25</v>
      </c>
      <c r="AR119" s="27">
        <f>SUM(AO119:AQ119)</f>
        <v>100</v>
      </c>
      <c r="AS119" s="27" t="s">
        <v>6207</v>
      </c>
      <c r="AT119" s="27" t="s">
        <v>5082</v>
      </c>
      <c r="AU119" s="84" t="s">
        <v>4693</v>
      </c>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L119" s="77"/>
      <c r="FM119" s="77"/>
      <c r="FN119" s="77"/>
      <c r="FO119" s="77"/>
      <c r="FP119" s="77"/>
      <c r="FQ119" s="77"/>
      <c r="FR119" s="77"/>
      <c r="FS119" s="77"/>
      <c r="FT119" s="77"/>
      <c r="FU119" s="77"/>
      <c r="FV119" s="77"/>
      <c r="FW119" s="77"/>
      <c r="FX119" s="77"/>
      <c r="FY119" s="77"/>
      <c r="FZ119" s="77"/>
      <c r="GA119" s="77"/>
      <c r="GB119" s="77"/>
      <c r="GC119" s="77"/>
      <c r="GD119" s="77"/>
      <c r="GE119" s="77"/>
      <c r="GF119" s="77"/>
      <c r="GG119" s="77"/>
      <c r="GH119" s="77"/>
      <c r="GI119" s="77"/>
      <c r="GJ119" s="77"/>
      <c r="GK119" s="77"/>
      <c r="GL119" s="77"/>
      <c r="GM119" s="77"/>
      <c r="GN119" s="77"/>
      <c r="GO119" s="77"/>
      <c r="GP119" s="77"/>
      <c r="GQ119" s="77"/>
      <c r="GR119" s="77"/>
      <c r="GS119" s="77"/>
      <c r="GT119" s="77"/>
      <c r="GU119" s="77"/>
      <c r="GV119" s="77"/>
      <c r="GW119" s="77"/>
      <c r="GX119" s="77"/>
      <c r="GY119" s="77"/>
      <c r="GZ119" s="77"/>
      <c r="HA119" s="77"/>
      <c r="HB119" s="77"/>
      <c r="HC119" s="77"/>
      <c r="HD119" s="77"/>
      <c r="HE119" s="77"/>
      <c r="HF119" s="77"/>
      <c r="HG119" s="77"/>
      <c r="HH119" s="77"/>
      <c r="HI119" s="77"/>
      <c r="HJ119" s="77"/>
      <c r="HK119" s="77"/>
      <c r="ID119" s="77"/>
      <c r="IE119" s="77"/>
      <c r="IF119" s="77"/>
      <c r="IG119" s="77"/>
      <c r="IH119" s="77"/>
      <c r="II119" s="77"/>
      <c r="IJ119" s="77"/>
      <c r="IK119" s="77"/>
      <c r="IL119" s="77"/>
      <c r="IM119" s="77"/>
      <c r="IN119" s="77"/>
      <c r="IO119" s="77"/>
      <c r="IP119" s="77"/>
      <c r="IQ119" s="77"/>
      <c r="IR119" s="77"/>
      <c r="IS119" s="77"/>
      <c r="IT119" s="77"/>
      <c r="IU119" s="77"/>
      <c r="IV119" s="77"/>
      <c r="IW119" s="77"/>
      <c r="IX119" s="77"/>
      <c r="IY119" s="77"/>
      <c r="IZ119" s="77"/>
      <c r="JA119" s="77"/>
      <c r="JB119" s="77"/>
      <c r="JC119" s="77"/>
      <c r="JD119" s="77"/>
      <c r="JE119" s="77"/>
      <c r="JF119" s="77"/>
      <c r="JG119" s="77"/>
      <c r="JH119" s="77"/>
      <c r="JI119" s="77"/>
      <c r="JJ119" s="77"/>
      <c r="JK119" s="77"/>
      <c r="JL119" s="77"/>
      <c r="JM119" s="77"/>
      <c r="JN119" s="77"/>
      <c r="JO119" s="77"/>
      <c r="JP119" s="77"/>
      <c r="JQ119" s="77"/>
      <c r="JR119" s="77"/>
      <c r="JS119" s="77"/>
      <c r="JT119" s="77"/>
      <c r="JU119" s="77"/>
      <c r="JV119" s="77"/>
      <c r="JW119" s="77"/>
      <c r="JX119" s="77"/>
      <c r="JY119" s="77"/>
      <c r="JZ119" s="77"/>
      <c r="KA119" s="77"/>
      <c r="KB119" s="77"/>
      <c r="KC119" s="77"/>
      <c r="KD119" s="77"/>
      <c r="KE119" s="77"/>
      <c r="KF119" s="77"/>
      <c r="KG119" s="77"/>
      <c r="KH119" s="77"/>
      <c r="KI119" s="77"/>
      <c r="KJ119" s="77"/>
      <c r="KK119" s="77"/>
      <c r="KL119" s="77"/>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77"/>
      <c r="LM119" s="77"/>
      <c r="LN119" s="77"/>
      <c r="LO119" s="77"/>
      <c r="LP119" s="77"/>
      <c r="LQ119" s="77"/>
      <c r="LR119" s="77"/>
      <c r="LS119" s="77"/>
      <c r="LT119" s="77"/>
      <c r="LU119" s="77"/>
      <c r="LV119" s="77"/>
      <c r="LY119" s="77"/>
      <c r="LZ119" s="77"/>
      <c r="MA119" s="77"/>
      <c r="MB119" s="77"/>
      <c r="MC119" s="77"/>
      <c r="MD119" s="77"/>
      <c r="ME119" s="77"/>
      <c r="MF119" s="77"/>
      <c r="MG119" s="77"/>
      <c r="MH119" s="77"/>
      <c r="MI119" s="77"/>
      <c r="MJ119" s="77"/>
      <c r="MK119" s="77"/>
      <c r="ML119" s="77"/>
      <c r="MM119" s="77"/>
      <c r="MN119" s="77"/>
      <c r="MO119" s="77"/>
      <c r="MP119" s="77"/>
      <c r="MQ119" s="77"/>
      <c r="MR119" s="77"/>
    </row>
    <row r="120" spans="1:421" ht="18.600000000000001" customHeight="1" x14ac:dyDescent="0.25">
      <c r="A120" s="119" t="s">
        <v>314</v>
      </c>
      <c r="B120" s="27" t="s">
        <v>1657</v>
      </c>
      <c r="C120" s="27" t="s">
        <v>1658</v>
      </c>
      <c r="D120" s="30" t="str">
        <f>HYPERLINK("https://twitter.com/prdthailand","https://twitter.com/prdthailand")</f>
        <v>https://twitter.com/prdthailand</v>
      </c>
      <c r="E120" s="30" t="str">
        <f>HYPERLINK("http://twiplomacy.com/info/asia/Thailand","http://twiplomacy.com/info/asia/Thailand")</f>
        <v>http://twiplomacy.com/info/asia/Thailand</v>
      </c>
      <c r="F120" s="10" t="s">
        <v>154</v>
      </c>
      <c r="G120" s="10" t="s">
        <v>313</v>
      </c>
      <c r="H120" s="10" t="s">
        <v>788</v>
      </c>
      <c r="I120" s="10" t="s">
        <v>782</v>
      </c>
      <c r="J120" s="27" t="s">
        <v>789</v>
      </c>
      <c r="K120" s="15" t="s">
        <v>777</v>
      </c>
      <c r="L120" s="10" t="s">
        <v>771</v>
      </c>
      <c r="M120" s="10" t="s">
        <v>770</v>
      </c>
      <c r="N120" s="30" t="str">
        <f>HYPERLINK("https://twitter.com/prdthailand/statuses/29475376015081472","https://twitter.com/prdthailand/statuses/29475376015081472")</f>
        <v>https://twitter.com/prdthailand/statuses/29475376015081472</v>
      </c>
      <c r="O120" s="27" t="s">
        <v>6028</v>
      </c>
      <c r="P120" s="80">
        <v>5</v>
      </c>
      <c r="Q120" s="80">
        <v>3</v>
      </c>
      <c r="R120" s="27" t="s">
        <v>2995</v>
      </c>
      <c r="S120" s="10" t="s">
        <v>1659</v>
      </c>
      <c r="T120" s="10" t="s">
        <v>771</v>
      </c>
      <c r="U120" s="10" t="s">
        <v>771</v>
      </c>
      <c r="V120" s="10" t="s">
        <v>771</v>
      </c>
      <c r="W120" s="10"/>
      <c r="X120" s="27" t="s">
        <v>314</v>
      </c>
      <c r="Y120" s="27" t="s">
        <v>1657</v>
      </c>
      <c r="Z120" s="80">
        <v>9276</v>
      </c>
      <c r="AA120" s="27">
        <v>0</v>
      </c>
      <c r="AB120" s="80">
        <v>1500</v>
      </c>
      <c r="AC120" s="27">
        <v>0</v>
      </c>
      <c r="AD120" s="27" t="s">
        <v>4295</v>
      </c>
      <c r="AE120" s="27">
        <v>235124393</v>
      </c>
      <c r="AF120" s="27" t="s">
        <v>1658</v>
      </c>
      <c r="AG120" s="27" t="s">
        <v>1655</v>
      </c>
      <c r="AH120" s="79">
        <v>4.7765190525231702</v>
      </c>
      <c r="AI120" s="83">
        <v>2.9615736505032002</v>
      </c>
      <c r="AJ120" s="80">
        <v>0.109669447018845</v>
      </c>
      <c r="AK120" s="80">
        <v>3.7071362372567203E-2</v>
      </c>
      <c r="AL120" s="13">
        <v>0</v>
      </c>
      <c r="AM120" s="97">
        <f t="shared" si="1"/>
        <v>0</v>
      </c>
      <c r="AN120" s="27" t="s">
        <v>314</v>
      </c>
      <c r="AO120" s="27">
        <v>0</v>
      </c>
      <c r="AP120" s="27">
        <v>4</v>
      </c>
      <c r="AQ120" s="27">
        <v>0</v>
      </c>
      <c r="AR120" s="27">
        <f>SUM(AO120:AQ120)</f>
        <v>4</v>
      </c>
      <c r="AS120" s="27"/>
      <c r="AT120" s="27" t="s">
        <v>5411</v>
      </c>
      <c r="AU120" s="84"/>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HL120" s="77"/>
      <c r="HM120" s="77"/>
      <c r="HN120" s="77"/>
      <c r="HO120" s="77"/>
      <c r="HP120" s="77"/>
      <c r="HQ120" s="77"/>
      <c r="HR120" s="77"/>
      <c r="HS120" s="77"/>
      <c r="HT120" s="77"/>
      <c r="HU120" s="77"/>
      <c r="HV120" s="77"/>
      <c r="HW120" s="77"/>
      <c r="HX120" s="77"/>
      <c r="HY120" s="77"/>
      <c r="HZ120" s="77"/>
      <c r="IA120" s="77"/>
      <c r="IB120" s="77"/>
      <c r="IC120" s="77"/>
      <c r="ID120" s="77"/>
      <c r="IE120" s="77"/>
      <c r="IF120" s="77"/>
      <c r="IG120" s="77"/>
      <c r="IH120" s="77"/>
      <c r="II120" s="77"/>
      <c r="IJ120" s="77"/>
      <c r="IK120" s="77"/>
      <c r="IL120" s="77"/>
      <c r="IM120" s="77"/>
      <c r="IN120" s="77"/>
      <c r="IO120" s="77"/>
      <c r="IP120" s="77"/>
      <c r="IQ120" s="77"/>
      <c r="IR120" s="77"/>
      <c r="IS120" s="77"/>
      <c r="IT120" s="77"/>
      <c r="IU120" s="77"/>
      <c r="IV120" s="77"/>
      <c r="IW120" s="77"/>
      <c r="IX120" s="77"/>
      <c r="IY120" s="77"/>
      <c r="IZ120" s="77"/>
      <c r="JA120" s="77"/>
      <c r="JB120" s="77"/>
      <c r="JC120" s="77"/>
      <c r="JD120" s="77"/>
      <c r="JE120" s="77"/>
      <c r="JF120" s="77"/>
      <c r="JG120" s="77"/>
      <c r="JH120" s="77"/>
      <c r="JI120" s="77"/>
      <c r="JJ120" s="77"/>
      <c r="JK120" s="77"/>
      <c r="JL120" s="77"/>
      <c r="JM120" s="77"/>
      <c r="JN120" s="77"/>
      <c r="JO120" s="77"/>
      <c r="JP120" s="77"/>
      <c r="JQ120" s="77"/>
      <c r="JR120" s="77"/>
      <c r="JS120" s="77"/>
      <c r="JT120" s="77"/>
      <c r="JU120" s="77"/>
      <c r="JV120" s="77"/>
      <c r="JW120" s="77"/>
      <c r="JX120" s="77"/>
      <c r="JY120" s="77"/>
      <c r="JZ120" s="77"/>
      <c r="KA120" s="77"/>
      <c r="KB120" s="77"/>
      <c r="KC120" s="77"/>
      <c r="KD120" s="77"/>
      <c r="KE120" s="77"/>
      <c r="KF120" s="77"/>
      <c r="KG120" s="77"/>
      <c r="KH120" s="77"/>
      <c r="KI120" s="77"/>
      <c r="KJ120" s="77"/>
      <c r="KK120" s="77"/>
      <c r="KL120" s="77"/>
      <c r="KM120" s="77"/>
      <c r="KN120" s="77"/>
      <c r="KO120" s="77"/>
      <c r="KP120" s="77"/>
      <c r="KQ120" s="77"/>
      <c r="KR120" s="77"/>
      <c r="KS120" s="77"/>
      <c r="KT120" s="77"/>
      <c r="KU120" s="77"/>
      <c r="KV120" s="77"/>
      <c r="KW120" s="77"/>
      <c r="KX120" s="77"/>
      <c r="KY120" s="77"/>
      <c r="KZ120" s="77"/>
      <c r="LA120" s="77"/>
      <c r="LB120" s="77"/>
      <c r="LC120" s="77"/>
      <c r="LD120" s="77"/>
      <c r="LE120" s="77"/>
      <c r="LF120" s="77"/>
      <c r="LG120" s="77"/>
      <c r="LH120" s="77"/>
      <c r="LI120" s="77"/>
      <c r="LJ120" s="77"/>
      <c r="LK120" s="77"/>
      <c r="LL120" s="77"/>
      <c r="LM120" s="77"/>
      <c r="LN120" s="77"/>
      <c r="LO120" s="77"/>
      <c r="LP120" s="77"/>
      <c r="LQ120" s="77"/>
      <c r="LR120" s="77"/>
      <c r="LS120" s="77"/>
      <c r="LT120" s="77"/>
      <c r="LU120" s="77"/>
      <c r="LV120" s="77"/>
      <c r="LW120" s="77"/>
      <c r="LX120" s="77"/>
    </row>
    <row r="121" spans="1:421" ht="18.600000000000001" customHeight="1" x14ac:dyDescent="0.25">
      <c r="A121" s="119" t="s">
        <v>1911</v>
      </c>
      <c r="B121" s="27" t="s">
        <v>1912</v>
      </c>
      <c r="C121" s="27" t="s">
        <v>6391</v>
      </c>
      <c r="D121" s="30" t="str">
        <f>HYPERLINK("https://twitter.com/francediplo_AR","https://twitter.com/francediplo_AR")</f>
        <v>https://twitter.com/francediplo_AR</v>
      </c>
      <c r="E121" s="30" t="str">
        <f>HYPERLINK("http://twiplomacy.com/info/europe/France","http://twiplomacy.com/info/europe/France")</f>
        <v>http://twiplomacy.com/info/europe/France</v>
      </c>
      <c r="F121" s="10" t="s">
        <v>332</v>
      </c>
      <c r="G121" s="10" t="s">
        <v>395</v>
      </c>
      <c r="H121" s="10" t="s">
        <v>795</v>
      </c>
      <c r="I121" s="10" t="s">
        <v>782</v>
      </c>
      <c r="J121" s="27" t="s">
        <v>779</v>
      </c>
      <c r="K121" s="15" t="s">
        <v>777</v>
      </c>
      <c r="L121" s="10" t="s">
        <v>771</v>
      </c>
      <c r="M121" s="10" t="s">
        <v>770</v>
      </c>
      <c r="N121" s="30" t="str">
        <f>HYPERLINK("https://twitter.com/francediplo_AR/statuses/174092858666651649","https://twitter.com/francediplo_AR/statuses/174092858666651649")</f>
        <v>https://twitter.com/francediplo_AR/statuses/174092858666651649</v>
      </c>
      <c r="O121" s="27" t="s">
        <v>5775</v>
      </c>
      <c r="P121" s="80">
        <v>1389</v>
      </c>
      <c r="Q121" s="80">
        <v>19</v>
      </c>
      <c r="R121" s="27" t="s">
        <v>2994</v>
      </c>
      <c r="S121" s="30" t="str">
        <f>HYPERLINK("https://twitter.com/francediplo_AR/lists","https://twitter.com/francediplo_AR/lists")</f>
        <v>https://twitter.com/francediplo_AR/lists</v>
      </c>
      <c r="T121" s="10">
        <v>1</v>
      </c>
      <c r="U121" s="10" t="s">
        <v>771</v>
      </c>
      <c r="V121" s="10" t="s">
        <v>771</v>
      </c>
      <c r="W121" s="10"/>
      <c r="X121" s="27" t="s">
        <v>1911</v>
      </c>
      <c r="Y121" s="27" t="s">
        <v>1912</v>
      </c>
      <c r="Z121" s="80">
        <v>9207</v>
      </c>
      <c r="AA121" s="27">
        <v>345</v>
      </c>
      <c r="AB121" s="80">
        <v>160143</v>
      </c>
      <c r="AC121" s="27">
        <v>407</v>
      </c>
      <c r="AD121" s="27" t="s">
        <v>3707</v>
      </c>
      <c r="AE121" s="27">
        <v>505752384</v>
      </c>
      <c r="AF121" s="27" t="s">
        <v>6391</v>
      </c>
      <c r="AG121" s="27" t="s">
        <v>1913</v>
      </c>
      <c r="AH121" s="79">
        <v>6.0334207077326303</v>
      </c>
      <c r="AI121" s="83">
        <v>3.7995255041518399</v>
      </c>
      <c r="AJ121" s="80">
        <v>7.9317121918720899</v>
      </c>
      <c r="AK121" s="80">
        <v>4.4960026648900699</v>
      </c>
      <c r="AL121" s="27">
        <v>250</v>
      </c>
      <c r="AM121" s="97">
        <f t="shared" si="1"/>
        <v>7.8125E-2</v>
      </c>
      <c r="AN121" s="27" t="s">
        <v>1911</v>
      </c>
      <c r="AO121" s="27">
        <v>28</v>
      </c>
      <c r="AP121" s="27">
        <v>5</v>
      </c>
      <c r="AQ121" s="27">
        <v>13</v>
      </c>
      <c r="AR121" s="27">
        <f>SUM(AO121:AQ121)</f>
        <v>46</v>
      </c>
      <c r="AS121" s="27" t="s">
        <v>5128</v>
      </c>
      <c r="AT121" s="27" t="s">
        <v>6726</v>
      </c>
      <c r="AU121" s="84" t="s">
        <v>4725</v>
      </c>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K121" s="77"/>
      <c r="CL121" s="77"/>
      <c r="CM121" s="77"/>
      <c r="CN121" s="77"/>
      <c r="CO121" s="77"/>
      <c r="CP121" s="77"/>
      <c r="CQ121" s="77"/>
      <c r="CR121" s="77"/>
      <c r="CS121" s="77"/>
      <c r="CT121" s="77"/>
      <c r="CU121" s="77"/>
      <c r="CV121" s="77"/>
      <c r="CW121" s="77"/>
      <c r="CX121" s="77"/>
      <c r="CY121" s="77"/>
      <c r="CZ121" s="77"/>
      <c r="DA121" s="77"/>
      <c r="DB121" s="77"/>
      <c r="DC121" s="77"/>
      <c r="DD121" s="77"/>
      <c r="DE121" s="77"/>
      <c r="DF121" s="77"/>
      <c r="DG121" s="77"/>
      <c r="DH121" s="77"/>
      <c r="DI121" s="77"/>
      <c r="DJ121" s="77"/>
      <c r="DK121" s="77"/>
      <c r="DL121" s="77"/>
      <c r="DM121" s="77"/>
      <c r="DN121" s="77"/>
      <c r="DO121" s="77"/>
      <c r="DP121" s="77"/>
      <c r="DQ121" s="77"/>
      <c r="DR121" s="77"/>
      <c r="DS121" s="77"/>
      <c r="DT121" s="77"/>
      <c r="DU121" s="77"/>
      <c r="DV121" s="77"/>
      <c r="DW121" s="77"/>
      <c r="DX121" s="77"/>
      <c r="DY121" s="77"/>
      <c r="DZ121" s="77"/>
      <c r="EA121" s="77"/>
      <c r="EB121" s="77"/>
      <c r="EC121" s="77"/>
      <c r="ED121" s="77"/>
      <c r="EE121" s="77"/>
      <c r="EF121" s="77"/>
      <c r="EG121" s="77"/>
      <c r="EH121" s="77"/>
      <c r="EI121" s="77"/>
      <c r="EJ121" s="77"/>
      <c r="EK121" s="77"/>
      <c r="EL121" s="77"/>
      <c r="EP121" s="77"/>
      <c r="EQ121" s="77"/>
      <c r="ER121" s="77"/>
      <c r="ES121" s="77"/>
      <c r="ET121" s="77"/>
      <c r="EU121" s="77"/>
      <c r="EV121" s="77"/>
      <c r="EW121" s="77"/>
      <c r="EX121" s="77"/>
      <c r="EY121" s="77"/>
      <c r="EZ121" s="77"/>
      <c r="FA121" s="77"/>
      <c r="FB121" s="77"/>
      <c r="FC121" s="77"/>
      <c r="FD121" s="77"/>
      <c r="FE121" s="77"/>
      <c r="FF121" s="77"/>
      <c r="FG121" s="77"/>
      <c r="FH121" s="77"/>
      <c r="FI121" s="77"/>
      <c r="FJ121" s="77"/>
      <c r="FK121" s="77"/>
      <c r="FL121" s="77"/>
      <c r="FM121" s="77"/>
      <c r="FN121" s="77"/>
      <c r="FO121" s="77"/>
      <c r="FP121" s="77"/>
      <c r="FQ121" s="77"/>
      <c r="FR121" s="77"/>
      <c r="FS121" s="77"/>
      <c r="FT121" s="77"/>
      <c r="FU121" s="77"/>
      <c r="FV121" s="77"/>
      <c r="FW121" s="77"/>
      <c r="FX121" s="77"/>
      <c r="FY121" s="77"/>
      <c r="FZ121" s="77"/>
      <c r="GA121" s="77"/>
      <c r="GB121" s="77"/>
      <c r="GC121" s="77"/>
      <c r="GD121" s="77"/>
      <c r="GE121" s="77"/>
      <c r="GF121" s="77"/>
      <c r="GG121" s="77"/>
      <c r="GH121" s="77"/>
      <c r="GI121" s="77"/>
      <c r="GJ121" s="77"/>
      <c r="GK121" s="77"/>
      <c r="ID121" s="77"/>
      <c r="IE121" s="77"/>
      <c r="LL121" s="77"/>
      <c r="LM121" s="77"/>
      <c r="LN121" s="77"/>
      <c r="LO121" s="77"/>
      <c r="LP121" s="77"/>
      <c r="LQ121" s="77"/>
      <c r="LR121" s="77"/>
      <c r="LS121" s="77"/>
      <c r="LT121" s="77"/>
      <c r="LU121" s="77"/>
      <c r="LV121" s="77"/>
      <c r="MS121" s="77"/>
    </row>
    <row r="122" spans="1:421" ht="18.600000000000001" customHeight="1" x14ac:dyDescent="0.25">
      <c r="A122" s="119" t="s">
        <v>289</v>
      </c>
      <c r="B122" s="27" t="s">
        <v>1600</v>
      </c>
      <c r="C122" s="27" t="s">
        <v>1601</v>
      </c>
      <c r="D122" s="30" t="str">
        <f>HYPERLINK("https://twitter.com/govsingapore","https://twitter.com/govsingapore")</f>
        <v>https://twitter.com/govsingapore</v>
      </c>
      <c r="E122" s="30" t="str">
        <f>HYPERLINK("http://twiplomacy.com/info/asia/Singapore","http://twiplomacy.com/info/asia/Singapore")</f>
        <v>http://twiplomacy.com/info/asia/Singapore</v>
      </c>
      <c r="F122" s="10" t="s">
        <v>154</v>
      </c>
      <c r="G122" s="10" t="s">
        <v>287</v>
      </c>
      <c r="H122" s="10" t="s">
        <v>788</v>
      </c>
      <c r="I122" s="10" t="s">
        <v>782</v>
      </c>
      <c r="J122" s="27" t="s">
        <v>789</v>
      </c>
      <c r="K122" s="15" t="s">
        <v>777</v>
      </c>
      <c r="L122" s="10" t="s">
        <v>771</v>
      </c>
      <c r="M122" s="10" t="s">
        <v>770</v>
      </c>
      <c r="N122" s="30" t="str">
        <f>HYPERLINK("https://twitter.com/govsingapore/statuses/2812220339","https://twitter.com/govsingapore/statuses/2812220339")</f>
        <v>https://twitter.com/govsingapore/statuses/2812220339</v>
      </c>
      <c r="O122" s="27" t="s">
        <v>5841</v>
      </c>
      <c r="P122" s="80">
        <v>517</v>
      </c>
      <c r="Q122" s="80">
        <v>479</v>
      </c>
      <c r="R122" s="27" t="s">
        <v>2994</v>
      </c>
      <c r="S122" s="30" t="str">
        <f>HYPERLINK("https://twitter.com/govsingapore/lists","https://twitter.com/govsingapore/lists")</f>
        <v>https://twitter.com/govsingapore/lists</v>
      </c>
      <c r="T122" s="10">
        <v>2</v>
      </c>
      <c r="U122" s="10" t="s">
        <v>771</v>
      </c>
      <c r="V122" s="10" t="s">
        <v>771</v>
      </c>
      <c r="W122" s="10"/>
      <c r="X122" s="27" t="s">
        <v>289</v>
      </c>
      <c r="Y122" s="27" t="s">
        <v>1600</v>
      </c>
      <c r="Z122" s="80">
        <v>9162</v>
      </c>
      <c r="AA122" s="27">
        <v>95</v>
      </c>
      <c r="AB122" s="80">
        <v>108995</v>
      </c>
      <c r="AC122" s="27">
        <v>4</v>
      </c>
      <c r="AD122" s="27" t="s">
        <v>3772</v>
      </c>
      <c r="AE122" s="27">
        <v>56883209</v>
      </c>
      <c r="AF122" s="27" t="s">
        <v>1601</v>
      </c>
      <c r="AG122" s="27" t="s">
        <v>287</v>
      </c>
      <c r="AH122" s="79">
        <v>3.6898912605718901</v>
      </c>
      <c r="AI122" s="83">
        <v>5.1677419354838703</v>
      </c>
      <c r="AJ122" s="80">
        <v>3.57846813069095</v>
      </c>
      <c r="AK122" s="80">
        <v>3.6363149437600399</v>
      </c>
      <c r="AL122" s="27">
        <v>21</v>
      </c>
      <c r="AM122" s="97">
        <f t="shared" si="1"/>
        <v>6.5624999999999998E-3</v>
      </c>
      <c r="AN122" s="27" t="s">
        <v>289</v>
      </c>
      <c r="AO122" s="27">
        <v>2</v>
      </c>
      <c r="AP122" s="27">
        <v>16</v>
      </c>
      <c r="AQ122" s="27">
        <v>1</v>
      </c>
      <c r="AR122" s="27">
        <f>SUM(AO122:AQ122)</f>
        <v>19</v>
      </c>
      <c r="AS122" s="27" t="s">
        <v>5160</v>
      </c>
      <c r="AT122" s="27" t="s">
        <v>5161</v>
      </c>
      <c r="AU122" s="84" t="s">
        <v>291</v>
      </c>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GL122" s="77"/>
      <c r="GM122" s="77"/>
      <c r="GN122" s="77"/>
      <c r="GO122" s="77"/>
      <c r="GP122" s="77"/>
      <c r="GQ122" s="77"/>
      <c r="GR122" s="77"/>
      <c r="GS122" s="77"/>
      <c r="GT122" s="77"/>
      <c r="GU122" s="77"/>
      <c r="GV122" s="77"/>
      <c r="GW122" s="77"/>
      <c r="GX122" s="77"/>
      <c r="GY122" s="77"/>
      <c r="GZ122" s="77"/>
      <c r="HA122" s="77"/>
      <c r="HB122" s="77"/>
      <c r="HC122" s="77"/>
      <c r="HD122" s="77"/>
      <c r="HE122" s="77"/>
      <c r="HF122" s="77"/>
      <c r="HG122" s="77"/>
      <c r="HH122" s="77"/>
      <c r="HI122" s="77"/>
      <c r="HJ122" s="77"/>
      <c r="HK122" s="77"/>
      <c r="HL122" s="77"/>
      <c r="HM122" s="77"/>
      <c r="HN122" s="77"/>
      <c r="HO122" s="77"/>
      <c r="HP122" s="77"/>
      <c r="HQ122" s="77"/>
      <c r="HR122" s="77"/>
      <c r="HS122" s="77"/>
      <c r="HT122" s="77"/>
      <c r="HU122" s="77"/>
      <c r="HV122" s="77"/>
      <c r="HW122" s="77"/>
      <c r="HX122" s="77"/>
      <c r="HY122" s="77"/>
      <c r="HZ122" s="77"/>
      <c r="IA122" s="77"/>
      <c r="IB122" s="77"/>
      <c r="IC122" s="77"/>
      <c r="ID122" s="16"/>
      <c r="IE122" s="16"/>
      <c r="IF122" s="77"/>
      <c r="IG122" s="77"/>
      <c r="IH122" s="77"/>
      <c r="II122" s="77"/>
      <c r="IJ122" s="77"/>
      <c r="IK122" s="77"/>
      <c r="IL122" s="77"/>
      <c r="IM122" s="77"/>
      <c r="IN122" s="77"/>
      <c r="IO122" s="77"/>
      <c r="IP122" s="77"/>
      <c r="IQ122" s="77"/>
      <c r="IR122" s="77"/>
      <c r="IS122" s="77"/>
      <c r="IT122" s="77"/>
      <c r="IU122" s="77"/>
      <c r="IV122" s="77"/>
      <c r="IW122" s="77"/>
      <c r="IX122" s="77"/>
      <c r="IY122" s="77"/>
      <c r="IZ122" s="77"/>
      <c r="JA122" s="77"/>
      <c r="JB122" s="77"/>
      <c r="JC122" s="77"/>
      <c r="JD122" s="77"/>
      <c r="JE122" s="77"/>
      <c r="JF122" s="77"/>
      <c r="JG122" s="77"/>
      <c r="JH122" s="77"/>
      <c r="JI122" s="77"/>
      <c r="JJ122" s="77"/>
      <c r="JK122" s="77"/>
      <c r="JL122" s="77"/>
      <c r="JM122" s="77"/>
      <c r="JN122" s="77"/>
      <c r="JO122" s="77"/>
      <c r="JP122" s="77"/>
      <c r="JQ122" s="77"/>
      <c r="JR122" s="77"/>
      <c r="JS122" s="77"/>
      <c r="JT122" s="77"/>
      <c r="JU122" s="77"/>
      <c r="JV122" s="77"/>
      <c r="JW122" s="77"/>
      <c r="JX122" s="77"/>
      <c r="JY122" s="77"/>
      <c r="JZ122" s="77"/>
      <c r="KA122" s="77"/>
      <c r="KB122" s="77"/>
      <c r="KC122" s="77"/>
      <c r="KD122" s="77"/>
      <c r="KE122" s="77"/>
      <c r="KF122" s="77"/>
      <c r="KG122" s="77"/>
      <c r="KH122" s="77"/>
      <c r="KI122" s="77"/>
      <c r="KJ122" s="77"/>
      <c r="KK122" s="77"/>
      <c r="KL122" s="77"/>
      <c r="KM122" s="77"/>
      <c r="KN122" s="77"/>
      <c r="KO122" s="77"/>
      <c r="KP122" s="77"/>
      <c r="KQ122" s="77"/>
      <c r="KR122" s="77"/>
      <c r="KS122" s="77"/>
      <c r="KT122" s="77"/>
      <c r="KU122" s="77"/>
      <c r="KV122" s="77"/>
      <c r="KW122" s="77"/>
      <c r="KX122" s="77"/>
      <c r="KY122" s="77"/>
      <c r="KZ122" s="77"/>
      <c r="LA122" s="77"/>
      <c r="LB122" s="77"/>
      <c r="LC122" s="77"/>
      <c r="LD122" s="77"/>
      <c r="LE122" s="77"/>
      <c r="LF122" s="77"/>
      <c r="LG122" s="77"/>
      <c r="LH122" s="77"/>
      <c r="LI122" s="77"/>
      <c r="LJ122" s="77"/>
      <c r="LK122" s="77"/>
      <c r="LL122" s="77"/>
      <c r="LM122" s="77"/>
      <c r="LN122" s="77"/>
      <c r="LO122" s="77"/>
      <c r="LP122" s="77"/>
      <c r="LQ122" s="77"/>
      <c r="LR122" s="77"/>
      <c r="LS122" s="77"/>
      <c r="LT122" s="77"/>
      <c r="LU122" s="77"/>
      <c r="LV122" s="77"/>
      <c r="LY122" s="77"/>
      <c r="LZ122" s="77"/>
      <c r="MA122" s="77"/>
      <c r="MB122" s="77"/>
      <c r="MC122" s="77"/>
      <c r="MD122" s="77"/>
      <c r="ME122" s="77"/>
      <c r="MF122" s="77"/>
      <c r="MG122" s="77"/>
      <c r="MH122" s="77"/>
      <c r="MI122" s="77"/>
      <c r="MJ122" s="77"/>
      <c r="MK122" s="77"/>
      <c r="ML122" s="77"/>
      <c r="MM122" s="77"/>
      <c r="MN122" s="77"/>
      <c r="MO122" s="77"/>
      <c r="MP122" s="77"/>
      <c r="MQ122" s="77"/>
      <c r="MR122" s="77"/>
      <c r="MS122" s="77"/>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row>
    <row r="123" spans="1:421" ht="18.600000000000001" customHeight="1" x14ac:dyDescent="0.25">
      <c r="A123" s="119" t="s">
        <v>540</v>
      </c>
      <c r="B123" s="27" t="s">
        <v>2263</v>
      </c>
      <c r="C123" s="27" t="s">
        <v>2264</v>
      </c>
      <c r="D123" s="30" t="str">
        <f>HYPERLINK("https://twitter.com/MevlutCavusoglu","https://twitter.com/MevlutCavusoglu")</f>
        <v>https://twitter.com/MevlutCavusoglu</v>
      </c>
      <c r="E123" s="30" t="str">
        <f>HYPERLINK("http://twiplomacy.com/info/europe/Turkey","http://twiplomacy.com/info/europe/Turkey")</f>
        <v>http://twiplomacy.com/info/europe/Turkey</v>
      </c>
      <c r="F123" s="10" t="s">
        <v>332</v>
      </c>
      <c r="G123" s="10" t="s">
        <v>536</v>
      </c>
      <c r="H123" s="10" t="s">
        <v>860</v>
      </c>
      <c r="I123" s="10" t="s">
        <v>773</v>
      </c>
      <c r="J123" s="27" t="s">
        <v>2254</v>
      </c>
      <c r="K123" s="10" t="s">
        <v>777</v>
      </c>
      <c r="L123" s="10" t="s">
        <v>771</v>
      </c>
      <c r="M123" s="10" t="s">
        <v>771</v>
      </c>
      <c r="N123" s="30" t="str">
        <f>HYPERLINK("https://twitter.com/MevlutCavusoglu/status/15914781566","https://twitter.com/MevlutCavusoglu/status/15914781566")</f>
        <v>https://twitter.com/MevlutCavusoglu/status/15914781566</v>
      </c>
      <c r="O123" s="20" t="s">
        <v>2265</v>
      </c>
      <c r="P123" s="46">
        <v>3396</v>
      </c>
      <c r="Q123" s="46">
        <v>21</v>
      </c>
      <c r="R123" s="27" t="s">
        <v>2994</v>
      </c>
      <c r="S123" s="30" t="str">
        <f>HYPERLINK("https://twitter.com/MevlutCavusoglu/lists","https://twitter.com/MevlutCavusoglu/lists")</f>
        <v>https://twitter.com/MevlutCavusoglu/lists</v>
      </c>
      <c r="T123" s="10" t="s">
        <v>771</v>
      </c>
      <c r="U123" s="10" t="s">
        <v>771</v>
      </c>
      <c r="V123" s="10" t="s">
        <v>771</v>
      </c>
      <c r="W123" s="10"/>
      <c r="X123" s="27" t="s">
        <v>540</v>
      </c>
      <c r="Y123" s="27" t="s">
        <v>2263</v>
      </c>
      <c r="Z123" s="80">
        <v>9145</v>
      </c>
      <c r="AA123" s="27">
        <v>190</v>
      </c>
      <c r="AB123" s="80">
        <v>544404</v>
      </c>
      <c r="AC123" s="27">
        <v>42</v>
      </c>
      <c r="AD123" s="27" t="s">
        <v>4052</v>
      </c>
      <c r="AE123" s="27">
        <v>109226167</v>
      </c>
      <c r="AF123" s="27" t="s">
        <v>2264</v>
      </c>
      <c r="AG123" s="27"/>
      <c r="AH123" s="79">
        <v>4.0004374453193297</v>
      </c>
      <c r="AI123" s="83">
        <v>7.5781990521326996</v>
      </c>
      <c r="AJ123" s="80">
        <v>74.023782980304702</v>
      </c>
      <c r="AK123" s="80">
        <v>117.065031586771</v>
      </c>
      <c r="AL123" s="27">
        <v>42</v>
      </c>
      <c r="AM123" s="97">
        <f t="shared" si="1"/>
        <v>1.3125E-2</v>
      </c>
      <c r="AN123" s="27" t="s">
        <v>540</v>
      </c>
      <c r="AO123" s="27">
        <v>6</v>
      </c>
      <c r="AP123" s="27">
        <v>54</v>
      </c>
      <c r="AQ123" s="27">
        <v>12</v>
      </c>
      <c r="AR123" s="27">
        <f>SUM(AO123:AQ123)</f>
        <v>72</v>
      </c>
      <c r="AS123" s="27" t="s">
        <v>6597</v>
      </c>
      <c r="AT123" s="27" t="s">
        <v>5614</v>
      </c>
      <c r="AU123" s="84" t="s">
        <v>4838</v>
      </c>
      <c r="AV123" s="43"/>
      <c r="AW123" s="43"/>
      <c r="AX123" s="43"/>
      <c r="AY123" s="43"/>
      <c r="AZ123" s="43"/>
      <c r="BA123" s="43"/>
      <c r="BB123" s="43"/>
      <c r="BC123" s="43"/>
      <c r="BD123" s="43"/>
      <c r="BE123" s="43"/>
      <c r="BF123" s="43"/>
      <c r="BG123" s="43"/>
      <c r="BH123" s="43"/>
      <c r="BI123" s="43"/>
      <c r="BJ123" s="43"/>
      <c r="BK123" s="43"/>
      <c r="BL123" s="43"/>
      <c r="BM123" s="77"/>
      <c r="BQ123" s="77"/>
      <c r="BR123" s="77"/>
      <c r="BS123" s="77"/>
      <c r="BT123" s="77"/>
      <c r="BU123" s="77"/>
      <c r="BV123" s="77"/>
      <c r="BW123" s="77"/>
      <c r="BX123" s="77"/>
      <c r="BY123" s="77"/>
      <c r="BZ123" s="77"/>
      <c r="CA123" s="77"/>
      <c r="CB123" s="77"/>
      <c r="CC123" s="77"/>
      <c r="CD123" s="77"/>
      <c r="CE123" s="77"/>
      <c r="CF123" s="77"/>
      <c r="CG123" s="77"/>
      <c r="CH123" s="77"/>
      <c r="CI123" s="77"/>
      <c r="CJ123" s="77"/>
      <c r="CK123" s="77"/>
      <c r="CL123" s="77"/>
      <c r="CM123" s="77"/>
      <c r="CN123" s="77"/>
      <c r="CO123" s="77"/>
      <c r="CP123" s="77"/>
      <c r="CQ123" s="77"/>
      <c r="CR123" s="77"/>
      <c r="CS123" s="77"/>
      <c r="CT123" s="77"/>
      <c r="CU123" s="77"/>
      <c r="CV123" s="77"/>
      <c r="CW123" s="77"/>
      <c r="CX123" s="77"/>
      <c r="CY123" s="77"/>
      <c r="CZ123" s="77"/>
      <c r="DA123" s="77"/>
      <c r="DB123" s="77"/>
      <c r="DC123" s="77"/>
      <c r="DD123" s="77"/>
      <c r="DE123" s="77"/>
      <c r="DF123" s="77"/>
      <c r="DG123" s="77"/>
      <c r="DH123" s="77"/>
      <c r="DI123" s="77"/>
      <c r="DJ123" s="77"/>
      <c r="DK123" s="77"/>
      <c r="DL123" s="77"/>
      <c r="DM123" s="77"/>
      <c r="DN123" s="77"/>
      <c r="DO123" s="77"/>
      <c r="DP123" s="77"/>
      <c r="DQ123" s="77"/>
      <c r="DR123" s="77"/>
      <c r="DS123" s="77"/>
      <c r="DT123" s="77"/>
      <c r="DU123" s="77"/>
      <c r="DV123" s="77"/>
      <c r="DW123" s="77"/>
      <c r="DX123" s="77"/>
      <c r="DY123" s="77"/>
      <c r="DZ123" s="77"/>
      <c r="EA123" s="77"/>
      <c r="EB123" s="77"/>
      <c r="EC123" s="77"/>
      <c r="ED123" s="77"/>
      <c r="EE123" s="77"/>
      <c r="EF123" s="77"/>
      <c r="EG123" s="77"/>
      <c r="EH123" s="77"/>
      <c r="EI123" s="77"/>
      <c r="EJ123" s="77"/>
      <c r="EK123" s="77"/>
      <c r="EL123" s="77"/>
      <c r="EM123" s="77"/>
      <c r="EN123" s="77"/>
      <c r="EO123" s="77"/>
      <c r="EP123" s="77"/>
      <c r="ID123" s="77"/>
      <c r="IE123" s="77"/>
      <c r="IF123" s="77"/>
      <c r="IG123" s="77"/>
      <c r="IH123" s="77"/>
      <c r="II123" s="77"/>
      <c r="IJ123" s="77"/>
      <c r="IK123" s="77"/>
      <c r="IL123" s="77"/>
      <c r="IM123" s="77"/>
      <c r="IN123" s="77"/>
      <c r="IO123" s="77"/>
      <c r="IP123" s="77"/>
      <c r="IQ123" s="77"/>
      <c r="IR123" s="77"/>
      <c r="IS123" s="77"/>
      <c r="IT123" s="77"/>
      <c r="IU123" s="77"/>
      <c r="IV123" s="77"/>
      <c r="IW123" s="77"/>
      <c r="IX123" s="77"/>
      <c r="IY123" s="77"/>
      <c r="IZ123" s="77"/>
      <c r="JA123" s="77"/>
      <c r="JB123" s="77"/>
      <c r="JC123" s="77"/>
      <c r="JD123" s="77"/>
      <c r="JE123" s="77"/>
      <c r="JF123" s="77"/>
      <c r="JG123" s="77"/>
      <c r="JH123" s="77"/>
      <c r="JI123" s="77"/>
      <c r="JJ123" s="77"/>
      <c r="JK123" s="77"/>
      <c r="JL123" s="77"/>
      <c r="JM123" s="77"/>
      <c r="JN123" s="77"/>
      <c r="JO123" s="77"/>
      <c r="JP123" s="77"/>
      <c r="JQ123" s="77"/>
      <c r="JR123" s="77"/>
      <c r="JS123" s="77"/>
      <c r="JT123" s="77"/>
      <c r="JU123" s="77"/>
      <c r="JV123" s="77"/>
      <c r="JW123" s="77"/>
      <c r="JX123" s="77"/>
      <c r="LW123" s="77"/>
      <c r="LX123" s="77"/>
    </row>
    <row r="124" spans="1:421" ht="18.600000000000001" customHeight="1" x14ac:dyDescent="0.25">
      <c r="A124" s="119" t="s">
        <v>9</v>
      </c>
      <c r="B124" s="27" t="s">
        <v>791</v>
      </c>
      <c r="C124" s="27" t="s">
        <v>3533</v>
      </c>
      <c r="D124" s="72" t="str">
        <f>HYPERLINK("https://twitter.com/BWGovernment","https://twitter.com/BWGovernment")</f>
        <v>https://twitter.com/BWGovernment</v>
      </c>
      <c r="E124" s="72" t="str">
        <f>HYPERLINK("http://twiplomacy.com/info/africa/Botswana","http://twiplomacy.com/info/africa/Botswana")</f>
        <v>http://twiplomacy.com/info/africa/Botswana</v>
      </c>
      <c r="F124" s="10" t="s">
        <v>1</v>
      </c>
      <c r="G124" s="10" t="s">
        <v>8</v>
      </c>
      <c r="H124" s="10" t="s">
        <v>788</v>
      </c>
      <c r="I124" s="10" t="s">
        <v>782</v>
      </c>
      <c r="J124" s="27" t="s">
        <v>789</v>
      </c>
      <c r="K124" s="15" t="s">
        <v>777</v>
      </c>
      <c r="L124" s="10" t="s">
        <v>771</v>
      </c>
      <c r="M124" s="10" t="s">
        <v>770</v>
      </c>
      <c r="N124" s="30" t="str">
        <f>HYPERLINK("https://twitter.com/BWGovernment/statuses/116102771220021248","https://twitter.com/BWGovernment/statuses/116102771220021248")</f>
        <v>https://twitter.com/BWGovernment/statuses/116102771220021248</v>
      </c>
      <c r="O124" s="27" t="s">
        <v>5721</v>
      </c>
      <c r="P124" s="80">
        <v>174</v>
      </c>
      <c r="Q124" s="80">
        <v>145</v>
      </c>
      <c r="R124" s="27" t="s">
        <v>2995</v>
      </c>
      <c r="S124" s="10" t="s">
        <v>792</v>
      </c>
      <c r="T124" s="10" t="s">
        <v>771</v>
      </c>
      <c r="U124" s="10" t="s">
        <v>771</v>
      </c>
      <c r="V124" s="10" t="s">
        <v>771</v>
      </c>
      <c r="W124" s="10"/>
      <c r="X124" s="27" t="s">
        <v>9</v>
      </c>
      <c r="Y124" s="27" t="s">
        <v>791</v>
      </c>
      <c r="Z124" s="80">
        <v>9119</v>
      </c>
      <c r="AA124" s="27">
        <v>190</v>
      </c>
      <c r="AB124" s="80">
        <v>65569</v>
      </c>
      <c r="AC124" s="27">
        <v>710</v>
      </c>
      <c r="AD124" s="27" t="s">
        <v>3534</v>
      </c>
      <c r="AE124" s="27">
        <v>316291124</v>
      </c>
      <c r="AF124" s="27" t="s">
        <v>3533</v>
      </c>
      <c r="AG124" s="27" t="s">
        <v>793</v>
      </c>
      <c r="AH124" s="79">
        <v>5.1058230683090704</v>
      </c>
      <c r="AI124" s="83">
        <v>20.363057324840799</v>
      </c>
      <c r="AJ124" s="80">
        <v>9.2624999999999993</v>
      </c>
      <c r="AK124" s="80">
        <v>7.7730769230769203</v>
      </c>
      <c r="AL124" s="27">
        <v>49</v>
      </c>
      <c r="AM124" s="97">
        <f t="shared" si="1"/>
        <v>1.53125E-2</v>
      </c>
      <c r="AN124" s="27" t="s">
        <v>9</v>
      </c>
      <c r="AO124" s="27">
        <v>7</v>
      </c>
      <c r="AP124" s="27">
        <v>8</v>
      </c>
      <c r="AQ124" s="27">
        <v>1</v>
      </c>
      <c r="AR124" s="27">
        <f>SUM(AO124:AQ124)</f>
        <v>16</v>
      </c>
      <c r="AS124" s="27" t="s">
        <v>6202</v>
      </c>
      <c r="AT124" s="27" t="s">
        <v>5049</v>
      </c>
      <c r="AU124" s="84" t="s">
        <v>10</v>
      </c>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EM124" s="77"/>
      <c r="EN124" s="77"/>
      <c r="EO124" s="77"/>
      <c r="EP124" s="77"/>
      <c r="EQ124" s="77"/>
      <c r="GL124" s="77"/>
      <c r="GM124" s="77"/>
      <c r="GN124" s="77"/>
      <c r="GO124" s="77"/>
      <c r="GP124" s="77"/>
      <c r="GQ124" s="77"/>
      <c r="GR124" s="77"/>
      <c r="GS124" s="77"/>
      <c r="GT124" s="77"/>
      <c r="GU124" s="77"/>
      <c r="GV124" s="77"/>
      <c r="GW124" s="77"/>
      <c r="GX124" s="77"/>
      <c r="GY124" s="77"/>
      <c r="GZ124" s="77"/>
      <c r="HA124" s="77"/>
      <c r="HB124" s="77"/>
      <c r="HC124" s="77"/>
      <c r="HD124" s="77"/>
      <c r="HE124" s="77"/>
      <c r="HF124" s="77"/>
      <c r="HG124" s="77"/>
      <c r="HH124" s="77"/>
      <c r="HI124" s="77"/>
      <c r="HJ124" s="77"/>
      <c r="HK124" s="77"/>
      <c r="HL124" s="77"/>
      <c r="HM124" s="77"/>
      <c r="HN124" s="77"/>
      <c r="HO124" s="77"/>
      <c r="HP124" s="77"/>
      <c r="HQ124" s="77"/>
      <c r="HR124" s="77"/>
      <c r="HS124" s="77"/>
      <c r="HT124" s="77"/>
      <c r="HU124" s="77"/>
      <c r="HV124" s="77"/>
      <c r="HW124" s="77"/>
      <c r="HX124" s="77"/>
      <c r="HY124" s="77"/>
      <c r="HZ124" s="77"/>
      <c r="IA124" s="77"/>
      <c r="IB124" s="77"/>
      <c r="IC124" s="77"/>
      <c r="ID124" s="77"/>
      <c r="IE124" s="77"/>
      <c r="IF124" s="77"/>
      <c r="IG124" s="77"/>
      <c r="IH124" s="77"/>
      <c r="II124" s="77"/>
      <c r="IJ124" s="77"/>
      <c r="IK124" s="77"/>
      <c r="IL124" s="77"/>
      <c r="IM124" s="77"/>
      <c r="IN124" s="77"/>
      <c r="IO124" s="77"/>
      <c r="IP124" s="77"/>
      <c r="IQ124" s="77"/>
      <c r="IR124" s="77"/>
      <c r="IS124" s="77"/>
      <c r="IT124" s="77"/>
      <c r="IU124" s="77"/>
      <c r="IV124" s="77"/>
      <c r="IW124" s="77"/>
      <c r="IX124" s="77"/>
      <c r="IY124" s="77"/>
      <c r="IZ124" s="77"/>
      <c r="JA124" s="77"/>
      <c r="JB124" s="77"/>
      <c r="JC124" s="77"/>
      <c r="JD124" s="77"/>
      <c r="JE124" s="77"/>
      <c r="JF124" s="77"/>
      <c r="JG124" s="77"/>
      <c r="JH124" s="77"/>
      <c r="JI124" s="77"/>
      <c r="JJ124" s="77"/>
      <c r="JK124" s="77"/>
      <c r="JL124" s="77"/>
      <c r="JM124" s="77"/>
      <c r="JN124" s="77"/>
      <c r="JO124" s="77"/>
      <c r="JP124" s="77"/>
      <c r="JQ124" s="77"/>
      <c r="JR124" s="77"/>
      <c r="JS124" s="77"/>
      <c r="JT124" s="77"/>
      <c r="JU124" s="77"/>
      <c r="JV124" s="77"/>
      <c r="JW124" s="77"/>
      <c r="JX124" s="77"/>
      <c r="KM124" s="77"/>
      <c r="KN124" s="77"/>
      <c r="KO124" s="77"/>
      <c r="KP124" s="77"/>
      <c r="KQ124" s="77"/>
      <c r="KR124" s="77"/>
      <c r="KS124" s="77"/>
      <c r="KT124" s="77"/>
      <c r="KU124" s="77"/>
      <c r="KV124" s="77"/>
      <c r="KW124" s="77"/>
      <c r="KX124" s="77"/>
      <c r="KY124" s="77"/>
      <c r="KZ124" s="77"/>
      <c r="LA124" s="77"/>
      <c r="LB124" s="77"/>
      <c r="LC124" s="77"/>
      <c r="LD124" s="77"/>
      <c r="LE124" s="77"/>
      <c r="LF124" s="77"/>
      <c r="LG124" s="77"/>
      <c r="LH124" s="77"/>
      <c r="LI124" s="77"/>
      <c r="LJ124" s="77"/>
      <c r="LK124" s="77"/>
      <c r="LL124" s="77"/>
      <c r="LM124" s="77"/>
      <c r="LN124" s="77"/>
      <c r="LO124" s="77"/>
      <c r="LP124" s="77"/>
      <c r="LQ124" s="77"/>
      <c r="LR124" s="77"/>
      <c r="LS124" s="77"/>
      <c r="LT124" s="77"/>
      <c r="LU124" s="77"/>
      <c r="LV124" s="77"/>
      <c r="LW124" s="77"/>
      <c r="LX124" s="77"/>
      <c r="LY124" s="77"/>
      <c r="LZ124" s="77"/>
      <c r="MA124" s="77"/>
      <c r="MB124" s="77"/>
      <c r="MC124" s="77"/>
      <c r="MD124" s="77"/>
      <c r="ME124" s="77"/>
      <c r="MF124" s="77"/>
      <c r="MG124" s="77"/>
      <c r="MH124" s="77"/>
      <c r="MI124" s="77"/>
      <c r="MJ124" s="77"/>
      <c r="MK124" s="77"/>
      <c r="ML124" s="77"/>
      <c r="MM124" s="77"/>
      <c r="MN124" s="77"/>
      <c r="MO124" s="77"/>
      <c r="MP124" s="77"/>
      <c r="MQ124" s="77"/>
      <c r="MR124" s="77"/>
      <c r="MS124" s="77"/>
    </row>
    <row r="125" spans="1:421" ht="18.600000000000001" customHeight="1" x14ac:dyDescent="0.25">
      <c r="A125" s="121" t="s">
        <v>6360</v>
      </c>
      <c r="B125" s="27" t="s">
        <v>6934</v>
      </c>
      <c r="C125" s="27" t="s">
        <v>6933</v>
      </c>
      <c r="D125" s="12" t="s">
        <v>6359</v>
      </c>
      <c r="E125" s="30" t="str">
        <f>HYPERLINK("http://twiplomacy.com/info/south-america/Brazil","http://twiplomacy.com/info/south-america/Brazil")</f>
        <v>http://twiplomacy.com/info/south-america/Brazil</v>
      </c>
      <c r="F125" s="10" t="s">
        <v>668</v>
      </c>
      <c r="G125" s="10" t="s">
        <v>673</v>
      </c>
      <c r="H125" s="10" t="s">
        <v>860</v>
      </c>
      <c r="I125" s="10" t="s">
        <v>773</v>
      </c>
      <c r="J125" s="38"/>
      <c r="K125" s="15" t="s">
        <v>777</v>
      </c>
      <c r="L125" s="38"/>
      <c r="M125" s="38"/>
      <c r="N125" s="19" t="s">
        <v>6363</v>
      </c>
      <c r="O125" s="27" t="s">
        <v>6362</v>
      </c>
      <c r="P125" s="80">
        <v>2436</v>
      </c>
      <c r="Q125" s="80">
        <v>1499</v>
      </c>
      <c r="R125" s="27" t="s">
        <v>2994</v>
      </c>
      <c r="S125" s="12" t="s">
        <v>6361</v>
      </c>
      <c r="T125" s="10" t="s">
        <v>771</v>
      </c>
      <c r="U125" s="10" t="s">
        <v>771</v>
      </c>
      <c r="V125" s="10" t="s">
        <v>771</v>
      </c>
      <c r="W125" s="42"/>
      <c r="X125" s="39" t="s">
        <v>6360</v>
      </c>
      <c r="Y125" s="27" t="s">
        <v>6934</v>
      </c>
      <c r="Z125" s="80">
        <v>9004</v>
      </c>
      <c r="AA125" s="27">
        <v>5789</v>
      </c>
      <c r="AB125" s="80">
        <v>1431343</v>
      </c>
      <c r="AC125" s="38"/>
      <c r="AD125" s="27" t="s">
        <v>6407</v>
      </c>
      <c r="AE125" s="38"/>
      <c r="AF125" s="27" t="s">
        <v>6933</v>
      </c>
      <c r="AG125" s="27" t="s">
        <v>2697</v>
      </c>
      <c r="AH125" s="38"/>
      <c r="AI125" s="38"/>
      <c r="AJ125" s="38"/>
      <c r="AK125" s="38"/>
      <c r="AL125" s="38"/>
      <c r="AM125" s="97">
        <f t="shared" si="1"/>
        <v>0</v>
      </c>
      <c r="AN125" s="39" t="s">
        <v>6360</v>
      </c>
      <c r="AO125" s="27">
        <v>0</v>
      </c>
      <c r="AP125" s="27">
        <v>3</v>
      </c>
      <c r="AQ125" s="27">
        <v>3</v>
      </c>
      <c r="AR125" s="27">
        <f>SUM(AO125:AQ125)</f>
        <v>6</v>
      </c>
      <c r="AS125" s="27"/>
      <c r="AT125" s="27" t="s">
        <v>6760</v>
      </c>
      <c r="AU125" s="84" t="s">
        <v>6497</v>
      </c>
      <c r="AV125" s="77"/>
      <c r="AW125" s="77"/>
      <c r="AX125" s="77"/>
      <c r="AY125" s="77"/>
      <c r="AZ125" s="77"/>
      <c r="BA125" s="77"/>
      <c r="BB125" s="77"/>
      <c r="BC125" s="77"/>
      <c r="BD125" s="77"/>
      <c r="BE125" s="77"/>
      <c r="BF125" s="77"/>
      <c r="BG125" s="77"/>
      <c r="BH125" s="77"/>
      <c r="BI125" s="77"/>
      <c r="BJ125" s="77"/>
      <c r="BK125" s="77"/>
      <c r="BL125" s="77"/>
      <c r="BN125" s="77"/>
      <c r="BO125" s="77"/>
      <c r="BP125" s="77"/>
      <c r="CC125" s="77"/>
      <c r="CD125" s="77"/>
      <c r="CE125" s="77"/>
      <c r="CF125" s="77"/>
      <c r="CG125" s="77"/>
      <c r="CH125" s="77"/>
      <c r="CI125" s="77"/>
      <c r="CJ125" s="77"/>
      <c r="CK125" s="77"/>
      <c r="CL125" s="77"/>
      <c r="CM125" s="77"/>
      <c r="CN125" s="77"/>
      <c r="CO125" s="77"/>
      <c r="CP125" s="77"/>
      <c r="CQ125" s="77"/>
      <c r="CR125" s="77"/>
      <c r="CS125" s="77"/>
      <c r="CT125" s="77"/>
      <c r="CU125" s="77"/>
      <c r="CV125" s="77"/>
      <c r="CW125" s="77"/>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P125" s="77"/>
      <c r="EQ125" s="77"/>
      <c r="HL125" s="77"/>
      <c r="HM125" s="77"/>
      <c r="HN125" s="77"/>
      <c r="HO125" s="77"/>
      <c r="HP125" s="77"/>
      <c r="HQ125" s="77"/>
      <c r="HR125" s="77"/>
      <c r="HS125" s="77"/>
      <c r="HT125" s="77"/>
      <c r="HU125" s="77"/>
      <c r="HV125" s="77"/>
      <c r="HW125" s="77"/>
      <c r="HX125" s="77"/>
      <c r="HY125" s="77"/>
      <c r="HZ125" s="77"/>
      <c r="IA125" s="77"/>
      <c r="IB125" s="77"/>
      <c r="IC125" s="77"/>
      <c r="IF125" s="77"/>
      <c r="IG125" s="77"/>
      <c r="IH125" s="77"/>
      <c r="II125" s="77"/>
      <c r="IJ125" s="77"/>
      <c r="IK125" s="77"/>
      <c r="IL125" s="77"/>
      <c r="IM125" s="77"/>
      <c r="IN125" s="77"/>
      <c r="IO125" s="77"/>
      <c r="IP125" s="77"/>
      <c r="IQ125" s="77"/>
      <c r="IR125" s="77"/>
      <c r="IS125" s="77"/>
      <c r="IT125" s="77"/>
      <c r="IU125" s="77"/>
      <c r="IV125" s="77"/>
      <c r="IW125" s="77"/>
      <c r="IX125" s="77"/>
      <c r="IY125" s="77"/>
      <c r="IZ125" s="77"/>
      <c r="JA125" s="77"/>
      <c r="JB125" s="77"/>
      <c r="JC125" s="77"/>
      <c r="JD125" s="77"/>
      <c r="JE125" s="77"/>
      <c r="JF125" s="77"/>
      <c r="JG125" s="77"/>
      <c r="JH125" s="77"/>
      <c r="JI125" s="77"/>
      <c r="JJ125" s="77"/>
      <c r="JK125" s="77"/>
      <c r="JL125" s="77"/>
      <c r="JM125" s="77"/>
      <c r="JN125" s="77"/>
      <c r="JO125" s="77"/>
      <c r="JP125" s="77"/>
      <c r="JQ125" s="77"/>
      <c r="JR125" s="77"/>
      <c r="JS125" s="77"/>
      <c r="JT125" s="77"/>
      <c r="JU125" s="77"/>
      <c r="JV125" s="77"/>
      <c r="JW125" s="77"/>
      <c r="JX125" s="77"/>
      <c r="JY125" s="77"/>
      <c r="JZ125" s="77"/>
      <c r="KA125" s="77"/>
      <c r="KB125" s="77"/>
      <c r="KC125" s="77"/>
      <c r="KD125" s="77"/>
      <c r="KE125" s="77"/>
      <c r="KF125" s="77"/>
      <c r="KG125" s="77"/>
      <c r="KH125" s="77"/>
      <c r="KI125" s="77"/>
      <c r="KJ125" s="77"/>
      <c r="KK125" s="77"/>
      <c r="KL125" s="77"/>
      <c r="LL125" s="77"/>
      <c r="LM125" s="77"/>
      <c r="LN125" s="77"/>
      <c r="LO125" s="77"/>
      <c r="LP125" s="77"/>
      <c r="LQ125" s="77"/>
      <c r="LR125" s="77"/>
      <c r="LS125" s="77"/>
      <c r="LT125" s="77"/>
      <c r="LU125" s="77"/>
      <c r="LV125" s="77"/>
      <c r="ND125" s="77"/>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row>
    <row r="126" spans="1:421" ht="18.600000000000001" customHeight="1" x14ac:dyDescent="0.25">
      <c r="A126" s="119" t="s">
        <v>69</v>
      </c>
      <c r="B126" s="27" t="s">
        <v>954</v>
      </c>
      <c r="C126" s="27" t="s">
        <v>6388</v>
      </c>
      <c r="D126" s="30" t="str">
        <f>HYPERLINK("https://twitter.com/ForeignOfficeKE","https://twitter.com/ForeignOfficeKE")</f>
        <v>https://twitter.com/ForeignOfficeKE</v>
      </c>
      <c r="E126" s="30" t="str">
        <f>HYPERLINK("http://twiplomacy.com/info/africa/Kenya","http://twiplomacy.com/info/africa/Kenya")</f>
        <v>http://twiplomacy.com/info/africa/Kenya</v>
      </c>
      <c r="F126" s="10" t="s">
        <v>1</v>
      </c>
      <c r="G126" s="10" t="s">
        <v>65</v>
      </c>
      <c r="H126" s="10" t="s">
        <v>795</v>
      </c>
      <c r="I126" s="10" t="s">
        <v>782</v>
      </c>
      <c r="J126" s="27" t="s">
        <v>789</v>
      </c>
      <c r="K126" s="15" t="s">
        <v>777</v>
      </c>
      <c r="L126" s="10" t="s">
        <v>771</v>
      </c>
      <c r="M126" s="10" t="s">
        <v>770</v>
      </c>
      <c r="N126" s="30" t="str">
        <f>HYPERLINK("https://twitter.com/ForeignOfficeKE/statuses/337235030994731008","https://twitter.com/ForeignOfficeKE/statuses/337235030994731008")</f>
        <v>https://twitter.com/ForeignOfficeKE/statuses/337235030994731008</v>
      </c>
      <c r="O126" s="30" t="str">
        <f>HYPERLINK("https://twitter.com/ForeignOfficeKE/statuses/440125512640638976","https://twitter.com/ForeignOfficeKE/statuses/440125512640638976")</f>
        <v>https://twitter.com/ForeignOfficeKE/statuses/440125512640638976</v>
      </c>
      <c r="P126" s="46">
        <v>180</v>
      </c>
      <c r="Q126" s="46">
        <v>41</v>
      </c>
      <c r="R126" s="27" t="s">
        <v>2994</v>
      </c>
      <c r="S126" s="30" t="str">
        <f>HYPERLINK("https://twitter.com/ForeignOfficeKE/lists","https://twitter.com/ForeignOfficeKE/lists")</f>
        <v>https://twitter.com/ForeignOfficeKE/lists</v>
      </c>
      <c r="T126" s="10" t="s">
        <v>771</v>
      </c>
      <c r="U126" s="10" t="s">
        <v>771</v>
      </c>
      <c r="V126" s="10" t="s">
        <v>771</v>
      </c>
      <c r="W126" s="10"/>
      <c r="X126" s="27" t="s">
        <v>69</v>
      </c>
      <c r="Y126" s="27" t="s">
        <v>954</v>
      </c>
      <c r="Z126" s="80">
        <v>9002</v>
      </c>
      <c r="AA126" s="27">
        <v>49</v>
      </c>
      <c r="AB126" s="80">
        <v>100780</v>
      </c>
      <c r="AC126" s="27">
        <v>960</v>
      </c>
      <c r="AD126" s="27" t="s">
        <v>3697</v>
      </c>
      <c r="AE126" s="27">
        <v>1447305066</v>
      </c>
      <c r="AF126" s="27" t="s">
        <v>6388</v>
      </c>
      <c r="AG126" s="27" t="s">
        <v>955</v>
      </c>
      <c r="AH126" s="79">
        <v>8.3584029712163392</v>
      </c>
      <c r="AI126" s="83">
        <v>10.703333333333299</v>
      </c>
      <c r="AJ126" s="80">
        <v>4.36387434554974</v>
      </c>
      <c r="AK126" s="80">
        <v>2.8403141361256501</v>
      </c>
      <c r="AL126" s="27">
        <v>170</v>
      </c>
      <c r="AM126" s="97">
        <f t="shared" si="1"/>
        <v>5.3124999999999999E-2</v>
      </c>
      <c r="AN126" s="27" t="s">
        <v>69</v>
      </c>
      <c r="AO126" s="27">
        <v>0</v>
      </c>
      <c r="AP126" s="27">
        <v>63</v>
      </c>
      <c r="AQ126" s="27">
        <v>5</v>
      </c>
      <c r="AR126" s="27">
        <f>SUM(AO126:AQ126)</f>
        <v>68</v>
      </c>
      <c r="AS126" s="27"/>
      <c r="AT126" s="27" t="s">
        <v>6290</v>
      </c>
      <c r="AU126" s="84" t="s">
        <v>4720</v>
      </c>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c r="CU126" s="77"/>
      <c r="CV126" s="77"/>
      <c r="CW126" s="77"/>
      <c r="CX126" s="77"/>
      <c r="CY126" s="77"/>
      <c r="CZ126" s="77"/>
      <c r="DA126" s="77"/>
      <c r="DB126" s="77"/>
      <c r="DC126" s="77"/>
      <c r="DD126" s="77"/>
      <c r="DE126" s="77"/>
      <c r="DF126" s="77"/>
      <c r="DG126" s="77"/>
      <c r="DH126" s="77"/>
      <c r="DI126" s="77"/>
      <c r="DJ126" s="77"/>
      <c r="DK126" s="77"/>
      <c r="DL126" s="77"/>
      <c r="DM126" s="77"/>
      <c r="DN126" s="77"/>
      <c r="DO126" s="77"/>
      <c r="DP126" s="77"/>
      <c r="DQ126" s="77"/>
      <c r="DR126" s="77"/>
      <c r="DS126" s="77"/>
      <c r="DT126" s="77"/>
      <c r="DU126" s="77"/>
      <c r="DV126" s="77"/>
      <c r="DW126" s="77"/>
      <c r="DX126" s="77"/>
      <c r="DY126" s="77"/>
      <c r="DZ126" s="77"/>
      <c r="EA126" s="77"/>
      <c r="EB126" s="77"/>
      <c r="EC126" s="77"/>
      <c r="ED126" s="77"/>
      <c r="EE126" s="77"/>
      <c r="EF126" s="77"/>
      <c r="EG126" s="77"/>
      <c r="EH126" s="77"/>
      <c r="EI126" s="77"/>
      <c r="EJ126" s="77"/>
      <c r="EK126" s="77"/>
      <c r="EL126" s="77"/>
      <c r="EM126" s="77"/>
      <c r="EN126" s="77"/>
      <c r="EO126" s="77"/>
      <c r="EP126" s="77"/>
      <c r="EQ126" s="77"/>
      <c r="ER126" s="77"/>
      <c r="ES126" s="77"/>
      <c r="ET126" s="77"/>
      <c r="EU126" s="77"/>
      <c r="EV126" s="77"/>
      <c r="EW126" s="77"/>
      <c r="EX126" s="77"/>
      <c r="EY126" s="77"/>
      <c r="EZ126" s="77"/>
      <c r="FA126" s="77"/>
      <c r="FB126" s="77"/>
      <c r="FC126" s="77"/>
      <c r="FD126" s="77"/>
      <c r="FE126" s="77"/>
      <c r="FF126" s="77"/>
      <c r="FG126" s="77"/>
      <c r="FH126" s="77"/>
      <c r="FI126" s="77"/>
      <c r="FJ126" s="77"/>
      <c r="FK126" s="77"/>
      <c r="FL126" s="77"/>
      <c r="FM126" s="77"/>
      <c r="FN126" s="77"/>
      <c r="FO126" s="77"/>
      <c r="FP126" s="77"/>
      <c r="FQ126" s="77"/>
      <c r="FR126" s="77"/>
      <c r="FS126" s="77"/>
      <c r="FT126" s="77"/>
      <c r="FU126" s="77"/>
      <c r="FV126" s="77"/>
      <c r="FW126" s="77"/>
      <c r="FX126" s="77"/>
      <c r="FY126" s="77"/>
      <c r="FZ126" s="77"/>
      <c r="GA126" s="77"/>
      <c r="GB126" s="77"/>
      <c r="GC126" s="77"/>
      <c r="GD126" s="77"/>
      <c r="GE126" s="77"/>
      <c r="GF126" s="77"/>
      <c r="GG126" s="77"/>
      <c r="GH126" s="77"/>
      <c r="GI126" s="77"/>
      <c r="GJ126" s="77"/>
      <c r="GK126" s="77"/>
      <c r="ID126" s="77"/>
      <c r="IE126" s="77"/>
      <c r="IF126" s="77"/>
      <c r="IG126" s="77"/>
      <c r="IH126" s="77"/>
      <c r="II126" s="77"/>
      <c r="IJ126" s="77"/>
      <c r="IK126" s="77"/>
      <c r="IL126" s="77"/>
      <c r="IM126" s="77"/>
      <c r="IN126" s="77"/>
      <c r="IO126" s="77"/>
      <c r="IP126" s="77"/>
      <c r="IQ126" s="77"/>
      <c r="IR126" s="77"/>
      <c r="IS126" s="77"/>
      <c r="IT126" s="77"/>
      <c r="IU126" s="77"/>
      <c r="IV126" s="77"/>
      <c r="IW126" s="77"/>
      <c r="IX126" s="77"/>
      <c r="IY126" s="77"/>
      <c r="IZ126" s="77"/>
      <c r="JA126" s="77"/>
      <c r="JB126" s="77"/>
      <c r="JC126" s="77"/>
      <c r="JD126" s="77"/>
      <c r="JE126" s="77"/>
      <c r="JF126" s="77"/>
      <c r="JG126" s="77"/>
      <c r="JH126" s="77"/>
      <c r="JI126" s="77"/>
      <c r="JJ126" s="77"/>
      <c r="JK126" s="77"/>
      <c r="JL126" s="77"/>
      <c r="JM126" s="77"/>
      <c r="JN126" s="77"/>
      <c r="JO126" s="77"/>
      <c r="JP126" s="77"/>
      <c r="JQ126" s="77"/>
      <c r="JR126" s="77"/>
      <c r="JS126" s="77"/>
      <c r="JT126" s="77"/>
      <c r="JU126" s="77"/>
      <c r="JV126" s="77"/>
      <c r="JW126" s="77"/>
      <c r="JX126" s="77"/>
      <c r="JY126" s="77"/>
      <c r="JZ126" s="77"/>
      <c r="KA126" s="77"/>
      <c r="KB126" s="77"/>
      <c r="KC126" s="77"/>
      <c r="KD126" s="77"/>
      <c r="KE126" s="77"/>
      <c r="KF126" s="77"/>
      <c r="KG126" s="77"/>
      <c r="KH126" s="77"/>
      <c r="KI126" s="77"/>
      <c r="KJ126" s="77"/>
      <c r="KK126" s="77"/>
      <c r="KL126" s="77"/>
      <c r="KM126" s="77"/>
      <c r="KN126" s="77"/>
      <c r="KO126" s="77"/>
      <c r="KP126" s="77"/>
      <c r="KQ126" s="77"/>
      <c r="KR126" s="77"/>
      <c r="KS126" s="77"/>
      <c r="KT126" s="77"/>
      <c r="KU126" s="77"/>
      <c r="KV126" s="77"/>
      <c r="KW126" s="77"/>
      <c r="KX126" s="77"/>
      <c r="KY126" s="77"/>
      <c r="KZ126" s="77"/>
      <c r="LA126" s="77"/>
      <c r="LB126" s="77"/>
      <c r="LC126" s="77"/>
      <c r="LD126" s="77"/>
      <c r="LE126" s="77"/>
      <c r="LF126" s="77"/>
      <c r="LG126" s="77"/>
      <c r="LH126" s="77"/>
      <c r="LI126" s="77"/>
      <c r="LJ126" s="77"/>
      <c r="LK126" s="77"/>
      <c r="LL126" s="77"/>
      <c r="LM126" s="77"/>
      <c r="LN126" s="77"/>
      <c r="LO126" s="77"/>
      <c r="LP126" s="77"/>
      <c r="LQ126" s="77"/>
      <c r="LR126" s="77"/>
      <c r="LS126" s="77"/>
      <c r="LT126" s="77"/>
      <c r="LU126" s="77"/>
      <c r="LV126" s="77"/>
      <c r="LW126" s="77"/>
      <c r="LX126" s="77"/>
    </row>
    <row r="127" spans="1:421" ht="18.600000000000001" customHeight="1" x14ac:dyDescent="0.25">
      <c r="A127" s="119" t="s">
        <v>956</v>
      </c>
      <c r="B127" s="27" t="s">
        <v>957</v>
      </c>
      <c r="C127" s="27" t="s">
        <v>958</v>
      </c>
      <c r="D127" s="72" t="str">
        <f>HYPERLINK("https://twitter.com/PSCU_Digital","https://twitter.com/PSCU_Digital")</f>
        <v>https://twitter.com/PSCU_Digital</v>
      </c>
      <c r="E127" s="30" t="str">
        <f>HYPERLINK("http://twiplomacy.com/info/africa/Kenya","http://twiplomacy.com/info/africa/Kenya")</f>
        <v>http://twiplomacy.com/info/africa/Kenya</v>
      </c>
      <c r="F127" s="47" t="s">
        <v>1</v>
      </c>
      <c r="G127" s="47" t="s">
        <v>65</v>
      </c>
      <c r="H127" s="15" t="s">
        <v>781</v>
      </c>
      <c r="I127" s="15" t="s">
        <v>782</v>
      </c>
      <c r="J127" s="27" t="s">
        <v>789</v>
      </c>
      <c r="K127" s="15" t="s">
        <v>777</v>
      </c>
      <c r="L127" s="15" t="s">
        <v>771</v>
      </c>
      <c r="M127" s="15" t="s">
        <v>770</v>
      </c>
      <c r="N127" s="72" t="str">
        <f>HYPERLINK("https://twitter.com/PSCU_Digital/statuses/356862024543780864","https://twitter.com/PSCU_Digital/statuses/356862024543780864")</f>
        <v>https://twitter.com/PSCU_Digital/statuses/356862024543780864</v>
      </c>
      <c r="O127" s="20" t="s">
        <v>959</v>
      </c>
      <c r="P127" s="46">
        <v>418</v>
      </c>
      <c r="Q127" s="46">
        <v>137</v>
      </c>
      <c r="R127" s="27" t="s">
        <v>2994</v>
      </c>
      <c r="S127" s="30" t="str">
        <f>HYPERLINK("https://twitter.com/PSCU_Digital/lists","https://twitter.com/PSCU_Digital/lists")</f>
        <v>https://twitter.com/PSCU_Digital/lists</v>
      </c>
      <c r="T127" s="15" t="s">
        <v>771</v>
      </c>
      <c r="U127" s="15" t="s">
        <v>771</v>
      </c>
      <c r="V127" s="15" t="s">
        <v>771</v>
      </c>
      <c r="W127" s="45"/>
      <c r="X127" s="27" t="s">
        <v>956</v>
      </c>
      <c r="Y127" s="27" t="s">
        <v>957</v>
      </c>
      <c r="Z127" s="80">
        <v>8895</v>
      </c>
      <c r="AA127" s="27">
        <v>579</v>
      </c>
      <c r="AB127" s="80">
        <v>105387</v>
      </c>
      <c r="AC127" s="27">
        <v>86</v>
      </c>
      <c r="AD127" s="27" t="s">
        <v>4393</v>
      </c>
      <c r="AE127" s="27">
        <v>1595205038</v>
      </c>
      <c r="AF127" s="27" t="s">
        <v>958</v>
      </c>
      <c r="AG127" s="27" t="s">
        <v>852</v>
      </c>
      <c r="AH127" s="79">
        <v>8.7035225048923692</v>
      </c>
      <c r="AI127" s="83">
        <v>8.6329787234042605</v>
      </c>
      <c r="AJ127" s="80">
        <v>58.538461538461497</v>
      </c>
      <c r="AK127" s="80">
        <v>11.6876456876457</v>
      </c>
      <c r="AL127" s="27">
        <v>294</v>
      </c>
      <c r="AM127" s="97">
        <f t="shared" si="1"/>
        <v>9.1874999999999998E-2</v>
      </c>
      <c r="AN127" s="27" t="s">
        <v>956</v>
      </c>
      <c r="AO127" s="27">
        <v>19</v>
      </c>
      <c r="AP127" s="27">
        <v>3</v>
      </c>
      <c r="AQ127" s="27">
        <v>5</v>
      </c>
      <c r="AR127" s="27">
        <f>SUM(AO127:AQ127)</f>
        <v>27</v>
      </c>
      <c r="AS127" s="27" t="s">
        <v>5456</v>
      </c>
      <c r="AT127" s="27" t="s">
        <v>5457</v>
      </c>
      <c r="AU127" s="84" t="s">
        <v>4932</v>
      </c>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77"/>
      <c r="EN127" s="77"/>
      <c r="EO127" s="77"/>
      <c r="EP127" s="77"/>
      <c r="EQ127" s="77"/>
      <c r="ER127" s="77"/>
      <c r="ES127" s="77"/>
      <c r="ET127" s="77"/>
      <c r="EU127" s="77"/>
      <c r="EV127" s="77"/>
      <c r="EW127" s="77"/>
      <c r="EX127" s="77"/>
      <c r="EY127" s="77"/>
      <c r="EZ127" s="77"/>
      <c r="FA127" s="77"/>
      <c r="FB127" s="77"/>
      <c r="FC127" s="77"/>
      <c r="FD127" s="77"/>
      <c r="FE127" s="77"/>
      <c r="FF127" s="77"/>
      <c r="FG127" s="77"/>
      <c r="FH127" s="77"/>
      <c r="FI127" s="77"/>
      <c r="FJ127" s="77"/>
      <c r="FK127" s="77"/>
      <c r="FL127" s="77"/>
      <c r="FM127" s="77"/>
      <c r="FN127" s="77"/>
      <c r="FO127" s="77"/>
      <c r="FP127" s="77"/>
      <c r="FQ127" s="77"/>
      <c r="FR127" s="77"/>
      <c r="FS127" s="77"/>
      <c r="FT127" s="77"/>
      <c r="FU127" s="77"/>
      <c r="FV127" s="77"/>
      <c r="FW127" s="77"/>
      <c r="FX127" s="77"/>
      <c r="FY127" s="77"/>
      <c r="FZ127" s="77"/>
      <c r="GA127" s="77"/>
      <c r="GB127" s="77"/>
      <c r="GC127" s="77"/>
      <c r="GD127" s="77"/>
      <c r="GE127" s="77"/>
      <c r="GF127" s="77"/>
      <c r="GG127" s="77"/>
      <c r="GH127" s="77"/>
      <c r="GI127" s="77"/>
      <c r="GJ127" s="77"/>
      <c r="GK127" s="77"/>
      <c r="GL127" s="77"/>
      <c r="GM127" s="77"/>
      <c r="GN127" s="77"/>
      <c r="GO127" s="77"/>
      <c r="GP127" s="77"/>
      <c r="GQ127" s="77"/>
      <c r="GR127" s="77"/>
      <c r="GS127" s="77"/>
      <c r="GT127" s="77"/>
      <c r="GU127" s="77"/>
      <c r="GV127" s="77"/>
      <c r="GW127" s="77"/>
      <c r="GX127" s="77"/>
      <c r="GY127" s="77"/>
      <c r="GZ127" s="77"/>
      <c r="HA127" s="77"/>
      <c r="HB127" s="77"/>
      <c r="HC127" s="77"/>
      <c r="HD127" s="77"/>
      <c r="HE127" s="77"/>
      <c r="HF127" s="77"/>
      <c r="HG127" s="77"/>
      <c r="HH127" s="77"/>
      <c r="HI127" s="77"/>
      <c r="HJ127" s="77"/>
      <c r="HK127" s="77"/>
      <c r="HL127" s="77"/>
      <c r="HM127" s="77"/>
      <c r="HN127" s="77"/>
      <c r="HO127" s="77"/>
      <c r="HP127" s="77"/>
      <c r="HQ127" s="77"/>
      <c r="HR127" s="77"/>
      <c r="HS127" s="77"/>
      <c r="HT127" s="77"/>
      <c r="HU127" s="77"/>
      <c r="HV127" s="77"/>
      <c r="HW127" s="77"/>
      <c r="HX127" s="77"/>
      <c r="HY127" s="77"/>
      <c r="HZ127" s="77"/>
      <c r="IA127" s="77"/>
      <c r="IB127" s="77"/>
      <c r="IC127" s="77"/>
      <c r="ID127" s="77"/>
      <c r="IE127" s="77"/>
      <c r="IF127" s="77"/>
      <c r="IG127" s="77"/>
      <c r="IH127" s="77"/>
      <c r="II127" s="77"/>
      <c r="IJ127" s="77"/>
      <c r="IK127" s="77"/>
      <c r="IL127" s="77"/>
      <c r="IM127" s="77"/>
      <c r="IN127" s="77"/>
      <c r="IO127" s="77"/>
      <c r="IP127" s="77"/>
      <c r="IQ127" s="77"/>
      <c r="IR127" s="77"/>
      <c r="IS127" s="77"/>
      <c r="IT127" s="77"/>
      <c r="IU127" s="77"/>
      <c r="IV127" s="77"/>
      <c r="IW127" s="77"/>
      <c r="IX127" s="77"/>
      <c r="IY127" s="77"/>
      <c r="IZ127" s="77"/>
      <c r="JA127" s="77"/>
      <c r="JB127" s="77"/>
      <c r="JC127" s="77"/>
      <c r="JD127" s="77"/>
      <c r="JE127" s="77"/>
      <c r="JF127" s="77"/>
      <c r="JG127" s="77"/>
      <c r="JH127" s="77"/>
      <c r="JI127" s="77"/>
      <c r="JJ127" s="77"/>
      <c r="JK127" s="77"/>
      <c r="JL127" s="77"/>
      <c r="JM127" s="77"/>
      <c r="JN127" s="77"/>
      <c r="JO127" s="77"/>
      <c r="JP127" s="77"/>
      <c r="JQ127" s="77"/>
      <c r="JR127" s="77"/>
      <c r="JS127" s="77"/>
      <c r="JT127" s="77"/>
      <c r="JU127" s="77"/>
      <c r="JV127" s="77"/>
      <c r="JW127" s="77"/>
      <c r="JX127" s="77"/>
    </row>
    <row r="128" spans="1:421" ht="18.600000000000001" customHeight="1" x14ac:dyDescent="0.25">
      <c r="A128" s="119" t="s">
        <v>2284</v>
      </c>
      <c r="B128" s="27" t="s">
        <v>2285</v>
      </c>
      <c r="C128" s="27" t="s">
        <v>2286</v>
      </c>
      <c r="D128" s="30" t="str">
        <f>HYPERLINK("https://twitter.com/TROfficeofPD","https://twitter.com/TROfficeofPD")</f>
        <v>https://twitter.com/TROfficeofPD</v>
      </c>
      <c r="E128" s="30" t="str">
        <f>HYPERLINK("http://twiplomacy.com/info/europe/Turkey","http://twiplomacy.com/info/europe/Turkey")</f>
        <v>http://twiplomacy.com/info/europe/Turkey</v>
      </c>
      <c r="F128" s="10" t="s">
        <v>332</v>
      </c>
      <c r="G128" s="10" t="s">
        <v>536</v>
      </c>
      <c r="H128" s="10" t="s">
        <v>795</v>
      </c>
      <c r="I128" s="10" t="s">
        <v>782</v>
      </c>
      <c r="J128" s="27" t="s">
        <v>2254</v>
      </c>
      <c r="K128" s="10" t="s">
        <v>777</v>
      </c>
      <c r="L128" s="10" t="s">
        <v>771</v>
      </c>
      <c r="M128" s="10" t="s">
        <v>770</v>
      </c>
      <c r="N128" s="30" t="str">
        <f>HYPERLINK("https://twitter.com/TROfficeofPD/statuses/22598029148164096","https://twitter.com/TROfficeofPD/statuses/22598029148164096")</f>
        <v>https://twitter.com/TROfficeofPD/statuses/22598029148164096</v>
      </c>
      <c r="O128" s="20" t="s">
        <v>2287</v>
      </c>
      <c r="P128" s="46">
        <v>311</v>
      </c>
      <c r="Q128" s="46">
        <v>140</v>
      </c>
      <c r="R128" s="27" t="s">
        <v>2994</v>
      </c>
      <c r="S128" s="10" t="s">
        <v>2288</v>
      </c>
      <c r="T128" s="10" t="s">
        <v>771</v>
      </c>
      <c r="U128" s="10" t="s">
        <v>771</v>
      </c>
      <c r="V128" s="10" t="s">
        <v>771</v>
      </c>
      <c r="W128" s="10"/>
      <c r="X128" s="27" t="s">
        <v>2284</v>
      </c>
      <c r="Y128" s="27" t="s">
        <v>2285</v>
      </c>
      <c r="Z128" s="80">
        <v>8740</v>
      </c>
      <c r="AA128" s="27">
        <v>272</v>
      </c>
      <c r="AB128" s="80">
        <v>25300</v>
      </c>
      <c r="AC128" s="27">
        <v>28</v>
      </c>
      <c r="AD128" s="27" t="s">
        <v>4533</v>
      </c>
      <c r="AE128" s="27">
        <v>231081762</v>
      </c>
      <c r="AF128" s="27" t="s">
        <v>2286</v>
      </c>
      <c r="AG128" s="27" t="s">
        <v>2273</v>
      </c>
      <c r="AH128" s="79">
        <v>4.4751664106502798</v>
      </c>
      <c r="AI128" s="83">
        <v>7.0347071583514102</v>
      </c>
      <c r="AJ128" s="80">
        <v>12.0333535476046</v>
      </c>
      <c r="AK128" s="80">
        <v>7.1115827774408702</v>
      </c>
      <c r="AL128" s="27">
        <v>346</v>
      </c>
      <c r="AM128" s="97">
        <f t="shared" si="1"/>
        <v>0.108125</v>
      </c>
      <c r="AN128" s="27" t="s">
        <v>2284</v>
      </c>
      <c r="AO128" s="27">
        <v>18</v>
      </c>
      <c r="AP128" s="27">
        <v>33</v>
      </c>
      <c r="AQ128" s="27">
        <v>13</v>
      </c>
      <c r="AR128" s="27">
        <f>SUM(AO128:AQ128)</f>
        <v>64</v>
      </c>
      <c r="AS128" s="27" t="s">
        <v>5521</v>
      </c>
      <c r="AT128" s="27" t="s">
        <v>5522</v>
      </c>
      <c r="AU128" s="84" t="s">
        <v>4970</v>
      </c>
      <c r="BQ128" s="77"/>
      <c r="BR128" s="77"/>
      <c r="BS128" s="77"/>
      <c r="BT128" s="77"/>
      <c r="BU128" s="77"/>
      <c r="BV128" s="77"/>
      <c r="BW128" s="77"/>
      <c r="BX128" s="77"/>
      <c r="BY128" s="77"/>
      <c r="BZ128" s="77"/>
      <c r="CA128" s="77"/>
      <c r="CB128" s="77"/>
      <c r="CC128" s="77"/>
      <c r="CD128" s="77"/>
      <c r="CE128" s="77"/>
      <c r="CF128" s="77"/>
      <c r="CG128" s="77"/>
      <c r="CH128" s="77"/>
      <c r="CI128" s="77"/>
      <c r="CJ128" s="77"/>
      <c r="CK128" s="77"/>
      <c r="CL128" s="77"/>
      <c r="CM128" s="77"/>
      <c r="CN128" s="77"/>
      <c r="CO128" s="77"/>
      <c r="CP128" s="77"/>
      <c r="CQ128" s="77"/>
      <c r="CR128" s="77"/>
      <c r="CS128" s="77"/>
      <c r="CT128" s="77"/>
      <c r="CU128" s="77"/>
      <c r="CV128" s="77"/>
      <c r="CW128" s="77"/>
      <c r="CX128" s="77"/>
      <c r="CY128" s="77"/>
      <c r="CZ128" s="77"/>
      <c r="DA128" s="77"/>
      <c r="DB128" s="77"/>
      <c r="DC128" s="77"/>
      <c r="DD128" s="77"/>
      <c r="DE128" s="77"/>
      <c r="DF128" s="77"/>
      <c r="DG128" s="77"/>
      <c r="DH128" s="77"/>
      <c r="DI128" s="77"/>
      <c r="DJ128" s="77"/>
      <c r="DK128" s="77"/>
      <c r="DL128" s="77"/>
      <c r="DM128" s="77"/>
      <c r="DN128" s="77"/>
      <c r="DO128" s="77"/>
      <c r="DP128" s="77"/>
      <c r="DQ128" s="77"/>
      <c r="DR128" s="77"/>
      <c r="DS128" s="77"/>
      <c r="DT128" s="77"/>
      <c r="DU128" s="77"/>
      <c r="DV128" s="77"/>
      <c r="DW128" s="77"/>
      <c r="DX128" s="77"/>
      <c r="DY128" s="77"/>
      <c r="DZ128" s="77"/>
      <c r="EA128" s="77"/>
      <c r="EB128" s="77"/>
      <c r="EC128" s="77"/>
      <c r="ED128" s="77"/>
      <c r="EE128" s="77"/>
      <c r="EF128" s="77"/>
      <c r="EG128" s="77"/>
      <c r="EH128" s="77"/>
      <c r="EI128" s="77"/>
      <c r="EJ128" s="77"/>
      <c r="EK128" s="77"/>
      <c r="EL128" s="77"/>
      <c r="EM128" s="77"/>
      <c r="EN128" s="77"/>
      <c r="EO128" s="77"/>
      <c r="EP128" s="77"/>
      <c r="EQ128" s="77"/>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ID128" s="77"/>
      <c r="IE128" s="77"/>
      <c r="IF128" s="77"/>
      <c r="IG128" s="77"/>
      <c r="IH128" s="77"/>
      <c r="II128" s="77"/>
      <c r="IJ128" s="77"/>
      <c r="IK128" s="77"/>
      <c r="IL128" s="77"/>
      <c r="IM128" s="77"/>
      <c r="IN128" s="77"/>
      <c r="IO128" s="77"/>
      <c r="IP128" s="77"/>
      <c r="IQ128" s="77"/>
      <c r="IR128" s="77"/>
      <c r="IS128" s="77"/>
      <c r="IT128" s="77"/>
      <c r="IU128" s="77"/>
      <c r="IV128" s="77"/>
      <c r="IW128" s="77"/>
      <c r="IX128" s="77"/>
      <c r="IY128" s="77"/>
      <c r="IZ128" s="77"/>
      <c r="JA128" s="77"/>
      <c r="JB128" s="77"/>
      <c r="JC128" s="77"/>
      <c r="JD128" s="77"/>
      <c r="JE128" s="77"/>
      <c r="JF128" s="77"/>
      <c r="JG128" s="77"/>
      <c r="JH128" s="77"/>
      <c r="JI128" s="77"/>
      <c r="JJ128" s="77"/>
      <c r="JK128" s="77"/>
      <c r="JL128" s="77"/>
      <c r="JM128" s="77"/>
      <c r="JN128" s="77"/>
      <c r="JO128" s="77"/>
      <c r="JP128" s="77"/>
      <c r="JQ128" s="77"/>
      <c r="JR128" s="77"/>
      <c r="JS128" s="77"/>
      <c r="JT128" s="77"/>
      <c r="JU128" s="77"/>
      <c r="JV128" s="77"/>
      <c r="JW128" s="77"/>
      <c r="JX128" s="77"/>
      <c r="JY128" s="77"/>
      <c r="JZ128" s="77"/>
      <c r="KA128" s="77"/>
      <c r="KB128" s="77"/>
      <c r="KC128" s="77"/>
      <c r="KD128" s="77"/>
      <c r="KE128" s="77"/>
      <c r="KF128" s="77"/>
      <c r="KG128" s="77"/>
      <c r="KH128" s="77"/>
      <c r="KI128" s="77"/>
      <c r="KJ128" s="77"/>
      <c r="KK128" s="77"/>
      <c r="KL128" s="77"/>
      <c r="KM128" s="77"/>
      <c r="KN128" s="77"/>
      <c r="KO128" s="77"/>
      <c r="KP128" s="77"/>
      <c r="KQ128" s="77"/>
      <c r="KR128" s="77"/>
      <c r="KS128" s="77"/>
      <c r="KT128" s="77"/>
      <c r="KU128" s="77"/>
      <c r="KV128" s="77"/>
      <c r="KW128" s="77"/>
      <c r="KX128" s="77"/>
      <c r="KY128" s="77"/>
      <c r="KZ128" s="77"/>
      <c r="LA128" s="77"/>
      <c r="LB128" s="77"/>
      <c r="LC128" s="77"/>
      <c r="LD128" s="77"/>
      <c r="LE128" s="77"/>
      <c r="LF128" s="77"/>
      <c r="LG128" s="77"/>
      <c r="LH128" s="77"/>
      <c r="LI128" s="77"/>
      <c r="LJ128" s="77"/>
      <c r="LK128" s="77"/>
      <c r="LL128" s="77"/>
      <c r="LM128" s="77"/>
      <c r="LN128" s="77"/>
      <c r="LO128" s="77"/>
      <c r="LP128" s="77"/>
      <c r="LQ128" s="77"/>
      <c r="LR128" s="77"/>
      <c r="LS128" s="77"/>
      <c r="LT128" s="77"/>
      <c r="LU128" s="77"/>
      <c r="LV128" s="77"/>
      <c r="MS128" s="77"/>
      <c r="MT128" s="77"/>
      <c r="MU128" s="77"/>
      <c r="MV128" s="77"/>
      <c r="MW128" s="77"/>
      <c r="MX128" s="77"/>
      <c r="MY128" s="77"/>
      <c r="MZ128" s="77"/>
      <c r="NA128" s="77"/>
      <c r="NB128" s="77"/>
      <c r="NC128" s="77"/>
    </row>
    <row r="129" spans="1:421" ht="18.600000000000001" customHeight="1" x14ac:dyDescent="0.25">
      <c r="A129" s="119" t="s">
        <v>387</v>
      </c>
      <c r="B129" s="27" t="s">
        <v>1862</v>
      </c>
      <c r="C129" s="27" t="s">
        <v>6464</v>
      </c>
      <c r="D129" s="30" t="str">
        <f>HYPERLINK("https://twitter.com/VladaMK","https://twitter.com/VladaMK")</f>
        <v>https://twitter.com/VladaMK</v>
      </c>
      <c r="E129" s="30" t="str">
        <f>HYPERLINK("http://twiplomacy.com/info/europe/f-y-r-o-m/","http://twiplomacy.com/info/europe/f-y-r-o-m/")</f>
        <v>http://twiplomacy.com/info/europe/f-y-r-o-m/</v>
      </c>
      <c r="F129" s="10" t="s">
        <v>332</v>
      </c>
      <c r="G129" s="10" t="s">
        <v>385</v>
      </c>
      <c r="H129" s="10" t="s">
        <v>788</v>
      </c>
      <c r="I129" s="10" t="s">
        <v>782</v>
      </c>
      <c r="J129" s="27" t="s">
        <v>789</v>
      </c>
      <c r="K129" s="15" t="s">
        <v>777</v>
      </c>
      <c r="L129" s="10" t="s">
        <v>771</v>
      </c>
      <c r="M129" s="10" t="s">
        <v>770</v>
      </c>
      <c r="N129" s="30" t="str">
        <f>HYPERLINK("https://twitter.com/VladaMK/statuses/130077672796733440","https://twitter.com/VladaMK/statuses/130077672796733440")</f>
        <v>https://twitter.com/VladaMK/statuses/130077672796733440</v>
      </c>
      <c r="O129" s="27" t="s">
        <v>6130</v>
      </c>
      <c r="P129" s="80">
        <v>15</v>
      </c>
      <c r="Q129" s="80">
        <v>45</v>
      </c>
      <c r="R129" s="27" t="s">
        <v>2995</v>
      </c>
      <c r="S129" s="10" t="s">
        <v>1863</v>
      </c>
      <c r="T129" s="10" t="s">
        <v>771</v>
      </c>
      <c r="U129" s="10" t="s">
        <v>771</v>
      </c>
      <c r="V129" s="10" t="s">
        <v>771</v>
      </c>
      <c r="W129" s="10"/>
      <c r="X129" s="27" t="s">
        <v>387</v>
      </c>
      <c r="Y129" s="27" t="s">
        <v>1862</v>
      </c>
      <c r="Z129" s="80">
        <v>8659</v>
      </c>
      <c r="AA129" s="27">
        <v>19</v>
      </c>
      <c r="AB129" s="80">
        <v>3952</v>
      </c>
      <c r="AC129" s="27">
        <v>13</v>
      </c>
      <c r="AD129" s="27" t="s">
        <v>4586</v>
      </c>
      <c r="AE129" s="27">
        <v>382673029</v>
      </c>
      <c r="AF129" s="27" t="s">
        <v>6464</v>
      </c>
      <c r="AG129" s="27" t="s">
        <v>1864</v>
      </c>
      <c r="AH129" s="79">
        <v>5.1664677804295902</v>
      </c>
      <c r="AI129" s="83">
        <v>3.07992388201713</v>
      </c>
      <c r="AJ129" s="80">
        <v>0.119555143651529</v>
      </c>
      <c r="AK129" s="80">
        <v>0.51158480074142698</v>
      </c>
      <c r="AL129" s="96">
        <v>13</v>
      </c>
      <c r="AM129" s="97">
        <f t="shared" si="1"/>
        <v>4.0625000000000001E-3</v>
      </c>
      <c r="AN129" s="27" t="s">
        <v>387</v>
      </c>
      <c r="AO129" s="27">
        <v>0</v>
      </c>
      <c r="AP129" s="27">
        <v>10</v>
      </c>
      <c r="AQ129" s="27">
        <v>1</v>
      </c>
      <c r="AR129" s="27">
        <f>SUM(AO129:AQ129)</f>
        <v>11</v>
      </c>
      <c r="AS129" s="27"/>
      <c r="AT129" s="27" t="s">
        <v>6873</v>
      </c>
      <c r="AU129" s="84" t="s">
        <v>388</v>
      </c>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7"/>
      <c r="CW129" s="77"/>
      <c r="CX129" s="77"/>
      <c r="CY129" s="77"/>
      <c r="CZ129" s="77"/>
      <c r="DA129" s="77"/>
      <c r="DB129" s="77"/>
      <c r="DC129" s="77"/>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7"/>
      <c r="ET129" s="77"/>
      <c r="EU129" s="77"/>
      <c r="EV129" s="77"/>
      <c r="EW129" s="77"/>
      <c r="EX129" s="77"/>
      <c r="EY129" s="77"/>
      <c r="EZ129" s="77"/>
      <c r="FA129" s="77"/>
      <c r="FB129" s="77"/>
      <c r="FC129" s="77"/>
      <c r="FD129" s="77"/>
      <c r="FE129" s="77"/>
      <c r="FF129" s="77"/>
      <c r="FG129" s="77"/>
      <c r="FH129" s="77"/>
      <c r="FI129" s="77"/>
      <c r="FJ129" s="77"/>
      <c r="FK129" s="77"/>
      <c r="FL129" s="77"/>
      <c r="FM129" s="77"/>
      <c r="FN129" s="77"/>
      <c r="FO129" s="77"/>
      <c r="FP129" s="77"/>
      <c r="FQ129" s="77"/>
      <c r="FR129" s="77"/>
      <c r="FS129" s="77"/>
      <c r="FT129" s="77"/>
      <c r="FU129" s="77"/>
      <c r="FV129" s="77"/>
      <c r="FW129" s="77"/>
      <c r="FX129" s="77"/>
      <c r="FY129" s="77"/>
      <c r="FZ129" s="77"/>
      <c r="GA129" s="77"/>
      <c r="GB129" s="77"/>
      <c r="GC129" s="77"/>
      <c r="GD129" s="77"/>
      <c r="GE129" s="77"/>
      <c r="GF129" s="77"/>
      <c r="GG129" s="77"/>
      <c r="GH129" s="77"/>
      <c r="GI129" s="77"/>
      <c r="GJ129" s="77"/>
      <c r="GK129" s="77"/>
      <c r="GL129" s="77"/>
      <c r="GM129" s="77"/>
      <c r="GN129" s="77"/>
      <c r="GO129" s="77"/>
      <c r="GP129" s="77"/>
      <c r="GQ129" s="77"/>
      <c r="GR129" s="77"/>
      <c r="GS129" s="77"/>
      <c r="GT129" s="77"/>
      <c r="GU129" s="77"/>
      <c r="GV129" s="77"/>
      <c r="GW129" s="77"/>
      <c r="GX129" s="77"/>
      <c r="GY129" s="77"/>
      <c r="GZ129" s="77"/>
      <c r="HA129" s="77"/>
      <c r="HB129" s="77"/>
      <c r="HC129" s="77"/>
      <c r="HD129" s="77"/>
      <c r="HE129" s="77"/>
      <c r="HF129" s="77"/>
      <c r="HG129" s="77"/>
      <c r="HH129" s="77"/>
      <c r="HI129" s="77"/>
      <c r="HJ129" s="77"/>
      <c r="HK129" s="77"/>
      <c r="HL129" s="77"/>
      <c r="HM129" s="77"/>
      <c r="HN129" s="77"/>
      <c r="HO129" s="77"/>
      <c r="HP129" s="77"/>
      <c r="HQ129" s="77"/>
      <c r="HR129" s="77"/>
      <c r="HS129" s="77"/>
      <c r="HT129" s="77"/>
      <c r="HU129" s="77"/>
      <c r="HV129" s="77"/>
      <c r="HW129" s="77"/>
      <c r="HX129" s="77"/>
      <c r="HY129" s="77"/>
      <c r="HZ129" s="77"/>
      <c r="IA129" s="77"/>
      <c r="IB129" s="77"/>
      <c r="IC129" s="77"/>
      <c r="JY129" s="77"/>
      <c r="JZ129" s="77"/>
      <c r="KA129" s="77"/>
      <c r="KB129" s="77"/>
      <c r="KC129" s="77"/>
      <c r="KD129" s="77"/>
      <c r="KE129" s="77"/>
      <c r="KF129" s="77"/>
      <c r="KG129" s="77"/>
      <c r="KH129" s="77"/>
      <c r="KI129" s="77"/>
      <c r="KJ129" s="77"/>
      <c r="KK129" s="77"/>
      <c r="KL129" s="77"/>
      <c r="KM129" s="77"/>
      <c r="KN129" s="77"/>
      <c r="KO129" s="77"/>
      <c r="KP129" s="77"/>
      <c r="KQ129" s="77"/>
      <c r="KR129" s="77"/>
      <c r="KS129" s="77"/>
      <c r="KT129" s="77"/>
      <c r="KU129" s="77"/>
      <c r="KV129" s="77"/>
      <c r="KW129" s="77"/>
      <c r="KX129" s="77"/>
      <c r="KY129" s="77"/>
      <c r="KZ129" s="77"/>
      <c r="LA129" s="77"/>
      <c r="LB129" s="77"/>
      <c r="LC129" s="77"/>
      <c r="LD129" s="77"/>
      <c r="LE129" s="77"/>
      <c r="LF129" s="77"/>
      <c r="LG129" s="77"/>
      <c r="LH129" s="77"/>
      <c r="LI129" s="77"/>
      <c r="LJ129" s="77"/>
      <c r="LK129" s="77"/>
      <c r="LL129" s="77"/>
      <c r="LM129" s="77"/>
      <c r="LN129" s="77"/>
      <c r="LO129" s="77"/>
      <c r="LP129" s="77"/>
      <c r="LQ129" s="77"/>
      <c r="LR129" s="77"/>
      <c r="LS129" s="77"/>
      <c r="LT129" s="77"/>
      <c r="LU129" s="77"/>
      <c r="LV129" s="77"/>
      <c r="LW129" s="77"/>
      <c r="LX129" s="77"/>
      <c r="MT129" s="77"/>
      <c r="MU129" s="77"/>
      <c r="MV129" s="77"/>
      <c r="MW129" s="77"/>
      <c r="MX129" s="77"/>
      <c r="MY129" s="77"/>
      <c r="MZ129" s="77"/>
      <c r="NA129" s="77"/>
      <c r="NB129" s="77"/>
      <c r="NC129" s="77"/>
      <c r="ND129" s="77"/>
    </row>
    <row r="130" spans="1:421" ht="18.600000000000001" customHeight="1" x14ac:dyDescent="0.25">
      <c r="A130" s="119" t="s">
        <v>618</v>
      </c>
      <c r="B130" s="27" t="s">
        <v>2515</v>
      </c>
      <c r="C130" s="27" t="s">
        <v>2516</v>
      </c>
      <c r="D130" s="30" t="str">
        <f>HYPERLINK("https://twitter.com/JC_Varela","https://twitter.com/JC_Varela")</f>
        <v>https://twitter.com/JC_Varela</v>
      </c>
      <c r="E130" s="30" t="str">
        <f>HYPERLINK("http://twiplomacy.com/info/north-america/Panama","http://twiplomacy.com/info/north-america/Panama")</f>
        <v>http://twiplomacy.com/info/north-america/Panama</v>
      </c>
      <c r="F130" s="10" t="s">
        <v>558</v>
      </c>
      <c r="G130" s="10" t="s">
        <v>617</v>
      </c>
      <c r="H130" s="10" t="s">
        <v>772</v>
      </c>
      <c r="I130" s="10" t="s">
        <v>773</v>
      </c>
      <c r="J130" s="27" t="s">
        <v>2226</v>
      </c>
      <c r="K130" s="15" t="s">
        <v>777</v>
      </c>
      <c r="L130" s="10"/>
      <c r="M130" s="10" t="s">
        <v>770</v>
      </c>
      <c r="N130" s="30" t="str">
        <f>HYPERLINK("https://twitter.com/JC_Varela/statuses/25999173916561408","https://twitter.com/JC_Varela/statuses/25999173916561408")</f>
        <v>https://twitter.com/JC_Varela/statuses/25999173916561408</v>
      </c>
      <c r="O130" s="20" t="s">
        <v>2517</v>
      </c>
      <c r="P130" s="46">
        <v>4101</v>
      </c>
      <c r="Q130" s="46">
        <v>1667</v>
      </c>
      <c r="R130" s="27" t="s">
        <v>2994</v>
      </c>
      <c r="S130" s="10" t="s">
        <v>2518</v>
      </c>
      <c r="T130" s="10" t="s">
        <v>771</v>
      </c>
      <c r="U130" s="10" t="s">
        <v>771</v>
      </c>
      <c r="V130" s="10" t="s">
        <v>771</v>
      </c>
      <c r="W130" s="10"/>
      <c r="X130" s="27" t="s">
        <v>618</v>
      </c>
      <c r="Y130" s="27" t="s">
        <v>2515</v>
      </c>
      <c r="Z130" s="80">
        <v>8634</v>
      </c>
      <c r="AA130" s="27">
        <v>1113</v>
      </c>
      <c r="AB130" s="80">
        <v>361939</v>
      </c>
      <c r="AC130" s="27">
        <v>213</v>
      </c>
      <c r="AD130" s="27" t="s">
        <v>3880</v>
      </c>
      <c r="AE130" s="27">
        <v>216457140</v>
      </c>
      <c r="AF130" s="27" t="s">
        <v>2516</v>
      </c>
      <c r="AG130" s="27" t="s">
        <v>2519</v>
      </c>
      <c r="AH130" s="79">
        <v>4.3321625689914702</v>
      </c>
      <c r="AI130" s="83">
        <v>12.5193798449612</v>
      </c>
      <c r="AJ130" s="80">
        <v>78.862745098039198</v>
      </c>
      <c r="AK130" s="80">
        <v>49.7811764705882</v>
      </c>
      <c r="AL130" s="27">
        <v>6</v>
      </c>
      <c r="AM130" s="97">
        <f t="shared" si="1"/>
        <v>1.8749999999999999E-3</v>
      </c>
      <c r="AN130" s="27" t="s">
        <v>618</v>
      </c>
      <c r="AO130" s="27">
        <v>23</v>
      </c>
      <c r="AP130" s="27">
        <v>16</v>
      </c>
      <c r="AQ130" s="27">
        <v>11</v>
      </c>
      <c r="AR130" s="27">
        <f>SUM(AO130:AQ130)</f>
        <v>50</v>
      </c>
      <c r="AS130" s="27" t="s">
        <v>6575</v>
      </c>
      <c r="AT130" s="27" t="s">
        <v>6756</v>
      </c>
      <c r="AU130" s="84" t="s">
        <v>4775</v>
      </c>
      <c r="AV130" s="77"/>
      <c r="AW130" s="77"/>
      <c r="AX130" s="77"/>
      <c r="AY130" s="77"/>
      <c r="AZ130" s="77"/>
      <c r="BA130" s="77"/>
      <c r="BB130" s="77"/>
      <c r="BC130" s="77"/>
      <c r="BD130" s="77"/>
      <c r="BE130" s="77"/>
      <c r="BF130" s="77"/>
      <c r="BG130" s="77"/>
      <c r="BH130" s="77"/>
      <c r="BI130" s="77"/>
      <c r="BJ130" s="77"/>
      <c r="BK130" s="77"/>
      <c r="BL130" s="77"/>
      <c r="BQ130" s="77"/>
      <c r="BR130" s="77"/>
      <c r="BS130" s="77"/>
      <c r="BT130" s="77"/>
      <c r="BU130" s="77"/>
      <c r="BV130" s="77"/>
      <c r="BW130" s="77"/>
      <c r="BX130" s="77"/>
      <c r="BY130" s="77"/>
      <c r="BZ130" s="77"/>
      <c r="CA130" s="77"/>
      <c r="CB130" s="77"/>
      <c r="EP130" s="77"/>
      <c r="EQ130" s="77"/>
      <c r="ER130" s="77"/>
      <c r="ES130" s="77"/>
      <c r="ET130" s="77"/>
      <c r="EU130" s="77"/>
      <c r="EV130" s="77"/>
      <c r="EW130" s="77"/>
      <c r="EX130" s="77"/>
      <c r="EY130" s="77"/>
      <c r="EZ130" s="77"/>
      <c r="FA130" s="77"/>
      <c r="FB130" s="77"/>
      <c r="FC130" s="77"/>
      <c r="FD130" s="77"/>
      <c r="FE130" s="77"/>
      <c r="FF130" s="77"/>
      <c r="FG130" s="77"/>
      <c r="FH130" s="77"/>
      <c r="FI130" s="77"/>
      <c r="FJ130" s="77"/>
      <c r="FK130" s="77"/>
      <c r="FL130" s="77"/>
      <c r="FM130" s="77"/>
      <c r="FN130" s="77"/>
      <c r="FO130" s="77"/>
      <c r="FP130" s="77"/>
      <c r="FQ130" s="77"/>
      <c r="FR130" s="77"/>
      <c r="FS130" s="77"/>
      <c r="FT130" s="77"/>
      <c r="FU130" s="77"/>
      <c r="FV130" s="77"/>
      <c r="FW130" s="77"/>
      <c r="FX130" s="77"/>
      <c r="FY130" s="77"/>
      <c r="FZ130" s="77"/>
      <c r="GA130" s="77"/>
      <c r="GB130" s="77"/>
      <c r="GC130" s="77"/>
      <c r="GD130" s="77"/>
      <c r="GE130" s="77"/>
      <c r="GF130" s="77"/>
      <c r="GG130" s="77"/>
      <c r="GH130" s="77"/>
      <c r="GI130" s="77"/>
      <c r="GJ130" s="77"/>
      <c r="GK130" s="77"/>
      <c r="GL130" s="77"/>
      <c r="GM130" s="77"/>
      <c r="GN130" s="77"/>
      <c r="GO130" s="77"/>
      <c r="GP130" s="77"/>
      <c r="GQ130" s="77"/>
      <c r="GR130" s="77"/>
      <c r="GS130" s="77"/>
      <c r="GT130" s="77"/>
      <c r="GU130" s="77"/>
      <c r="GV130" s="77"/>
      <c r="GW130" s="77"/>
      <c r="GX130" s="77"/>
      <c r="GY130" s="77"/>
      <c r="GZ130" s="77"/>
      <c r="HA130" s="77"/>
      <c r="HB130" s="77"/>
      <c r="HC130" s="77"/>
      <c r="HD130" s="77"/>
      <c r="HE130" s="77"/>
      <c r="HF130" s="77"/>
      <c r="HG130" s="77"/>
      <c r="HH130" s="77"/>
      <c r="HI130" s="77"/>
      <c r="HJ130" s="77"/>
      <c r="HK130" s="77"/>
      <c r="ID130" s="77"/>
      <c r="IE130" s="77"/>
      <c r="IF130" s="77"/>
      <c r="IG130" s="77"/>
      <c r="IH130" s="77"/>
      <c r="II130" s="77"/>
      <c r="IJ130" s="77"/>
      <c r="IK130" s="77"/>
      <c r="IL130" s="77"/>
      <c r="IM130" s="77"/>
      <c r="IN130" s="77"/>
      <c r="IO130" s="77"/>
      <c r="IP130" s="77"/>
      <c r="IQ130" s="77"/>
      <c r="IR130" s="77"/>
      <c r="IS130" s="77"/>
      <c r="IT130" s="77"/>
      <c r="IU130" s="77"/>
      <c r="IV130" s="77"/>
      <c r="IW130" s="77"/>
      <c r="IX130" s="77"/>
      <c r="IY130" s="77"/>
      <c r="IZ130" s="77"/>
      <c r="JA130" s="77"/>
      <c r="JB130" s="77"/>
      <c r="JC130" s="77"/>
      <c r="JD130" s="77"/>
      <c r="JE130" s="77"/>
      <c r="JF130" s="77"/>
      <c r="JG130" s="77"/>
      <c r="JH130" s="77"/>
      <c r="JI130" s="77"/>
      <c r="JJ130" s="77"/>
      <c r="JK130" s="77"/>
      <c r="JL130" s="77"/>
      <c r="JM130" s="77"/>
      <c r="JN130" s="77"/>
      <c r="JO130" s="77"/>
      <c r="JP130" s="77"/>
      <c r="JQ130" s="77"/>
      <c r="JR130" s="77"/>
      <c r="JS130" s="77"/>
      <c r="JT130" s="77"/>
      <c r="JU130" s="77"/>
      <c r="JV130" s="77"/>
      <c r="JW130" s="77"/>
      <c r="JX130" s="77"/>
      <c r="KM130" s="77"/>
      <c r="KN130" s="77"/>
      <c r="KO130" s="77"/>
      <c r="KP130" s="77"/>
      <c r="KQ130" s="77"/>
      <c r="KR130" s="77"/>
      <c r="KS130" s="77"/>
      <c r="KT130" s="77"/>
      <c r="KU130" s="77"/>
      <c r="KV130" s="77"/>
      <c r="KW130" s="77"/>
      <c r="KX130" s="77"/>
      <c r="KY130" s="77"/>
      <c r="KZ130" s="77"/>
      <c r="LA130" s="77"/>
      <c r="LB130" s="77"/>
      <c r="LC130" s="77"/>
      <c r="LD130" s="77"/>
      <c r="LE130" s="77"/>
      <c r="LF130" s="77"/>
      <c r="LG130" s="77"/>
      <c r="LH130" s="77"/>
      <c r="LI130" s="77"/>
      <c r="LJ130" s="77"/>
      <c r="LK130" s="77"/>
      <c r="LY130" s="77"/>
      <c r="LZ130" s="77"/>
      <c r="MA130" s="77"/>
      <c r="MB130" s="77"/>
      <c r="MC130" s="77"/>
      <c r="MD130" s="77"/>
      <c r="ME130" s="77"/>
      <c r="MF130" s="77"/>
      <c r="MG130" s="77"/>
      <c r="MH130" s="77"/>
      <c r="MI130" s="77"/>
      <c r="MJ130" s="77"/>
      <c r="MK130" s="77"/>
      <c r="ML130" s="77"/>
      <c r="MM130" s="77"/>
      <c r="MN130" s="77"/>
      <c r="MO130" s="77"/>
      <c r="MP130" s="77"/>
      <c r="MQ130" s="77"/>
      <c r="MR130" s="77"/>
    </row>
    <row r="131" spans="1:421" ht="18.600000000000001" customHeight="1" x14ac:dyDescent="0.25">
      <c r="A131" s="119" t="s">
        <v>404</v>
      </c>
      <c r="B131" s="27" t="s">
        <v>1916</v>
      </c>
      <c r="C131" s="27" t="s">
        <v>1917</v>
      </c>
      <c r="D131" s="30" t="str">
        <f>HYPERLINK("https://twitter.com/GermanyDiplo","https://twitter.com/GermanyDiplo")</f>
        <v>https://twitter.com/GermanyDiplo</v>
      </c>
      <c r="E131" s="30" t="str">
        <f>HYPERLINK("http://twiplomacy.com/info/europe/Germany","http://twiplomacy.com/info/europe/Germany")</f>
        <v>http://twiplomacy.com/info/europe/Germany</v>
      </c>
      <c r="F131" s="10" t="s">
        <v>332</v>
      </c>
      <c r="G131" s="10" t="s">
        <v>401</v>
      </c>
      <c r="H131" s="10" t="s">
        <v>795</v>
      </c>
      <c r="I131" s="10" t="s">
        <v>782</v>
      </c>
      <c r="J131" s="27" t="s">
        <v>789</v>
      </c>
      <c r="K131" s="10" t="s">
        <v>777</v>
      </c>
      <c r="L131" s="10" t="s">
        <v>771</v>
      </c>
      <c r="M131" s="10" t="s">
        <v>770</v>
      </c>
      <c r="N131" s="30" t="str">
        <f>HYPERLINK("https://twitter.com/GermanyDiplo/statuses/156413909077721088","https://twitter.com/GermanyDiplo/statuses/156413909077721088")</f>
        <v>https://twitter.com/GermanyDiplo/statuses/156413909077721088</v>
      </c>
      <c r="O131" s="30" t="str">
        <f>HYPERLINK("https://twitter.com/GermanyDiplo/statuses/530809362542264321","https://twitter.com/GermanyDiplo/statuses/530809362542264321")</f>
        <v>https://twitter.com/GermanyDiplo/statuses/530809362542264321</v>
      </c>
      <c r="P131" s="46">
        <v>9064</v>
      </c>
      <c r="Q131" s="46">
        <v>4382</v>
      </c>
      <c r="R131" s="27" t="s">
        <v>2994</v>
      </c>
      <c r="S131" s="30" t="str">
        <f>HYPERLINK("https://twitter.com/GermanyDiplo/lists","https://twitter.com/GermanyDiplo/lists")</f>
        <v>https://twitter.com/GermanyDiplo/lists</v>
      </c>
      <c r="T131" s="10">
        <v>3</v>
      </c>
      <c r="U131" s="10" t="s">
        <v>771</v>
      </c>
      <c r="V131" s="30" t="str">
        <f>HYPERLINK("https://twitter.com/GermanyDiplo/german-missions/members","https://twitter.com/GermanyDiplo/german-missions/members")</f>
        <v>https://twitter.com/GermanyDiplo/german-missions/members</v>
      </c>
      <c r="W131" s="10">
        <v>68</v>
      </c>
      <c r="X131" s="27" t="s">
        <v>404</v>
      </c>
      <c r="Y131" s="27" t="s">
        <v>1916</v>
      </c>
      <c r="Z131" s="80">
        <v>8619</v>
      </c>
      <c r="AA131" s="27">
        <v>455</v>
      </c>
      <c r="AB131" s="80">
        <v>79170</v>
      </c>
      <c r="AC131" s="27">
        <v>9902</v>
      </c>
      <c r="AD131" s="27" t="s">
        <v>3719</v>
      </c>
      <c r="AE131" s="27">
        <v>453030125</v>
      </c>
      <c r="AF131" s="27" t="s">
        <v>1917</v>
      </c>
      <c r="AG131" s="27" t="s">
        <v>1715</v>
      </c>
      <c r="AH131" s="79">
        <v>5.4481668773704204</v>
      </c>
      <c r="AI131" s="83">
        <v>9.53687315634218</v>
      </c>
      <c r="AJ131" s="80">
        <v>36.568194680249</v>
      </c>
      <c r="AK131" s="80">
        <v>30.116015846066801</v>
      </c>
      <c r="AL131" s="27">
        <v>377</v>
      </c>
      <c r="AM131" s="97">
        <f t="shared" ref="AM131:AM194" si="2">SUM(AL131/3200)</f>
        <v>0.1178125</v>
      </c>
      <c r="AN131" s="27" t="s">
        <v>404</v>
      </c>
      <c r="AO131" s="27">
        <v>32</v>
      </c>
      <c r="AP131" s="27">
        <v>66</v>
      </c>
      <c r="AQ131" s="27">
        <v>82</v>
      </c>
      <c r="AR131" s="27">
        <f>SUM(AO131:AQ131)</f>
        <v>180</v>
      </c>
      <c r="AS131" s="27" t="s">
        <v>5134</v>
      </c>
      <c r="AT131" s="27" t="s">
        <v>6730</v>
      </c>
      <c r="AU131" s="84" t="s">
        <v>6486</v>
      </c>
      <c r="AV131" s="71"/>
      <c r="AW131" s="71"/>
      <c r="AX131" s="71"/>
      <c r="AY131" s="71"/>
      <c r="AZ131" s="71"/>
      <c r="BA131" s="71"/>
      <c r="BB131" s="71"/>
      <c r="BC131" s="71"/>
      <c r="BD131" s="71"/>
      <c r="BE131" s="71"/>
      <c r="BF131" s="71"/>
      <c r="BG131" s="71"/>
      <c r="BH131" s="71"/>
      <c r="BI131" s="71"/>
      <c r="BJ131" s="71"/>
      <c r="BK131" s="71"/>
      <c r="BL131" s="71"/>
      <c r="BM131" s="77"/>
      <c r="BN131" s="71"/>
      <c r="BO131" s="71"/>
      <c r="BP131" s="71"/>
      <c r="BQ131" s="77"/>
      <c r="BR131" s="77"/>
      <c r="BS131" s="77"/>
      <c r="BT131" s="77"/>
      <c r="BU131" s="77"/>
      <c r="BV131" s="77"/>
      <c r="BW131" s="77"/>
      <c r="BX131" s="77"/>
      <c r="BY131" s="77"/>
      <c r="BZ131" s="77"/>
      <c r="CA131" s="77"/>
      <c r="CB131" s="77"/>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77"/>
      <c r="EN131" s="77"/>
      <c r="EO131" s="77"/>
      <c r="EQ131" s="77"/>
      <c r="GL131" s="77"/>
      <c r="GM131" s="77"/>
      <c r="GN131" s="77"/>
      <c r="GO131" s="77"/>
      <c r="GP131" s="77"/>
      <c r="GQ131" s="77"/>
      <c r="GR131" s="77"/>
      <c r="GS131" s="77"/>
      <c r="GT131" s="77"/>
      <c r="GU131" s="77"/>
      <c r="GV131" s="77"/>
      <c r="GW131" s="77"/>
      <c r="GX131" s="77"/>
      <c r="GY131" s="77"/>
      <c r="GZ131" s="77"/>
      <c r="HA131" s="77"/>
      <c r="HB131" s="77"/>
      <c r="HC131" s="77"/>
      <c r="HD131" s="77"/>
      <c r="HE131" s="77"/>
      <c r="HF131" s="77"/>
      <c r="HG131" s="77"/>
      <c r="HH131" s="77"/>
      <c r="HI131" s="77"/>
      <c r="HJ131" s="77"/>
      <c r="HK131" s="77"/>
      <c r="HL131" s="77"/>
      <c r="HM131" s="77"/>
      <c r="HN131" s="77"/>
      <c r="HO131" s="77"/>
      <c r="HP131" s="77"/>
      <c r="HQ131" s="77"/>
      <c r="HR131" s="77"/>
      <c r="HS131" s="77"/>
      <c r="HT131" s="77"/>
      <c r="HU131" s="77"/>
      <c r="HV131" s="77"/>
      <c r="HW131" s="77"/>
      <c r="HX131" s="77"/>
      <c r="HY131" s="77"/>
      <c r="HZ131" s="77"/>
      <c r="IA131" s="77"/>
      <c r="IB131" s="77"/>
      <c r="IC131" s="77"/>
      <c r="ID131" s="77"/>
      <c r="IE131" s="77"/>
      <c r="IF131" s="77"/>
      <c r="IG131" s="77"/>
      <c r="IH131" s="77"/>
      <c r="II131" s="77"/>
      <c r="IJ131" s="77"/>
      <c r="IK131" s="77"/>
      <c r="IL131" s="77"/>
      <c r="IM131" s="77"/>
      <c r="IN131" s="77"/>
      <c r="IO131" s="77"/>
      <c r="IP131" s="77"/>
      <c r="IQ131" s="77"/>
      <c r="IR131" s="77"/>
      <c r="IS131" s="77"/>
      <c r="IT131" s="77"/>
      <c r="IU131" s="77"/>
      <c r="IV131" s="77"/>
      <c r="IW131" s="77"/>
      <c r="IX131" s="77"/>
      <c r="IY131" s="77"/>
      <c r="IZ131" s="77"/>
      <c r="JA131" s="77"/>
      <c r="JB131" s="77"/>
      <c r="JC131" s="77"/>
      <c r="JD131" s="77"/>
      <c r="JE131" s="77"/>
      <c r="JF131" s="77"/>
      <c r="JG131" s="77"/>
      <c r="JH131" s="77"/>
      <c r="JI131" s="77"/>
      <c r="JJ131" s="77"/>
      <c r="JK131" s="77"/>
      <c r="JL131" s="77"/>
      <c r="JM131" s="77"/>
      <c r="JN131" s="77"/>
      <c r="JO131" s="77"/>
      <c r="JP131" s="77"/>
      <c r="JQ131" s="77"/>
      <c r="JR131" s="77"/>
      <c r="JS131" s="77"/>
      <c r="JT131" s="77"/>
      <c r="JU131" s="77"/>
      <c r="JV131" s="77"/>
      <c r="JW131" s="77"/>
      <c r="JX131" s="77"/>
      <c r="JY131" s="77"/>
      <c r="JZ131" s="77"/>
      <c r="KA131" s="77"/>
      <c r="KB131" s="77"/>
      <c r="KC131" s="77"/>
      <c r="KD131" s="77"/>
      <c r="KE131" s="77"/>
      <c r="KF131" s="77"/>
      <c r="KG131" s="77"/>
      <c r="KH131" s="77"/>
      <c r="KI131" s="77"/>
      <c r="KJ131" s="77"/>
      <c r="KK131" s="77"/>
      <c r="KL131" s="77"/>
      <c r="KM131" s="77"/>
      <c r="KN131" s="77"/>
      <c r="KO131" s="77"/>
      <c r="KP131" s="77"/>
      <c r="KQ131" s="77"/>
      <c r="KR131" s="77"/>
      <c r="KS131" s="77"/>
      <c r="KT131" s="77"/>
      <c r="KU131" s="77"/>
      <c r="KV131" s="77"/>
      <c r="KW131" s="77"/>
      <c r="KX131" s="77"/>
      <c r="KY131" s="77"/>
      <c r="KZ131" s="77"/>
      <c r="LA131" s="77"/>
      <c r="LB131" s="77"/>
      <c r="LC131" s="77"/>
      <c r="LD131" s="77"/>
      <c r="LE131" s="77"/>
      <c r="LF131" s="77"/>
      <c r="LG131" s="77"/>
      <c r="LH131" s="77"/>
      <c r="LI131" s="77"/>
      <c r="LJ131" s="77"/>
      <c r="LK131" s="77"/>
      <c r="LL131" s="77"/>
      <c r="LM131" s="77"/>
      <c r="LN131" s="77"/>
      <c r="LO131" s="77"/>
      <c r="LP131" s="77"/>
      <c r="LQ131" s="77"/>
      <c r="LR131" s="77"/>
      <c r="LS131" s="77"/>
      <c r="LT131" s="77"/>
      <c r="LU131" s="77"/>
      <c r="LV131" s="77"/>
    </row>
    <row r="132" spans="1:421" ht="18.600000000000001" customHeight="1" x14ac:dyDescent="0.25">
      <c r="A132" s="119" t="s">
        <v>577</v>
      </c>
      <c r="B132" s="27" t="s">
        <v>2448</v>
      </c>
      <c r="C132" s="27" t="s">
        <v>6432</v>
      </c>
      <c r="D132" s="30" t="str">
        <f>HYPERLINK("https://twitter.com/NoticiaCR","https://twitter.com/NoticiaCR")</f>
        <v>https://twitter.com/NoticiaCR</v>
      </c>
      <c r="E132" s="30" t="str">
        <f>HYPERLINK("http://twiplomacy.com/info/north-america/Costa-Rica","http://twiplomacy.com/info/north-america/Costa-Rica")</f>
        <v>http://twiplomacy.com/info/north-america/Costa-Rica</v>
      </c>
      <c r="F132" s="10" t="s">
        <v>558</v>
      </c>
      <c r="G132" s="10" t="s">
        <v>574</v>
      </c>
      <c r="H132" s="10" t="s">
        <v>788</v>
      </c>
      <c r="I132" s="10" t="s">
        <v>782</v>
      </c>
      <c r="J132" s="27" t="s">
        <v>2226</v>
      </c>
      <c r="K132" s="15" t="s">
        <v>4617</v>
      </c>
      <c r="L132" s="10" t="s">
        <v>771</v>
      </c>
      <c r="M132" s="10" t="s">
        <v>770</v>
      </c>
      <c r="N132" s="30" t="str">
        <f>HYPERLINK("https://twitter.com/NoticiaCR/statuses/1104605002","https://twitter.com/NoticiaCR/statuses/1104605002")</f>
        <v>https://twitter.com/NoticiaCR/statuses/1104605002</v>
      </c>
      <c r="O132" s="27" t="s">
        <v>5992</v>
      </c>
      <c r="P132" s="80">
        <v>13</v>
      </c>
      <c r="Q132" s="80">
        <v>0</v>
      </c>
      <c r="R132" s="27" t="s">
        <v>2995</v>
      </c>
      <c r="S132" s="30" t="str">
        <f>HYPERLINK("https://twitter.com/NoticiaCR/lists","https://twitter.com/NoticiaCR/lists")</f>
        <v>https://twitter.com/NoticiaCR/lists</v>
      </c>
      <c r="T132" s="10">
        <v>1</v>
      </c>
      <c r="U132" s="10">
        <v>2</v>
      </c>
      <c r="V132" s="10" t="s">
        <v>771</v>
      </c>
      <c r="W132" s="10"/>
      <c r="X132" s="27" t="s">
        <v>577</v>
      </c>
      <c r="Y132" s="27" t="s">
        <v>2448</v>
      </c>
      <c r="Z132" s="80">
        <v>8282</v>
      </c>
      <c r="AA132" s="27">
        <v>223</v>
      </c>
      <c r="AB132" s="80">
        <v>39669</v>
      </c>
      <c r="AC132" s="27">
        <v>11</v>
      </c>
      <c r="AD132" s="27" t="s">
        <v>4202</v>
      </c>
      <c r="AE132" s="27">
        <v>18710706</v>
      </c>
      <c r="AF132" s="27" t="s">
        <v>6432</v>
      </c>
      <c r="AG132" s="27"/>
      <c r="AH132" s="79">
        <v>3.09955089820359</v>
      </c>
      <c r="AI132" s="83">
        <v>5.7881508078994601</v>
      </c>
      <c r="AJ132" s="80">
        <v>0.45396145610278399</v>
      </c>
      <c r="AK132" s="80">
        <v>0.24304068522483899</v>
      </c>
      <c r="AL132" s="27">
        <v>38</v>
      </c>
      <c r="AM132" s="97">
        <f t="shared" si="2"/>
        <v>1.1875E-2</v>
      </c>
      <c r="AN132" s="27" t="s">
        <v>577</v>
      </c>
      <c r="AO132" s="27">
        <v>4</v>
      </c>
      <c r="AP132" s="27">
        <v>5</v>
      </c>
      <c r="AQ132" s="27">
        <v>3</v>
      </c>
      <c r="AR132" s="27">
        <f>SUM(AO132:AQ132)</f>
        <v>12</v>
      </c>
      <c r="AS132" s="27" t="s">
        <v>6605</v>
      </c>
      <c r="AT132" s="27" t="s">
        <v>5366</v>
      </c>
      <c r="AU132" s="84" t="s">
        <v>4881</v>
      </c>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R132" s="77"/>
      <c r="ES132" s="77"/>
      <c r="ET132" s="77"/>
      <c r="EU132" s="77"/>
      <c r="EV132" s="77"/>
      <c r="EW132" s="77"/>
      <c r="EX132" s="77"/>
      <c r="EY132" s="77"/>
      <c r="EZ132" s="77"/>
      <c r="FA132" s="77"/>
      <c r="FB132" s="77"/>
      <c r="FC132" s="77"/>
      <c r="FD132" s="77"/>
      <c r="FE132" s="77"/>
      <c r="FF132" s="77"/>
      <c r="FG132" s="77"/>
      <c r="FH132" s="77"/>
      <c r="FI132" s="77"/>
      <c r="FJ132" s="77"/>
      <c r="FK132" s="77"/>
      <c r="FL132" s="77"/>
      <c r="FM132" s="77"/>
      <c r="FN132" s="77"/>
      <c r="FO132" s="77"/>
      <c r="FP132" s="77"/>
      <c r="FQ132" s="77"/>
      <c r="FR132" s="77"/>
      <c r="FS132" s="77"/>
      <c r="FT132" s="77"/>
      <c r="FU132" s="77"/>
      <c r="FV132" s="77"/>
      <c r="FW132" s="77"/>
      <c r="FX132" s="77"/>
      <c r="FY132" s="77"/>
      <c r="FZ132" s="77"/>
      <c r="GA132" s="77"/>
      <c r="GB132" s="77"/>
      <c r="GC132" s="77"/>
      <c r="GD132" s="77"/>
      <c r="GE132" s="77"/>
      <c r="GF132" s="77"/>
      <c r="GG132" s="77"/>
      <c r="GH132" s="77"/>
      <c r="GI132" s="77"/>
      <c r="GJ132" s="77"/>
      <c r="GK132" s="77"/>
      <c r="GL132" s="77"/>
      <c r="GM132" s="77"/>
      <c r="GN132" s="77"/>
      <c r="GO132" s="77"/>
      <c r="GP132" s="77"/>
      <c r="GQ132" s="77"/>
      <c r="GR132" s="77"/>
      <c r="GS132" s="77"/>
      <c r="GT132" s="77"/>
      <c r="GU132" s="77"/>
      <c r="GV132" s="77"/>
      <c r="GW132" s="77"/>
      <c r="GX132" s="77"/>
      <c r="GY132" s="77"/>
      <c r="GZ132" s="77"/>
      <c r="HA132" s="77"/>
      <c r="HB132" s="77"/>
      <c r="HC132" s="77"/>
      <c r="HD132" s="77"/>
      <c r="HE132" s="77"/>
      <c r="HF132" s="77"/>
      <c r="HG132" s="77"/>
      <c r="HH132" s="77"/>
      <c r="HI132" s="77"/>
      <c r="HJ132" s="77"/>
      <c r="HK132" s="77"/>
      <c r="HL132" s="77"/>
      <c r="HM132" s="77"/>
      <c r="HN132" s="77"/>
      <c r="HO132" s="77"/>
      <c r="HP132" s="77"/>
      <c r="HQ132" s="77"/>
      <c r="HR132" s="77"/>
      <c r="HS132" s="77"/>
      <c r="HT132" s="77"/>
      <c r="HU132" s="77"/>
      <c r="HV132" s="77"/>
      <c r="HW132" s="77"/>
      <c r="HX132" s="77"/>
      <c r="HY132" s="77"/>
      <c r="HZ132" s="77"/>
      <c r="IA132" s="77"/>
      <c r="IB132" s="77"/>
      <c r="IC132" s="77"/>
      <c r="ID132" s="77"/>
      <c r="IE132" s="77"/>
      <c r="IF132" s="77"/>
      <c r="IG132" s="77"/>
      <c r="IH132" s="77"/>
      <c r="II132" s="77"/>
      <c r="IJ132" s="77"/>
      <c r="IK132" s="77"/>
      <c r="IL132" s="77"/>
      <c r="IM132" s="77"/>
      <c r="IN132" s="77"/>
      <c r="IO132" s="77"/>
      <c r="IP132" s="77"/>
      <c r="IQ132" s="77"/>
      <c r="IR132" s="77"/>
      <c r="IS132" s="77"/>
      <c r="IT132" s="77"/>
      <c r="IU132" s="77"/>
      <c r="IV132" s="77"/>
      <c r="IW132" s="77"/>
      <c r="IX132" s="77"/>
      <c r="IY132" s="77"/>
      <c r="IZ132" s="77"/>
      <c r="JA132" s="77"/>
      <c r="JB132" s="77"/>
      <c r="JC132" s="77"/>
      <c r="JD132" s="77"/>
      <c r="JE132" s="77"/>
      <c r="JF132" s="77"/>
      <c r="JG132" s="77"/>
      <c r="JH132" s="77"/>
      <c r="JI132" s="77"/>
      <c r="JJ132" s="77"/>
      <c r="JK132" s="77"/>
      <c r="JL132" s="77"/>
      <c r="JM132" s="77"/>
      <c r="JN132" s="77"/>
      <c r="JO132" s="77"/>
      <c r="JP132" s="77"/>
      <c r="JQ132" s="77"/>
      <c r="JR132" s="77"/>
      <c r="JS132" s="77"/>
      <c r="JT132" s="77"/>
      <c r="JU132" s="77"/>
      <c r="JV132" s="77"/>
      <c r="JW132" s="77"/>
      <c r="JX132" s="77"/>
      <c r="NE132" s="77"/>
      <c r="NF132" s="77"/>
      <c r="NG132" s="77"/>
      <c r="NH132" s="77"/>
      <c r="NI132" s="77"/>
      <c r="NJ132" s="77"/>
      <c r="NK132" s="77"/>
      <c r="NL132" s="77"/>
      <c r="NM132" s="77"/>
      <c r="NN132" s="77"/>
      <c r="NO132" s="77"/>
      <c r="NP132" s="77"/>
      <c r="NQ132" s="77"/>
      <c r="NR132" s="77"/>
      <c r="NS132" s="77"/>
      <c r="NT132" s="77"/>
      <c r="NU132" s="77"/>
      <c r="NV132" s="77"/>
      <c r="NW132" s="77"/>
      <c r="NX132" s="77"/>
      <c r="NY132" s="77"/>
      <c r="NZ132" s="77"/>
      <c r="OA132" s="77"/>
      <c r="OB132" s="77"/>
      <c r="OC132" s="77"/>
      <c r="OD132" s="77"/>
      <c r="OE132" s="77"/>
      <c r="OF132" s="77"/>
      <c r="OG132" s="77"/>
      <c r="OH132" s="77"/>
      <c r="OI132" s="77"/>
      <c r="OJ132" s="77"/>
      <c r="OK132" s="77"/>
      <c r="OL132" s="77"/>
      <c r="OM132" s="77"/>
      <c r="ON132" s="77"/>
      <c r="OO132" s="77"/>
      <c r="OP132" s="77"/>
      <c r="OQ132" s="77"/>
      <c r="OR132" s="77"/>
      <c r="OS132" s="77"/>
      <c r="OT132" s="77"/>
      <c r="OU132" s="77"/>
      <c r="OV132" s="77"/>
      <c r="OW132" s="77"/>
      <c r="OX132" s="77"/>
      <c r="OY132" s="77"/>
      <c r="OZ132" s="77"/>
      <c r="PA132" s="77"/>
      <c r="PB132" s="77"/>
      <c r="PC132" s="77"/>
      <c r="PD132" s="77"/>
      <c r="PE132" s="77"/>
    </row>
    <row r="133" spans="1:421" ht="18.600000000000001" customHeight="1" x14ac:dyDescent="0.25">
      <c r="A133" s="119" t="s">
        <v>42</v>
      </c>
      <c r="B133" s="27" t="s">
        <v>872</v>
      </c>
      <c r="C133" s="27" t="s">
        <v>6382</v>
      </c>
      <c r="D133" s="72" t="str">
        <f>HYPERLINK("https://twitter.com/DrTedros","https://twitter.com/DrTedros")</f>
        <v>https://twitter.com/DrTedros</v>
      </c>
      <c r="E133" s="72" t="str">
        <f>HYPERLINK("http://twiplomacy.com/info/africa/Ethiopia","http://twiplomacy.com/info/africa/Ethiopia")</f>
        <v>http://twiplomacy.com/info/africa/Ethiopia</v>
      </c>
      <c r="F133" s="10" t="s">
        <v>1</v>
      </c>
      <c r="G133" s="10" t="s">
        <v>40</v>
      </c>
      <c r="H133" s="10" t="s">
        <v>860</v>
      </c>
      <c r="I133" s="10" t="s">
        <v>773</v>
      </c>
      <c r="J133" s="27" t="s">
        <v>789</v>
      </c>
      <c r="K133" s="10" t="s">
        <v>777</v>
      </c>
      <c r="L133" s="10" t="s">
        <v>770</v>
      </c>
      <c r="M133" s="10" t="s">
        <v>770</v>
      </c>
      <c r="N133" s="30" t="str">
        <f>HYPERLINK("https://twitter.com/DrTedros/statuses/24760822141","https://twitter.com/DrTedros/statuses/24760822141")</f>
        <v>https://twitter.com/DrTedros/statuses/24760822141</v>
      </c>
      <c r="O133" s="30" t="str">
        <f>HYPERLINK("https://twitter.com/DrTedros/statuses/486589117963468800","https://twitter.com/DrTedros/statuses/486589117963468800")</f>
        <v>https://twitter.com/DrTedros/statuses/486589117963468800</v>
      </c>
      <c r="P133" s="46">
        <v>138</v>
      </c>
      <c r="Q133" s="46">
        <v>90</v>
      </c>
      <c r="R133" s="27" t="s">
        <v>2994</v>
      </c>
      <c r="S133" s="10" t="s">
        <v>873</v>
      </c>
      <c r="T133" s="10" t="s">
        <v>771</v>
      </c>
      <c r="U133" s="10" t="s">
        <v>771</v>
      </c>
      <c r="V133" s="10" t="s">
        <v>771</v>
      </c>
      <c r="W133" s="10"/>
      <c r="X133" s="27" t="s">
        <v>42</v>
      </c>
      <c r="Y133" s="27" t="s">
        <v>872</v>
      </c>
      <c r="Z133" s="80">
        <v>8236</v>
      </c>
      <c r="AA133" s="27">
        <v>300</v>
      </c>
      <c r="AB133" s="80">
        <v>173945</v>
      </c>
      <c r="AC133" s="27">
        <v>213</v>
      </c>
      <c r="AD133" s="27" t="s">
        <v>3628</v>
      </c>
      <c r="AE133" s="27">
        <v>189868631</v>
      </c>
      <c r="AF133" s="27" t="s">
        <v>6382</v>
      </c>
      <c r="AG133" s="27" t="s">
        <v>874</v>
      </c>
      <c r="AH133" s="79">
        <v>4</v>
      </c>
      <c r="AI133" s="83">
        <v>6.7578288100208797</v>
      </c>
      <c r="AJ133" s="80">
        <v>7.3253105590062102</v>
      </c>
      <c r="AK133" s="80">
        <v>10.667701863354001</v>
      </c>
      <c r="AL133" s="27">
        <v>257</v>
      </c>
      <c r="AM133" s="97">
        <f t="shared" si="2"/>
        <v>8.0312499999999995E-2</v>
      </c>
      <c r="AN133" s="27" t="s">
        <v>42</v>
      </c>
      <c r="AO133" s="27">
        <v>25</v>
      </c>
      <c r="AP133" s="27">
        <v>27</v>
      </c>
      <c r="AQ133" s="27">
        <v>13</v>
      </c>
      <c r="AR133" s="27">
        <f>SUM(AO133:AQ133)</f>
        <v>65</v>
      </c>
      <c r="AS133" s="27" t="s">
        <v>6209</v>
      </c>
      <c r="AT133" s="27" t="s">
        <v>6706</v>
      </c>
      <c r="AU133" s="84" t="s">
        <v>6152</v>
      </c>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7"/>
      <c r="BZ133" s="77"/>
      <c r="CA133" s="77"/>
      <c r="CB133" s="77"/>
      <c r="CC133" s="77"/>
      <c r="CD133" s="77"/>
      <c r="CE133" s="77"/>
      <c r="CF133" s="77"/>
      <c r="CG133" s="77"/>
      <c r="CH133" s="77"/>
      <c r="CI133" s="77"/>
      <c r="CJ133" s="77"/>
      <c r="CK133" s="77"/>
      <c r="CL133" s="77"/>
      <c r="CM133" s="77"/>
      <c r="CN133" s="77"/>
      <c r="CO133" s="77"/>
      <c r="CP133" s="77"/>
      <c r="CQ133" s="77"/>
      <c r="CR133" s="77"/>
      <c r="CS133" s="77"/>
      <c r="CT133" s="77"/>
      <c r="CU133" s="77"/>
      <c r="CV133" s="77"/>
      <c r="CW133" s="77"/>
      <c r="CX133" s="77"/>
      <c r="CY133" s="77"/>
      <c r="CZ133" s="77"/>
      <c r="DA133" s="77"/>
      <c r="DB133" s="77"/>
      <c r="DC133" s="77"/>
      <c r="DD133" s="77"/>
      <c r="DE133" s="77"/>
      <c r="DF133" s="77"/>
      <c r="DG133" s="77"/>
      <c r="DH133" s="77"/>
      <c r="DI133" s="77"/>
      <c r="DJ133" s="77"/>
      <c r="DK133" s="77"/>
      <c r="DL133" s="77"/>
      <c r="DM133" s="77"/>
      <c r="DN133" s="77"/>
      <c r="DO133" s="77"/>
      <c r="DP133" s="77"/>
      <c r="DQ133" s="77"/>
      <c r="DR133" s="77"/>
      <c r="DS133" s="77"/>
      <c r="DT133" s="77"/>
      <c r="DU133" s="77"/>
      <c r="DV133" s="77"/>
      <c r="DW133" s="77"/>
      <c r="DX133" s="77"/>
      <c r="DY133" s="77"/>
      <c r="DZ133" s="77"/>
      <c r="EA133" s="77"/>
      <c r="EB133" s="77"/>
      <c r="EC133" s="77"/>
      <c r="ED133" s="77"/>
      <c r="EE133" s="77"/>
      <c r="EF133" s="77"/>
      <c r="EG133" s="77"/>
      <c r="EH133" s="77"/>
      <c r="EI133" s="77"/>
      <c r="EJ133" s="77"/>
      <c r="EK133" s="77"/>
      <c r="EL133" s="77"/>
      <c r="EM133" s="77"/>
      <c r="EN133" s="77"/>
      <c r="EO133" s="77"/>
      <c r="EQ133" s="77"/>
      <c r="ER133" s="77"/>
      <c r="ES133" s="77"/>
      <c r="ET133" s="77"/>
      <c r="EU133" s="77"/>
      <c r="EV133" s="77"/>
      <c r="EW133" s="77"/>
      <c r="EX133" s="77"/>
      <c r="EY133" s="77"/>
      <c r="EZ133" s="77"/>
      <c r="FA133" s="77"/>
      <c r="FB133" s="77"/>
      <c r="FC133" s="77"/>
      <c r="FD133" s="77"/>
      <c r="FE133" s="77"/>
      <c r="FF133" s="77"/>
      <c r="FG133" s="77"/>
      <c r="FH133" s="77"/>
      <c r="FI133" s="77"/>
      <c r="FJ133" s="77"/>
      <c r="FK133" s="77"/>
      <c r="FL133" s="77"/>
      <c r="FM133" s="77"/>
      <c r="FN133" s="77"/>
      <c r="FO133" s="77"/>
      <c r="FP133" s="77"/>
      <c r="FQ133" s="77"/>
      <c r="FR133" s="77"/>
      <c r="FS133" s="77"/>
      <c r="FT133" s="77"/>
      <c r="FU133" s="77"/>
      <c r="FV133" s="77"/>
      <c r="FW133" s="77"/>
      <c r="FX133" s="77"/>
      <c r="FY133" s="77"/>
      <c r="FZ133" s="77"/>
      <c r="GA133" s="77"/>
      <c r="GB133" s="77"/>
      <c r="GC133" s="77"/>
      <c r="GD133" s="77"/>
      <c r="GE133" s="77"/>
      <c r="GF133" s="77"/>
      <c r="GG133" s="77"/>
      <c r="GH133" s="77"/>
      <c r="GI133" s="77"/>
      <c r="GJ133" s="77"/>
      <c r="GK133" s="77"/>
      <c r="JY133" s="77"/>
      <c r="JZ133" s="77"/>
      <c r="KA133" s="77"/>
      <c r="KB133" s="77"/>
      <c r="KC133" s="77"/>
      <c r="KD133" s="77"/>
      <c r="KE133" s="77"/>
      <c r="KF133" s="77"/>
      <c r="KG133" s="77"/>
      <c r="KH133" s="77"/>
      <c r="KI133" s="77"/>
      <c r="KJ133" s="77"/>
      <c r="KK133" s="77"/>
      <c r="KL133" s="77"/>
      <c r="LL133" s="77"/>
      <c r="LM133" s="77"/>
      <c r="LN133" s="77"/>
      <c r="LO133" s="77"/>
      <c r="LP133" s="77"/>
      <c r="LQ133" s="77"/>
      <c r="LR133" s="77"/>
      <c r="LS133" s="77"/>
      <c r="LT133" s="77"/>
      <c r="LU133" s="77"/>
      <c r="LV133" s="77"/>
    </row>
    <row r="134" spans="1:421" ht="18.600000000000001" customHeight="1" x14ac:dyDescent="0.25">
      <c r="A134" s="119" t="s">
        <v>156</v>
      </c>
      <c r="B134" s="27" t="s">
        <v>3476</v>
      </c>
      <c r="C134" s="27" t="s">
        <v>3477</v>
      </c>
      <c r="D134" s="30" t="str">
        <f>HYPERLINK("https://twitter.com/ARG_AFG","https://twitter.com/ARG_AFG")</f>
        <v>https://twitter.com/ARG_AFG</v>
      </c>
      <c r="E134" s="30" t="str">
        <f>HYPERLINK("http://twiplomacy.com/info/asia/Afghanistan","http://twiplomacy.com/info/asia/Afghanistan")</f>
        <v>http://twiplomacy.com/info/asia/Afghanistan</v>
      </c>
      <c r="F134" s="10" t="s">
        <v>154</v>
      </c>
      <c r="G134" s="10" t="s">
        <v>153</v>
      </c>
      <c r="H134" s="10" t="s">
        <v>781</v>
      </c>
      <c r="I134" s="10" t="s">
        <v>782</v>
      </c>
      <c r="J134" s="27" t="s">
        <v>789</v>
      </c>
      <c r="K134" s="15" t="s">
        <v>777</v>
      </c>
      <c r="L134" s="10" t="s">
        <v>771</v>
      </c>
      <c r="M134" s="10" t="s">
        <v>770</v>
      </c>
      <c r="N134" s="30" t="str">
        <f>HYPERLINK("https://twitter.com/ARG_AFG/statuses/136702644554178560","https://twitter.com/ARG_AFG/statuses/136702644554178560")</f>
        <v>https://twitter.com/ARG_AFG/statuses/136702644554178560</v>
      </c>
      <c r="O134" s="27" t="s">
        <v>5688</v>
      </c>
      <c r="P134" s="80">
        <v>144</v>
      </c>
      <c r="Q134" s="80">
        <v>215</v>
      </c>
      <c r="R134" s="27" t="s">
        <v>2994</v>
      </c>
      <c r="S134" s="10" t="s">
        <v>1176</v>
      </c>
      <c r="T134" s="10" t="s">
        <v>771</v>
      </c>
      <c r="U134" s="10" t="s">
        <v>771</v>
      </c>
      <c r="V134" s="10" t="s">
        <v>771</v>
      </c>
      <c r="W134" s="10"/>
      <c r="X134" s="27" t="s">
        <v>156</v>
      </c>
      <c r="Y134" s="27" t="s">
        <v>3476</v>
      </c>
      <c r="Z134" s="80">
        <v>8231</v>
      </c>
      <c r="AA134" s="27">
        <v>1</v>
      </c>
      <c r="AB134" s="80">
        <v>141892</v>
      </c>
      <c r="AC134" s="27">
        <v>1</v>
      </c>
      <c r="AD134" s="27" t="s">
        <v>3478</v>
      </c>
      <c r="AE134" s="27">
        <v>413756746</v>
      </c>
      <c r="AF134" s="27" t="s">
        <v>3477</v>
      </c>
      <c r="AG134" s="27" t="s">
        <v>3479</v>
      </c>
      <c r="AH134" s="79">
        <v>5.05279312461633</v>
      </c>
      <c r="AI134" s="83">
        <v>4.1326530612244898</v>
      </c>
      <c r="AJ134" s="80">
        <v>4.8636930754834697</v>
      </c>
      <c r="AK134" s="80">
        <v>11.252963194011199</v>
      </c>
      <c r="AL134" s="96">
        <v>4</v>
      </c>
      <c r="AM134" s="97">
        <f t="shared" si="2"/>
        <v>1.25E-3</v>
      </c>
      <c r="AN134" s="27" t="s">
        <v>156</v>
      </c>
      <c r="AO134" s="27">
        <v>0</v>
      </c>
      <c r="AP134" s="27">
        <v>14</v>
      </c>
      <c r="AQ134" s="27">
        <v>1</v>
      </c>
      <c r="AR134" s="27">
        <f>SUM(AO134:AQ134)</f>
        <v>15</v>
      </c>
      <c r="AS134" s="27"/>
      <c r="AT134" s="27" t="s">
        <v>5022</v>
      </c>
      <c r="AU134" s="84" t="s">
        <v>155</v>
      </c>
      <c r="AV134" s="16"/>
      <c r="AW134" s="16"/>
      <c r="AX134" s="16"/>
      <c r="AY134" s="16"/>
      <c r="AZ134" s="16"/>
      <c r="BA134" s="16"/>
      <c r="BB134" s="16"/>
      <c r="BC134" s="16"/>
      <c r="BD134" s="16"/>
      <c r="BE134" s="16"/>
      <c r="BF134" s="16"/>
      <c r="BG134" s="16"/>
      <c r="BH134" s="16"/>
      <c r="BI134" s="16"/>
      <c r="BJ134" s="16"/>
      <c r="BK134" s="16"/>
      <c r="BL134" s="16"/>
      <c r="BM134" s="16"/>
      <c r="BN134" s="77"/>
      <c r="BO134" s="77"/>
      <c r="BP134" s="77"/>
      <c r="BQ134" s="77"/>
      <c r="BR134" s="77"/>
      <c r="BS134" s="77"/>
      <c r="BT134" s="77"/>
      <c r="BU134" s="77"/>
      <c r="BV134" s="77"/>
      <c r="BW134" s="77"/>
      <c r="BX134" s="77"/>
      <c r="BY134" s="77"/>
      <c r="BZ134" s="77"/>
      <c r="CA134" s="77"/>
      <c r="CB134" s="77"/>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77"/>
      <c r="CY134" s="77"/>
      <c r="CZ134" s="77"/>
      <c r="DA134" s="77"/>
      <c r="DB134" s="77"/>
      <c r="DC134" s="77"/>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c r="EY134" s="77"/>
      <c r="EZ134" s="77"/>
      <c r="FA134" s="77"/>
      <c r="FB134" s="77"/>
      <c r="FC134" s="77"/>
      <c r="FD134" s="77"/>
      <c r="FE134" s="77"/>
      <c r="FF134" s="77"/>
      <c r="FG134" s="77"/>
      <c r="FH134" s="77"/>
      <c r="FI134" s="77"/>
      <c r="FJ134" s="77"/>
      <c r="FK134" s="77"/>
      <c r="FL134" s="77"/>
      <c r="FM134" s="77"/>
      <c r="FN134" s="77"/>
      <c r="FO134" s="77"/>
      <c r="FP134" s="77"/>
      <c r="FQ134" s="77"/>
      <c r="FR134" s="77"/>
      <c r="FS134" s="77"/>
      <c r="FT134" s="77"/>
      <c r="FU134" s="77"/>
      <c r="FV134" s="77"/>
      <c r="FW134" s="77"/>
      <c r="FX134" s="77"/>
      <c r="FY134" s="77"/>
      <c r="FZ134" s="77"/>
      <c r="GA134" s="77"/>
      <c r="GB134" s="77"/>
      <c r="GC134" s="77"/>
      <c r="GD134" s="77"/>
      <c r="GE134" s="77"/>
      <c r="GF134" s="77"/>
      <c r="GG134" s="77"/>
      <c r="GH134" s="77"/>
      <c r="GI134" s="77"/>
      <c r="GJ134" s="77"/>
      <c r="GK134" s="77"/>
      <c r="GL134" s="77"/>
      <c r="GM134" s="77"/>
      <c r="GN134" s="77"/>
      <c r="GO134" s="77"/>
      <c r="GP134" s="77"/>
      <c r="GQ134" s="77"/>
      <c r="GR134" s="77"/>
      <c r="GS134" s="77"/>
      <c r="GT134" s="77"/>
      <c r="GU134" s="77"/>
      <c r="GV134" s="77"/>
      <c r="GW134" s="77"/>
      <c r="GX134" s="77"/>
      <c r="GY134" s="77"/>
      <c r="GZ134" s="77"/>
      <c r="HA134" s="77"/>
      <c r="HB134" s="77"/>
      <c r="HC134" s="77"/>
      <c r="HD134" s="77"/>
      <c r="HE134" s="77"/>
      <c r="HF134" s="77"/>
      <c r="HG134" s="77"/>
      <c r="HH134" s="77"/>
      <c r="HI134" s="77"/>
      <c r="HJ134" s="77"/>
      <c r="HK134" s="77"/>
      <c r="HL134" s="77"/>
      <c r="HM134" s="77"/>
      <c r="HN134" s="77"/>
      <c r="HO134" s="77"/>
      <c r="HP134" s="77"/>
      <c r="HQ134" s="77"/>
      <c r="HR134" s="77"/>
      <c r="HS134" s="77"/>
      <c r="HT134" s="77"/>
      <c r="HU134" s="77"/>
      <c r="HV134" s="77"/>
      <c r="HW134" s="77"/>
      <c r="HX134" s="77"/>
      <c r="HY134" s="77"/>
      <c r="HZ134" s="77"/>
      <c r="IA134" s="77"/>
      <c r="IB134" s="77"/>
      <c r="IC134" s="77"/>
      <c r="ID134" s="77"/>
      <c r="IE134" s="77"/>
      <c r="IF134" s="77"/>
      <c r="IG134" s="77"/>
      <c r="IH134" s="77"/>
      <c r="II134" s="77"/>
      <c r="IJ134" s="77"/>
      <c r="IK134" s="77"/>
      <c r="IL134" s="77"/>
      <c r="IM134" s="77"/>
      <c r="IN134" s="77"/>
      <c r="IO134" s="77"/>
      <c r="IP134" s="77"/>
      <c r="IQ134" s="77"/>
      <c r="IR134" s="77"/>
      <c r="IS134" s="77"/>
      <c r="IT134" s="77"/>
      <c r="IU134" s="77"/>
      <c r="IV134" s="77"/>
      <c r="IW134" s="77"/>
      <c r="IX134" s="77"/>
      <c r="IY134" s="77"/>
      <c r="IZ134" s="77"/>
      <c r="JA134" s="77"/>
      <c r="JB134" s="77"/>
      <c r="JC134" s="77"/>
      <c r="JD134" s="77"/>
      <c r="JE134" s="77"/>
      <c r="JF134" s="77"/>
      <c r="JG134" s="77"/>
      <c r="JH134" s="77"/>
      <c r="JI134" s="77"/>
      <c r="JJ134" s="77"/>
      <c r="JK134" s="77"/>
      <c r="JL134" s="77"/>
      <c r="JM134" s="77"/>
      <c r="JN134" s="77"/>
      <c r="JO134" s="77"/>
      <c r="JP134" s="77"/>
      <c r="JQ134" s="77"/>
      <c r="JR134" s="77"/>
      <c r="JS134" s="77"/>
      <c r="JT134" s="77"/>
      <c r="JU134" s="77"/>
      <c r="JV134" s="77"/>
      <c r="JW134" s="77"/>
      <c r="JX134" s="77"/>
      <c r="KM134" s="77"/>
      <c r="KN134" s="77"/>
      <c r="KO134" s="77"/>
      <c r="KP134" s="77"/>
      <c r="KQ134" s="77"/>
      <c r="KR134" s="77"/>
      <c r="KS134" s="77"/>
      <c r="KT134" s="77"/>
      <c r="KU134" s="77"/>
      <c r="KV134" s="77"/>
      <c r="KW134" s="77"/>
      <c r="KX134" s="77"/>
      <c r="KY134" s="77"/>
      <c r="KZ134" s="77"/>
      <c r="LA134" s="77"/>
      <c r="LB134" s="77"/>
      <c r="LC134" s="77"/>
      <c r="LD134" s="77"/>
      <c r="LE134" s="77"/>
      <c r="LF134" s="77"/>
      <c r="LG134" s="77"/>
      <c r="LH134" s="77"/>
      <c r="LI134" s="77"/>
      <c r="LJ134" s="77"/>
      <c r="LK134" s="77"/>
      <c r="LL134" s="77"/>
      <c r="LM134" s="77"/>
      <c r="LN134" s="77"/>
      <c r="LO134" s="77"/>
      <c r="LP134" s="77"/>
      <c r="LQ134" s="77"/>
      <c r="LR134" s="77"/>
      <c r="LS134" s="77"/>
      <c r="LT134" s="77"/>
      <c r="LU134" s="77"/>
      <c r="LV134" s="77"/>
      <c r="MT134" s="16"/>
      <c r="MU134" s="16"/>
      <c r="MV134" s="16"/>
      <c r="MW134" s="16"/>
      <c r="MX134" s="16"/>
      <c r="MY134" s="16"/>
      <c r="MZ134" s="16"/>
      <c r="NA134" s="16"/>
      <c r="NB134" s="16"/>
      <c r="NC134" s="16"/>
    </row>
    <row r="135" spans="1:421" ht="18.600000000000001" customHeight="1" x14ac:dyDescent="0.25">
      <c r="A135" s="119" t="s">
        <v>587</v>
      </c>
      <c r="B135" s="27" t="s">
        <v>2469</v>
      </c>
      <c r="C135" s="27" t="s">
        <v>4129</v>
      </c>
      <c r="D135" s="30" t="str">
        <f>HYPERLINK("https://twitter.com/MIREXRD","https://twitter.com/MIREXRD")</f>
        <v>https://twitter.com/MIREXRD</v>
      </c>
      <c r="E135" s="30" t="str">
        <f>HYPERLINK("http://twiplomacy.com/info/north-america/Dominican-Republic","http://twiplomacy.com/info/north-america/Dominican-Republic")</f>
        <v>http://twiplomacy.com/info/north-america/Dominican-Republic</v>
      </c>
      <c r="F135" s="10" t="s">
        <v>558</v>
      </c>
      <c r="G135" s="10" t="s">
        <v>584</v>
      </c>
      <c r="H135" s="10" t="s">
        <v>795</v>
      </c>
      <c r="I135" s="10" t="s">
        <v>782</v>
      </c>
      <c r="J135" s="27" t="s">
        <v>2226</v>
      </c>
      <c r="K135" s="15" t="s">
        <v>777</v>
      </c>
      <c r="L135" s="10" t="s">
        <v>771</v>
      </c>
      <c r="M135" s="10" t="s">
        <v>770</v>
      </c>
      <c r="N135" s="30" t="str">
        <f>HYPERLINK("https://twitter.com/MIREXRD/statuses/53846128315207680","https://twitter.com/MIREXRD/statuses/53846128315207680")</f>
        <v>https://twitter.com/MIREXRD/statuses/53846128315207680</v>
      </c>
      <c r="O135" s="20" t="s">
        <v>2470</v>
      </c>
      <c r="P135" s="46">
        <v>277</v>
      </c>
      <c r="Q135" s="46">
        <v>73</v>
      </c>
      <c r="R135" s="27" t="s">
        <v>2995</v>
      </c>
      <c r="S135" s="12" t="s">
        <v>2471</v>
      </c>
      <c r="T135" s="10" t="s">
        <v>771</v>
      </c>
      <c r="U135" s="10" t="s">
        <v>771</v>
      </c>
      <c r="V135" s="10" t="s">
        <v>771</v>
      </c>
      <c r="W135" s="10"/>
      <c r="X135" s="27" t="s">
        <v>587</v>
      </c>
      <c r="Y135" s="27" t="s">
        <v>2469</v>
      </c>
      <c r="Z135" s="80">
        <v>8213</v>
      </c>
      <c r="AA135" s="27">
        <v>750</v>
      </c>
      <c r="AB135" s="80">
        <v>39420</v>
      </c>
      <c r="AC135" s="27">
        <v>1100</v>
      </c>
      <c r="AD135" s="27" t="s">
        <v>4130</v>
      </c>
      <c r="AE135" s="27">
        <v>258143215</v>
      </c>
      <c r="AF135" s="27" t="s">
        <v>4129</v>
      </c>
      <c r="AG135" s="27" t="s">
        <v>2472</v>
      </c>
      <c r="AH135" s="79">
        <v>4.3432046536224203</v>
      </c>
      <c r="AI135" s="83">
        <v>9.8861538461538494</v>
      </c>
      <c r="AJ135" s="80">
        <v>8.7851637764932597</v>
      </c>
      <c r="AK135" s="80">
        <v>4.1878612716763</v>
      </c>
      <c r="AL135" s="27">
        <v>29</v>
      </c>
      <c r="AM135" s="97">
        <f t="shared" si="2"/>
        <v>9.0624999999999994E-3</v>
      </c>
      <c r="AN135" s="27" t="s">
        <v>587</v>
      </c>
      <c r="AO135" s="27">
        <v>50</v>
      </c>
      <c r="AP135" s="27">
        <v>17</v>
      </c>
      <c r="AQ135" s="27">
        <v>25</v>
      </c>
      <c r="AR135" s="27">
        <f>SUM(AO135:AQ135)</f>
        <v>92</v>
      </c>
      <c r="AS135" s="27" t="s">
        <v>6593</v>
      </c>
      <c r="AT135" s="27" t="s">
        <v>5330</v>
      </c>
      <c r="AU135" s="84" t="s">
        <v>6514</v>
      </c>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7"/>
      <c r="CK135" s="77"/>
      <c r="CL135" s="77"/>
      <c r="CM135" s="77"/>
      <c r="CN135" s="77"/>
      <c r="CO135" s="77"/>
      <c r="CP135" s="77"/>
      <c r="CQ135" s="77"/>
      <c r="CR135" s="77"/>
      <c r="CS135" s="77"/>
      <c r="CT135" s="77"/>
      <c r="CU135" s="77"/>
      <c r="CV135" s="77"/>
      <c r="CW135" s="77"/>
      <c r="CX135" s="77"/>
      <c r="CY135" s="77"/>
      <c r="CZ135" s="77"/>
      <c r="DA135" s="77"/>
      <c r="DB135" s="77"/>
      <c r="DC135" s="77"/>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c r="EC135" s="77"/>
      <c r="ED135" s="77"/>
      <c r="EE135" s="77"/>
      <c r="EF135" s="77"/>
      <c r="EG135" s="77"/>
      <c r="EH135" s="77"/>
      <c r="EI135" s="77"/>
      <c r="EJ135" s="77"/>
      <c r="EK135" s="77"/>
      <c r="EL135" s="77"/>
      <c r="EM135" s="77"/>
      <c r="EN135" s="77"/>
      <c r="EO135" s="77"/>
      <c r="EP135" s="77"/>
      <c r="EQ135" s="77"/>
      <c r="GL135" s="77"/>
      <c r="GM135" s="77"/>
      <c r="GN135" s="77"/>
      <c r="GO135" s="77"/>
      <c r="GP135" s="77"/>
      <c r="GQ135" s="77"/>
      <c r="GR135" s="77"/>
      <c r="GS135" s="77"/>
      <c r="GT135" s="77"/>
      <c r="GU135" s="77"/>
      <c r="GV135" s="77"/>
      <c r="GW135" s="77"/>
      <c r="GX135" s="77"/>
      <c r="GY135" s="77"/>
      <c r="GZ135" s="77"/>
      <c r="HA135" s="77"/>
      <c r="HB135" s="77"/>
      <c r="HC135" s="77"/>
      <c r="HD135" s="77"/>
      <c r="HE135" s="77"/>
      <c r="HF135" s="77"/>
      <c r="HG135" s="77"/>
      <c r="HH135" s="77"/>
      <c r="HI135" s="77"/>
      <c r="HJ135" s="77"/>
      <c r="HK135" s="77"/>
      <c r="JY135" s="77"/>
      <c r="JZ135" s="77"/>
      <c r="KA135" s="77"/>
      <c r="KB135" s="77"/>
      <c r="KC135" s="77"/>
      <c r="KD135" s="77"/>
      <c r="KE135" s="77"/>
      <c r="KF135" s="77"/>
      <c r="KG135" s="77"/>
      <c r="KH135" s="77"/>
      <c r="KI135" s="77"/>
      <c r="KJ135" s="77"/>
      <c r="KK135" s="77"/>
      <c r="KL135" s="77"/>
      <c r="LW135" s="77"/>
      <c r="LX135" s="77"/>
      <c r="MS135" s="77"/>
    </row>
    <row r="136" spans="1:421" ht="18.600000000000001" customHeight="1" x14ac:dyDescent="0.25">
      <c r="A136" s="119" t="s">
        <v>1858</v>
      </c>
      <c r="B136" s="27" t="s">
        <v>1859</v>
      </c>
      <c r="C136" s="27" t="s">
        <v>3667</v>
      </c>
      <c r="D136" s="30" t="str">
        <f>HYPERLINK("https://twitter.com/EUCouncilPress","https://twitter.com/EUCouncilPress")</f>
        <v>https://twitter.com/EUCouncilPress</v>
      </c>
      <c r="E136" s="30" t="str">
        <f>HYPERLINK("http://twiplomacy.com/info/europe/Europe","http://twiplomacy.com/info/europe/Europe")</f>
        <v>http://twiplomacy.com/info/europe/Europe</v>
      </c>
      <c r="F136" s="10" t="s">
        <v>332</v>
      </c>
      <c r="G136" s="10" t="s">
        <v>1837</v>
      </c>
      <c r="H136" s="10" t="s">
        <v>1843</v>
      </c>
      <c r="I136" s="10" t="s">
        <v>782</v>
      </c>
      <c r="J136" s="27" t="s">
        <v>789</v>
      </c>
      <c r="K136" s="15" t="s">
        <v>777</v>
      </c>
      <c r="L136" s="10" t="s">
        <v>771</v>
      </c>
      <c r="M136" s="10" t="s">
        <v>770</v>
      </c>
      <c r="N136" s="30" t="str">
        <f>HYPERLINK("https://twitter.com/EUCouncilPress/status/28872668929","https://twitter.com/EUCouncilPress/status/28872668929")</f>
        <v>https://twitter.com/EUCouncilPress/status/28872668929</v>
      </c>
      <c r="O136" s="27" t="s">
        <v>5751</v>
      </c>
      <c r="P136" s="80">
        <v>543</v>
      </c>
      <c r="Q136" s="80">
        <v>159</v>
      </c>
      <c r="R136" s="27" t="s">
        <v>2994</v>
      </c>
      <c r="S136" s="30" t="str">
        <f>HYPERLINK("https://twitter.com/EUCouncilPress/lists","https://twitter.com/EUCouncilPress/lists")</f>
        <v>https://twitter.com/EUCouncilPress/lists</v>
      </c>
      <c r="T136" s="10">
        <v>25</v>
      </c>
      <c r="U136" s="10">
        <v>4</v>
      </c>
      <c r="V136" s="30" t="str">
        <f>HYPERLINK("https://twitter.com/EUCouncilPress/lists/eu-in-the-world/members","https://twitter.com/EUCouncilPress/lists/eu-in-the-world/members")</f>
        <v>https://twitter.com/EUCouncilPress/lists/eu-in-the-world/members</v>
      </c>
      <c r="W136" s="10">
        <v>7</v>
      </c>
      <c r="X136" s="27" t="s">
        <v>1858</v>
      </c>
      <c r="Y136" s="27" t="s">
        <v>1859</v>
      </c>
      <c r="Z136" s="80">
        <v>8201</v>
      </c>
      <c r="AA136" s="27">
        <v>1658</v>
      </c>
      <c r="AB136" s="80">
        <v>178939</v>
      </c>
      <c r="AC136" s="27">
        <v>7</v>
      </c>
      <c r="AD136" s="27" t="s">
        <v>3668</v>
      </c>
      <c r="AE136" s="27">
        <v>198618575</v>
      </c>
      <c r="AF136" s="27" t="s">
        <v>3667</v>
      </c>
      <c r="AG136" s="27" t="s">
        <v>916</v>
      </c>
      <c r="AH136" s="79">
        <v>4.0260186548846297</v>
      </c>
      <c r="AI136" s="83">
        <v>4.6729106628242096</v>
      </c>
      <c r="AJ136" s="80">
        <v>11.599545798637401</v>
      </c>
      <c r="AK136" s="80">
        <v>5.0582891748675198</v>
      </c>
      <c r="AL136" s="27">
        <v>157</v>
      </c>
      <c r="AM136" s="97">
        <f t="shared" si="2"/>
        <v>4.9062500000000002E-2</v>
      </c>
      <c r="AN136" s="27" t="s">
        <v>1858</v>
      </c>
      <c r="AO136" s="27">
        <v>44</v>
      </c>
      <c r="AP136" s="27">
        <v>61</v>
      </c>
      <c r="AQ136" s="27">
        <v>59</v>
      </c>
      <c r="AR136" s="27">
        <f>SUM(AO136:AQ136)</f>
        <v>164</v>
      </c>
      <c r="AS136" s="27" t="s">
        <v>5110</v>
      </c>
      <c r="AT136" s="27" t="s">
        <v>6715</v>
      </c>
      <c r="AU136" s="84" t="s">
        <v>4714</v>
      </c>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7"/>
      <c r="CW136" s="77"/>
      <c r="CX136" s="77"/>
      <c r="CY136" s="77"/>
      <c r="CZ136" s="77"/>
      <c r="DA136" s="77"/>
      <c r="DB136" s="77"/>
      <c r="DC136" s="77"/>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7"/>
      <c r="ET136" s="77"/>
      <c r="EU136" s="77"/>
      <c r="EV136" s="77"/>
      <c r="EW136" s="77"/>
      <c r="EX136" s="77"/>
      <c r="EY136" s="77"/>
      <c r="EZ136" s="77"/>
      <c r="FA136" s="77"/>
      <c r="FB136" s="77"/>
      <c r="FC136" s="77"/>
      <c r="FD136" s="77"/>
      <c r="FE136" s="77"/>
      <c r="FF136" s="77"/>
      <c r="FG136" s="77"/>
      <c r="FH136" s="77"/>
      <c r="FI136" s="77"/>
      <c r="FJ136" s="77"/>
      <c r="FK136" s="77"/>
      <c r="FL136" s="77"/>
      <c r="FM136" s="77"/>
      <c r="FN136" s="77"/>
      <c r="FO136" s="77"/>
      <c r="FP136" s="77"/>
      <c r="FQ136" s="77"/>
      <c r="FR136" s="77"/>
      <c r="FS136" s="77"/>
      <c r="FT136" s="77"/>
      <c r="FU136" s="77"/>
      <c r="FV136" s="77"/>
      <c r="FW136" s="77"/>
      <c r="FX136" s="77"/>
      <c r="FY136" s="77"/>
      <c r="FZ136" s="77"/>
      <c r="GA136" s="77"/>
      <c r="GB136" s="77"/>
      <c r="GC136" s="77"/>
      <c r="GD136" s="77"/>
      <c r="GE136" s="77"/>
      <c r="GF136" s="77"/>
      <c r="GG136" s="77"/>
      <c r="GH136" s="77"/>
      <c r="GI136" s="77"/>
      <c r="GJ136" s="77"/>
      <c r="GK136" s="77"/>
      <c r="GL136" s="77"/>
      <c r="GM136" s="77"/>
      <c r="GN136" s="77"/>
      <c r="GO136" s="77"/>
      <c r="GP136" s="77"/>
      <c r="GQ136" s="77"/>
      <c r="GR136" s="77"/>
      <c r="GS136" s="77"/>
      <c r="GT136" s="77"/>
      <c r="GU136" s="77"/>
      <c r="GV136" s="77"/>
      <c r="GW136" s="77"/>
      <c r="GX136" s="77"/>
      <c r="GY136" s="77"/>
      <c r="GZ136" s="77"/>
      <c r="HA136" s="77"/>
      <c r="HB136" s="77"/>
      <c r="HC136" s="77"/>
      <c r="HD136" s="77"/>
      <c r="HE136" s="77"/>
      <c r="HF136" s="77"/>
      <c r="HG136" s="77"/>
      <c r="HH136" s="77"/>
      <c r="HI136" s="77"/>
      <c r="HJ136" s="77"/>
      <c r="HK136" s="77"/>
      <c r="HL136" s="77"/>
      <c r="HM136" s="77"/>
      <c r="HN136" s="77"/>
      <c r="HO136" s="77"/>
      <c r="HP136" s="77"/>
      <c r="HQ136" s="77"/>
      <c r="HR136" s="77"/>
      <c r="HS136" s="77"/>
      <c r="HT136" s="77"/>
      <c r="HU136" s="77"/>
      <c r="HV136" s="77"/>
      <c r="HW136" s="77"/>
      <c r="HX136" s="77"/>
      <c r="HY136" s="77"/>
      <c r="HZ136" s="77"/>
      <c r="IA136" s="77"/>
      <c r="IB136" s="77"/>
      <c r="IC136" s="77"/>
      <c r="ID136" s="77"/>
      <c r="IE136" s="77"/>
      <c r="IF136" s="77"/>
      <c r="IG136" s="77"/>
      <c r="IH136" s="77"/>
      <c r="II136" s="77"/>
      <c r="IJ136" s="77"/>
      <c r="IK136" s="77"/>
      <c r="IL136" s="77"/>
      <c r="IM136" s="77"/>
      <c r="IN136" s="77"/>
      <c r="IO136" s="77"/>
      <c r="IP136" s="77"/>
      <c r="IQ136" s="77"/>
      <c r="IR136" s="77"/>
      <c r="IS136" s="77"/>
      <c r="IT136" s="77"/>
      <c r="IU136" s="77"/>
      <c r="IV136" s="77"/>
      <c r="IW136" s="77"/>
      <c r="IX136" s="77"/>
      <c r="IY136" s="77"/>
      <c r="IZ136" s="77"/>
      <c r="JA136" s="77"/>
      <c r="JB136" s="77"/>
      <c r="JC136" s="77"/>
      <c r="JD136" s="77"/>
      <c r="JE136" s="77"/>
      <c r="JF136" s="77"/>
      <c r="JG136" s="77"/>
      <c r="JH136" s="77"/>
      <c r="JI136" s="77"/>
      <c r="JJ136" s="77"/>
      <c r="JK136" s="77"/>
      <c r="JL136" s="77"/>
      <c r="JM136" s="77"/>
      <c r="JN136" s="77"/>
      <c r="JO136" s="77"/>
      <c r="JP136" s="77"/>
      <c r="JQ136" s="77"/>
      <c r="JR136" s="77"/>
      <c r="JS136" s="77"/>
      <c r="JT136" s="77"/>
      <c r="JU136" s="77"/>
      <c r="JV136" s="77"/>
      <c r="JW136" s="77"/>
      <c r="JX136" s="77"/>
      <c r="KM136" s="77"/>
      <c r="KN136" s="77"/>
      <c r="KO136" s="77"/>
      <c r="KP136" s="77"/>
      <c r="KQ136" s="77"/>
      <c r="KR136" s="77"/>
      <c r="KS136" s="77"/>
      <c r="KT136" s="77"/>
      <c r="KU136" s="77"/>
      <c r="KV136" s="77"/>
      <c r="KW136" s="77"/>
      <c r="KX136" s="77"/>
      <c r="KY136" s="77"/>
      <c r="KZ136" s="77"/>
      <c r="LA136" s="77"/>
      <c r="LB136" s="77"/>
      <c r="LC136" s="77"/>
      <c r="LD136" s="77"/>
      <c r="LE136" s="77"/>
      <c r="LF136" s="77"/>
      <c r="LG136" s="77"/>
      <c r="LH136" s="77"/>
      <c r="LI136" s="77"/>
      <c r="LJ136" s="77"/>
      <c r="LK136" s="77"/>
      <c r="LL136" s="77"/>
      <c r="LM136" s="77"/>
      <c r="LN136" s="77"/>
      <c r="LO136" s="77"/>
      <c r="LP136" s="77"/>
      <c r="LQ136" s="77"/>
      <c r="LR136" s="77"/>
      <c r="LS136" s="77"/>
      <c r="LT136" s="77"/>
      <c r="LU136" s="77"/>
      <c r="LV136" s="77"/>
      <c r="LW136" s="77"/>
      <c r="LX136" s="77"/>
    </row>
    <row r="137" spans="1:421" ht="18.600000000000001" customHeight="1" x14ac:dyDescent="0.25">
      <c r="A137" s="119" t="s">
        <v>320</v>
      </c>
      <c r="B137" s="27" t="s">
        <v>1672</v>
      </c>
      <c r="C137" s="27" t="s">
        <v>3428</v>
      </c>
      <c r="D137" s="51" t="s">
        <v>3358</v>
      </c>
      <c r="E137" s="30" t="str">
        <f>HYPERLINK("http://twiplomacy.com/info/asia/United-Arab-Emirates","http://twiplomacy.com/info/asia/United-Arab-Emirates")</f>
        <v>http://twiplomacy.com/info/asia/United-Arab-Emirates</v>
      </c>
      <c r="F137" s="10" t="s">
        <v>154</v>
      </c>
      <c r="G137" s="10" t="s">
        <v>317</v>
      </c>
      <c r="H137" s="10" t="s">
        <v>860</v>
      </c>
      <c r="I137" s="10" t="s">
        <v>773</v>
      </c>
      <c r="J137" s="27" t="s">
        <v>789</v>
      </c>
      <c r="K137" s="15" t="s">
        <v>777</v>
      </c>
      <c r="L137" s="10"/>
      <c r="M137" s="10"/>
      <c r="N137" s="30" t="s">
        <v>3385</v>
      </c>
      <c r="O137" s="11" t="s">
        <v>3401</v>
      </c>
      <c r="P137" s="80">
        <v>27534</v>
      </c>
      <c r="Q137" s="80">
        <v>3196</v>
      </c>
      <c r="R137" s="27" t="s">
        <v>2994</v>
      </c>
      <c r="S137" s="12" t="s">
        <v>3374</v>
      </c>
      <c r="T137" s="10" t="s">
        <v>771</v>
      </c>
      <c r="U137" s="10" t="s">
        <v>771</v>
      </c>
      <c r="V137" s="10" t="s">
        <v>771</v>
      </c>
      <c r="W137" s="10"/>
      <c r="X137" s="27" t="s">
        <v>320</v>
      </c>
      <c r="Y137" s="27" t="s">
        <v>1672</v>
      </c>
      <c r="Z137" s="80">
        <v>8181</v>
      </c>
      <c r="AA137" s="27">
        <v>581</v>
      </c>
      <c r="AB137" s="80">
        <v>3076371</v>
      </c>
      <c r="AC137" s="27">
        <v>474</v>
      </c>
      <c r="AD137" s="27" t="s">
        <v>3429</v>
      </c>
      <c r="AE137" s="27">
        <v>398593054</v>
      </c>
      <c r="AF137" s="27" t="s">
        <v>3428</v>
      </c>
      <c r="AG137" s="27"/>
      <c r="AH137" s="79">
        <v>4.9581818181818198</v>
      </c>
      <c r="AI137" s="83">
        <v>2.4217228464419498</v>
      </c>
      <c r="AJ137" s="80">
        <v>412.66666666666703</v>
      </c>
      <c r="AK137" s="80">
        <v>108.280385078219</v>
      </c>
      <c r="AL137" s="96">
        <v>1134</v>
      </c>
      <c r="AM137" s="97">
        <f t="shared" si="2"/>
        <v>0.354375</v>
      </c>
      <c r="AN137" s="27" t="s">
        <v>320</v>
      </c>
      <c r="AO137" s="27">
        <v>13</v>
      </c>
      <c r="AP137" s="27">
        <v>18</v>
      </c>
      <c r="AQ137" s="27">
        <v>13</v>
      </c>
      <c r="AR137" s="27">
        <f>SUM(AO137:AQ137)</f>
        <v>44</v>
      </c>
      <c r="AS137" s="27" t="s">
        <v>5000</v>
      </c>
      <c r="AT137" s="27" t="s">
        <v>6670</v>
      </c>
      <c r="AU137" s="120" t="s">
        <v>6917</v>
      </c>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P137" s="77"/>
      <c r="EQ137" s="77"/>
      <c r="ER137" s="77"/>
      <c r="ES137" s="77"/>
      <c r="ET137" s="77"/>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c r="FX137" s="77"/>
      <c r="FY137" s="77"/>
      <c r="FZ137" s="77"/>
      <c r="GA137" s="77"/>
      <c r="GB137" s="77"/>
      <c r="GC137" s="77"/>
      <c r="GD137" s="77"/>
      <c r="GE137" s="77"/>
      <c r="GF137" s="77"/>
      <c r="GG137" s="77"/>
      <c r="GH137" s="77"/>
      <c r="GI137" s="77"/>
      <c r="GJ137" s="77"/>
      <c r="GK137" s="77"/>
      <c r="GL137" s="77"/>
      <c r="GM137" s="77"/>
      <c r="GN137" s="77"/>
      <c r="GO137" s="77"/>
      <c r="GP137" s="77"/>
      <c r="GQ137" s="77"/>
      <c r="GR137" s="77"/>
      <c r="GS137" s="77"/>
      <c r="GT137" s="77"/>
      <c r="GU137" s="77"/>
      <c r="GV137" s="77"/>
      <c r="GW137" s="77"/>
      <c r="GX137" s="77"/>
      <c r="GY137" s="77"/>
      <c r="GZ137" s="77"/>
      <c r="HA137" s="77"/>
      <c r="HB137" s="77"/>
      <c r="HC137" s="77"/>
      <c r="HD137" s="77"/>
      <c r="HE137" s="77"/>
      <c r="HF137" s="77"/>
      <c r="HG137" s="77"/>
      <c r="HH137" s="77"/>
      <c r="HI137" s="77"/>
      <c r="HJ137" s="77"/>
      <c r="HK137" s="77"/>
      <c r="IF137" s="77"/>
      <c r="IG137" s="77"/>
      <c r="IH137" s="77"/>
      <c r="II137" s="77"/>
      <c r="IJ137" s="77"/>
      <c r="IK137" s="77"/>
      <c r="IL137" s="77"/>
      <c r="IM137" s="77"/>
      <c r="IN137" s="77"/>
      <c r="IO137" s="77"/>
      <c r="IP137" s="77"/>
      <c r="IQ137" s="77"/>
      <c r="IR137" s="77"/>
      <c r="IS137" s="77"/>
      <c r="IT137" s="77"/>
      <c r="IU137" s="77"/>
      <c r="IV137" s="77"/>
      <c r="IW137" s="77"/>
      <c r="IX137" s="77"/>
      <c r="IY137" s="77"/>
      <c r="IZ137" s="77"/>
      <c r="JA137" s="77"/>
      <c r="JB137" s="77"/>
      <c r="JC137" s="77"/>
      <c r="JD137" s="77"/>
      <c r="JE137" s="77"/>
      <c r="JF137" s="77"/>
      <c r="JG137" s="77"/>
      <c r="JH137" s="77"/>
      <c r="JI137" s="77"/>
      <c r="JJ137" s="77"/>
      <c r="JK137" s="77"/>
      <c r="JL137" s="77"/>
      <c r="JM137" s="77"/>
      <c r="JN137" s="77"/>
      <c r="JO137" s="77"/>
      <c r="JP137" s="77"/>
      <c r="JQ137" s="77"/>
      <c r="JR137" s="77"/>
      <c r="JS137" s="77"/>
      <c r="JT137" s="77"/>
      <c r="JU137" s="77"/>
      <c r="JV137" s="77"/>
      <c r="JW137" s="77"/>
      <c r="JX137" s="77"/>
      <c r="JY137" s="77"/>
      <c r="JZ137" s="77"/>
      <c r="KA137" s="77"/>
      <c r="KB137" s="77"/>
      <c r="KC137" s="77"/>
      <c r="KD137" s="77"/>
      <c r="KE137" s="77"/>
      <c r="KF137" s="77"/>
      <c r="KG137" s="77"/>
      <c r="KH137" s="77"/>
      <c r="KI137" s="77"/>
      <c r="KJ137" s="77"/>
      <c r="KK137" s="77"/>
      <c r="KL137" s="77"/>
      <c r="KM137" s="77"/>
      <c r="KN137" s="77"/>
      <c r="KO137" s="77"/>
      <c r="KP137" s="77"/>
      <c r="KQ137" s="77"/>
      <c r="KR137" s="77"/>
      <c r="KS137" s="77"/>
      <c r="KT137" s="77"/>
      <c r="KU137" s="77"/>
      <c r="KV137" s="77"/>
      <c r="KW137" s="77"/>
      <c r="KX137" s="77"/>
      <c r="KY137" s="77"/>
      <c r="KZ137" s="77"/>
      <c r="LA137" s="77"/>
      <c r="LB137" s="77"/>
      <c r="LC137" s="77"/>
      <c r="LD137" s="77"/>
      <c r="LE137" s="77"/>
      <c r="LF137" s="77"/>
      <c r="LG137" s="77"/>
      <c r="LH137" s="77"/>
      <c r="LI137" s="77"/>
      <c r="LJ137" s="77"/>
      <c r="LK137" s="77"/>
      <c r="LL137" s="77"/>
      <c r="LM137" s="77"/>
      <c r="LN137" s="77"/>
      <c r="LO137" s="77"/>
      <c r="LP137" s="77"/>
      <c r="LQ137" s="77"/>
      <c r="LR137" s="77"/>
      <c r="LS137" s="77"/>
      <c r="LT137" s="77"/>
      <c r="LU137" s="77"/>
      <c r="LV137" s="77"/>
      <c r="LY137" s="77"/>
      <c r="LZ137" s="77"/>
      <c r="MA137" s="77"/>
      <c r="MB137" s="77"/>
      <c r="MC137" s="77"/>
      <c r="MD137" s="77"/>
      <c r="ME137" s="77"/>
      <c r="MF137" s="77"/>
      <c r="MG137" s="77"/>
      <c r="MH137" s="77"/>
      <c r="MI137" s="77"/>
      <c r="MJ137" s="77"/>
      <c r="MK137" s="77"/>
      <c r="ML137" s="77"/>
      <c r="MM137" s="77"/>
      <c r="MN137" s="77"/>
      <c r="MO137" s="77"/>
      <c r="MP137" s="77"/>
      <c r="MQ137" s="77"/>
      <c r="MR137" s="77"/>
    </row>
    <row r="138" spans="1:421" ht="18.600000000000001" customHeight="1" x14ac:dyDescent="0.25">
      <c r="A138" s="119" t="s">
        <v>219</v>
      </c>
      <c r="B138" s="27" t="s">
        <v>1403</v>
      </c>
      <c r="C138" s="27" t="s">
        <v>6449</v>
      </c>
      <c r="D138" s="30" t="str">
        <f>HYPERLINK("https://twitter.com/RHCJO","https://twitter.com/RHCJO")</f>
        <v>https://twitter.com/RHCJO</v>
      </c>
      <c r="E138" s="30" t="str">
        <f>HYPERLINK("http://twiplomacy.com/info/asia/Jordan","http://twiplomacy.com/info/asia/Jordan")</f>
        <v>http://twiplomacy.com/info/asia/Jordan</v>
      </c>
      <c r="F138" s="10" t="s">
        <v>154</v>
      </c>
      <c r="G138" s="10" t="s">
        <v>217</v>
      </c>
      <c r="H138" s="10" t="s">
        <v>1228</v>
      </c>
      <c r="I138" s="10" t="s">
        <v>782</v>
      </c>
      <c r="J138" s="27" t="s">
        <v>789</v>
      </c>
      <c r="K138" s="15" t="s">
        <v>777</v>
      </c>
      <c r="L138" s="10" t="s">
        <v>771</v>
      </c>
      <c r="M138" s="10" t="s">
        <v>770</v>
      </c>
      <c r="N138" s="30" t="str">
        <f>HYPERLINK("https://twitter.com/RHCJO/statuses/325880956143677440","https://twitter.com/RHCJO/statuses/325880956143677440")</f>
        <v>https://twitter.com/RHCJO/statuses/325880956143677440</v>
      </c>
      <c r="O138" s="27" t="s">
        <v>6069</v>
      </c>
      <c r="P138" s="80">
        <v>1530</v>
      </c>
      <c r="Q138" s="80">
        <v>756</v>
      </c>
      <c r="R138" s="27" t="s">
        <v>2994</v>
      </c>
      <c r="S138" s="10" t="s">
        <v>1404</v>
      </c>
      <c r="T138" s="10" t="s">
        <v>771</v>
      </c>
      <c r="U138" s="10" t="s">
        <v>771</v>
      </c>
      <c r="V138" s="10" t="s">
        <v>771</v>
      </c>
      <c r="W138" s="10"/>
      <c r="X138" s="27" t="s">
        <v>219</v>
      </c>
      <c r="Y138" s="27" t="s">
        <v>1403</v>
      </c>
      <c r="Z138" s="80">
        <v>8088</v>
      </c>
      <c r="AA138" s="27">
        <v>0</v>
      </c>
      <c r="AB138" s="80">
        <v>228954</v>
      </c>
      <c r="AC138" s="27">
        <v>0</v>
      </c>
      <c r="AD138" s="27" t="s">
        <v>4417</v>
      </c>
      <c r="AE138" s="27">
        <v>1362191299</v>
      </c>
      <c r="AF138" s="27" t="s">
        <v>6449</v>
      </c>
      <c r="AG138" s="27" t="s">
        <v>1405</v>
      </c>
      <c r="AH138" s="79">
        <v>7.2864864864864902</v>
      </c>
      <c r="AI138" s="83">
        <v>6.7217573221757299</v>
      </c>
      <c r="AJ138" s="80">
        <v>39.954431960049902</v>
      </c>
      <c r="AK138" s="80">
        <v>57.1707240948814</v>
      </c>
      <c r="AL138" s="13">
        <v>0</v>
      </c>
      <c r="AM138" s="97">
        <f t="shared" si="2"/>
        <v>0</v>
      </c>
      <c r="AN138" s="27" t="s">
        <v>219</v>
      </c>
      <c r="AO138" s="27">
        <v>0</v>
      </c>
      <c r="AP138" s="27">
        <v>26</v>
      </c>
      <c r="AQ138" s="27">
        <v>0</v>
      </c>
      <c r="AR138" s="27">
        <f>SUM(AO138:AQ138)</f>
        <v>26</v>
      </c>
      <c r="AS138" s="27"/>
      <c r="AT138" s="27" t="s">
        <v>6847</v>
      </c>
      <c r="AU138" s="84"/>
      <c r="AV138" s="77"/>
      <c r="AW138" s="77"/>
      <c r="AX138" s="77"/>
      <c r="AY138" s="77"/>
      <c r="AZ138" s="77"/>
      <c r="BA138" s="77"/>
      <c r="BB138" s="77"/>
      <c r="BC138" s="77"/>
      <c r="BD138" s="77"/>
      <c r="BE138" s="77"/>
      <c r="BF138" s="77"/>
      <c r="BG138" s="77"/>
      <c r="BH138" s="77"/>
      <c r="BI138" s="77"/>
      <c r="BJ138" s="77"/>
      <c r="BK138" s="77"/>
      <c r="BL138" s="77"/>
      <c r="BM138" s="76"/>
      <c r="BN138" s="77"/>
      <c r="BO138" s="77"/>
      <c r="BP138" s="77"/>
      <c r="BQ138" s="77"/>
      <c r="BR138" s="77"/>
      <c r="BS138" s="77"/>
      <c r="BT138" s="77"/>
      <c r="BU138" s="77"/>
      <c r="BV138" s="77"/>
      <c r="BW138" s="77"/>
      <c r="BX138" s="77"/>
      <c r="BY138" s="77"/>
      <c r="BZ138" s="77"/>
      <c r="CA138" s="77"/>
      <c r="CB138" s="77"/>
      <c r="CC138" s="77"/>
      <c r="CD138" s="77"/>
      <c r="CE138" s="77"/>
      <c r="CF138" s="77"/>
      <c r="CG138" s="77"/>
      <c r="CH138" s="77"/>
      <c r="CI138" s="77"/>
      <c r="CJ138" s="77"/>
      <c r="CK138" s="77"/>
      <c r="CL138" s="77"/>
      <c r="CM138" s="77"/>
      <c r="CN138" s="77"/>
      <c r="CO138" s="77"/>
      <c r="CP138" s="77"/>
      <c r="CQ138" s="77"/>
      <c r="CR138" s="77"/>
      <c r="CS138" s="77"/>
      <c r="CT138" s="77"/>
      <c r="CU138" s="77"/>
      <c r="CV138" s="77"/>
      <c r="CW138" s="77"/>
      <c r="CX138" s="77"/>
      <c r="CY138" s="77"/>
      <c r="CZ138" s="77"/>
      <c r="DA138" s="77"/>
      <c r="DB138" s="77"/>
      <c r="DC138" s="77"/>
      <c r="DD138" s="77"/>
      <c r="DE138" s="77"/>
      <c r="DF138" s="77"/>
      <c r="DG138" s="77"/>
      <c r="DH138" s="77"/>
      <c r="DI138" s="77"/>
      <c r="DJ138" s="77"/>
      <c r="DK138" s="77"/>
      <c r="DL138" s="77"/>
      <c r="DM138" s="77"/>
      <c r="DN138" s="77"/>
      <c r="DO138" s="77"/>
      <c r="DP138" s="77"/>
      <c r="DQ138" s="77"/>
      <c r="DR138" s="77"/>
      <c r="DS138" s="77"/>
      <c r="DT138" s="77"/>
      <c r="DU138" s="77"/>
      <c r="DV138" s="77"/>
      <c r="DW138" s="77"/>
      <c r="DX138" s="77"/>
      <c r="DY138" s="77"/>
      <c r="DZ138" s="77"/>
      <c r="EA138" s="77"/>
      <c r="EB138" s="77"/>
      <c r="EC138" s="77"/>
      <c r="ED138" s="77"/>
      <c r="EE138" s="77"/>
      <c r="EF138" s="77"/>
      <c r="EG138" s="77"/>
      <c r="EH138" s="77"/>
      <c r="EI138" s="77"/>
      <c r="EJ138" s="77"/>
      <c r="EK138" s="77"/>
      <c r="EL138" s="77"/>
      <c r="EM138" s="77"/>
      <c r="EN138" s="77"/>
      <c r="EO138" s="77"/>
      <c r="EP138" s="16"/>
      <c r="EQ138" s="16"/>
      <c r="GL138" s="77"/>
      <c r="GM138" s="77"/>
      <c r="GN138" s="77"/>
      <c r="GO138" s="77"/>
      <c r="GP138" s="77"/>
      <c r="GQ138" s="77"/>
      <c r="GR138" s="77"/>
      <c r="GS138" s="77"/>
      <c r="GT138" s="77"/>
      <c r="GU138" s="77"/>
      <c r="GV138" s="77"/>
      <c r="GW138" s="77"/>
      <c r="GX138" s="77"/>
      <c r="GY138" s="77"/>
      <c r="GZ138" s="77"/>
      <c r="HA138" s="77"/>
      <c r="HB138" s="77"/>
      <c r="HC138" s="77"/>
      <c r="HD138" s="77"/>
      <c r="HE138" s="77"/>
      <c r="HF138" s="77"/>
      <c r="HG138" s="77"/>
      <c r="HH138" s="77"/>
      <c r="HI138" s="77"/>
      <c r="HJ138" s="77"/>
      <c r="HK138" s="77"/>
      <c r="HL138" s="77"/>
      <c r="HM138" s="77"/>
      <c r="HN138" s="77"/>
      <c r="HO138" s="77"/>
      <c r="HP138" s="77"/>
      <c r="HQ138" s="77"/>
      <c r="HR138" s="77"/>
      <c r="HS138" s="77"/>
      <c r="HT138" s="77"/>
      <c r="HU138" s="77"/>
      <c r="HV138" s="77"/>
      <c r="HW138" s="77"/>
      <c r="HX138" s="77"/>
      <c r="HY138" s="77"/>
      <c r="HZ138" s="77"/>
      <c r="IA138" s="77"/>
      <c r="IB138" s="77"/>
      <c r="IC138" s="77"/>
      <c r="ID138" s="77"/>
      <c r="IE138" s="77"/>
      <c r="IF138" s="77"/>
      <c r="IG138" s="77"/>
      <c r="IH138" s="77"/>
      <c r="II138" s="77"/>
      <c r="IJ138" s="77"/>
      <c r="IK138" s="77"/>
      <c r="IL138" s="77"/>
      <c r="IM138" s="77"/>
      <c r="IN138" s="77"/>
      <c r="IO138" s="77"/>
      <c r="IP138" s="77"/>
      <c r="IQ138" s="77"/>
      <c r="IR138" s="77"/>
      <c r="IS138" s="77"/>
      <c r="IT138" s="77"/>
      <c r="IU138" s="77"/>
      <c r="IV138" s="77"/>
      <c r="IW138" s="77"/>
      <c r="IX138" s="77"/>
      <c r="IY138" s="77"/>
      <c r="IZ138" s="77"/>
      <c r="JA138" s="77"/>
      <c r="JB138" s="77"/>
      <c r="JC138" s="77"/>
      <c r="JD138" s="77"/>
      <c r="JE138" s="77"/>
      <c r="JF138" s="77"/>
      <c r="JG138" s="77"/>
      <c r="JH138" s="77"/>
      <c r="JI138" s="77"/>
      <c r="JJ138" s="77"/>
      <c r="JK138" s="77"/>
      <c r="JL138" s="77"/>
      <c r="JM138" s="77"/>
      <c r="JN138" s="77"/>
      <c r="JO138" s="77"/>
      <c r="JP138" s="77"/>
      <c r="JQ138" s="77"/>
      <c r="JR138" s="77"/>
      <c r="JS138" s="77"/>
      <c r="JT138" s="77"/>
      <c r="JU138" s="77"/>
      <c r="JV138" s="77"/>
      <c r="JW138" s="77"/>
      <c r="JX138" s="77"/>
      <c r="JY138" s="77"/>
      <c r="JZ138" s="77"/>
      <c r="KA138" s="77"/>
      <c r="KB138" s="77"/>
      <c r="KC138" s="77"/>
      <c r="KD138" s="77"/>
      <c r="KE138" s="77"/>
      <c r="KF138" s="77"/>
      <c r="KG138" s="77"/>
      <c r="KH138" s="77"/>
      <c r="KI138" s="77"/>
      <c r="KJ138" s="77"/>
      <c r="KK138" s="77"/>
      <c r="KL138" s="77"/>
      <c r="MS138" s="77"/>
    </row>
    <row r="139" spans="1:421" ht="18.600000000000001" customHeight="1" x14ac:dyDescent="0.25">
      <c r="A139" s="119" t="s">
        <v>2963</v>
      </c>
      <c r="B139" s="27" t="s">
        <v>2964</v>
      </c>
      <c r="C139" s="27" t="s">
        <v>2965</v>
      </c>
      <c r="D139" s="30" t="str">
        <f>HYPERLINK("https://twitter.com/EPP_Nicaragua","https://twitter.com/EPP_Nicaragua")</f>
        <v>https://twitter.com/EPP_Nicaragua</v>
      </c>
      <c r="E139" s="30" t="str">
        <f>HYPERLINK("http://twiplomacy.com/info/north-america/Nicaragua","http://twiplomacy.com/info/north-america/Nicaragua")</f>
        <v>http://twiplomacy.com/info/north-america/Nicaragua</v>
      </c>
      <c r="F139" s="38" t="s">
        <v>558</v>
      </c>
      <c r="G139" s="14" t="s">
        <v>641</v>
      </c>
      <c r="H139" s="10" t="s">
        <v>781</v>
      </c>
      <c r="I139" s="14" t="s">
        <v>782</v>
      </c>
      <c r="J139" s="27" t="s">
        <v>2226</v>
      </c>
      <c r="K139" s="14" t="s">
        <v>777</v>
      </c>
      <c r="L139" s="14" t="s">
        <v>771</v>
      </c>
      <c r="M139" s="14" t="s">
        <v>770</v>
      </c>
      <c r="N139" s="100" t="str">
        <f>HYPERLINK("https://twitter.com/EPP_Nicaragua/status/381541200689246209","https://twitter.com/EPP_Nicaragua/status/381541200689246209")</f>
        <v>https://twitter.com/EPP_Nicaragua/status/381541200689246209</v>
      </c>
      <c r="O139" s="27" t="s">
        <v>5745</v>
      </c>
      <c r="P139" s="80">
        <v>167</v>
      </c>
      <c r="Q139" s="80">
        <v>1</v>
      </c>
      <c r="R139" s="27" t="s">
        <v>2995</v>
      </c>
      <c r="S139" s="30" t="str">
        <f>HYPERLINK("https://twitter.com/EPP_Nicaragua/lists","https://twitter.com/EPP_Nicaragua/lists")</f>
        <v>https://twitter.com/EPP_Nicaragua/lists</v>
      </c>
      <c r="T139" s="10" t="s">
        <v>771</v>
      </c>
      <c r="U139" s="10" t="s">
        <v>771</v>
      </c>
      <c r="V139" s="10" t="s">
        <v>771</v>
      </c>
      <c r="W139" s="14"/>
      <c r="X139" s="27" t="s">
        <v>2963</v>
      </c>
      <c r="Y139" s="27" t="s">
        <v>2964</v>
      </c>
      <c r="Z139" s="80">
        <v>7935</v>
      </c>
      <c r="AA139" s="27">
        <v>46</v>
      </c>
      <c r="AB139" s="80">
        <v>517</v>
      </c>
      <c r="AC139" s="27">
        <v>0</v>
      </c>
      <c r="AD139" s="27" t="s">
        <v>3658</v>
      </c>
      <c r="AE139" s="27">
        <v>1891569930</v>
      </c>
      <c r="AF139" s="27" t="s">
        <v>2965</v>
      </c>
      <c r="AG139" s="27" t="s">
        <v>2966</v>
      </c>
      <c r="AH139" s="79">
        <v>8.3176100628930794</v>
      </c>
      <c r="AI139" s="83">
        <v>13.741525423728801</v>
      </c>
      <c r="AJ139" s="80">
        <v>0.303161810291383</v>
      </c>
      <c r="AK139" s="80">
        <v>0.10229386236825801</v>
      </c>
      <c r="AL139" s="13">
        <v>0</v>
      </c>
      <c r="AM139" s="97">
        <f t="shared" si="2"/>
        <v>0</v>
      </c>
      <c r="AN139" s="27" t="s">
        <v>2963</v>
      </c>
      <c r="AO139" s="27">
        <v>3</v>
      </c>
      <c r="AP139" s="27">
        <v>0</v>
      </c>
      <c r="AQ139" s="27">
        <v>0</v>
      </c>
      <c r="AR139" s="27">
        <f>SUM(AO139:AQ139)</f>
        <v>3</v>
      </c>
      <c r="AS139" s="27" t="s">
        <v>6561</v>
      </c>
      <c r="AT139" s="27"/>
      <c r="AU139" s="84"/>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P139" s="77"/>
      <c r="EQ139" s="77"/>
      <c r="ER139" s="77"/>
      <c r="ES139" s="77"/>
      <c r="ET139" s="77"/>
      <c r="EU139" s="77"/>
      <c r="EV139" s="77"/>
      <c r="EW139" s="77"/>
      <c r="EX139" s="77"/>
      <c r="EY139" s="77"/>
      <c r="EZ139" s="77"/>
      <c r="FA139" s="77"/>
      <c r="FB139" s="77"/>
      <c r="FC139" s="77"/>
      <c r="FD139" s="77"/>
      <c r="FE139" s="77"/>
      <c r="FF139" s="77"/>
      <c r="FG139" s="77"/>
      <c r="FH139" s="77"/>
      <c r="FI139" s="77"/>
      <c r="FJ139" s="77"/>
      <c r="FK139" s="77"/>
      <c r="FL139" s="77"/>
      <c r="FM139" s="77"/>
      <c r="FN139" s="77"/>
      <c r="FO139" s="77"/>
      <c r="FP139" s="77"/>
      <c r="FQ139" s="77"/>
      <c r="FR139" s="77"/>
      <c r="FS139" s="77"/>
      <c r="FT139" s="77"/>
      <c r="FU139" s="77"/>
      <c r="FV139" s="77"/>
      <c r="FW139" s="77"/>
      <c r="FX139" s="77"/>
      <c r="FY139" s="77"/>
      <c r="FZ139" s="77"/>
      <c r="GA139" s="77"/>
      <c r="GB139" s="77"/>
      <c r="GC139" s="77"/>
      <c r="GD139" s="77"/>
      <c r="GE139" s="77"/>
      <c r="GF139" s="77"/>
      <c r="GG139" s="77"/>
      <c r="GH139" s="77"/>
      <c r="GI139" s="77"/>
      <c r="GJ139" s="77"/>
      <c r="GK139" s="77"/>
      <c r="GL139" s="77"/>
      <c r="GM139" s="77"/>
      <c r="GN139" s="77"/>
      <c r="GO139" s="77"/>
      <c r="GP139" s="77"/>
      <c r="GQ139" s="77"/>
      <c r="GR139" s="77"/>
      <c r="GS139" s="77"/>
      <c r="GT139" s="77"/>
      <c r="GU139" s="77"/>
      <c r="GV139" s="77"/>
      <c r="GW139" s="77"/>
      <c r="GX139" s="77"/>
      <c r="GY139" s="77"/>
      <c r="GZ139" s="77"/>
      <c r="HA139" s="77"/>
      <c r="HB139" s="77"/>
      <c r="HC139" s="77"/>
      <c r="HD139" s="77"/>
      <c r="HE139" s="77"/>
      <c r="HF139" s="77"/>
      <c r="HG139" s="77"/>
      <c r="HH139" s="77"/>
      <c r="HI139" s="77"/>
      <c r="HJ139" s="77"/>
      <c r="HK139" s="77"/>
      <c r="HL139" s="77"/>
      <c r="HM139" s="77"/>
      <c r="HN139" s="77"/>
      <c r="HO139" s="77"/>
      <c r="HP139" s="77"/>
      <c r="HQ139" s="77"/>
      <c r="HR139" s="77"/>
      <c r="HS139" s="77"/>
      <c r="HT139" s="77"/>
      <c r="HU139" s="77"/>
      <c r="HV139" s="77"/>
      <c r="HW139" s="77"/>
      <c r="HX139" s="77"/>
      <c r="HY139" s="77"/>
      <c r="HZ139" s="77"/>
      <c r="IA139" s="77"/>
      <c r="IB139" s="77"/>
      <c r="IC139" s="77"/>
      <c r="IF139" s="77"/>
      <c r="IG139" s="77"/>
      <c r="IH139" s="77"/>
      <c r="II139" s="77"/>
      <c r="IJ139" s="77"/>
      <c r="IK139" s="77"/>
      <c r="IL139" s="77"/>
      <c r="IM139" s="77"/>
      <c r="IN139" s="77"/>
      <c r="IO139" s="77"/>
      <c r="IP139" s="77"/>
      <c r="IQ139" s="77"/>
      <c r="IR139" s="77"/>
      <c r="IS139" s="77"/>
      <c r="IT139" s="77"/>
      <c r="IU139" s="77"/>
      <c r="IV139" s="77"/>
      <c r="IW139" s="77"/>
      <c r="IX139" s="77"/>
      <c r="IY139" s="77"/>
      <c r="IZ139" s="77"/>
      <c r="JA139" s="77"/>
      <c r="JB139" s="77"/>
      <c r="JC139" s="77"/>
      <c r="JD139" s="77"/>
      <c r="JE139" s="77"/>
      <c r="JF139" s="77"/>
      <c r="JG139" s="77"/>
      <c r="JH139" s="77"/>
      <c r="JI139" s="77"/>
      <c r="JJ139" s="77"/>
      <c r="JK139" s="77"/>
      <c r="JL139" s="77"/>
      <c r="JM139" s="77"/>
      <c r="JN139" s="77"/>
      <c r="JO139" s="77"/>
      <c r="JP139" s="77"/>
      <c r="JQ139" s="77"/>
      <c r="JR139" s="77"/>
      <c r="JS139" s="77"/>
      <c r="JT139" s="77"/>
      <c r="JU139" s="77"/>
      <c r="JV139" s="77"/>
      <c r="JW139" s="77"/>
      <c r="JX139" s="77"/>
      <c r="JY139" s="77"/>
      <c r="JZ139" s="77"/>
      <c r="KA139" s="77"/>
      <c r="KB139" s="77"/>
      <c r="KC139" s="77"/>
      <c r="KD139" s="77"/>
      <c r="KE139" s="77"/>
      <c r="KF139" s="77"/>
      <c r="KG139" s="77"/>
      <c r="KH139" s="77"/>
      <c r="KI139" s="77"/>
      <c r="KJ139" s="77"/>
      <c r="KK139" s="77"/>
      <c r="KL139" s="77"/>
      <c r="KM139" s="77"/>
      <c r="KN139" s="77"/>
      <c r="KO139" s="77"/>
      <c r="KP139" s="77"/>
      <c r="KQ139" s="77"/>
      <c r="KR139" s="77"/>
      <c r="KS139" s="77"/>
      <c r="KT139" s="77"/>
      <c r="KU139" s="77"/>
      <c r="KV139" s="77"/>
      <c r="KW139" s="77"/>
      <c r="KX139" s="77"/>
      <c r="KY139" s="77"/>
      <c r="KZ139" s="77"/>
      <c r="LA139" s="77"/>
      <c r="LB139" s="77"/>
      <c r="LC139" s="77"/>
      <c r="LD139" s="77"/>
      <c r="LE139" s="77"/>
      <c r="LF139" s="77"/>
      <c r="LG139" s="77"/>
      <c r="LH139" s="77"/>
      <c r="LI139" s="77"/>
      <c r="LJ139" s="77"/>
      <c r="LK139" s="77"/>
      <c r="LW139" s="77"/>
      <c r="LX139" s="77"/>
      <c r="LY139" s="77"/>
      <c r="LZ139" s="77"/>
      <c r="MA139" s="77"/>
      <c r="MB139" s="77"/>
      <c r="MC139" s="77"/>
      <c r="MD139" s="77"/>
      <c r="ME139" s="77"/>
      <c r="MF139" s="77"/>
      <c r="MG139" s="77"/>
      <c r="MH139" s="77"/>
      <c r="MI139" s="77"/>
      <c r="MJ139" s="77"/>
      <c r="MK139" s="77"/>
      <c r="ML139" s="77"/>
      <c r="MM139" s="77"/>
      <c r="MN139" s="77"/>
      <c r="MO139" s="77"/>
      <c r="MP139" s="77"/>
      <c r="MQ139" s="77"/>
      <c r="MR139" s="77"/>
    </row>
    <row r="140" spans="1:421" ht="18.600000000000001" customHeight="1" x14ac:dyDescent="0.25">
      <c r="A140" s="119" t="s">
        <v>195</v>
      </c>
      <c r="B140" s="27" t="s">
        <v>1312</v>
      </c>
      <c r="C140" s="27" t="s">
        <v>3938</v>
      </c>
      <c r="D140" s="30" t="str">
        <f>HYPERLINK("https://twitter.com/khamenei_ir","https://twitter.com/khamenei_ir")</f>
        <v>https://twitter.com/khamenei_ir</v>
      </c>
      <c r="E140" s="30" t="str">
        <f>HYPERLINK("http://twiplomacy.com/info/asia/Iran","http://twiplomacy.com/info/asia/Iran")</f>
        <v>http://twiplomacy.com/info/asia/Iran</v>
      </c>
      <c r="F140" s="10" t="s">
        <v>154</v>
      </c>
      <c r="G140" s="10" t="s">
        <v>194</v>
      </c>
      <c r="H140" s="10" t="s">
        <v>1313</v>
      </c>
      <c r="I140" s="10" t="s">
        <v>773</v>
      </c>
      <c r="J140" s="27" t="s">
        <v>789</v>
      </c>
      <c r="K140" s="15" t="s">
        <v>777</v>
      </c>
      <c r="L140" s="10" t="s">
        <v>771</v>
      </c>
      <c r="M140" s="10" t="s">
        <v>770</v>
      </c>
      <c r="N140" s="30" t="str">
        <f>HYPERLINK("https://twitter.com/khamenei_ir/statuses/1482499965","https://twitter.com/khamenei_ir/statuses/1482499965")</f>
        <v>https://twitter.com/khamenei_ir/statuses/1482499965</v>
      </c>
      <c r="O140" s="27" t="s">
        <v>5902</v>
      </c>
      <c r="P140" s="80">
        <v>1890</v>
      </c>
      <c r="Q140" s="80">
        <v>848</v>
      </c>
      <c r="R140" s="27" t="s">
        <v>2995</v>
      </c>
      <c r="S140" s="10" t="s">
        <v>1314</v>
      </c>
      <c r="T140" s="10" t="s">
        <v>771</v>
      </c>
      <c r="U140" s="10" t="s">
        <v>771</v>
      </c>
      <c r="V140" s="10" t="s">
        <v>771</v>
      </c>
      <c r="W140" s="10"/>
      <c r="X140" s="27" t="s">
        <v>195</v>
      </c>
      <c r="Y140" s="27" t="s">
        <v>1312</v>
      </c>
      <c r="Z140" s="80">
        <v>7898</v>
      </c>
      <c r="AA140" s="27">
        <v>6</v>
      </c>
      <c r="AB140" s="80">
        <v>211611</v>
      </c>
      <c r="AC140" s="27">
        <v>0</v>
      </c>
      <c r="AD140" s="27" t="s">
        <v>3939</v>
      </c>
      <c r="AE140" s="27">
        <v>27966935</v>
      </c>
      <c r="AF140" s="27" t="s">
        <v>3938</v>
      </c>
      <c r="AG140" s="27" t="s">
        <v>1315</v>
      </c>
      <c r="AH140" s="79">
        <v>3.0533230293663101</v>
      </c>
      <c r="AI140" s="83">
        <v>3.4618689581095601</v>
      </c>
      <c r="AJ140" s="80">
        <v>66.791639017916395</v>
      </c>
      <c r="AK140" s="80">
        <v>72.357996018579996</v>
      </c>
      <c r="AL140" s="27">
        <v>8</v>
      </c>
      <c r="AM140" s="97">
        <f t="shared" si="2"/>
        <v>2.5000000000000001E-3</v>
      </c>
      <c r="AN140" s="27" t="s">
        <v>195</v>
      </c>
      <c r="AO140" s="27">
        <v>0</v>
      </c>
      <c r="AP140" s="27">
        <v>13</v>
      </c>
      <c r="AQ140" s="27">
        <v>3</v>
      </c>
      <c r="AR140" s="27">
        <f>SUM(AO140:AQ140)</f>
        <v>16</v>
      </c>
      <c r="AS140" s="27"/>
      <c r="AT140" s="27" t="s">
        <v>6305</v>
      </c>
      <c r="AU140" s="84" t="s">
        <v>4797</v>
      </c>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EM140" s="77"/>
      <c r="EN140" s="77"/>
      <c r="EO140" s="77"/>
      <c r="EQ140" s="77"/>
      <c r="ER140" s="77"/>
      <c r="ES140" s="77"/>
      <c r="ET140" s="77"/>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c r="FX140" s="77"/>
      <c r="FY140" s="77"/>
      <c r="FZ140" s="77"/>
      <c r="GA140" s="77"/>
      <c r="GB140" s="77"/>
      <c r="GC140" s="77"/>
      <c r="GD140" s="77"/>
      <c r="GE140" s="77"/>
      <c r="GF140" s="77"/>
      <c r="GG140" s="77"/>
      <c r="GH140" s="77"/>
      <c r="GI140" s="77"/>
      <c r="GJ140" s="77"/>
      <c r="GK140" s="77"/>
      <c r="GL140" s="77"/>
      <c r="GM140" s="77"/>
      <c r="GN140" s="77"/>
      <c r="GO140" s="77"/>
      <c r="GP140" s="77"/>
      <c r="GQ140" s="77"/>
      <c r="GR140" s="77"/>
      <c r="GS140" s="77"/>
      <c r="GT140" s="77"/>
      <c r="GU140" s="77"/>
      <c r="GV140" s="77"/>
      <c r="GW140" s="77"/>
      <c r="GX140" s="77"/>
      <c r="GY140" s="77"/>
      <c r="GZ140" s="77"/>
      <c r="HA140" s="77"/>
      <c r="HB140" s="77"/>
      <c r="HC140" s="77"/>
      <c r="HD140" s="77"/>
      <c r="HE140" s="77"/>
      <c r="HF140" s="77"/>
      <c r="HG140" s="77"/>
      <c r="HH140" s="77"/>
      <c r="HI140" s="77"/>
      <c r="HJ140" s="77"/>
      <c r="HK140" s="77"/>
      <c r="ID140" s="77"/>
      <c r="IE140" s="77"/>
      <c r="JY140" s="77"/>
      <c r="JZ140" s="77"/>
      <c r="KA140" s="77"/>
      <c r="KB140" s="77"/>
      <c r="KC140" s="77"/>
      <c r="KD140" s="77"/>
      <c r="KE140" s="77"/>
      <c r="KF140" s="77"/>
      <c r="KG140" s="77"/>
      <c r="KH140" s="77"/>
      <c r="KI140" s="77"/>
      <c r="KJ140" s="77"/>
      <c r="KK140" s="77"/>
      <c r="KL140" s="77"/>
      <c r="LW140" s="77"/>
      <c r="LX140" s="77"/>
    </row>
    <row r="141" spans="1:421" ht="18.600000000000001" customHeight="1" x14ac:dyDescent="0.25">
      <c r="A141" s="119" t="s">
        <v>191</v>
      </c>
      <c r="B141" s="27" t="s">
        <v>1295</v>
      </c>
      <c r="C141" s="27" t="s">
        <v>1296</v>
      </c>
      <c r="D141" s="30" t="str">
        <f>HYPERLINK("https://twitter.com/IstanaRakyat","https://twitter.com/IstanaRakyat")</f>
        <v>https://twitter.com/IstanaRakyat</v>
      </c>
      <c r="E141" s="30" t="str">
        <f>HYPERLINK("http://twiplomacy.com/info/asia/Indonesia","http://twiplomacy.com/info/asia/Indonesia")</f>
        <v>http://twiplomacy.com/info/asia/Indonesia</v>
      </c>
      <c r="F141" s="10" t="s">
        <v>154</v>
      </c>
      <c r="G141" s="10" t="s">
        <v>189</v>
      </c>
      <c r="H141" s="10" t="s">
        <v>781</v>
      </c>
      <c r="I141" s="10" t="s">
        <v>782</v>
      </c>
      <c r="J141" s="27" t="s">
        <v>789</v>
      </c>
      <c r="K141" s="15" t="s">
        <v>4614</v>
      </c>
      <c r="L141" s="10" t="s">
        <v>771</v>
      </c>
      <c r="M141" s="10" t="s">
        <v>770</v>
      </c>
      <c r="N141" s="30" t="str">
        <f>HYPERLINK("https://twitter.com/IstanaRakyat/statuses/321258110285144064","https://twitter.com/IstanaRakyat/statuses/321258110285144064")</f>
        <v>https://twitter.com/IstanaRakyat/statuses/321258110285144064</v>
      </c>
      <c r="O141" s="27" t="s">
        <v>1297</v>
      </c>
      <c r="P141" s="80">
        <v>3010</v>
      </c>
      <c r="Q141" s="80">
        <v>7</v>
      </c>
      <c r="R141" s="27" t="s">
        <v>2994</v>
      </c>
      <c r="S141" s="10" t="s">
        <v>1298</v>
      </c>
      <c r="T141" s="10" t="s">
        <v>771</v>
      </c>
      <c r="U141" s="10" t="s">
        <v>771</v>
      </c>
      <c r="V141" s="10" t="s">
        <v>771</v>
      </c>
      <c r="W141" s="10"/>
      <c r="X141" s="27" t="s">
        <v>191</v>
      </c>
      <c r="Y141" s="27" t="s">
        <v>1295</v>
      </c>
      <c r="Z141" s="80">
        <v>7842</v>
      </c>
      <c r="AA141" s="27">
        <v>382</v>
      </c>
      <c r="AB141" s="80">
        <v>326827</v>
      </c>
      <c r="AC141" s="27">
        <v>49</v>
      </c>
      <c r="AD141" s="27" t="s">
        <v>3865</v>
      </c>
      <c r="AE141" s="27">
        <v>1316012929</v>
      </c>
      <c r="AF141" s="27" t="s">
        <v>1296</v>
      </c>
      <c r="AG141" s="27" t="s">
        <v>189</v>
      </c>
      <c r="AH141" s="79">
        <v>6.9459698848538496</v>
      </c>
      <c r="AI141" s="83">
        <v>9.5432835820895505</v>
      </c>
      <c r="AJ141" s="80">
        <v>61.658899923605802</v>
      </c>
      <c r="AK141" s="80">
        <v>2.5825057295645499</v>
      </c>
      <c r="AL141" s="27">
        <v>58</v>
      </c>
      <c r="AM141" s="97">
        <f t="shared" si="2"/>
        <v>1.8124999999999999E-2</v>
      </c>
      <c r="AN141" s="27" t="s">
        <v>191</v>
      </c>
      <c r="AO141" s="27">
        <v>2</v>
      </c>
      <c r="AP141" s="27">
        <v>7</v>
      </c>
      <c r="AQ141" s="27">
        <v>0</v>
      </c>
      <c r="AR141" s="27">
        <f>SUM(AO141:AQ141)</f>
        <v>9</v>
      </c>
      <c r="AS141" s="27" t="s">
        <v>4780</v>
      </c>
      <c r="AT141" s="27" t="s">
        <v>5209</v>
      </c>
      <c r="AU141" s="84"/>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1"/>
      <c r="BR141" s="71"/>
      <c r="BS141" s="71"/>
      <c r="BT141" s="71"/>
      <c r="BU141" s="71"/>
      <c r="BV141" s="71"/>
      <c r="BW141" s="71"/>
      <c r="BX141" s="71"/>
      <c r="BY141" s="71"/>
      <c r="BZ141" s="71"/>
      <c r="CA141" s="71"/>
      <c r="CB141" s="71"/>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c r="FA141" s="77"/>
      <c r="FB141" s="77"/>
      <c r="FC141" s="77"/>
      <c r="FD141" s="77"/>
      <c r="FE141" s="77"/>
      <c r="FF141" s="77"/>
      <c r="FG141" s="77"/>
      <c r="FH141" s="77"/>
      <c r="FI141" s="77"/>
      <c r="FJ141" s="77"/>
      <c r="FK141" s="77"/>
      <c r="FL141" s="77"/>
      <c r="FM141" s="77"/>
      <c r="FN141" s="77"/>
      <c r="FO141" s="77"/>
      <c r="FP141" s="77"/>
      <c r="FQ141" s="77"/>
      <c r="FR141" s="77"/>
      <c r="FS141" s="77"/>
      <c r="FT141" s="77"/>
      <c r="FU141" s="77"/>
      <c r="FV141" s="77"/>
      <c r="FW141" s="77"/>
      <c r="FX141" s="77"/>
      <c r="FY141" s="77"/>
      <c r="FZ141" s="77"/>
      <c r="GA141" s="77"/>
      <c r="GB141" s="77"/>
      <c r="GC141" s="77"/>
      <c r="GD141" s="77"/>
      <c r="GE141" s="77"/>
      <c r="GF141" s="77"/>
      <c r="GG141" s="77"/>
      <c r="GH141" s="77"/>
      <c r="GI141" s="77"/>
      <c r="GJ141" s="77"/>
      <c r="GK141" s="77"/>
      <c r="IF141" s="77"/>
      <c r="IG141" s="77"/>
      <c r="IH141" s="77"/>
      <c r="II141" s="77"/>
      <c r="IJ141" s="77"/>
      <c r="IK141" s="77"/>
      <c r="IL141" s="77"/>
      <c r="IM141" s="77"/>
      <c r="IN141" s="77"/>
      <c r="IO141" s="77"/>
      <c r="IP141" s="77"/>
      <c r="IQ141" s="77"/>
      <c r="IR141" s="77"/>
      <c r="IS141" s="77"/>
      <c r="IT141" s="77"/>
      <c r="IU141" s="77"/>
      <c r="IV141" s="77"/>
      <c r="IW141" s="77"/>
      <c r="IX141" s="77"/>
      <c r="IY141" s="77"/>
      <c r="IZ141" s="77"/>
      <c r="JA141" s="77"/>
      <c r="JB141" s="77"/>
      <c r="JC141" s="77"/>
      <c r="JD141" s="77"/>
      <c r="JE141" s="77"/>
      <c r="JF141" s="77"/>
      <c r="JG141" s="77"/>
      <c r="JH141" s="77"/>
      <c r="JI141" s="77"/>
      <c r="JJ141" s="77"/>
      <c r="JK141" s="77"/>
      <c r="JL141" s="77"/>
      <c r="JM141" s="77"/>
      <c r="JN141" s="77"/>
      <c r="JO141" s="77"/>
      <c r="JP141" s="77"/>
      <c r="JQ141" s="77"/>
      <c r="JR141" s="77"/>
      <c r="JS141" s="77"/>
      <c r="JT141" s="77"/>
      <c r="JU141" s="77"/>
      <c r="JV141" s="77"/>
      <c r="JW141" s="77"/>
      <c r="JX141" s="77"/>
      <c r="JY141" s="77"/>
      <c r="JZ141" s="77"/>
      <c r="KA141" s="77"/>
      <c r="KB141" s="77"/>
      <c r="KC141" s="77"/>
      <c r="KD141" s="77"/>
      <c r="KE141" s="77"/>
      <c r="KF141" s="77"/>
      <c r="KG141" s="77"/>
      <c r="KH141" s="77"/>
      <c r="KI141" s="77"/>
      <c r="KJ141" s="77"/>
      <c r="KK141" s="77"/>
      <c r="KL141" s="77"/>
      <c r="KM141" s="77"/>
      <c r="KN141" s="77"/>
      <c r="KO141" s="77"/>
      <c r="KP141" s="77"/>
      <c r="KQ141" s="77"/>
      <c r="KR141" s="77"/>
      <c r="KS141" s="77"/>
      <c r="KT141" s="77"/>
      <c r="KU141" s="77"/>
      <c r="KV141" s="77"/>
      <c r="KW141" s="77"/>
      <c r="KX141" s="77"/>
      <c r="KY141" s="77"/>
      <c r="KZ141" s="77"/>
      <c r="LA141" s="77"/>
      <c r="LB141" s="77"/>
      <c r="LC141" s="77"/>
      <c r="LD141" s="77"/>
      <c r="LE141" s="77"/>
      <c r="LF141" s="77"/>
      <c r="LG141" s="77"/>
      <c r="LH141" s="77"/>
      <c r="LI141" s="77"/>
      <c r="LJ141" s="77"/>
      <c r="LK141" s="77"/>
      <c r="LY141" s="16"/>
      <c r="LZ141" s="16"/>
      <c r="MA141" s="16"/>
      <c r="MB141" s="16"/>
      <c r="MC141" s="16"/>
      <c r="MD141" s="16"/>
      <c r="ME141" s="16"/>
      <c r="MF141" s="16"/>
      <c r="MG141" s="16"/>
      <c r="MH141" s="16"/>
      <c r="MI141" s="16"/>
      <c r="MJ141" s="16"/>
      <c r="MK141" s="16"/>
      <c r="ML141" s="16"/>
      <c r="MM141" s="16"/>
      <c r="MN141" s="16"/>
      <c r="MO141" s="16"/>
      <c r="MP141" s="16"/>
      <c r="MQ141" s="16"/>
      <c r="MR141" s="16"/>
      <c r="MS141" s="77"/>
      <c r="ND141" s="77"/>
    </row>
    <row r="142" spans="1:421" ht="18.600000000000001" customHeight="1" x14ac:dyDescent="0.25">
      <c r="A142" s="119" t="s">
        <v>402</v>
      </c>
      <c r="B142" s="27" t="s">
        <v>1914</v>
      </c>
      <c r="C142" s="27" t="s">
        <v>6448</v>
      </c>
      <c r="D142" s="30" t="str">
        <f>HYPERLINK("https://twitter.com/RegSprecher","https://twitter.com/RegSprecher")</f>
        <v>https://twitter.com/RegSprecher</v>
      </c>
      <c r="E142" s="30" t="str">
        <f>HYPERLINK("http://twiplomacy.com/info/europe/Germany","http://twiplomacy.com/info/europe/Germany")</f>
        <v>http://twiplomacy.com/info/europe/Germany</v>
      </c>
      <c r="F142" s="10" t="s">
        <v>332</v>
      </c>
      <c r="G142" s="10" t="s">
        <v>401</v>
      </c>
      <c r="H142" s="10" t="s">
        <v>788</v>
      </c>
      <c r="I142" s="10" t="s">
        <v>782</v>
      </c>
      <c r="J142" s="27" t="s">
        <v>1716</v>
      </c>
      <c r="K142" s="15" t="s">
        <v>777</v>
      </c>
      <c r="L142" s="10" t="s">
        <v>770</v>
      </c>
      <c r="M142" s="10" t="s">
        <v>771</v>
      </c>
      <c r="N142" s="30" t="str">
        <f>HYPERLINK("https://twitter.com/RegSprecher/statuses/42205913481875456","https://twitter.com/RegSprecher/statuses/42205913481875456")</f>
        <v>https://twitter.com/RegSprecher/statuses/42205913481875456</v>
      </c>
      <c r="O142" s="27" t="s">
        <v>6067</v>
      </c>
      <c r="P142" s="80">
        <v>6794</v>
      </c>
      <c r="Q142" s="80">
        <v>8579</v>
      </c>
      <c r="R142" s="27" t="s">
        <v>2994</v>
      </c>
      <c r="S142" s="30" t="str">
        <f>HYPERLINK("https://twitter.com/RegSprecher/lists","https://twitter.com/RegSprecher/lists")</f>
        <v>https://twitter.com/RegSprecher/lists</v>
      </c>
      <c r="T142" s="10">
        <v>1</v>
      </c>
      <c r="U142" s="10" t="s">
        <v>771</v>
      </c>
      <c r="V142" s="10" t="s">
        <v>771</v>
      </c>
      <c r="W142" s="10"/>
      <c r="X142" s="27" t="s">
        <v>402</v>
      </c>
      <c r="Y142" s="27" t="s">
        <v>1914</v>
      </c>
      <c r="Z142" s="80">
        <v>7830</v>
      </c>
      <c r="AA142" s="27">
        <v>100</v>
      </c>
      <c r="AB142" s="80">
        <v>523658</v>
      </c>
      <c r="AC142" s="27">
        <v>0</v>
      </c>
      <c r="AD142" s="27" t="s">
        <v>4410</v>
      </c>
      <c r="AE142" s="27">
        <v>234343491</v>
      </c>
      <c r="AF142" s="27" t="s">
        <v>6448</v>
      </c>
      <c r="AG142" s="27" t="s">
        <v>1715</v>
      </c>
      <c r="AH142" s="79">
        <v>4.0277777777777803</v>
      </c>
      <c r="AI142" s="83">
        <v>4.0449999999999999</v>
      </c>
      <c r="AJ142" s="80">
        <v>25.4606870229008</v>
      </c>
      <c r="AK142" s="80">
        <v>29.793129770992401</v>
      </c>
      <c r="AL142" s="27">
        <v>326</v>
      </c>
      <c r="AM142" s="97">
        <f t="shared" si="2"/>
        <v>0.10187499999999999</v>
      </c>
      <c r="AN142" s="27" t="s">
        <v>402</v>
      </c>
      <c r="AO142" s="27">
        <v>7</v>
      </c>
      <c r="AP142" s="27">
        <v>31</v>
      </c>
      <c r="AQ142" s="27">
        <v>5</v>
      </c>
      <c r="AR142" s="27">
        <f>SUM(AO142:AQ142)</f>
        <v>43</v>
      </c>
      <c r="AS142" s="27" t="s">
        <v>5463</v>
      </c>
      <c r="AT142" s="27" t="s">
        <v>6338</v>
      </c>
      <c r="AU142" s="84" t="s">
        <v>4935</v>
      </c>
      <c r="BM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R142" s="77"/>
      <c r="ES142" s="77"/>
      <c r="ET142" s="77"/>
      <c r="EU142" s="77"/>
      <c r="EV142" s="77"/>
      <c r="EW142" s="77"/>
      <c r="EX142" s="77"/>
      <c r="EY142" s="77"/>
      <c r="EZ142" s="77"/>
      <c r="FA142" s="77"/>
      <c r="FB142" s="77"/>
      <c r="FC142" s="77"/>
      <c r="FD142" s="77"/>
      <c r="FE142" s="77"/>
      <c r="FF142" s="77"/>
      <c r="FG142" s="77"/>
      <c r="FH142" s="77"/>
      <c r="FI142" s="77"/>
      <c r="FJ142" s="77"/>
      <c r="FK142" s="77"/>
      <c r="FL142" s="77"/>
      <c r="FM142" s="77"/>
      <c r="FN142" s="77"/>
      <c r="FO142" s="77"/>
      <c r="FP142" s="77"/>
      <c r="FQ142" s="77"/>
      <c r="FR142" s="77"/>
      <c r="FS142" s="77"/>
      <c r="FT142" s="77"/>
      <c r="FU142" s="77"/>
      <c r="FV142" s="77"/>
      <c r="FW142" s="77"/>
      <c r="FX142" s="77"/>
      <c r="FY142" s="77"/>
      <c r="FZ142" s="77"/>
      <c r="GA142" s="77"/>
      <c r="GB142" s="77"/>
      <c r="GC142" s="77"/>
      <c r="GD142" s="77"/>
      <c r="GE142" s="77"/>
      <c r="GF142" s="77"/>
      <c r="GG142" s="77"/>
      <c r="GH142" s="77"/>
      <c r="GI142" s="77"/>
      <c r="GJ142" s="77"/>
      <c r="GK142" s="77"/>
      <c r="ID142" s="77"/>
      <c r="IE142" s="77"/>
      <c r="JY142" s="77"/>
      <c r="JZ142" s="77"/>
      <c r="KA142" s="77"/>
      <c r="KB142" s="77"/>
      <c r="KC142" s="77"/>
      <c r="KD142" s="77"/>
      <c r="KE142" s="77"/>
      <c r="KF142" s="77"/>
      <c r="KG142" s="77"/>
      <c r="KH142" s="77"/>
      <c r="KI142" s="77"/>
      <c r="KJ142" s="77"/>
      <c r="KK142" s="77"/>
      <c r="KL142" s="77"/>
      <c r="LL142" s="77"/>
      <c r="LM142" s="77"/>
      <c r="LN142" s="77"/>
      <c r="LO142" s="77"/>
      <c r="LP142" s="77"/>
      <c r="LQ142" s="77"/>
      <c r="LR142" s="77"/>
      <c r="LS142" s="77"/>
      <c r="LT142" s="77"/>
      <c r="LU142" s="77"/>
      <c r="LV142" s="77"/>
      <c r="LW142" s="77"/>
      <c r="LX142" s="77"/>
      <c r="MT142" s="77"/>
      <c r="MU142" s="77"/>
      <c r="MV142" s="77"/>
      <c r="MW142" s="77"/>
      <c r="MX142" s="77"/>
      <c r="MY142" s="77"/>
      <c r="MZ142" s="77"/>
      <c r="NA142" s="77"/>
      <c r="NB142" s="77"/>
      <c r="NC142" s="77"/>
    </row>
    <row r="143" spans="1:421" s="37" customFormat="1" ht="18.600000000000001" customHeight="1" x14ac:dyDescent="0.25">
      <c r="A143" s="119" t="s">
        <v>1883</v>
      </c>
      <c r="B143" s="27" t="s">
        <v>1884</v>
      </c>
      <c r="C143" s="27" t="s">
        <v>1885</v>
      </c>
      <c r="D143" s="30" t="str">
        <f>HYPERLINK("https://twitter.com/statsradet","https://twitter.com/statsradet")</f>
        <v>https://twitter.com/statsradet</v>
      </c>
      <c r="E143" s="30" t="str">
        <f>HYPERLINK("http://twiplomacy.com/info/europe/Finland","http://twiplomacy.com/info/europe/Finland")</f>
        <v>http://twiplomacy.com/info/europe/Finland</v>
      </c>
      <c r="F143" s="10" t="s">
        <v>332</v>
      </c>
      <c r="G143" s="10" t="s">
        <v>389</v>
      </c>
      <c r="H143" s="10" t="s">
        <v>788</v>
      </c>
      <c r="I143" s="10" t="s">
        <v>782</v>
      </c>
      <c r="J143" s="27" t="s">
        <v>789</v>
      </c>
      <c r="K143" s="15" t="s">
        <v>777</v>
      </c>
      <c r="L143" s="10" t="s">
        <v>771</v>
      </c>
      <c r="M143" s="10" t="s">
        <v>770</v>
      </c>
      <c r="N143" s="30" t="str">
        <f>HYPERLINK("https://twitter.com/Statsradet/statuses/65419042596458496","https://twitter.com/Statsradet/statuses/65419042596458496")</f>
        <v>https://twitter.com/Statsradet/statuses/65419042596458496</v>
      </c>
      <c r="O143" s="12" t="s">
        <v>1886</v>
      </c>
      <c r="P143" s="46">
        <v>15</v>
      </c>
      <c r="Q143" s="46">
        <v>8</v>
      </c>
      <c r="R143" s="27" t="s">
        <v>2994</v>
      </c>
      <c r="S143" s="10" t="s">
        <v>1887</v>
      </c>
      <c r="T143" s="10" t="s">
        <v>771</v>
      </c>
      <c r="U143" s="10" t="s">
        <v>771</v>
      </c>
      <c r="V143" s="10" t="s">
        <v>771</v>
      </c>
      <c r="W143" s="73"/>
      <c r="X143" s="27" t="s">
        <v>1883</v>
      </c>
      <c r="Y143" s="27" t="s">
        <v>1884</v>
      </c>
      <c r="Z143" s="80">
        <v>7797</v>
      </c>
      <c r="AA143" s="27">
        <v>28</v>
      </c>
      <c r="AB143" s="80">
        <v>695</v>
      </c>
      <c r="AC143" s="27">
        <v>1</v>
      </c>
      <c r="AD143" s="27" t="s">
        <v>4495</v>
      </c>
      <c r="AE143" s="27">
        <v>292249730</v>
      </c>
      <c r="AF143" s="27" t="s">
        <v>1885</v>
      </c>
      <c r="AG143" s="27" t="s">
        <v>389</v>
      </c>
      <c r="AH143" s="79">
        <v>4.2699890470974804</v>
      </c>
      <c r="AI143" s="83">
        <v>4.6994134897360702</v>
      </c>
      <c r="AJ143" s="80">
        <v>0.15106783919597999</v>
      </c>
      <c r="AK143" s="80">
        <v>6.3128140703517605E-2</v>
      </c>
      <c r="AL143" s="13">
        <v>0</v>
      </c>
      <c r="AM143" s="97">
        <f t="shared" si="2"/>
        <v>0</v>
      </c>
      <c r="AN143" s="27" t="s">
        <v>1883</v>
      </c>
      <c r="AO143" s="27">
        <v>1</v>
      </c>
      <c r="AP143" s="27">
        <v>2</v>
      </c>
      <c r="AQ143" s="27">
        <v>3</v>
      </c>
      <c r="AR143" s="27">
        <f>SUM(AO143:AQ143)</f>
        <v>6</v>
      </c>
      <c r="AS143" s="27" t="s">
        <v>392</v>
      </c>
      <c r="AT143" s="27" t="s">
        <v>5055</v>
      </c>
      <c r="AU143" s="84" t="s">
        <v>4963</v>
      </c>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c r="BZ143" s="77"/>
      <c r="CA143" s="77"/>
      <c r="CB143" s="77"/>
      <c r="CC143" s="77"/>
      <c r="CD143" s="77"/>
      <c r="CE143" s="77"/>
      <c r="CF143" s="77"/>
      <c r="CG143" s="77"/>
      <c r="CH143" s="77"/>
      <c r="CI143" s="77"/>
      <c r="CJ143" s="77"/>
      <c r="CK143" s="77"/>
      <c r="CL143" s="77"/>
      <c r="CM143" s="77"/>
      <c r="CN143" s="77"/>
      <c r="CO143" s="77"/>
      <c r="CP143" s="77"/>
      <c r="CQ143" s="77"/>
      <c r="CR143" s="77"/>
      <c r="CS143" s="77"/>
      <c r="CT143" s="77"/>
      <c r="CU143" s="77"/>
      <c r="CV143" s="77"/>
      <c r="CW143" s="77"/>
      <c r="CX143" s="77"/>
      <c r="CY143" s="77"/>
      <c r="CZ143" s="77"/>
      <c r="DA143" s="77"/>
      <c r="DB143" s="77"/>
      <c r="DC143" s="77"/>
      <c r="DD143" s="77"/>
      <c r="DE143" s="77"/>
      <c r="DF143" s="77"/>
      <c r="DG143" s="77"/>
      <c r="DH143" s="77"/>
      <c r="DI143" s="77"/>
      <c r="DJ143" s="77"/>
      <c r="DK143" s="77"/>
      <c r="DL143" s="77"/>
      <c r="DM143" s="77"/>
      <c r="DN143" s="77"/>
      <c r="DO143" s="77"/>
      <c r="DP143" s="77"/>
      <c r="DQ143" s="77"/>
      <c r="DR143" s="77"/>
      <c r="DS143" s="77"/>
      <c r="DT143" s="77"/>
      <c r="DU143" s="77"/>
      <c r="DV143" s="77"/>
      <c r="DW143" s="77"/>
      <c r="DX143" s="77"/>
      <c r="DY143" s="77"/>
      <c r="DZ143" s="77"/>
      <c r="EA143" s="77"/>
      <c r="EB143" s="77"/>
      <c r="EC143" s="77"/>
      <c r="ED143" s="77"/>
      <c r="EE143" s="77"/>
      <c r="EF143" s="77"/>
      <c r="EG143" s="77"/>
      <c r="EH143" s="77"/>
      <c r="EI143" s="77"/>
      <c r="EJ143" s="77"/>
      <c r="EK143" s="77"/>
      <c r="EL143" s="77"/>
      <c r="EM143" s="77"/>
      <c r="EN143" s="77"/>
      <c r="EO143" s="77"/>
      <c r="GL143" s="77"/>
      <c r="GM143" s="77"/>
      <c r="GN143" s="77"/>
      <c r="GO143" s="77"/>
      <c r="GP143" s="77"/>
      <c r="GQ143" s="77"/>
      <c r="GR143" s="77"/>
      <c r="GS143" s="77"/>
      <c r="GT143" s="77"/>
      <c r="GU143" s="77"/>
      <c r="GV143" s="77"/>
      <c r="GW143" s="77"/>
      <c r="GX143" s="77"/>
      <c r="GY143" s="77"/>
      <c r="GZ143" s="77"/>
      <c r="HA143" s="77"/>
      <c r="HB143" s="77"/>
      <c r="HC143" s="77"/>
      <c r="HD143" s="77"/>
      <c r="HE143" s="77"/>
      <c r="HF143" s="77"/>
      <c r="HG143" s="77"/>
      <c r="HH143" s="77"/>
      <c r="HI143" s="77"/>
      <c r="HJ143" s="77"/>
      <c r="HK143" s="77"/>
      <c r="ID143" s="77"/>
      <c r="IE143" s="77"/>
      <c r="IF143" s="77"/>
      <c r="IG143" s="77"/>
      <c r="IH143" s="77"/>
      <c r="II143" s="77"/>
      <c r="IJ143" s="77"/>
      <c r="IK143" s="77"/>
      <c r="IL143" s="77"/>
      <c r="IM143" s="77"/>
      <c r="IN143" s="77"/>
      <c r="IO143" s="77"/>
      <c r="IP143" s="77"/>
      <c r="IQ143" s="77"/>
      <c r="IR143" s="77"/>
      <c r="IS143" s="77"/>
      <c r="IT143" s="77"/>
      <c r="IU143" s="77"/>
      <c r="IV143" s="77"/>
      <c r="IW143" s="77"/>
      <c r="IX143" s="77"/>
      <c r="IY143" s="77"/>
      <c r="IZ143" s="77"/>
      <c r="JA143" s="77"/>
      <c r="JB143" s="77"/>
      <c r="JC143" s="77"/>
      <c r="JD143" s="77"/>
      <c r="JE143" s="77"/>
      <c r="JF143" s="77"/>
      <c r="JG143" s="77"/>
      <c r="JH143" s="77"/>
      <c r="JI143" s="77"/>
      <c r="JJ143" s="77"/>
      <c r="JK143" s="77"/>
      <c r="JL143" s="77"/>
      <c r="JM143" s="77"/>
      <c r="JN143" s="77"/>
      <c r="JO143" s="77"/>
      <c r="JP143" s="77"/>
      <c r="JQ143" s="77"/>
      <c r="JR143" s="77"/>
      <c r="JS143" s="77"/>
      <c r="JT143" s="77"/>
      <c r="JU143" s="77"/>
      <c r="JV143" s="77"/>
      <c r="JW143" s="77"/>
      <c r="JX143" s="77"/>
      <c r="JY143" s="77"/>
      <c r="JZ143" s="77"/>
      <c r="KA143" s="77"/>
      <c r="KB143" s="77"/>
      <c r="KC143" s="77"/>
      <c r="KD143" s="77"/>
      <c r="KE143" s="77"/>
      <c r="KF143" s="77"/>
      <c r="KG143" s="77"/>
      <c r="KH143" s="77"/>
      <c r="KI143" s="77"/>
      <c r="KJ143" s="77"/>
      <c r="KK143" s="77"/>
      <c r="KL143" s="77"/>
      <c r="KM143" s="77"/>
      <c r="KN143" s="77"/>
      <c r="KO143" s="77"/>
      <c r="KP143" s="77"/>
      <c r="KQ143" s="77"/>
      <c r="KR143" s="77"/>
      <c r="KS143" s="77"/>
      <c r="KT143" s="77"/>
      <c r="KU143" s="77"/>
      <c r="KV143" s="77"/>
      <c r="KW143" s="77"/>
      <c r="KX143" s="77"/>
      <c r="KY143" s="77"/>
      <c r="KZ143" s="77"/>
      <c r="LA143" s="77"/>
      <c r="LB143" s="77"/>
      <c r="LC143" s="77"/>
      <c r="LD143" s="77"/>
      <c r="LE143" s="77"/>
      <c r="LF143" s="77"/>
      <c r="LG143" s="77"/>
      <c r="LH143" s="77"/>
      <c r="LI143" s="77"/>
      <c r="LJ143" s="77"/>
      <c r="LK143" s="77"/>
      <c r="LL143" s="77"/>
      <c r="LM143" s="77"/>
      <c r="LN143" s="77"/>
      <c r="LO143" s="77"/>
      <c r="LP143" s="77"/>
      <c r="LQ143" s="77"/>
      <c r="LR143" s="77"/>
      <c r="LS143" s="77"/>
      <c r="LT143" s="77"/>
      <c r="LU143" s="77"/>
      <c r="LV143" s="77"/>
      <c r="LW143" s="77"/>
      <c r="LX143" s="77"/>
      <c r="ND143" s="77"/>
    </row>
    <row r="144" spans="1:421" s="37" customFormat="1" ht="18.600000000000001" customHeight="1" x14ac:dyDescent="0.25">
      <c r="A144" s="119" t="s">
        <v>294</v>
      </c>
      <c r="B144" s="27" t="s">
        <v>1607</v>
      </c>
      <c r="C144" s="27" t="s">
        <v>1608</v>
      </c>
      <c r="D144" s="30" t="str">
        <f>HYPERLINK("https://twitter.com/bluehousekorea","https://twitter.com/bluehousekorea")</f>
        <v>https://twitter.com/bluehousekorea</v>
      </c>
      <c r="E144" s="30" t="str">
        <f>HYPERLINK("http://twiplomacy.com/info/asia/South-Korea","http://twiplomacy.com/info/asia/South-Korea")</f>
        <v>http://twiplomacy.com/info/asia/South-Korea</v>
      </c>
      <c r="F144" s="10" t="s">
        <v>154</v>
      </c>
      <c r="G144" s="10" t="s">
        <v>292</v>
      </c>
      <c r="H144" s="10" t="s">
        <v>781</v>
      </c>
      <c r="I144" s="10" t="s">
        <v>782</v>
      </c>
      <c r="J144" s="27" t="s">
        <v>1606</v>
      </c>
      <c r="K144" s="15" t="s">
        <v>777</v>
      </c>
      <c r="L144" s="10" t="s">
        <v>771</v>
      </c>
      <c r="M144" s="10" t="s">
        <v>770</v>
      </c>
      <c r="N144" s="30" t="str">
        <f>HYPERLINK("https://twitter.com/bluehousekorea/statuses/15595424901","https://twitter.com/bluehousekorea/statuses/15595424901")</f>
        <v>https://twitter.com/bluehousekorea/statuses/15595424901</v>
      </c>
      <c r="O144" s="27" t="s">
        <v>5711</v>
      </c>
      <c r="P144" s="80">
        <v>2914</v>
      </c>
      <c r="Q144" s="80">
        <v>1056</v>
      </c>
      <c r="R144" s="27" t="s">
        <v>2994</v>
      </c>
      <c r="S144" s="30" t="str">
        <f>HYPERLINK("https://twitter.com/bluehousekorea/lists","https://twitter.com/bluehousekorea/lists")</f>
        <v>https://twitter.com/bluehousekorea/lists</v>
      </c>
      <c r="T144" s="10">
        <v>2</v>
      </c>
      <c r="U144" s="10" t="s">
        <v>771</v>
      </c>
      <c r="V144" s="10" t="s">
        <v>771</v>
      </c>
      <c r="W144" s="10"/>
      <c r="X144" s="27" t="s">
        <v>294</v>
      </c>
      <c r="Y144" s="27" t="s">
        <v>1607</v>
      </c>
      <c r="Z144" s="80">
        <v>7751</v>
      </c>
      <c r="AA144" s="27">
        <v>198682</v>
      </c>
      <c r="AB144" s="80">
        <v>269262</v>
      </c>
      <c r="AC144" s="27">
        <v>6</v>
      </c>
      <c r="AD144" s="27" t="s">
        <v>3519</v>
      </c>
      <c r="AE144" s="27">
        <v>132800515</v>
      </c>
      <c r="AF144" s="27" t="s">
        <v>1608</v>
      </c>
      <c r="AG144" s="27" t="s">
        <v>1609</v>
      </c>
      <c r="AH144" s="79">
        <v>3.5061058344640399</v>
      </c>
      <c r="AI144" s="83">
        <v>3.6207674943566599</v>
      </c>
      <c r="AJ144" s="80">
        <v>50.986284289276803</v>
      </c>
      <c r="AK144" s="80">
        <v>25.335723192020001</v>
      </c>
      <c r="AL144" s="13">
        <v>0</v>
      </c>
      <c r="AM144" s="97">
        <f t="shared" si="2"/>
        <v>0</v>
      </c>
      <c r="AN144" s="27" t="s">
        <v>294</v>
      </c>
      <c r="AO144" s="27">
        <v>1</v>
      </c>
      <c r="AP144" s="27">
        <v>0</v>
      </c>
      <c r="AQ144" s="27">
        <v>23</v>
      </c>
      <c r="AR144" s="27">
        <f>SUM(AO144:AQ144)</f>
        <v>24</v>
      </c>
      <c r="AS144" s="27" t="s">
        <v>5597</v>
      </c>
      <c r="AT144" s="27"/>
      <c r="AU144" s="84" t="s">
        <v>4662</v>
      </c>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c r="FA144" s="77"/>
      <c r="FB144" s="77"/>
      <c r="FC144" s="77"/>
      <c r="FD144" s="77"/>
      <c r="FE144" s="77"/>
      <c r="FF144" s="77"/>
      <c r="FG144" s="77"/>
      <c r="FH144" s="77"/>
      <c r="FI144" s="77"/>
      <c r="FJ144" s="77"/>
      <c r="FK144" s="77"/>
      <c r="FL144" s="77"/>
      <c r="FM144" s="77"/>
      <c r="FN144" s="77"/>
      <c r="FO144" s="77"/>
      <c r="FP144" s="77"/>
      <c r="FQ144" s="77"/>
      <c r="FR144" s="77"/>
      <c r="FS144" s="77"/>
      <c r="FT144" s="77"/>
      <c r="FU144" s="77"/>
      <c r="FV144" s="77"/>
      <c r="FW144" s="77"/>
      <c r="FX144" s="77"/>
      <c r="FY144" s="77"/>
      <c r="FZ144" s="77"/>
      <c r="GA144" s="77"/>
      <c r="GB144" s="77"/>
      <c r="GC144" s="77"/>
      <c r="GD144" s="77"/>
      <c r="GE144" s="77"/>
      <c r="GF144" s="77"/>
      <c r="GG144" s="77"/>
      <c r="GH144" s="77"/>
      <c r="GI144" s="77"/>
      <c r="GJ144" s="77"/>
      <c r="GK144" s="77"/>
      <c r="HL144" s="77"/>
      <c r="HM144" s="77"/>
      <c r="HN144" s="77"/>
      <c r="HO144" s="77"/>
      <c r="HP144" s="77"/>
      <c r="HQ144" s="77"/>
      <c r="HR144" s="77"/>
      <c r="HS144" s="77"/>
      <c r="HT144" s="77"/>
      <c r="HU144" s="77"/>
      <c r="HV144" s="77"/>
      <c r="HW144" s="77"/>
      <c r="HX144" s="77"/>
      <c r="HY144" s="77"/>
      <c r="HZ144" s="77"/>
      <c r="IA144" s="77"/>
      <c r="IB144" s="77"/>
      <c r="IC144" s="77"/>
      <c r="JY144" s="77"/>
      <c r="JZ144" s="77"/>
      <c r="KA144" s="77"/>
      <c r="KB144" s="77"/>
      <c r="KC144" s="77"/>
      <c r="KD144" s="77"/>
      <c r="KE144" s="77"/>
      <c r="KF144" s="77"/>
      <c r="KG144" s="77"/>
      <c r="KH144" s="77"/>
      <c r="KI144" s="77"/>
      <c r="KJ144" s="77"/>
      <c r="KK144" s="77"/>
      <c r="KL144" s="77"/>
      <c r="LW144" s="77"/>
      <c r="LX144" s="77"/>
      <c r="LY144" s="77"/>
      <c r="LZ144" s="77"/>
      <c r="MA144" s="77"/>
      <c r="MB144" s="77"/>
      <c r="MC144" s="77"/>
      <c r="MD144" s="77"/>
      <c r="ME144" s="77"/>
      <c r="MF144" s="77"/>
      <c r="MG144" s="77"/>
      <c r="MH144" s="77"/>
      <c r="MI144" s="77"/>
      <c r="MJ144" s="77"/>
      <c r="MK144" s="77"/>
      <c r="ML144" s="77"/>
      <c r="MM144" s="77"/>
      <c r="MN144" s="77"/>
      <c r="MO144" s="77"/>
      <c r="MP144" s="77"/>
      <c r="MQ144" s="77"/>
      <c r="MR144" s="77"/>
    </row>
    <row r="145" spans="1:421" ht="18.600000000000001" customHeight="1" x14ac:dyDescent="0.25">
      <c r="A145" s="119" t="s">
        <v>37</v>
      </c>
      <c r="B145" s="27" t="s">
        <v>861</v>
      </c>
      <c r="C145" s="27" t="s">
        <v>6426</v>
      </c>
      <c r="D145" s="72" t="str">
        <f>HYPERLINK("https://twitter.com/MOFAEGYPT","https://twitter.com/MOFAEGYPT")</f>
        <v>https://twitter.com/MOFAEGYPT</v>
      </c>
      <c r="E145" s="72" t="str">
        <f>HYPERLINK("http://twiplomacy.com/info/africa/Egypt","http://twiplomacy.com/info/africa/Egypt")</f>
        <v>http://twiplomacy.com/info/africa/Egypt</v>
      </c>
      <c r="F145" s="10" t="s">
        <v>1</v>
      </c>
      <c r="G145" s="10" t="s">
        <v>34</v>
      </c>
      <c r="H145" s="10" t="s">
        <v>795</v>
      </c>
      <c r="I145" s="10" t="s">
        <v>782</v>
      </c>
      <c r="J145" s="27" t="s">
        <v>789</v>
      </c>
      <c r="K145" s="15" t="s">
        <v>777</v>
      </c>
      <c r="L145" s="10" t="s">
        <v>771</v>
      </c>
      <c r="M145" s="10" t="s">
        <v>771</v>
      </c>
      <c r="N145" s="30" t="str">
        <f>HYPERLINK("https://twitter.com/MOFAEGYPT/statuses/42600976846303232","https://twitter.com/MOFAEGYPT/statuses/42600976846303232")</f>
        <v>https://twitter.com/MOFAEGYPT/statuses/42600976846303232</v>
      </c>
      <c r="O145" s="30" t="str">
        <f>HYPERLINK("https://twitter.com/MOFAEGYPT/statuses/268802344970493953","https://twitter.com/MOFAEGYPT/statuses/268802344970493953")</f>
        <v>https://twitter.com/MOFAEGYPT/statuses/268802344970493953</v>
      </c>
      <c r="P145" s="46">
        <v>47</v>
      </c>
      <c r="Q145" s="46">
        <v>5</v>
      </c>
      <c r="R145" s="27" t="s">
        <v>2995</v>
      </c>
      <c r="S145" s="10" t="s">
        <v>862</v>
      </c>
      <c r="T145" s="10" t="s">
        <v>771</v>
      </c>
      <c r="U145" s="10" t="s">
        <v>771</v>
      </c>
      <c r="V145" s="10" t="s">
        <v>771</v>
      </c>
      <c r="W145" s="10"/>
      <c r="X145" s="27" t="s">
        <v>37</v>
      </c>
      <c r="Y145" s="27" t="s">
        <v>861</v>
      </c>
      <c r="Z145" s="80">
        <v>7729</v>
      </c>
      <c r="AA145" s="27">
        <v>0</v>
      </c>
      <c r="AB145" s="80">
        <v>16046</v>
      </c>
      <c r="AC145" s="27">
        <v>0</v>
      </c>
      <c r="AD145" s="27" t="s">
        <v>4139</v>
      </c>
      <c r="AE145" s="27">
        <v>259248463</v>
      </c>
      <c r="AF145" s="27" t="s">
        <v>6426</v>
      </c>
      <c r="AG145" s="27" t="s">
        <v>34</v>
      </c>
      <c r="AH145" s="79">
        <v>4.0915828480677598</v>
      </c>
      <c r="AI145" s="83">
        <v>6.2291262135922301</v>
      </c>
      <c r="AJ145" s="80">
        <v>0.62344139650872799</v>
      </c>
      <c r="AK145" s="80">
        <v>0.293952618453865</v>
      </c>
      <c r="AL145" s="13">
        <v>0</v>
      </c>
      <c r="AM145" s="97">
        <f t="shared" si="2"/>
        <v>0</v>
      </c>
      <c r="AN145" s="27" t="s">
        <v>37</v>
      </c>
      <c r="AO145" s="27">
        <v>0</v>
      </c>
      <c r="AP145" s="27">
        <v>40</v>
      </c>
      <c r="AQ145" s="27">
        <v>0</v>
      </c>
      <c r="AR145" s="27">
        <f>SUM(AO145:AQ145)</f>
        <v>40</v>
      </c>
      <c r="AS145" s="27"/>
      <c r="AT145" s="27" t="s">
        <v>5337</v>
      </c>
      <c r="AU145" s="84"/>
      <c r="AV145" s="77"/>
      <c r="AW145" s="77"/>
      <c r="AX145" s="77"/>
      <c r="AY145" s="77"/>
      <c r="AZ145" s="77"/>
      <c r="BA145" s="77"/>
      <c r="BB145" s="77"/>
      <c r="BC145" s="77"/>
      <c r="BD145" s="77"/>
      <c r="BE145" s="77"/>
      <c r="BF145" s="77"/>
      <c r="BG145" s="77"/>
      <c r="BH145" s="77"/>
      <c r="BI145" s="77"/>
      <c r="BJ145" s="77"/>
      <c r="BK145" s="77"/>
      <c r="BL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Q145" s="77"/>
      <c r="ER145" s="77"/>
      <c r="ES145" s="77"/>
      <c r="ET145" s="77"/>
      <c r="EU145" s="77"/>
      <c r="EV145" s="77"/>
      <c r="EW145" s="77"/>
      <c r="EX145" s="77"/>
      <c r="EY145" s="77"/>
      <c r="EZ145" s="77"/>
      <c r="FA145" s="77"/>
      <c r="FB145" s="77"/>
      <c r="FC145" s="77"/>
      <c r="FD145" s="77"/>
      <c r="FE145" s="77"/>
      <c r="FF145" s="77"/>
      <c r="FG145" s="77"/>
      <c r="FH145" s="77"/>
      <c r="FI145" s="77"/>
      <c r="FJ145" s="77"/>
      <c r="FK145" s="77"/>
      <c r="FL145" s="77"/>
      <c r="FM145" s="77"/>
      <c r="FN145" s="77"/>
      <c r="FO145" s="77"/>
      <c r="FP145" s="77"/>
      <c r="FQ145" s="77"/>
      <c r="FR145" s="77"/>
      <c r="FS145" s="77"/>
      <c r="FT145" s="77"/>
      <c r="FU145" s="77"/>
      <c r="FV145" s="77"/>
      <c r="FW145" s="77"/>
      <c r="FX145" s="77"/>
      <c r="FY145" s="77"/>
      <c r="FZ145" s="77"/>
      <c r="GA145" s="77"/>
      <c r="GB145" s="77"/>
      <c r="GC145" s="77"/>
      <c r="GD145" s="77"/>
      <c r="GE145" s="77"/>
      <c r="GF145" s="77"/>
      <c r="GG145" s="77"/>
      <c r="GH145" s="77"/>
      <c r="GI145" s="77"/>
      <c r="GJ145" s="77"/>
      <c r="GK145" s="77"/>
      <c r="HL145" s="77"/>
      <c r="HM145" s="77"/>
      <c r="HN145" s="77"/>
      <c r="HO145" s="77"/>
      <c r="HP145" s="77"/>
      <c r="HQ145" s="77"/>
      <c r="HR145" s="77"/>
      <c r="HS145" s="77"/>
      <c r="HT145" s="77"/>
      <c r="HU145" s="77"/>
      <c r="HV145" s="77"/>
      <c r="HW145" s="77"/>
      <c r="HX145" s="77"/>
      <c r="HY145" s="77"/>
      <c r="HZ145" s="77"/>
      <c r="IA145" s="77"/>
      <c r="IB145" s="77"/>
      <c r="IC145" s="77"/>
      <c r="ID145" s="77"/>
      <c r="IE145" s="77"/>
      <c r="JY145" s="77"/>
      <c r="JZ145" s="77"/>
      <c r="KA145" s="77"/>
      <c r="KB145" s="77"/>
      <c r="KC145" s="77"/>
      <c r="KD145" s="77"/>
      <c r="KE145" s="77"/>
      <c r="KF145" s="77"/>
      <c r="KG145" s="77"/>
      <c r="KH145" s="77"/>
      <c r="KI145" s="77"/>
      <c r="KJ145" s="77"/>
      <c r="KK145" s="77"/>
      <c r="KL145" s="77"/>
      <c r="KM145" s="77"/>
      <c r="KN145" s="77"/>
      <c r="KO145" s="77"/>
      <c r="KP145" s="77"/>
      <c r="KQ145" s="77"/>
      <c r="KR145" s="77"/>
      <c r="KS145" s="77"/>
      <c r="KT145" s="77"/>
      <c r="KU145" s="77"/>
      <c r="KV145" s="77"/>
      <c r="KW145" s="77"/>
      <c r="KX145" s="77"/>
      <c r="KY145" s="77"/>
      <c r="KZ145" s="77"/>
      <c r="LA145" s="77"/>
      <c r="LB145" s="77"/>
      <c r="LC145" s="77"/>
      <c r="LD145" s="77"/>
      <c r="LE145" s="77"/>
      <c r="LF145" s="77"/>
      <c r="LG145" s="77"/>
      <c r="LH145" s="77"/>
      <c r="LI145" s="77"/>
      <c r="LJ145" s="77"/>
      <c r="LK145" s="77"/>
      <c r="LW145" s="77"/>
      <c r="LX145" s="77"/>
      <c r="LY145" s="77"/>
      <c r="LZ145" s="77"/>
      <c r="MA145" s="77"/>
      <c r="MB145" s="77"/>
      <c r="MC145" s="77"/>
      <c r="MD145" s="77"/>
      <c r="ME145" s="77"/>
      <c r="MF145" s="77"/>
      <c r="MG145" s="77"/>
      <c r="MH145" s="77"/>
      <c r="MI145" s="77"/>
      <c r="MJ145" s="77"/>
      <c r="MK145" s="77"/>
      <c r="ML145" s="77"/>
      <c r="MM145" s="77"/>
      <c r="MN145" s="77"/>
      <c r="MO145" s="77"/>
      <c r="MP145" s="77"/>
      <c r="MQ145" s="77"/>
      <c r="MR145" s="77"/>
    </row>
    <row r="146" spans="1:421" s="16" customFormat="1" ht="18.600000000000001" customHeight="1" x14ac:dyDescent="0.25">
      <c r="A146" s="119" t="s">
        <v>615</v>
      </c>
      <c r="B146" s="27" t="s">
        <v>2512</v>
      </c>
      <c r="C146" s="27" t="s">
        <v>2513</v>
      </c>
      <c r="D146" s="30" t="str">
        <f>HYPERLINK("https://twitter.com/ruizmassieu","https://twitter.com/ruizmassieu")</f>
        <v>https://twitter.com/ruizmassieu</v>
      </c>
      <c r="E146" s="30" t="str">
        <f>HYPERLINK("http://twiplomacy.com/info/north-america/Mexico","http://twiplomacy.com/info/north-america/Mexico")</f>
        <v>http://twiplomacy.com/info/north-america/Mexico</v>
      </c>
      <c r="F146" s="10" t="s">
        <v>558</v>
      </c>
      <c r="G146" s="10" t="s">
        <v>611</v>
      </c>
      <c r="H146" s="10" t="s">
        <v>860</v>
      </c>
      <c r="I146" s="10" t="s">
        <v>773</v>
      </c>
      <c r="J146" s="27" t="s">
        <v>2226</v>
      </c>
      <c r="K146" s="15" t="s">
        <v>777</v>
      </c>
      <c r="L146" s="10" t="s">
        <v>771</v>
      </c>
      <c r="M146" s="10" t="s">
        <v>770</v>
      </c>
      <c r="N146" s="30" t="s">
        <v>3127</v>
      </c>
      <c r="O146" s="27" t="s">
        <v>3186</v>
      </c>
      <c r="P146" s="80">
        <v>1262</v>
      </c>
      <c r="Q146" s="80">
        <v>525</v>
      </c>
      <c r="R146" s="27" t="s">
        <v>2994</v>
      </c>
      <c r="S146" s="12" t="s">
        <v>3097</v>
      </c>
      <c r="T146" s="10" t="s">
        <v>771</v>
      </c>
      <c r="U146" s="10" t="s">
        <v>771</v>
      </c>
      <c r="V146" s="10" t="s">
        <v>771</v>
      </c>
      <c r="W146" s="10"/>
      <c r="X146" s="27" t="s">
        <v>615</v>
      </c>
      <c r="Y146" s="27" t="s">
        <v>2512</v>
      </c>
      <c r="Z146" s="80">
        <v>7706</v>
      </c>
      <c r="AA146" s="27">
        <v>5683</v>
      </c>
      <c r="AB146" s="80">
        <v>238383</v>
      </c>
      <c r="AC146" s="27">
        <v>295</v>
      </c>
      <c r="AD146" s="27" t="s">
        <v>4437</v>
      </c>
      <c r="AE146" s="27">
        <v>282203918</v>
      </c>
      <c r="AF146" s="27" t="s">
        <v>2513</v>
      </c>
      <c r="AG146" s="27" t="s">
        <v>611</v>
      </c>
      <c r="AH146" s="79">
        <v>4.1789587852494599</v>
      </c>
      <c r="AI146" s="83">
        <v>5.5242214532871996</v>
      </c>
      <c r="AJ146" s="80">
        <v>44.974314474140897</v>
      </c>
      <c r="AK146" s="80">
        <v>34.240541478653199</v>
      </c>
      <c r="AL146" s="27">
        <v>19</v>
      </c>
      <c r="AM146" s="97">
        <f t="shared" si="2"/>
        <v>5.9375000000000001E-3</v>
      </c>
      <c r="AN146" s="27" t="s">
        <v>615</v>
      </c>
      <c r="AO146" s="27">
        <v>4</v>
      </c>
      <c r="AP146" s="27">
        <v>23</v>
      </c>
      <c r="AQ146" s="27">
        <v>5</v>
      </c>
      <c r="AR146" s="27">
        <f>SUM(AO146:AQ146)</f>
        <v>32</v>
      </c>
      <c r="AS146" s="27" t="s">
        <v>6256</v>
      </c>
      <c r="AT146" s="27" t="s">
        <v>6850</v>
      </c>
      <c r="AU146" s="84" t="s">
        <v>4941</v>
      </c>
      <c r="AV146" s="77"/>
      <c r="AW146" s="77"/>
      <c r="AX146" s="77"/>
      <c r="AY146" s="77"/>
      <c r="AZ146" s="77"/>
      <c r="BA146" s="77"/>
      <c r="BB146" s="77"/>
      <c r="BC146" s="77"/>
      <c r="BD146" s="77"/>
      <c r="BE146" s="77"/>
      <c r="BF146" s="77"/>
      <c r="BG146" s="77"/>
      <c r="BH146" s="77"/>
      <c r="BI146" s="77"/>
      <c r="BJ146" s="77"/>
      <c r="BK146" s="77"/>
      <c r="BL146" s="77"/>
      <c r="BM146" s="77"/>
      <c r="BN146" s="74"/>
      <c r="BO146" s="74"/>
      <c r="BP146" s="74"/>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c r="FA146" s="77"/>
      <c r="FB146" s="77"/>
      <c r="FC146" s="77"/>
      <c r="FD146" s="77"/>
      <c r="FE146" s="77"/>
      <c r="FF146" s="77"/>
      <c r="FG146" s="77"/>
      <c r="FH146" s="77"/>
      <c r="FI146" s="77"/>
      <c r="FJ146" s="77"/>
      <c r="FK146" s="77"/>
      <c r="FL146" s="77"/>
      <c r="FM146" s="77"/>
      <c r="FN146" s="77"/>
      <c r="FO146" s="77"/>
      <c r="FP146" s="77"/>
      <c r="FQ146" s="77"/>
      <c r="FR146" s="77"/>
      <c r="FS146" s="77"/>
      <c r="FT146" s="77"/>
      <c r="FU146" s="77"/>
      <c r="FV146" s="77"/>
      <c r="FW146" s="77"/>
      <c r="FX146" s="77"/>
      <c r="FY146" s="77"/>
      <c r="FZ146" s="77"/>
      <c r="GA146" s="77"/>
      <c r="GB146" s="77"/>
      <c r="GC146" s="77"/>
      <c r="GD146" s="77"/>
      <c r="GE146" s="77"/>
      <c r="GF146" s="77"/>
      <c r="GG146" s="77"/>
      <c r="GH146" s="77"/>
      <c r="GI146" s="77"/>
      <c r="GJ146" s="77"/>
      <c r="GK146" s="77"/>
      <c r="GL146" s="77"/>
      <c r="GM146" s="77"/>
      <c r="GN146" s="77"/>
      <c r="GO146" s="77"/>
      <c r="GP146" s="77"/>
      <c r="GQ146" s="77"/>
      <c r="GR146" s="77"/>
      <c r="GS146" s="77"/>
      <c r="GT146" s="77"/>
      <c r="GU146" s="77"/>
      <c r="GV146" s="77"/>
      <c r="GW146" s="77"/>
      <c r="GX146" s="77"/>
      <c r="GY146" s="77"/>
      <c r="GZ146" s="77"/>
      <c r="HA146" s="77"/>
      <c r="HB146" s="77"/>
      <c r="HC146" s="77"/>
      <c r="HD146" s="77"/>
      <c r="HE146" s="77"/>
      <c r="HF146" s="77"/>
      <c r="HG146" s="77"/>
      <c r="HH146" s="77"/>
      <c r="HI146" s="77"/>
      <c r="HJ146" s="77"/>
      <c r="HK146" s="77"/>
      <c r="HL146" s="77"/>
      <c r="HM146" s="77"/>
      <c r="HN146" s="77"/>
      <c r="HO146" s="77"/>
      <c r="HP146" s="77"/>
      <c r="HQ146" s="77"/>
      <c r="HR146" s="77"/>
      <c r="HS146" s="77"/>
      <c r="HT146" s="77"/>
      <c r="HU146" s="77"/>
      <c r="HV146" s="77"/>
      <c r="HW146" s="77"/>
      <c r="HX146" s="77"/>
      <c r="HY146" s="77"/>
      <c r="HZ146" s="77"/>
      <c r="IA146" s="77"/>
      <c r="IB146" s="77"/>
      <c r="IC146" s="77"/>
      <c r="ID146" s="77"/>
      <c r="IE146" s="77"/>
      <c r="IF146" s="77"/>
      <c r="IG146" s="77"/>
      <c r="IH146" s="77"/>
      <c r="II146" s="77"/>
      <c r="IJ146" s="77"/>
      <c r="IK146" s="77"/>
      <c r="IL146" s="77"/>
      <c r="IM146" s="77"/>
      <c r="IN146" s="77"/>
      <c r="IO146" s="77"/>
      <c r="IP146" s="77"/>
      <c r="IQ146" s="77"/>
      <c r="IR146" s="77"/>
      <c r="IS146" s="77"/>
      <c r="IT146" s="77"/>
      <c r="IU146" s="77"/>
      <c r="IV146" s="77"/>
      <c r="IW146" s="77"/>
      <c r="IX146" s="77"/>
      <c r="IY146" s="77"/>
      <c r="IZ146" s="77"/>
      <c r="JA146" s="77"/>
      <c r="JB146" s="77"/>
      <c r="JC146" s="77"/>
      <c r="JD146" s="77"/>
      <c r="JE146" s="77"/>
      <c r="JF146" s="77"/>
      <c r="JG146" s="77"/>
      <c r="JH146" s="77"/>
      <c r="JI146" s="77"/>
      <c r="JJ146" s="77"/>
      <c r="JK146" s="77"/>
      <c r="JL146" s="77"/>
      <c r="JM146" s="77"/>
      <c r="JN146" s="77"/>
      <c r="JO146" s="77"/>
      <c r="JP146" s="77"/>
      <c r="JQ146" s="77"/>
      <c r="JR146" s="77"/>
      <c r="JS146" s="77"/>
      <c r="JT146" s="77"/>
      <c r="JU146" s="77"/>
      <c r="JV146" s="77"/>
      <c r="JW146" s="77"/>
      <c r="JX146" s="77"/>
      <c r="JY146" s="77"/>
      <c r="JZ146" s="77"/>
      <c r="KA146" s="77"/>
      <c r="KB146" s="77"/>
      <c r="KC146" s="77"/>
      <c r="KD146" s="77"/>
      <c r="KE146" s="77"/>
      <c r="KF146" s="77"/>
      <c r="KG146" s="77"/>
      <c r="KH146" s="77"/>
      <c r="KI146" s="77"/>
      <c r="KJ146" s="77"/>
      <c r="KK146" s="77"/>
      <c r="KL146" s="77"/>
      <c r="KM146" s="77"/>
      <c r="KN146" s="77"/>
      <c r="KO146" s="77"/>
      <c r="KP146" s="77"/>
      <c r="KQ146" s="77"/>
      <c r="KR146" s="77"/>
      <c r="KS146" s="77"/>
      <c r="KT146" s="77"/>
      <c r="KU146" s="77"/>
      <c r="KV146" s="77"/>
      <c r="KW146" s="77"/>
      <c r="KX146" s="77"/>
      <c r="KY146" s="77"/>
      <c r="KZ146" s="77"/>
      <c r="LA146" s="77"/>
      <c r="LB146" s="77"/>
      <c r="LC146" s="77"/>
      <c r="LD146" s="77"/>
      <c r="LE146" s="77"/>
      <c r="LF146" s="77"/>
      <c r="LG146" s="77"/>
      <c r="LH146" s="77"/>
      <c r="LI146" s="77"/>
      <c r="LJ146" s="77"/>
      <c r="LK146" s="77"/>
      <c r="LL146" s="77"/>
      <c r="LM146" s="77"/>
      <c r="LN146" s="77"/>
      <c r="LO146" s="77"/>
      <c r="LP146" s="77"/>
      <c r="LQ146" s="77"/>
      <c r="LR146" s="77"/>
      <c r="LS146" s="77"/>
      <c r="LT146" s="77"/>
      <c r="LU146" s="77"/>
      <c r="LV146" s="77"/>
      <c r="LW146" s="77"/>
      <c r="LX146" s="77"/>
      <c r="LY146" s="77"/>
      <c r="LZ146" s="77"/>
      <c r="MA146" s="77"/>
      <c r="MB146" s="77"/>
      <c r="MC146" s="77"/>
      <c r="MD146" s="77"/>
      <c r="ME146" s="77"/>
      <c r="MF146" s="77"/>
      <c r="MG146" s="77"/>
      <c r="MH146" s="77"/>
      <c r="MI146" s="77"/>
      <c r="MJ146" s="77"/>
      <c r="MK146" s="77"/>
      <c r="ML146" s="77"/>
      <c r="MM146" s="77"/>
      <c r="MN146" s="77"/>
      <c r="MO146" s="77"/>
      <c r="MP146" s="77"/>
      <c r="MQ146" s="77"/>
      <c r="MR146" s="77"/>
      <c r="MS146" s="77"/>
      <c r="MT146" s="77"/>
      <c r="MU146" s="77"/>
      <c r="MV146" s="77"/>
      <c r="MW146" s="77"/>
      <c r="MX146" s="77"/>
      <c r="MY146" s="77"/>
      <c r="MZ146" s="77"/>
      <c r="NA146" s="77"/>
      <c r="NB146" s="77"/>
      <c r="NC146" s="77"/>
      <c r="ND146" s="77"/>
      <c r="NE146" s="77"/>
      <c r="NF146" s="77"/>
      <c r="NG146" s="77"/>
      <c r="NH146" s="77"/>
      <c r="NI146" s="77"/>
      <c r="NJ146" s="77"/>
      <c r="NK146" s="77"/>
      <c r="NL146" s="77"/>
      <c r="NM146" s="77"/>
      <c r="NN146" s="77"/>
      <c r="NO146" s="77"/>
      <c r="NP146" s="77"/>
      <c r="NQ146" s="77"/>
      <c r="NR146" s="77"/>
      <c r="NS146" s="77"/>
      <c r="NT146" s="77"/>
      <c r="NU146" s="77"/>
      <c r="NV146" s="77"/>
      <c r="NW146" s="77"/>
      <c r="NX146" s="77"/>
      <c r="NY146" s="77"/>
      <c r="NZ146" s="77"/>
      <c r="OA146" s="77"/>
      <c r="OB146" s="77"/>
      <c r="OC146" s="77"/>
      <c r="OD146" s="77"/>
      <c r="OE146" s="77"/>
      <c r="OF146" s="77"/>
      <c r="OG146" s="77"/>
      <c r="OH146" s="77"/>
      <c r="OI146" s="77"/>
      <c r="OJ146" s="77"/>
      <c r="OK146" s="77"/>
      <c r="OL146" s="77"/>
      <c r="OM146" s="77"/>
      <c r="ON146" s="77"/>
      <c r="OO146" s="77"/>
      <c r="OP146" s="77"/>
      <c r="OQ146" s="77"/>
      <c r="OR146" s="77"/>
      <c r="OS146" s="77"/>
      <c r="OT146" s="77"/>
      <c r="OU146" s="77"/>
      <c r="OV146" s="77"/>
      <c r="OW146" s="77"/>
      <c r="OX146" s="77"/>
      <c r="OY146" s="77"/>
      <c r="OZ146" s="77"/>
      <c r="PA146" s="77"/>
      <c r="PB146" s="77"/>
      <c r="PC146" s="77"/>
      <c r="PD146" s="77"/>
      <c r="PE146" s="77"/>
    </row>
    <row r="147" spans="1:421" ht="18.600000000000001" customHeight="1" x14ac:dyDescent="0.25">
      <c r="A147" s="119" t="s">
        <v>394</v>
      </c>
      <c r="B147" s="27" t="s">
        <v>1878</v>
      </c>
      <c r="C147" s="27" t="s">
        <v>6459</v>
      </c>
      <c r="D147" s="30" t="str">
        <f>HYPERLINK("https://twitter.com/Ulkoministerio","https://twitter.com/Ulkoministerio")</f>
        <v>https://twitter.com/Ulkoministerio</v>
      </c>
      <c r="E147" s="30" t="str">
        <f>HYPERLINK("http://twiplomacy.com/info/europe/Finland","http://twiplomacy.com/info/europe/Finland")</f>
        <v>http://twiplomacy.com/info/europe/Finland</v>
      </c>
      <c r="F147" s="10" t="s">
        <v>332</v>
      </c>
      <c r="G147" s="10" t="s">
        <v>389</v>
      </c>
      <c r="H147" s="10" t="s">
        <v>795</v>
      </c>
      <c r="I147" s="10" t="s">
        <v>782</v>
      </c>
      <c r="J147" s="27" t="s">
        <v>789</v>
      </c>
      <c r="K147" s="15" t="s">
        <v>777</v>
      </c>
      <c r="L147" s="10" t="s">
        <v>771</v>
      </c>
      <c r="M147" s="10" t="s">
        <v>770</v>
      </c>
      <c r="N147" s="30" t="str">
        <f>HYPERLINK("https://twitter.com/Ulkoministerio/statuses/53021081644183552","https://twitter.com/Ulkoministerio/statuses/53021081644183552")</f>
        <v>https://twitter.com/Ulkoministerio/statuses/53021081644183552</v>
      </c>
      <c r="O147" s="27" t="s">
        <v>6119</v>
      </c>
      <c r="P147" s="80">
        <v>338</v>
      </c>
      <c r="Q147" s="80">
        <v>62</v>
      </c>
      <c r="R147" s="27" t="s">
        <v>2994</v>
      </c>
      <c r="S147" s="30" t="str">
        <f>HYPERLINK("https://twitter.com/Ulkoministerio/lists","https://twitter.com/Ulkoministerio/lists")</f>
        <v>https://twitter.com/Ulkoministerio/lists</v>
      </c>
      <c r="T147" s="10">
        <v>6</v>
      </c>
      <c r="U147" s="10" t="s">
        <v>771</v>
      </c>
      <c r="V147" s="30" t="str">
        <f>HYPERLINK("https://twitter.com/Ulkoministerio/edustustot/members","https://twitter.com/Ulkoministerio/edustustot/members")</f>
        <v>https://twitter.com/Ulkoministerio/edustustot/members</v>
      </c>
      <c r="W147" s="10">
        <v>44</v>
      </c>
      <c r="X147" s="27" t="s">
        <v>394</v>
      </c>
      <c r="Y147" s="27" t="s">
        <v>1878</v>
      </c>
      <c r="Z147" s="80">
        <v>7701</v>
      </c>
      <c r="AA147" s="27">
        <v>588</v>
      </c>
      <c r="AB147" s="80">
        <v>64697</v>
      </c>
      <c r="AC147" s="27">
        <v>484</v>
      </c>
      <c r="AD147" s="27" t="s">
        <v>4556</v>
      </c>
      <c r="AE147" s="27">
        <v>274431647</v>
      </c>
      <c r="AF147" s="27" t="s">
        <v>6459</v>
      </c>
      <c r="AG147" s="27" t="s">
        <v>1871</v>
      </c>
      <c r="AH147" s="79">
        <v>4.1403225806451598</v>
      </c>
      <c r="AI147" s="83">
        <v>4.21024967148489</v>
      </c>
      <c r="AJ147" s="80">
        <v>6.1007913369429403</v>
      </c>
      <c r="AK147" s="80">
        <v>3.6159933361099501</v>
      </c>
      <c r="AL147" s="96">
        <v>222</v>
      </c>
      <c r="AM147" s="97">
        <f t="shared" si="2"/>
        <v>6.9375000000000006E-2</v>
      </c>
      <c r="AN147" s="27" t="s">
        <v>394</v>
      </c>
      <c r="AO147" s="27">
        <v>12</v>
      </c>
      <c r="AP147" s="27">
        <v>39</v>
      </c>
      <c r="AQ147" s="27">
        <v>32</v>
      </c>
      <c r="AR147" s="27">
        <f>SUM(AO147:AQ147)</f>
        <v>83</v>
      </c>
      <c r="AS147" s="27" t="s">
        <v>5537</v>
      </c>
      <c r="AT147" s="27" t="s">
        <v>5538</v>
      </c>
      <c r="AU147" s="84" t="s">
        <v>4979</v>
      </c>
      <c r="AV147" s="77"/>
      <c r="AW147" s="77"/>
      <c r="AX147" s="77"/>
      <c r="AY147" s="77"/>
      <c r="AZ147" s="77"/>
      <c r="BA147" s="77"/>
      <c r="BB147" s="77"/>
      <c r="BC147" s="77"/>
      <c r="BD147" s="77"/>
      <c r="BE147" s="77"/>
      <c r="BF147" s="77"/>
      <c r="BG147" s="77"/>
      <c r="BH147" s="77"/>
      <c r="BI147" s="77"/>
      <c r="BJ147" s="77"/>
      <c r="BK147" s="77"/>
      <c r="BL147" s="77"/>
      <c r="BM147" s="16"/>
      <c r="BN147" s="74"/>
      <c r="BO147" s="74"/>
      <c r="BP147" s="74"/>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c r="FA147" s="77"/>
      <c r="FB147" s="77"/>
      <c r="FC147" s="77"/>
      <c r="FD147" s="77"/>
      <c r="FE147" s="77"/>
      <c r="FF147" s="77"/>
      <c r="FG147" s="77"/>
      <c r="FH147" s="77"/>
      <c r="FI147" s="77"/>
      <c r="FJ147" s="77"/>
      <c r="FK147" s="77"/>
      <c r="FL147" s="77"/>
      <c r="FM147" s="77"/>
      <c r="FN147" s="77"/>
      <c r="FO147" s="77"/>
      <c r="FP147" s="77"/>
      <c r="FQ147" s="77"/>
      <c r="FR147" s="77"/>
      <c r="FS147" s="77"/>
      <c r="FT147" s="77"/>
      <c r="FU147" s="77"/>
      <c r="FV147" s="77"/>
      <c r="FW147" s="77"/>
      <c r="FX147" s="77"/>
      <c r="FY147" s="77"/>
      <c r="FZ147" s="77"/>
      <c r="GA147" s="77"/>
      <c r="GB147" s="77"/>
      <c r="GC147" s="77"/>
      <c r="GD147" s="77"/>
      <c r="GE147" s="77"/>
      <c r="GF147" s="77"/>
      <c r="GG147" s="77"/>
      <c r="GH147" s="77"/>
      <c r="GI147" s="77"/>
      <c r="GJ147" s="77"/>
      <c r="GK147" s="77"/>
      <c r="HL147" s="77"/>
      <c r="HM147" s="77"/>
      <c r="HN147" s="77"/>
      <c r="HO147" s="77"/>
      <c r="HP147" s="77"/>
      <c r="HQ147" s="77"/>
      <c r="HR147" s="77"/>
      <c r="HS147" s="77"/>
      <c r="HT147" s="77"/>
      <c r="HU147" s="77"/>
      <c r="HV147" s="77"/>
      <c r="HW147" s="77"/>
      <c r="HX147" s="77"/>
      <c r="HY147" s="77"/>
      <c r="HZ147" s="77"/>
      <c r="IA147" s="77"/>
      <c r="IB147" s="77"/>
      <c r="IC147" s="77"/>
      <c r="ID147" s="77"/>
      <c r="IE147" s="77"/>
      <c r="JY147" s="77"/>
      <c r="JZ147" s="77"/>
      <c r="KA147" s="77"/>
      <c r="KB147" s="77"/>
      <c r="KC147" s="77"/>
      <c r="KD147" s="77"/>
      <c r="KE147" s="77"/>
      <c r="KF147" s="77"/>
      <c r="KG147" s="77"/>
      <c r="KH147" s="77"/>
      <c r="KI147" s="77"/>
      <c r="KJ147" s="77"/>
      <c r="KK147" s="77"/>
      <c r="KL147" s="77"/>
      <c r="LL147" s="77"/>
      <c r="LM147" s="77"/>
      <c r="LN147" s="77"/>
      <c r="LO147" s="77"/>
      <c r="LP147" s="77"/>
      <c r="LQ147" s="77"/>
      <c r="LR147" s="77"/>
      <c r="LS147" s="77"/>
      <c r="LT147" s="77"/>
      <c r="LU147" s="77"/>
      <c r="LV147" s="77"/>
      <c r="MS147" s="77"/>
      <c r="ND147" s="77"/>
    </row>
    <row r="148" spans="1:421" s="58" customFormat="1" ht="18.600000000000001" customHeight="1" x14ac:dyDescent="0.25">
      <c r="A148" s="119" t="s">
        <v>376</v>
      </c>
      <c r="B148" s="27" t="s">
        <v>1812</v>
      </c>
      <c r="C148" s="27" t="s">
        <v>3952</v>
      </c>
      <c r="D148" s="30" t="str">
        <f>HYPERLINK("https://twitter.com/Kristian_Jensen","https://twitter.com/Kristian_Jensen")</f>
        <v>https://twitter.com/Kristian_Jensen</v>
      </c>
      <c r="E148" s="30" t="str">
        <f>HYPERLINK("http://twiplomacy.com/info/europe/Denmark","http://twiplomacy.com/info/europe/Denmark")</f>
        <v>http://twiplomacy.com/info/europe/Denmark</v>
      </c>
      <c r="F148" s="10" t="s">
        <v>332</v>
      </c>
      <c r="G148" s="10" t="s">
        <v>374</v>
      </c>
      <c r="H148" s="10" t="s">
        <v>860</v>
      </c>
      <c r="I148" s="10" t="s">
        <v>773</v>
      </c>
      <c r="J148" s="27" t="s">
        <v>1818</v>
      </c>
      <c r="K148" s="15" t="s">
        <v>777</v>
      </c>
      <c r="L148" s="10"/>
      <c r="M148" s="42" t="s">
        <v>770</v>
      </c>
      <c r="N148" s="30" t="s">
        <v>1813</v>
      </c>
      <c r="O148" s="27" t="s">
        <v>3168</v>
      </c>
      <c r="P148" s="80">
        <v>162</v>
      </c>
      <c r="Q148" s="80">
        <v>98</v>
      </c>
      <c r="R148" s="27" t="s">
        <v>2994</v>
      </c>
      <c r="S148" s="12" t="s">
        <v>1814</v>
      </c>
      <c r="T148" s="10">
        <v>1</v>
      </c>
      <c r="U148" s="10">
        <v>1</v>
      </c>
      <c r="V148" s="10" t="s">
        <v>771</v>
      </c>
      <c r="W148" s="10"/>
      <c r="X148" s="27" t="s">
        <v>376</v>
      </c>
      <c r="Y148" s="27" t="s">
        <v>1812</v>
      </c>
      <c r="Z148" s="80">
        <v>7624</v>
      </c>
      <c r="AA148" s="27">
        <v>803</v>
      </c>
      <c r="AB148" s="80">
        <v>26139</v>
      </c>
      <c r="AC148" s="27">
        <v>4291</v>
      </c>
      <c r="AD148" s="27" t="s">
        <v>3953</v>
      </c>
      <c r="AE148" s="27">
        <v>15243853</v>
      </c>
      <c r="AF148" s="27" t="s">
        <v>3952</v>
      </c>
      <c r="AG148" s="27" t="s">
        <v>3954</v>
      </c>
      <c r="AH148" s="79">
        <v>2.6592256714335498</v>
      </c>
      <c r="AI148" s="83">
        <v>6.4670658682634699</v>
      </c>
      <c r="AJ148" s="80">
        <v>5.7466185752930601</v>
      </c>
      <c r="AK148" s="80">
        <v>7.90306582506763</v>
      </c>
      <c r="AL148" s="27">
        <v>1146</v>
      </c>
      <c r="AM148" s="97">
        <f t="shared" si="2"/>
        <v>0.35812500000000003</v>
      </c>
      <c r="AN148" s="27" t="s">
        <v>376</v>
      </c>
      <c r="AO148" s="27">
        <v>47</v>
      </c>
      <c r="AP148" s="27">
        <v>17</v>
      </c>
      <c r="AQ148" s="27">
        <v>23</v>
      </c>
      <c r="AR148" s="27">
        <f>SUM(AO148:AQ148)</f>
        <v>87</v>
      </c>
      <c r="AS148" s="27" t="s">
        <v>6224</v>
      </c>
      <c r="AT148" s="27" t="s">
        <v>6770</v>
      </c>
      <c r="AU148" s="84" t="s">
        <v>6163</v>
      </c>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77"/>
      <c r="CU148" s="77"/>
      <c r="CV148" s="77"/>
      <c r="CW148" s="77"/>
      <c r="CX148" s="77"/>
      <c r="CY148" s="77"/>
      <c r="CZ148" s="77"/>
      <c r="DA148" s="77"/>
      <c r="DB148" s="77"/>
      <c r="DC148" s="77"/>
      <c r="DD148" s="77"/>
      <c r="DE148" s="77"/>
      <c r="DF148" s="77"/>
      <c r="DG148" s="77"/>
      <c r="DH148" s="77"/>
      <c r="DI148" s="77"/>
      <c r="DJ148" s="77"/>
      <c r="DK148" s="77"/>
      <c r="DL148" s="77"/>
      <c r="DM148" s="77"/>
      <c r="DN148" s="77"/>
      <c r="DO148" s="77"/>
      <c r="DP148" s="77"/>
      <c r="DQ148" s="77"/>
      <c r="DR148" s="77"/>
      <c r="DS148" s="77"/>
      <c r="DT148" s="77"/>
      <c r="DU148" s="77"/>
      <c r="DV148" s="77"/>
      <c r="DW148" s="77"/>
      <c r="DX148" s="77"/>
      <c r="DY148" s="77"/>
      <c r="DZ148" s="77"/>
      <c r="EA148" s="77"/>
      <c r="EB148" s="77"/>
      <c r="EC148" s="77"/>
      <c r="ED148" s="77"/>
      <c r="EE148" s="77"/>
      <c r="EF148" s="77"/>
      <c r="EG148" s="77"/>
      <c r="EH148" s="77"/>
      <c r="EI148" s="77"/>
      <c r="EJ148" s="77"/>
      <c r="EK148" s="77"/>
      <c r="EL148" s="77"/>
      <c r="EP148" s="77"/>
      <c r="EQ148" s="77"/>
      <c r="ER148" s="77"/>
      <c r="ES148" s="77"/>
      <c r="ET148" s="77"/>
      <c r="EU148" s="77"/>
      <c r="EV148" s="77"/>
      <c r="EW148" s="77"/>
      <c r="EX148" s="77"/>
      <c r="EY148" s="77"/>
      <c r="EZ148" s="77"/>
      <c r="FA148" s="77"/>
      <c r="FB148" s="77"/>
      <c r="FC148" s="77"/>
      <c r="FD148" s="77"/>
      <c r="FE148" s="77"/>
      <c r="FF148" s="77"/>
      <c r="FG148" s="77"/>
      <c r="FH148" s="77"/>
      <c r="FI148" s="77"/>
      <c r="FJ148" s="77"/>
      <c r="FK148" s="77"/>
      <c r="FL148" s="77"/>
      <c r="FM148" s="77"/>
      <c r="FN148" s="77"/>
      <c r="FO148" s="77"/>
      <c r="FP148" s="77"/>
      <c r="FQ148" s="77"/>
      <c r="FR148" s="77"/>
      <c r="FS148" s="77"/>
      <c r="FT148" s="77"/>
      <c r="FU148" s="77"/>
      <c r="FV148" s="77"/>
      <c r="FW148" s="77"/>
      <c r="FX148" s="77"/>
      <c r="FY148" s="77"/>
      <c r="FZ148" s="77"/>
      <c r="GA148" s="77"/>
      <c r="GB148" s="77"/>
      <c r="GC148" s="77"/>
      <c r="GD148" s="77"/>
      <c r="GE148" s="77"/>
      <c r="GF148" s="77"/>
      <c r="GG148" s="77"/>
      <c r="GH148" s="77"/>
      <c r="GI148" s="77"/>
      <c r="GJ148" s="77"/>
      <c r="GK148" s="77"/>
      <c r="GL148" s="77"/>
      <c r="GM148" s="77"/>
      <c r="GN148" s="77"/>
      <c r="GO148" s="77"/>
      <c r="GP148" s="77"/>
      <c r="GQ148" s="77"/>
      <c r="GR148" s="77"/>
      <c r="GS148" s="77"/>
      <c r="GT148" s="77"/>
      <c r="GU148" s="77"/>
      <c r="GV148" s="77"/>
      <c r="GW148" s="77"/>
      <c r="GX148" s="77"/>
      <c r="GY148" s="77"/>
      <c r="GZ148" s="77"/>
      <c r="HA148" s="77"/>
      <c r="HB148" s="77"/>
      <c r="HC148" s="77"/>
      <c r="HD148" s="77"/>
      <c r="HE148" s="77"/>
      <c r="HF148" s="77"/>
      <c r="HG148" s="77"/>
      <c r="HH148" s="77"/>
      <c r="HI148" s="77"/>
      <c r="HJ148" s="77"/>
      <c r="HK148" s="77"/>
      <c r="IF148" s="77"/>
      <c r="IG148" s="77"/>
      <c r="IH148" s="77"/>
      <c r="II148" s="77"/>
      <c r="IJ148" s="77"/>
      <c r="IK148" s="77"/>
      <c r="IL148" s="77"/>
      <c r="IM148" s="77"/>
      <c r="IN148" s="77"/>
      <c r="IO148" s="77"/>
      <c r="IP148" s="77"/>
      <c r="IQ148" s="77"/>
      <c r="IR148" s="77"/>
      <c r="IS148" s="77"/>
      <c r="IT148" s="77"/>
      <c r="IU148" s="77"/>
      <c r="IV148" s="77"/>
      <c r="IW148" s="77"/>
      <c r="IX148" s="77"/>
      <c r="IY148" s="77"/>
      <c r="IZ148" s="77"/>
      <c r="JA148" s="77"/>
      <c r="JB148" s="77"/>
      <c r="JC148" s="77"/>
      <c r="JD148" s="77"/>
      <c r="JE148" s="77"/>
      <c r="JF148" s="77"/>
      <c r="JG148" s="77"/>
      <c r="JH148" s="77"/>
      <c r="JI148" s="77"/>
      <c r="JJ148" s="77"/>
      <c r="JK148" s="77"/>
      <c r="JL148" s="77"/>
      <c r="JM148" s="77"/>
      <c r="JN148" s="77"/>
      <c r="JO148" s="77"/>
      <c r="JP148" s="77"/>
      <c r="JQ148" s="77"/>
      <c r="JR148" s="77"/>
      <c r="JS148" s="77"/>
      <c r="JT148" s="77"/>
      <c r="JU148" s="77"/>
      <c r="JV148" s="77"/>
      <c r="JW148" s="77"/>
      <c r="JX148" s="77"/>
      <c r="JY148" s="77"/>
      <c r="JZ148" s="77"/>
      <c r="KA148" s="77"/>
      <c r="KB148" s="77"/>
      <c r="KC148" s="77"/>
      <c r="KD148" s="77"/>
      <c r="KE148" s="77"/>
      <c r="KF148" s="77"/>
      <c r="KG148" s="77"/>
      <c r="KH148" s="77"/>
      <c r="KI148" s="77"/>
      <c r="KJ148" s="77"/>
      <c r="KK148" s="77"/>
      <c r="KL148" s="77"/>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77"/>
      <c r="LM148" s="77"/>
      <c r="LN148" s="77"/>
      <c r="LO148" s="77"/>
      <c r="LP148" s="77"/>
      <c r="LQ148" s="77"/>
      <c r="LR148" s="77"/>
      <c r="LS148" s="77"/>
      <c r="LT148" s="77"/>
      <c r="LU148" s="77"/>
      <c r="LV148" s="77"/>
    </row>
    <row r="149" spans="1:421" s="58" customFormat="1" ht="18.600000000000001" customHeight="1" x14ac:dyDescent="0.25">
      <c r="A149" s="119" t="s">
        <v>1378</v>
      </c>
      <c r="B149" s="27" t="s">
        <v>1379</v>
      </c>
      <c r="C149" s="27" t="s">
        <v>1380</v>
      </c>
      <c r="D149" s="30" t="str">
        <f>HYPERLINK("https://twitter.com/kantei","https://twitter.com/kantei")</f>
        <v>https://twitter.com/kantei</v>
      </c>
      <c r="E149" s="30" t="str">
        <f>HYPERLINK("http://twiplomacy.com/info/asia/japan/","http://twiplomacy.com/info/asia/japan/")</f>
        <v>http://twiplomacy.com/info/asia/japan/</v>
      </c>
      <c r="F149" s="10" t="s">
        <v>154</v>
      </c>
      <c r="G149" s="10" t="s">
        <v>213</v>
      </c>
      <c r="H149" s="10" t="s">
        <v>788</v>
      </c>
      <c r="I149" s="10" t="s">
        <v>782</v>
      </c>
      <c r="J149" s="27" t="s">
        <v>1382</v>
      </c>
      <c r="K149" s="15" t="s">
        <v>777</v>
      </c>
      <c r="L149" s="10" t="s">
        <v>771</v>
      </c>
      <c r="M149" s="10" t="s">
        <v>770</v>
      </c>
      <c r="N149" s="30" t="str">
        <f>HYPERLINK("https://twitter.com/kantei/statuses/139872517979521024","https://twitter.com/kantei/statuses/139872517979521024")</f>
        <v>https://twitter.com/kantei/statuses/139872517979521024</v>
      </c>
      <c r="O149" s="30" t="str">
        <f>HYPERLINK("https://twitter.com/kantei/statuses/278664645596819456","https://twitter.com/kantei/statuses/278664645596819456")</f>
        <v>https://twitter.com/kantei/statuses/278664645596819456</v>
      </c>
      <c r="P149" s="46">
        <v>11619</v>
      </c>
      <c r="Q149" s="46">
        <v>724</v>
      </c>
      <c r="R149" s="27" t="s">
        <v>2994</v>
      </c>
      <c r="S149" s="10" t="s">
        <v>1381</v>
      </c>
      <c r="T149" s="10" t="s">
        <v>771</v>
      </c>
      <c r="U149" s="10" t="s">
        <v>771</v>
      </c>
      <c r="V149" s="10" t="s">
        <v>771</v>
      </c>
      <c r="W149" s="10"/>
      <c r="X149" s="27" t="s">
        <v>1378</v>
      </c>
      <c r="Y149" s="27" t="s">
        <v>1379</v>
      </c>
      <c r="Z149" s="80">
        <v>7616</v>
      </c>
      <c r="AA149" s="27">
        <v>42</v>
      </c>
      <c r="AB149" s="80">
        <v>552939</v>
      </c>
      <c r="AC149" s="27">
        <v>0</v>
      </c>
      <c r="AD149" s="27" t="s">
        <v>3920</v>
      </c>
      <c r="AE149" s="27">
        <v>412940784</v>
      </c>
      <c r="AF149" s="27" t="s">
        <v>1380</v>
      </c>
      <c r="AG149" s="27"/>
      <c r="AH149" s="79">
        <v>4.6723926380368104</v>
      </c>
      <c r="AI149" s="83">
        <v>4.0932311621966804</v>
      </c>
      <c r="AJ149" s="80">
        <v>101.93185689948901</v>
      </c>
      <c r="AK149" s="80">
        <v>76.396933560476995</v>
      </c>
      <c r="AL149" s="13">
        <v>0</v>
      </c>
      <c r="AM149" s="97">
        <f t="shared" si="2"/>
        <v>0</v>
      </c>
      <c r="AN149" s="27" t="s">
        <v>1378</v>
      </c>
      <c r="AO149" s="27">
        <v>1</v>
      </c>
      <c r="AP149" s="27">
        <v>7</v>
      </c>
      <c r="AQ149" s="27">
        <v>3</v>
      </c>
      <c r="AR149" s="27">
        <f>SUM(AO149:AQ149)</f>
        <v>11</v>
      </c>
      <c r="AS149" s="27" t="s">
        <v>215</v>
      </c>
      <c r="AT149" s="27" t="s">
        <v>5229</v>
      </c>
      <c r="AU149" s="84" t="s">
        <v>4790</v>
      </c>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c r="EY149" s="77"/>
      <c r="EZ149" s="77"/>
      <c r="FA149" s="77"/>
      <c r="FB149" s="77"/>
      <c r="FC149" s="77"/>
      <c r="FD149" s="77"/>
      <c r="FE149" s="77"/>
      <c r="FF149" s="77"/>
      <c r="FG149" s="77"/>
      <c r="FH149" s="77"/>
      <c r="FI149" s="77"/>
      <c r="FJ149" s="77"/>
      <c r="FK149" s="77"/>
      <c r="FL149" s="77"/>
      <c r="FM149" s="77"/>
      <c r="FN149" s="77"/>
      <c r="FO149" s="77"/>
      <c r="FP149" s="77"/>
      <c r="FQ149" s="77"/>
      <c r="FR149" s="77"/>
      <c r="FS149" s="77"/>
      <c r="FT149" s="77"/>
      <c r="FU149" s="77"/>
      <c r="FV149" s="77"/>
      <c r="FW149" s="77"/>
      <c r="FX149" s="77"/>
      <c r="FY149" s="77"/>
      <c r="FZ149" s="77"/>
      <c r="GA149" s="77"/>
      <c r="GB149" s="77"/>
      <c r="GC149" s="77"/>
      <c r="GD149" s="77"/>
      <c r="GE149" s="77"/>
      <c r="GF149" s="77"/>
      <c r="GG149" s="77"/>
      <c r="GH149" s="77"/>
      <c r="GI149" s="77"/>
      <c r="GJ149" s="77"/>
      <c r="GK149" s="77"/>
      <c r="ID149" s="77"/>
      <c r="IE149" s="77"/>
      <c r="IF149" s="77"/>
      <c r="IG149" s="77"/>
      <c r="IH149" s="77"/>
      <c r="II149" s="77"/>
      <c r="IJ149" s="77"/>
      <c r="IK149" s="77"/>
      <c r="IL149" s="77"/>
      <c r="IM149" s="77"/>
      <c r="IN149" s="77"/>
      <c r="IO149" s="77"/>
      <c r="IP149" s="77"/>
      <c r="IQ149" s="77"/>
      <c r="IR149" s="77"/>
      <c r="IS149" s="77"/>
      <c r="IT149" s="77"/>
      <c r="IU149" s="77"/>
      <c r="IV149" s="77"/>
      <c r="IW149" s="77"/>
      <c r="IX149" s="77"/>
      <c r="IY149" s="77"/>
      <c r="IZ149" s="77"/>
      <c r="JA149" s="77"/>
      <c r="JB149" s="77"/>
      <c r="JC149" s="77"/>
      <c r="JD149" s="77"/>
      <c r="JE149" s="77"/>
      <c r="JF149" s="77"/>
      <c r="JG149" s="77"/>
      <c r="JH149" s="77"/>
      <c r="JI149" s="77"/>
      <c r="JJ149" s="77"/>
      <c r="JK149" s="77"/>
      <c r="JL149" s="77"/>
      <c r="JM149" s="77"/>
      <c r="JN149" s="77"/>
      <c r="JO149" s="77"/>
      <c r="JP149" s="77"/>
      <c r="JQ149" s="77"/>
      <c r="JR149" s="77"/>
      <c r="JS149" s="77"/>
      <c r="JT149" s="77"/>
      <c r="JU149" s="77"/>
      <c r="JV149" s="77"/>
      <c r="JW149" s="77"/>
      <c r="JX149" s="77"/>
      <c r="JY149" s="77"/>
      <c r="JZ149" s="77"/>
      <c r="KA149" s="77"/>
      <c r="KB149" s="77"/>
      <c r="KC149" s="77"/>
      <c r="KD149" s="77"/>
      <c r="KE149" s="77"/>
      <c r="KF149" s="77"/>
      <c r="KG149" s="77"/>
      <c r="KH149" s="77"/>
      <c r="KI149" s="77"/>
      <c r="KJ149" s="77"/>
      <c r="KK149" s="77"/>
      <c r="KL149" s="77"/>
      <c r="LL149" s="77"/>
      <c r="LM149" s="77"/>
      <c r="LN149" s="77"/>
      <c r="LO149" s="77"/>
      <c r="LP149" s="77"/>
      <c r="LQ149" s="77"/>
      <c r="LR149" s="77"/>
      <c r="LS149" s="77"/>
      <c r="LT149" s="77"/>
      <c r="LU149" s="77"/>
      <c r="LV149" s="77"/>
      <c r="LW149" s="77"/>
      <c r="LX149" s="77"/>
      <c r="MT149" s="16"/>
      <c r="MU149" s="16"/>
      <c r="MV149" s="16"/>
      <c r="MW149" s="16"/>
      <c r="MX149" s="16"/>
      <c r="MY149" s="16"/>
      <c r="MZ149" s="16"/>
      <c r="NA149" s="16"/>
      <c r="NB149" s="16"/>
      <c r="NC149" s="16"/>
    </row>
    <row r="150" spans="1:421" s="16" customFormat="1" ht="18.600000000000001" customHeight="1" x14ac:dyDescent="0.25">
      <c r="A150" s="119" t="s">
        <v>82</v>
      </c>
      <c r="B150" s="27" t="s">
        <v>983</v>
      </c>
      <c r="C150" s="27" t="s">
        <v>984</v>
      </c>
      <c r="D150" s="30" t="str">
        <f>HYPERLINK("https://twitter.com/PresidenceMali","https://twitter.com/PresidenceMali")</f>
        <v>https://twitter.com/PresidenceMali</v>
      </c>
      <c r="E150" s="30" t="str">
        <f>HYPERLINK("http://twiplomacy.com/info/africa/Mali","http://twiplomacy.com/info/africa/Mali")</f>
        <v>http://twiplomacy.com/info/africa/Mali</v>
      </c>
      <c r="F150" s="10" t="s">
        <v>1</v>
      </c>
      <c r="G150" s="10" t="s">
        <v>80</v>
      </c>
      <c r="H150" s="10" t="s">
        <v>781</v>
      </c>
      <c r="I150" s="10" t="s">
        <v>782</v>
      </c>
      <c r="J150" s="27" t="s">
        <v>779</v>
      </c>
      <c r="K150" s="15" t="s">
        <v>777</v>
      </c>
      <c r="L150" s="10" t="s">
        <v>771</v>
      </c>
      <c r="M150" s="10" t="s">
        <v>770</v>
      </c>
      <c r="N150" s="30" t="str">
        <f>HYPERLINK("https://twitter.com/PresidenceMali/statuses/124131254080782337","https://twitter.com/PresidenceMali/statuses/124131254080782337")</f>
        <v>https://twitter.com/PresidenceMali/statuses/124131254080782337</v>
      </c>
      <c r="O150" s="27" t="s">
        <v>6034</v>
      </c>
      <c r="P150" s="80">
        <v>1691</v>
      </c>
      <c r="Q150" s="80">
        <v>282</v>
      </c>
      <c r="R150" s="27" t="s">
        <v>2994</v>
      </c>
      <c r="S150" s="12" t="s">
        <v>985</v>
      </c>
      <c r="T150" s="10" t="s">
        <v>771</v>
      </c>
      <c r="U150" s="10">
        <v>1</v>
      </c>
      <c r="V150" s="10" t="s">
        <v>771</v>
      </c>
      <c r="W150" s="10"/>
      <c r="X150" s="27" t="s">
        <v>82</v>
      </c>
      <c r="Y150" s="27" t="s">
        <v>983</v>
      </c>
      <c r="Z150" s="80">
        <v>7600</v>
      </c>
      <c r="AA150" s="27">
        <v>940</v>
      </c>
      <c r="AB150" s="80">
        <v>72096</v>
      </c>
      <c r="AC150" s="27">
        <v>152</v>
      </c>
      <c r="AD150" s="27" t="s">
        <v>4322</v>
      </c>
      <c r="AE150" s="27">
        <v>389486048</v>
      </c>
      <c r="AF150" s="27" t="s">
        <v>984</v>
      </c>
      <c r="AG150" s="27" t="s">
        <v>986</v>
      </c>
      <c r="AH150" s="79">
        <v>4.5673076923076898</v>
      </c>
      <c r="AI150" s="83">
        <v>4.4043419267299901</v>
      </c>
      <c r="AJ150" s="80">
        <v>4.7361249584579603</v>
      </c>
      <c r="AK150" s="80">
        <v>3.0528414755732798</v>
      </c>
      <c r="AL150" s="27">
        <v>100</v>
      </c>
      <c r="AM150" s="97">
        <f t="shared" si="2"/>
        <v>3.125E-2</v>
      </c>
      <c r="AN150" s="27" t="s">
        <v>82</v>
      </c>
      <c r="AO150" s="27">
        <v>73</v>
      </c>
      <c r="AP150" s="27">
        <v>17</v>
      </c>
      <c r="AQ150" s="27">
        <v>41</v>
      </c>
      <c r="AR150" s="27">
        <f>SUM(AO150:AQ150)</f>
        <v>131</v>
      </c>
      <c r="AS150" s="27" t="s">
        <v>6613</v>
      </c>
      <c r="AT150" s="27" t="s">
        <v>6831</v>
      </c>
      <c r="AU150" s="84" t="s">
        <v>6529</v>
      </c>
      <c r="AV150" s="62"/>
      <c r="AW150" s="62"/>
      <c r="AX150" s="62"/>
      <c r="AY150" s="62"/>
      <c r="AZ150" s="62"/>
      <c r="BA150" s="62"/>
      <c r="BB150" s="62"/>
      <c r="BC150" s="62"/>
      <c r="BD150" s="62"/>
      <c r="BE150" s="62"/>
      <c r="BF150" s="62"/>
      <c r="BG150" s="62"/>
      <c r="BH150" s="62"/>
      <c r="BI150" s="62"/>
      <c r="BJ150" s="62"/>
      <c r="BK150" s="62"/>
      <c r="BL150" s="62"/>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7"/>
      <c r="FD150" s="77"/>
      <c r="FE150" s="77"/>
      <c r="FF150" s="77"/>
      <c r="FG150" s="77"/>
      <c r="FH150" s="77"/>
      <c r="FI150" s="77"/>
      <c r="FJ150" s="77"/>
      <c r="FK150" s="77"/>
      <c r="FL150" s="77"/>
      <c r="FM150" s="77"/>
      <c r="FN150" s="77"/>
      <c r="FO150" s="77"/>
      <c r="FP150" s="77"/>
      <c r="FQ150" s="77"/>
      <c r="FR150" s="77"/>
      <c r="FS150" s="77"/>
      <c r="FT150" s="77"/>
      <c r="FU150" s="77"/>
      <c r="FV150" s="77"/>
      <c r="FW150" s="77"/>
      <c r="FX150" s="77"/>
      <c r="FY150" s="77"/>
      <c r="FZ150" s="77"/>
      <c r="GA150" s="77"/>
      <c r="GB150" s="77"/>
      <c r="GC150" s="77"/>
      <c r="GD150" s="77"/>
      <c r="GE150" s="77"/>
      <c r="GF150" s="77"/>
      <c r="GG150" s="77"/>
      <c r="GH150" s="77"/>
      <c r="GI150" s="77"/>
      <c r="GJ150" s="77"/>
      <c r="GK150" s="77"/>
      <c r="GL150" s="77"/>
      <c r="GM150" s="77"/>
      <c r="GN150" s="77"/>
      <c r="GO150" s="77"/>
      <c r="GP150" s="77"/>
      <c r="GQ150" s="77"/>
      <c r="GR150" s="77"/>
      <c r="GS150" s="77"/>
      <c r="GT150" s="77"/>
      <c r="GU150" s="77"/>
      <c r="GV150" s="77"/>
      <c r="GW150" s="77"/>
      <c r="GX150" s="77"/>
      <c r="GY150" s="77"/>
      <c r="GZ150" s="77"/>
      <c r="HA150" s="77"/>
      <c r="HB150" s="77"/>
      <c r="HC150" s="77"/>
      <c r="HD150" s="77"/>
      <c r="HE150" s="77"/>
      <c r="HF150" s="77"/>
      <c r="HG150" s="77"/>
      <c r="HH150" s="77"/>
      <c r="HI150" s="77"/>
      <c r="HJ150" s="77"/>
      <c r="HK150" s="77"/>
      <c r="HL150" s="77"/>
      <c r="HM150" s="77"/>
      <c r="HN150" s="77"/>
      <c r="HO150" s="77"/>
      <c r="HP150" s="77"/>
      <c r="HQ150" s="77"/>
      <c r="HR150" s="77"/>
      <c r="HS150" s="77"/>
      <c r="HT150" s="77"/>
      <c r="HU150" s="77"/>
      <c r="HV150" s="77"/>
      <c r="HW150" s="77"/>
      <c r="HX150" s="77"/>
      <c r="HY150" s="77"/>
      <c r="HZ150" s="77"/>
      <c r="IA150" s="77"/>
      <c r="IB150" s="77"/>
      <c r="IC150" s="77"/>
      <c r="ID150" s="77"/>
      <c r="IE150" s="77"/>
      <c r="IF150" s="77"/>
      <c r="IG150" s="77"/>
      <c r="IH150" s="77"/>
      <c r="II150" s="77"/>
      <c r="IJ150" s="77"/>
      <c r="IK150" s="77"/>
      <c r="IL150" s="77"/>
      <c r="IM150" s="77"/>
      <c r="IN150" s="77"/>
      <c r="IO150" s="77"/>
      <c r="IP150" s="77"/>
      <c r="IQ150" s="77"/>
      <c r="IR150" s="77"/>
      <c r="IS150" s="77"/>
      <c r="IT150" s="77"/>
      <c r="IU150" s="77"/>
      <c r="IV150" s="77"/>
      <c r="IW150" s="77"/>
      <c r="IX150" s="77"/>
      <c r="IY150" s="77"/>
      <c r="IZ150" s="77"/>
      <c r="JA150" s="77"/>
      <c r="JB150" s="77"/>
      <c r="JC150" s="77"/>
      <c r="JD150" s="77"/>
      <c r="JE150" s="77"/>
      <c r="JF150" s="77"/>
      <c r="JG150" s="77"/>
      <c r="JH150" s="77"/>
      <c r="JI150" s="77"/>
      <c r="JJ150" s="77"/>
      <c r="JK150" s="77"/>
      <c r="JL150" s="77"/>
      <c r="JM150" s="77"/>
      <c r="JN150" s="77"/>
      <c r="JO150" s="77"/>
      <c r="JP150" s="77"/>
      <c r="JQ150" s="77"/>
      <c r="JR150" s="77"/>
      <c r="JS150" s="77"/>
      <c r="JT150" s="77"/>
      <c r="JU150" s="77"/>
      <c r="JV150" s="77"/>
      <c r="JW150" s="77"/>
      <c r="JX150" s="77"/>
      <c r="JY150" s="77"/>
      <c r="JZ150" s="77"/>
      <c r="KA150" s="77"/>
      <c r="KB150" s="77"/>
      <c r="KC150" s="77"/>
      <c r="KD150" s="77"/>
      <c r="KE150" s="77"/>
      <c r="KF150" s="77"/>
      <c r="KG150" s="77"/>
      <c r="KH150" s="77"/>
      <c r="KI150" s="77"/>
      <c r="KJ150" s="77"/>
      <c r="KK150" s="77"/>
      <c r="KL150" s="77"/>
      <c r="KM150" s="77"/>
      <c r="KN150" s="77"/>
      <c r="KO150" s="77"/>
      <c r="KP150" s="77"/>
      <c r="KQ150" s="77"/>
      <c r="KR150" s="77"/>
      <c r="KS150" s="77"/>
      <c r="KT150" s="77"/>
      <c r="KU150" s="77"/>
      <c r="KV150" s="77"/>
      <c r="KW150" s="77"/>
      <c r="KX150" s="77"/>
      <c r="KY150" s="77"/>
      <c r="KZ150" s="77"/>
      <c r="LA150" s="77"/>
      <c r="LB150" s="77"/>
      <c r="LC150" s="77"/>
      <c r="LD150" s="77"/>
      <c r="LE150" s="77"/>
      <c r="LF150" s="77"/>
      <c r="LG150" s="77"/>
      <c r="LH150" s="77"/>
      <c r="LI150" s="77"/>
      <c r="LJ150" s="77"/>
      <c r="LK150" s="77"/>
      <c r="LL150" s="77"/>
      <c r="LM150" s="77"/>
      <c r="LN150" s="77"/>
      <c r="LO150" s="77"/>
      <c r="LP150" s="77"/>
      <c r="LQ150" s="77"/>
      <c r="LR150" s="77"/>
      <c r="LS150" s="77"/>
      <c r="LT150" s="77"/>
      <c r="LU150" s="77"/>
      <c r="LV150" s="77"/>
      <c r="LW150" s="77"/>
      <c r="LX150" s="77"/>
      <c r="LY150" s="77"/>
      <c r="LZ150" s="77"/>
      <c r="MA150" s="77"/>
      <c r="MB150" s="77"/>
      <c r="MC150" s="77"/>
      <c r="MD150" s="77"/>
      <c r="ME150" s="77"/>
      <c r="MF150" s="77"/>
      <c r="MG150" s="77"/>
      <c r="MH150" s="77"/>
      <c r="MI150" s="77"/>
      <c r="MJ150" s="77"/>
      <c r="MK150" s="77"/>
      <c r="ML150" s="77"/>
      <c r="MM150" s="77"/>
      <c r="MN150" s="77"/>
      <c r="MO150" s="77"/>
      <c r="MP150" s="77"/>
      <c r="MQ150" s="77"/>
      <c r="MR150" s="77"/>
      <c r="MS150" s="77"/>
      <c r="MT150" s="77"/>
      <c r="MU150" s="77"/>
      <c r="MV150" s="77"/>
      <c r="MW150" s="77"/>
      <c r="MX150" s="77"/>
      <c r="MY150" s="77"/>
      <c r="MZ150" s="77"/>
      <c r="NA150" s="77"/>
      <c r="NB150" s="77"/>
      <c r="NC150" s="77"/>
      <c r="ND150" s="77"/>
      <c r="NE150" s="77"/>
      <c r="NF150" s="77"/>
      <c r="NG150" s="77"/>
      <c r="NH150" s="77"/>
      <c r="NI150" s="77"/>
      <c r="NJ150" s="77"/>
      <c r="NK150" s="77"/>
      <c r="NL150" s="77"/>
      <c r="NM150" s="77"/>
      <c r="NN150" s="77"/>
      <c r="NO150" s="77"/>
      <c r="NP150" s="77"/>
      <c r="NQ150" s="77"/>
      <c r="NR150" s="77"/>
      <c r="NS150" s="77"/>
      <c r="NT150" s="77"/>
      <c r="NU150" s="77"/>
      <c r="NV150" s="77"/>
      <c r="NW150" s="77"/>
      <c r="NX150" s="77"/>
      <c r="NY150" s="77"/>
      <c r="NZ150" s="77"/>
      <c r="OA150" s="77"/>
      <c r="OB150" s="77"/>
      <c r="OC150" s="77"/>
      <c r="OD150" s="77"/>
      <c r="OE150" s="77"/>
      <c r="OF150" s="77"/>
      <c r="OG150" s="77"/>
      <c r="OH150" s="77"/>
      <c r="OI150" s="77"/>
      <c r="OJ150" s="77"/>
      <c r="OK150" s="77"/>
      <c r="OL150" s="77"/>
      <c r="OM150" s="77"/>
      <c r="ON150" s="77"/>
      <c r="OO150" s="77"/>
      <c r="OP150" s="77"/>
      <c r="OQ150" s="77"/>
      <c r="OR150" s="77"/>
      <c r="OS150" s="77"/>
      <c r="OT150" s="77"/>
      <c r="OU150" s="77"/>
      <c r="OV150" s="77"/>
      <c r="OW150" s="77"/>
      <c r="OX150" s="77"/>
      <c r="OY150" s="77"/>
      <c r="OZ150" s="77"/>
      <c r="PA150" s="77"/>
      <c r="PB150" s="77"/>
      <c r="PC150" s="77"/>
      <c r="PD150" s="77"/>
      <c r="PE150" s="77"/>
    </row>
    <row r="151" spans="1:421" ht="18.600000000000001" customHeight="1" x14ac:dyDescent="0.25">
      <c r="A151" s="119" t="s">
        <v>63</v>
      </c>
      <c r="B151" s="27" t="s">
        <v>940</v>
      </c>
      <c r="C151" s="27" t="s">
        <v>3739</v>
      </c>
      <c r="D151" s="30" t="str">
        <f>HYPERLINK("https://twitter.com/Gouvci","https://twitter.com/Gouvci")</f>
        <v>https://twitter.com/Gouvci</v>
      </c>
      <c r="E151" s="30" t="str">
        <f>HYPERLINK("http://twiplomacy.com/info/africa/Ivory-Coast","http://twiplomacy.com/info/africa/Ivory-Coast")</f>
        <v>http://twiplomacy.com/info/africa/Ivory-Coast</v>
      </c>
      <c r="F151" s="10" t="s">
        <v>1</v>
      </c>
      <c r="G151" s="10" t="s">
        <v>60</v>
      </c>
      <c r="H151" s="10" t="s">
        <v>788</v>
      </c>
      <c r="I151" s="10" t="s">
        <v>782</v>
      </c>
      <c r="J151" s="27" t="s">
        <v>779</v>
      </c>
      <c r="K151" s="15" t="s">
        <v>777</v>
      </c>
      <c r="L151" s="10" t="s">
        <v>771</v>
      </c>
      <c r="M151" s="10" t="s">
        <v>770</v>
      </c>
      <c r="N151" s="30" t="str">
        <f>HYPERLINK("https://twitter.com/Gouvci/statuses/100908637165322241","https://twitter.com/Gouvci/statuses/100908637165322241")</f>
        <v>https://twitter.com/Gouvci/statuses/100908637165322241</v>
      </c>
      <c r="O151" s="27" t="s">
        <v>5821</v>
      </c>
      <c r="P151" s="80">
        <v>162</v>
      </c>
      <c r="Q151" s="80">
        <v>40</v>
      </c>
      <c r="R151" s="27" t="s">
        <v>2995</v>
      </c>
      <c r="S151" s="10" t="s">
        <v>941</v>
      </c>
      <c r="T151" s="10" t="s">
        <v>771</v>
      </c>
      <c r="U151" s="10" t="s">
        <v>771</v>
      </c>
      <c r="V151" s="10" t="s">
        <v>771</v>
      </c>
      <c r="W151" s="10"/>
      <c r="X151" s="27" t="s">
        <v>63</v>
      </c>
      <c r="Y151" s="27" t="s">
        <v>940</v>
      </c>
      <c r="Z151" s="80">
        <v>7591</v>
      </c>
      <c r="AA151" s="27">
        <v>100</v>
      </c>
      <c r="AB151" s="80">
        <v>33236</v>
      </c>
      <c r="AC151" s="27">
        <v>20</v>
      </c>
      <c r="AD151" s="27" t="s">
        <v>3740</v>
      </c>
      <c r="AE151" s="27">
        <v>316559637</v>
      </c>
      <c r="AF151" s="27" t="s">
        <v>3739</v>
      </c>
      <c r="AG151" s="27" t="s">
        <v>929</v>
      </c>
      <c r="AH151" s="79">
        <v>4.2526610644257703</v>
      </c>
      <c r="AI151" s="83">
        <v>5.7643884892086303</v>
      </c>
      <c r="AJ151" s="80">
        <v>2.7211628633948099</v>
      </c>
      <c r="AK151" s="80">
        <v>1.20662707095967</v>
      </c>
      <c r="AL151" s="27">
        <v>57</v>
      </c>
      <c r="AM151" s="97">
        <f t="shared" si="2"/>
        <v>1.7812499999999998E-2</v>
      </c>
      <c r="AN151" s="27" t="s">
        <v>63</v>
      </c>
      <c r="AO151" s="27">
        <v>4</v>
      </c>
      <c r="AP151" s="27">
        <v>7</v>
      </c>
      <c r="AQ151" s="27">
        <v>2</v>
      </c>
      <c r="AR151" s="27">
        <f>SUM(AO151:AQ151)</f>
        <v>13</v>
      </c>
      <c r="AS151" s="27" t="s">
        <v>5141</v>
      </c>
      <c r="AT151" s="27" t="s">
        <v>5142</v>
      </c>
      <c r="AU151" s="84" t="s">
        <v>4734</v>
      </c>
      <c r="AV151" s="70"/>
      <c r="AW151" s="70"/>
      <c r="AX151" s="70"/>
      <c r="AY151" s="70"/>
      <c r="AZ151" s="70"/>
      <c r="BA151" s="70"/>
      <c r="BB151" s="70"/>
      <c r="BC151" s="70"/>
      <c r="BD151" s="70"/>
      <c r="BE151" s="70"/>
      <c r="BF151" s="70"/>
      <c r="BG151" s="70"/>
      <c r="BH151" s="70"/>
      <c r="BI151" s="70"/>
      <c r="BJ151" s="70"/>
      <c r="BK151" s="70"/>
      <c r="BL151" s="70"/>
      <c r="BM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EM151" s="77"/>
      <c r="EN151" s="77"/>
      <c r="EO151" s="77"/>
      <c r="ER151" s="77"/>
      <c r="ES151" s="77"/>
      <c r="ET151" s="77"/>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c r="FX151" s="77"/>
      <c r="FY151" s="77"/>
      <c r="FZ151" s="77"/>
      <c r="GA151" s="77"/>
      <c r="GB151" s="77"/>
      <c r="GC151" s="77"/>
      <c r="GD151" s="77"/>
      <c r="GE151" s="77"/>
      <c r="GF151" s="77"/>
      <c r="GG151" s="77"/>
      <c r="GH151" s="77"/>
      <c r="GI151" s="77"/>
      <c r="GJ151" s="77"/>
      <c r="GK151" s="77"/>
      <c r="GL151" s="77"/>
      <c r="GM151" s="77"/>
      <c r="GN151" s="77"/>
      <c r="GO151" s="77"/>
      <c r="GP151" s="77"/>
      <c r="GQ151" s="77"/>
      <c r="GR151" s="77"/>
      <c r="GS151" s="77"/>
      <c r="GT151" s="77"/>
      <c r="GU151" s="77"/>
      <c r="GV151" s="77"/>
      <c r="GW151" s="77"/>
      <c r="GX151" s="77"/>
      <c r="GY151" s="77"/>
      <c r="GZ151" s="77"/>
      <c r="HA151" s="77"/>
      <c r="HB151" s="77"/>
      <c r="HC151" s="77"/>
      <c r="HD151" s="77"/>
      <c r="HE151" s="77"/>
      <c r="HF151" s="77"/>
      <c r="HG151" s="77"/>
      <c r="HH151" s="77"/>
      <c r="HI151" s="77"/>
      <c r="HJ151" s="77"/>
      <c r="HK151" s="77"/>
      <c r="ID151" s="77"/>
      <c r="IE151" s="77"/>
      <c r="IF151" s="77"/>
      <c r="IG151" s="77"/>
      <c r="IH151" s="77"/>
      <c r="II151" s="77"/>
      <c r="IJ151" s="77"/>
      <c r="IK151" s="77"/>
      <c r="IL151" s="77"/>
      <c r="IM151" s="77"/>
      <c r="IN151" s="77"/>
      <c r="IO151" s="77"/>
      <c r="IP151" s="77"/>
      <c r="IQ151" s="77"/>
      <c r="IR151" s="77"/>
      <c r="IS151" s="77"/>
      <c r="IT151" s="77"/>
      <c r="IU151" s="77"/>
      <c r="IV151" s="77"/>
      <c r="IW151" s="77"/>
      <c r="IX151" s="77"/>
      <c r="IY151" s="77"/>
      <c r="IZ151" s="77"/>
      <c r="JA151" s="77"/>
      <c r="JB151" s="77"/>
      <c r="JC151" s="77"/>
      <c r="JD151" s="77"/>
      <c r="JE151" s="77"/>
      <c r="JF151" s="77"/>
      <c r="JG151" s="77"/>
      <c r="JH151" s="77"/>
      <c r="JI151" s="77"/>
      <c r="JJ151" s="77"/>
      <c r="JK151" s="77"/>
      <c r="JL151" s="77"/>
      <c r="JM151" s="77"/>
      <c r="JN151" s="77"/>
      <c r="JO151" s="77"/>
      <c r="JP151" s="77"/>
      <c r="JQ151" s="77"/>
      <c r="JR151" s="77"/>
      <c r="JS151" s="77"/>
      <c r="JT151" s="77"/>
      <c r="JU151" s="77"/>
      <c r="JV151" s="77"/>
      <c r="JW151" s="77"/>
      <c r="JX151" s="77"/>
      <c r="KM151" s="77"/>
      <c r="KN151" s="77"/>
      <c r="KO151" s="77"/>
      <c r="KP151" s="77"/>
      <c r="KQ151" s="77"/>
      <c r="KR151" s="77"/>
      <c r="KS151" s="77"/>
      <c r="KT151" s="77"/>
      <c r="KU151" s="77"/>
      <c r="KV151" s="77"/>
      <c r="KW151" s="77"/>
      <c r="KX151" s="77"/>
      <c r="KY151" s="77"/>
      <c r="KZ151" s="77"/>
      <c r="LA151" s="77"/>
      <c r="LB151" s="77"/>
      <c r="LC151" s="77"/>
      <c r="LD151" s="77"/>
      <c r="LE151" s="77"/>
      <c r="LF151" s="77"/>
      <c r="LG151" s="77"/>
      <c r="LH151" s="77"/>
      <c r="LI151" s="77"/>
      <c r="LJ151" s="77"/>
      <c r="LK151" s="77"/>
      <c r="LL151" s="77"/>
      <c r="LM151" s="77"/>
      <c r="LN151" s="77"/>
      <c r="LO151" s="77"/>
      <c r="LP151" s="77"/>
      <c r="LQ151" s="77"/>
      <c r="LR151" s="77"/>
      <c r="LS151" s="77"/>
      <c r="LT151" s="77"/>
      <c r="LU151" s="77"/>
      <c r="LV151" s="77"/>
      <c r="LW151" s="77"/>
      <c r="LX151" s="77"/>
      <c r="MS151" s="77"/>
    </row>
    <row r="152" spans="1:421" ht="18.600000000000001" customHeight="1" x14ac:dyDescent="0.25">
      <c r="A152" s="119" t="s">
        <v>532</v>
      </c>
      <c r="B152" s="27" t="s">
        <v>2240</v>
      </c>
      <c r="C152" s="27" t="s">
        <v>4573</v>
      </c>
      <c r="D152" s="30" t="str">
        <f>HYPERLINK("https://twitter.com/Utrikesdep","https://twitter.com/Utrikesdep")</f>
        <v>https://twitter.com/Utrikesdep</v>
      </c>
      <c r="E152" s="30" t="str">
        <f>HYPERLINK("http://twiplomacy.com/info/europe/sweden/","http://twiplomacy.com/info/europe/sweden/")</f>
        <v>http://twiplomacy.com/info/europe/sweden/</v>
      </c>
      <c r="F152" s="10" t="s">
        <v>332</v>
      </c>
      <c r="G152" s="10" t="s">
        <v>529</v>
      </c>
      <c r="H152" s="10" t="s">
        <v>795</v>
      </c>
      <c r="I152" s="10" t="s">
        <v>782</v>
      </c>
      <c r="J152" s="27" t="s">
        <v>2243</v>
      </c>
      <c r="K152" s="15" t="s">
        <v>777</v>
      </c>
      <c r="L152" s="10" t="s">
        <v>771</v>
      </c>
      <c r="M152" s="10" t="s">
        <v>770</v>
      </c>
      <c r="N152" s="30" t="str">
        <f>HYPERLINK("https://twitter.com/Utrikesdep/statuses/16693703877","https://twitter.com/Utrikesdep/statuses/16693703877")</f>
        <v>https://twitter.com/Utrikesdep/statuses/16693703877</v>
      </c>
      <c r="O152" s="27" t="s">
        <v>2241</v>
      </c>
      <c r="P152" s="80">
        <v>246</v>
      </c>
      <c r="Q152" s="80">
        <v>139</v>
      </c>
      <c r="R152" s="27" t="s">
        <v>2994</v>
      </c>
      <c r="S152" s="30" t="str">
        <f>HYPERLINK("https://twitter.com/Utrikesdep/lists","https://twitter.com/Utrikesdep/lists")</f>
        <v>https://twitter.com/Utrikesdep/lists</v>
      </c>
      <c r="T152" s="10">
        <v>14</v>
      </c>
      <c r="U152" s="10">
        <v>13</v>
      </c>
      <c r="V152" s="30" t="str">
        <f>HYPERLINK("https://twitter.com/Utrikesdep/lists/eu/members","https://twitter.com/Utrikesdep/lists/eu/members")</f>
        <v>https://twitter.com/Utrikesdep/lists/eu/members</v>
      </c>
      <c r="W152" s="10">
        <v>34</v>
      </c>
      <c r="X152" s="27" t="s">
        <v>532</v>
      </c>
      <c r="Y152" s="27" t="s">
        <v>2240</v>
      </c>
      <c r="Z152" s="80">
        <v>7577</v>
      </c>
      <c r="AA152" s="27">
        <v>2353</v>
      </c>
      <c r="AB152" s="80">
        <v>31165</v>
      </c>
      <c r="AC152" s="27">
        <v>249</v>
      </c>
      <c r="AD152" s="27" t="s">
        <v>4574</v>
      </c>
      <c r="AE152" s="27">
        <v>146619371</v>
      </c>
      <c r="AF152" s="27" t="s">
        <v>4573</v>
      </c>
      <c r="AG152" s="27" t="s">
        <v>2242</v>
      </c>
      <c r="AH152" s="79">
        <v>3.4884898710865602</v>
      </c>
      <c r="AI152" s="83">
        <v>4.0435865504358697</v>
      </c>
      <c r="AJ152" s="80">
        <v>5.8255474452554701</v>
      </c>
      <c r="AK152" s="80">
        <v>3.63284671532847</v>
      </c>
      <c r="AL152" s="96">
        <v>207</v>
      </c>
      <c r="AM152" s="97">
        <f t="shared" si="2"/>
        <v>6.4687499999999995E-2</v>
      </c>
      <c r="AN152" s="27" t="s">
        <v>532</v>
      </c>
      <c r="AO152" s="27">
        <v>88</v>
      </c>
      <c r="AP152" s="27">
        <v>10</v>
      </c>
      <c r="AQ152" s="27">
        <v>22</v>
      </c>
      <c r="AR152" s="27">
        <f>SUM(AO152:AQ152)</f>
        <v>120</v>
      </c>
      <c r="AS152" s="27" t="s">
        <v>6634</v>
      </c>
      <c r="AT152" s="27" t="s">
        <v>6355</v>
      </c>
      <c r="AU152" s="84" t="s">
        <v>6194</v>
      </c>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Q152" s="77"/>
      <c r="GL152" s="77"/>
      <c r="GM152" s="77"/>
      <c r="GN152" s="77"/>
      <c r="GO152" s="77"/>
      <c r="GP152" s="77"/>
      <c r="GQ152" s="77"/>
      <c r="GR152" s="77"/>
      <c r="GS152" s="77"/>
      <c r="GT152" s="77"/>
      <c r="GU152" s="77"/>
      <c r="GV152" s="77"/>
      <c r="GW152" s="77"/>
      <c r="GX152" s="77"/>
      <c r="GY152" s="77"/>
      <c r="GZ152" s="77"/>
      <c r="HA152" s="77"/>
      <c r="HB152" s="77"/>
      <c r="HC152" s="77"/>
      <c r="HD152" s="77"/>
      <c r="HE152" s="77"/>
      <c r="HF152" s="77"/>
      <c r="HG152" s="77"/>
      <c r="HH152" s="77"/>
      <c r="HI152" s="77"/>
      <c r="HJ152" s="77"/>
      <c r="HK152" s="77"/>
      <c r="HL152" s="16"/>
      <c r="HM152" s="16"/>
      <c r="HN152" s="16"/>
      <c r="HO152" s="16"/>
      <c r="HP152" s="16"/>
      <c r="HQ152" s="16"/>
      <c r="HR152" s="16"/>
      <c r="HS152" s="16"/>
      <c r="HT152" s="16"/>
      <c r="HU152" s="16"/>
      <c r="HV152" s="16"/>
      <c r="HW152" s="16"/>
      <c r="HX152" s="16"/>
      <c r="HY152" s="16"/>
      <c r="HZ152" s="16"/>
      <c r="IA152" s="16"/>
      <c r="IB152" s="16"/>
      <c r="IC152" s="16"/>
      <c r="ID152" s="77"/>
      <c r="IE152" s="77"/>
      <c r="IF152" s="77"/>
      <c r="IG152" s="77"/>
      <c r="IH152" s="77"/>
      <c r="II152" s="77"/>
      <c r="IJ152" s="77"/>
      <c r="IK152" s="77"/>
      <c r="IL152" s="77"/>
      <c r="IM152" s="77"/>
      <c r="IN152" s="77"/>
      <c r="IO152" s="77"/>
      <c r="IP152" s="77"/>
      <c r="IQ152" s="77"/>
      <c r="IR152" s="77"/>
      <c r="IS152" s="77"/>
      <c r="IT152" s="77"/>
      <c r="IU152" s="77"/>
      <c r="IV152" s="77"/>
      <c r="IW152" s="77"/>
      <c r="IX152" s="77"/>
      <c r="IY152" s="77"/>
      <c r="IZ152" s="77"/>
      <c r="JA152" s="77"/>
      <c r="JB152" s="77"/>
      <c r="JC152" s="77"/>
      <c r="JD152" s="77"/>
      <c r="JE152" s="77"/>
      <c r="JF152" s="77"/>
      <c r="JG152" s="77"/>
      <c r="JH152" s="77"/>
      <c r="JI152" s="77"/>
      <c r="JJ152" s="77"/>
      <c r="JK152" s="77"/>
      <c r="JL152" s="77"/>
      <c r="JM152" s="77"/>
      <c r="JN152" s="77"/>
      <c r="JO152" s="77"/>
      <c r="JP152" s="77"/>
      <c r="JQ152" s="77"/>
      <c r="JR152" s="77"/>
      <c r="JS152" s="77"/>
      <c r="JT152" s="77"/>
      <c r="JU152" s="77"/>
      <c r="JV152" s="77"/>
      <c r="JW152" s="77"/>
      <c r="JX152" s="77"/>
      <c r="LL152" s="77"/>
      <c r="LM152" s="77"/>
      <c r="LN152" s="77"/>
      <c r="LO152" s="77"/>
      <c r="LP152" s="77"/>
      <c r="LQ152" s="77"/>
      <c r="LR152" s="77"/>
      <c r="LS152" s="77"/>
      <c r="LT152" s="77"/>
      <c r="LU152" s="77"/>
      <c r="LV152" s="77"/>
      <c r="LY152" s="77"/>
      <c r="LZ152" s="77"/>
      <c r="MA152" s="77"/>
      <c r="MB152" s="77"/>
      <c r="MC152" s="77"/>
      <c r="MD152" s="77"/>
      <c r="ME152" s="77"/>
      <c r="MF152" s="77"/>
      <c r="MG152" s="77"/>
      <c r="MH152" s="77"/>
      <c r="MI152" s="77"/>
      <c r="MJ152" s="77"/>
      <c r="MK152" s="77"/>
      <c r="ML152" s="77"/>
      <c r="MM152" s="77"/>
      <c r="MN152" s="77"/>
      <c r="MO152" s="77"/>
      <c r="MP152" s="77"/>
      <c r="MQ152" s="77"/>
      <c r="MR152" s="77"/>
    </row>
    <row r="153" spans="1:421" ht="18.600000000000001" customHeight="1" x14ac:dyDescent="0.25">
      <c r="A153" s="119" t="s">
        <v>5642</v>
      </c>
      <c r="B153" s="27" t="s">
        <v>5642</v>
      </c>
      <c r="C153" s="27" t="s">
        <v>5658</v>
      </c>
      <c r="D153" s="13" t="s">
        <v>5643</v>
      </c>
      <c r="E153" s="13" t="s">
        <v>5646</v>
      </c>
      <c r="F153" s="13" t="s">
        <v>154</v>
      </c>
      <c r="G153" s="28" t="s">
        <v>244</v>
      </c>
      <c r="H153" s="13" t="s">
        <v>788</v>
      </c>
      <c r="I153" s="13" t="s">
        <v>782</v>
      </c>
      <c r="J153" s="27" t="s">
        <v>789</v>
      </c>
      <c r="K153" s="13" t="s">
        <v>777</v>
      </c>
      <c r="L153" s="13"/>
      <c r="M153" s="13"/>
      <c r="N153" s="19" t="s">
        <v>5644</v>
      </c>
      <c r="O153" s="27" t="s">
        <v>5981</v>
      </c>
      <c r="P153" s="80">
        <v>129</v>
      </c>
      <c r="Q153" s="80">
        <v>0</v>
      </c>
      <c r="R153" s="27" t="s">
        <v>2995</v>
      </c>
      <c r="S153" s="13" t="s">
        <v>5645</v>
      </c>
      <c r="T153" s="13" t="s">
        <v>771</v>
      </c>
      <c r="U153" s="13" t="s">
        <v>771</v>
      </c>
      <c r="V153" s="13" t="s">
        <v>771</v>
      </c>
      <c r="W153" s="13"/>
      <c r="X153" s="27" t="s">
        <v>5642</v>
      </c>
      <c r="Y153" s="27" t="s">
        <v>5642</v>
      </c>
      <c r="Z153" s="80">
        <v>7529</v>
      </c>
      <c r="AA153" s="27">
        <v>111</v>
      </c>
      <c r="AB153" s="80">
        <v>7720</v>
      </c>
      <c r="AC153" s="27">
        <v>400</v>
      </c>
      <c r="AD153" s="27" t="s">
        <v>5659</v>
      </c>
      <c r="AE153" s="27">
        <v>781833535</v>
      </c>
      <c r="AF153" s="27" t="s">
        <v>5658</v>
      </c>
      <c r="AG153" s="27" t="s">
        <v>2992</v>
      </c>
      <c r="AH153" s="79">
        <v>5.5977695167286203</v>
      </c>
      <c r="AI153" s="83">
        <v>35.010869565217398</v>
      </c>
      <c r="AJ153" s="80">
        <v>32.735714285714302</v>
      </c>
      <c r="AK153" s="80">
        <v>3.2357142857142902</v>
      </c>
      <c r="AL153" s="27">
        <v>4</v>
      </c>
      <c r="AM153" s="97">
        <f t="shared" si="2"/>
        <v>1.25E-3</v>
      </c>
      <c r="AN153" s="13" t="s">
        <v>5642</v>
      </c>
      <c r="AO153" s="27">
        <v>3</v>
      </c>
      <c r="AP153" s="27">
        <v>2</v>
      </c>
      <c r="AQ153" s="27">
        <v>1</v>
      </c>
      <c r="AR153" s="27">
        <f>SUM(AO153:AQ153)</f>
        <v>6</v>
      </c>
      <c r="AS153" s="27" t="s">
        <v>6238</v>
      </c>
      <c r="AT153" s="27" t="s">
        <v>6326</v>
      </c>
      <c r="AU153" s="84" t="s">
        <v>246</v>
      </c>
      <c r="AV153" s="77"/>
      <c r="AW153" s="77"/>
      <c r="AX153" s="77"/>
      <c r="AY153" s="77"/>
      <c r="AZ153" s="77"/>
      <c r="BA153" s="77"/>
      <c r="BB153" s="77"/>
      <c r="BC153" s="77"/>
      <c r="BD153" s="77"/>
      <c r="BE153" s="77"/>
      <c r="BF153" s="77"/>
      <c r="BG153" s="77"/>
      <c r="BH153" s="77"/>
      <c r="BI153" s="77"/>
      <c r="BJ153" s="77"/>
      <c r="BK153" s="77"/>
      <c r="BL153" s="77"/>
      <c r="BM153" s="77"/>
      <c r="BN153" s="77"/>
      <c r="BO153" s="77"/>
      <c r="BP153" s="77"/>
      <c r="BQ153" s="77"/>
      <c r="BR153" s="77"/>
      <c r="BS153" s="77"/>
      <c r="BT153" s="77"/>
      <c r="BU153" s="77"/>
      <c r="BV153" s="77"/>
      <c r="BW153" s="77"/>
      <c r="BX153" s="77"/>
      <c r="BY153" s="77"/>
      <c r="BZ153" s="77"/>
      <c r="CA153" s="77"/>
      <c r="CB153" s="77"/>
      <c r="CC153" s="77"/>
      <c r="CD153" s="77"/>
      <c r="CE153" s="77"/>
      <c r="CF153" s="77"/>
      <c r="CG153" s="77"/>
      <c r="CH153" s="77"/>
      <c r="CI153" s="77"/>
      <c r="CJ153" s="77"/>
      <c r="CK153" s="77"/>
      <c r="CL153" s="77"/>
      <c r="CM153" s="77"/>
      <c r="CN153" s="77"/>
      <c r="CO153" s="77"/>
      <c r="CP153" s="77"/>
      <c r="CQ153" s="77"/>
      <c r="CR153" s="77"/>
      <c r="CS153" s="77"/>
      <c r="CT153" s="77"/>
      <c r="CU153" s="77"/>
      <c r="CV153" s="77"/>
      <c r="CW153" s="77"/>
      <c r="CX153" s="77"/>
      <c r="CY153" s="77"/>
      <c r="CZ153" s="77"/>
      <c r="DA153" s="77"/>
      <c r="DB153" s="77"/>
      <c r="DC153" s="77"/>
      <c r="DD153" s="77"/>
      <c r="DE153" s="77"/>
      <c r="DF153" s="77"/>
      <c r="DG153" s="77"/>
      <c r="DH153" s="77"/>
      <c r="DI153" s="77"/>
      <c r="DJ153" s="77"/>
      <c r="DK153" s="77"/>
      <c r="DL153" s="77"/>
      <c r="DM153" s="77"/>
      <c r="DN153" s="77"/>
      <c r="DO153" s="77"/>
      <c r="DP153" s="77"/>
      <c r="DQ153" s="77"/>
      <c r="DR153" s="77"/>
      <c r="DS153" s="77"/>
      <c r="DT153" s="77"/>
      <c r="DU153" s="77"/>
      <c r="DV153" s="77"/>
      <c r="DW153" s="77"/>
      <c r="DX153" s="77"/>
      <c r="DY153" s="77"/>
      <c r="DZ153" s="77"/>
      <c r="EA153" s="77"/>
      <c r="EB153" s="77"/>
      <c r="EC153" s="77"/>
      <c r="ED153" s="77"/>
      <c r="EE153" s="77"/>
      <c r="EF153" s="77"/>
      <c r="EG153" s="77"/>
      <c r="EH153" s="77"/>
      <c r="EI153" s="77"/>
      <c r="EJ153" s="77"/>
      <c r="EK153" s="77"/>
      <c r="EL153" s="77"/>
      <c r="EM153" s="77"/>
      <c r="EN153" s="77"/>
      <c r="EO153" s="77"/>
      <c r="EP153" s="77"/>
      <c r="ER153" s="77"/>
      <c r="ES153" s="77"/>
      <c r="ET153" s="77"/>
      <c r="EU153" s="77"/>
      <c r="EV153" s="77"/>
      <c r="EW153" s="77"/>
      <c r="EX153" s="77"/>
      <c r="EY153" s="77"/>
      <c r="EZ153" s="77"/>
      <c r="FA153" s="77"/>
      <c r="FB153" s="77"/>
      <c r="FC153" s="77"/>
      <c r="FD153" s="77"/>
      <c r="FE153" s="77"/>
      <c r="FF153" s="77"/>
      <c r="FG153" s="77"/>
      <c r="FH153" s="77"/>
      <c r="FI153" s="77"/>
      <c r="FJ153" s="77"/>
      <c r="FK153" s="77"/>
      <c r="FL153" s="77"/>
      <c r="FM153" s="77"/>
      <c r="FN153" s="77"/>
      <c r="FO153" s="77"/>
      <c r="FP153" s="77"/>
      <c r="FQ153" s="77"/>
      <c r="FR153" s="77"/>
      <c r="FS153" s="77"/>
      <c r="FT153" s="77"/>
      <c r="FU153" s="77"/>
      <c r="FV153" s="77"/>
      <c r="FW153" s="77"/>
      <c r="FX153" s="77"/>
      <c r="FY153" s="77"/>
      <c r="FZ153" s="77"/>
      <c r="GA153" s="77"/>
      <c r="GB153" s="77"/>
      <c r="GC153" s="77"/>
      <c r="GD153" s="77"/>
      <c r="GE153" s="77"/>
      <c r="GF153" s="77"/>
      <c r="GG153" s="77"/>
      <c r="GH153" s="77"/>
      <c r="GI153" s="77"/>
      <c r="GJ153" s="77"/>
      <c r="GK153" s="77"/>
      <c r="GL153" s="77"/>
      <c r="GM153" s="77"/>
      <c r="GN153" s="77"/>
      <c r="GO153" s="77"/>
      <c r="GP153" s="77"/>
      <c r="GQ153" s="77"/>
      <c r="GR153" s="77"/>
      <c r="GS153" s="77"/>
      <c r="GT153" s="77"/>
      <c r="GU153" s="77"/>
      <c r="GV153" s="77"/>
      <c r="GW153" s="77"/>
      <c r="GX153" s="77"/>
      <c r="GY153" s="77"/>
      <c r="GZ153" s="77"/>
      <c r="HA153" s="77"/>
      <c r="HB153" s="77"/>
      <c r="HC153" s="77"/>
      <c r="HD153" s="77"/>
      <c r="HE153" s="77"/>
      <c r="HF153" s="77"/>
      <c r="HG153" s="77"/>
      <c r="HH153" s="77"/>
      <c r="HI153" s="77"/>
      <c r="HJ153" s="77"/>
      <c r="HK153" s="77"/>
      <c r="ID153" s="77"/>
      <c r="IE153" s="77"/>
      <c r="IF153" s="77"/>
      <c r="IG153" s="77"/>
      <c r="IH153" s="77"/>
      <c r="II153" s="77"/>
      <c r="IJ153" s="77"/>
      <c r="IK153" s="77"/>
      <c r="IL153" s="77"/>
      <c r="IM153" s="77"/>
      <c r="IN153" s="77"/>
      <c r="IO153" s="77"/>
      <c r="IP153" s="77"/>
      <c r="IQ153" s="77"/>
      <c r="IR153" s="77"/>
      <c r="IS153" s="77"/>
      <c r="IT153" s="77"/>
      <c r="IU153" s="77"/>
      <c r="IV153" s="77"/>
      <c r="IW153" s="77"/>
      <c r="IX153" s="77"/>
      <c r="IY153" s="77"/>
      <c r="IZ153" s="77"/>
      <c r="JA153" s="77"/>
      <c r="JB153" s="77"/>
      <c r="JC153" s="77"/>
      <c r="JD153" s="77"/>
      <c r="JE153" s="77"/>
      <c r="JF153" s="77"/>
      <c r="JG153" s="77"/>
      <c r="JH153" s="77"/>
      <c r="JI153" s="77"/>
      <c r="JJ153" s="77"/>
      <c r="JK153" s="77"/>
      <c r="JL153" s="77"/>
      <c r="JM153" s="77"/>
      <c r="JN153" s="77"/>
      <c r="JO153" s="77"/>
      <c r="JP153" s="77"/>
      <c r="JQ153" s="77"/>
      <c r="JR153" s="77"/>
      <c r="JS153" s="77"/>
      <c r="JT153" s="77"/>
      <c r="JU153" s="77"/>
      <c r="JV153" s="77"/>
      <c r="JW153" s="77"/>
      <c r="JX153" s="77"/>
      <c r="KM153" s="77"/>
      <c r="KN153" s="77"/>
      <c r="KO153" s="77"/>
      <c r="KP153" s="77"/>
      <c r="KQ153" s="77"/>
      <c r="KR153" s="77"/>
      <c r="KS153" s="77"/>
      <c r="KT153" s="77"/>
      <c r="KU153" s="77"/>
      <c r="KV153" s="77"/>
      <c r="KW153" s="77"/>
      <c r="KX153" s="77"/>
      <c r="KY153" s="77"/>
      <c r="KZ153" s="77"/>
      <c r="LA153" s="77"/>
      <c r="LB153" s="77"/>
      <c r="LC153" s="77"/>
      <c r="LD153" s="77"/>
      <c r="LE153" s="77"/>
      <c r="LF153" s="77"/>
      <c r="LG153" s="77"/>
      <c r="LH153" s="77"/>
      <c r="LI153" s="77"/>
      <c r="LJ153" s="77"/>
      <c r="LK153" s="77"/>
      <c r="LL153" s="77"/>
      <c r="LM153" s="77"/>
      <c r="LN153" s="77"/>
      <c r="LO153" s="77"/>
      <c r="LP153" s="77"/>
      <c r="LQ153" s="77"/>
      <c r="LR153" s="77"/>
      <c r="LS153" s="77"/>
      <c r="LT153" s="77"/>
      <c r="LU153" s="77"/>
      <c r="LV153" s="77"/>
      <c r="LY153" s="77"/>
      <c r="LZ153" s="77"/>
      <c r="MA153" s="77"/>
      <c r="MB153" s="77"/>
      <c r="MC153" s="77"/>
      <c r="MD153" s="77"/>
      <c r="ME153" s="77"/>
      <c r="MF153" s="77"/>
      <c r="MG153" s="77"/>
      <c r="MH153" s="77"/>
      <c r="MI153" s="77"/>
      <c r="MJ153" s="77"/>
      <c r="MK153" s="77"/>
      <c r="ML153" s="77"/>
      <c r="MM153" s="77"/>
      <c r="MN153" s="77"/>
      <c r="MO153" s="77"/>
      <c r="MP153" s="77"/>
      <c r="MQ153" s="77"/>
      <c r="MR153" s="77"/>
      <c r="MS153" s="77"/>
    </row>
    <row r="154" spans="1:421" ht="18.600000000000001" customHeight="1" x14ac:dyDescent="0.25">
      <c r="A154" s="119" t="s">
        <v>58</v>
      </c>
      <c r="B154" s="27" t="s">
        <v>919</v>
      </c>
      <c r="C154" s="27" t="s">
        <v>920</v>
      </c>
      <c r="D154" s="72" t="str">
        <f>HYPERLINK("https://twitter.com/GouvGN","https://twitter.com/GouvGN")</f>
        <v>https://twitter.com/GouvGN</v>
      </c>
      <c r="E154" s="72" t="s">
        <v>918</v>
      </c>
      <c r="F154" s="20" t="s">
        <v>1</v>
      </c>
      <c r="G154" s="10" t="s">
        <v>55</v>
      </c>
      <c r="H154" s="10" t="s">
        <v>788</v>
      </c>
      <c r="I154" s="10" t="s">
        <v>782</v>
      </c>
      <c r="J154" s="27" t="s">
        <v>779</v>
      </c>
      <c r="K154" s="10" t="s">
        <v>777</v>
      </c>
      <c r="L154" s="10" t="s">
        <v>771</v>
      </c>
      <c r="M154" s="10" t="s">
        <v>770</v>
      </c>
      <c r="N154" s="30" t="str">
        <f>HYPERLINK("https://twitter.com/GouvGN/status/556057408045584384","https://twitter.com/GouvGN/status/556057408045584384")</f>
        <v>https://twitter.com/GouvGN/status/556057408045584384</v>
      </c>
      <c r="O154" s="27" t="s">
        <v>5823</v>
      </c>
      <c r="P154" s="80">
        <v>22</v>
      </c>
      <c r="Q154" s="80">
        <v>22</v>
      </c>
      <c r="R154" s="27" t="s">
        <v>2995</v>
      </c>
      <c r="S154" s="30" t="str">
        <f>HYPERLINK("https://twitter.com/GouvGN/lists","https://twitter.com/GouvGN/lists")</f>
        <v>https://twitter.com/GouvGN/lists</v>
      </c>
      <c r="T154" s="10" t="s">
        <v>771</v>
      </c>
      <c r="U154" s="10" t="s">
        <v>771</v>
      </c>
      <c r="V154" s="10" t="s">
        <v>771</v>
      </c>
      <c r="W154" s="10"/>
      <c r="X154" s="27" t="s">
        <v>58</v>
      </c>
      <c r="Y154" s="27" t="s">
        <v>919</v>
      </c>
      <c r="Z154" s="80">
        <v>7356</v>
      </c>
      <c r="AA154" s="27">
        <v>35</v>
      </c>
      <c r="AB154" s="80">
        <v>6986</v>
      </c>
      <c r="AC154" s="27">
        <v>3</v>
      </c>
      <c r="AD154" s="27" t="s">
        <v>3744</v>
      </c>
      <c r="AE154" s="27">
        <v>2904114874</v>
      </c>
      <c r="AF154" s="27" t="s">
        <v>920</v>
      </c>
      <c r="AG154" s="27" t="s">
        <v>915</v>
      </c>
      <c r="AH154" s="79">
        <v>14.255813953488399</v>
      </c>
      <c r="AI154" s="83">
        <v>13.4730290456432</v>
      </c>
      <c r="AJ154" s="80">
        <v>0.99011857707509898</v>
      </c>
      <c r="AK154" s="80">
        <v>0.57378129117259602</v>
      </c>
      <c r="AL154" s="27">
        <v>65</v>
      </c>
      <c r="AM154" s="97">
        <f t="shared" si="2"/>
        <v>2.0312500000000001E-2</v>
      </c>
      <c r="AN154" s="27" t="s">
        <v>58</v>
      </c>
      <c r="AO154" s="27">
        <v>1</v>
      </c>
      <c r="AP154" s="27">
        <v>2</v>
      </c>
      <c r="AQ154" s="27">
        <v>3</v>
      </c>
      <c r="AR154" s="27">
        <f>SUM(AO154:AQ154)</f>
        <v>6</v>
      </c>
      <c r="AS154" s="27" t="s">
        <v>57</v>
      </c>
      <c r="AT154" s="27" t="s">
        <v>5145</v>
      </c>
      <c r="AU154" s="84" t="s">
        <v>4736</v>
      </c>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Q154" s="77"/>
      <c r="GL154" s="77"/>
      <c r="GM154" s="77"/>
      <c r="GN154" s="77"/>
      <c r="GO154" s="77"/>
      <c r="GP154" s="77"/>
      <c r="GQ154" s="77"/>
      <c r="GR154" s="77"/>
      <c r="GS154" s="77"/>
      <c r="GT154" s="77"/>
      <c r="GU154" s="77"/>
      <c r="GV154" s="77"/>
      <c r="GW154" s="77"/>
      <c r="GX154" s="77"/>
      <c r="GY154" s="77"/>
      <c r="GZ154" s="77"/>
      <c r="HA154" s="77"/>
      <c r="HB154" s="77"/>
      <c r="HC154" s="77"/>
      <c r="HD154" s="77"/>
      <c r="HE154" s="77"/>
      <c r="HF154" s="77"/>
      <c r="HG154" s="77"/>
      <c r="HH154" s="77"/>
      <c r="HI154" s="77"/>
      <c r="HJ154" s="77"/>
      <c r="HK154" s="77"/>
      <c r="IF154" s="77"/>
      <c r="IG154" s="77"/>
      <c r="IH154" s="77"/>
      <c r="II154" s="77"/>
      <c r="IJ154" s="77"/>
      <c r="IK154" s="77"/>
      <c r="IL154" s="77"/>
      <c r="IM154" s="77"/>
      <c r="IN154" s="77"/>
      <c r="IO154" s="77"/>
      <c r="IP154" s="77"/>
      <c r="IQ154" s="77"/>
      <c r="IR154" s="77"/>
      <c r="IS154" s="77"/>
      <c r="IT154" s="77"/>
      <c r="IU154" s="77"/>
      <c r="IV154" s="77"/>
      <c r="IW154" s="77"/>
      <c r="IX154" s="77"/>
      <c r="IY154" s="77"/>
      <c r="IZ154" s="77"/>
      <c r="JA154" s="77"/>
      <c r="JB154" s="77"/>
      <c r="JC154" s="77"/>
      <c r="JD154" s="77"/>
      <c r="JE154" s="77"/>
      <c r="JF154" s="77"/>
      <c r="JG154" s="77"/>
      <c r="JH154" s="77"/>
      <c r="JI154" s="77"/>
      <c r="JJ154" s="77"/>
      <c r="JK154" s="77"/>
      <c r="JL154" s="77"/>
      <c r="JM154" s="77"/>
      <c r="JN154" s="77"/>
      <c r="JO154" s="77"/>
      <c r="JP154" s="77"/>
      <c r="JQ154" s="77"/>
      <c r="JR154" s="77"/>
      <c r="JS154" s="77"/>
      <c r="JT154" s="77"/>
      <c r="JU154" s="77"/>
      <c r="JV154" s="77"/>
      <c r="JW154" s="77"/>
      <c r="JX154" s="77"/>
      <c r="JY154" s="16"/>
      <c r="JZ154" s="16"/>
      <c r="KA154" s="16"/>
      <c r="KB154" s="16"/>
      <c r="KC154" s="16"/>
      <c r="KD154" s="16"/>
      <c r="KE154" s="16"/>
      <c r="KF154" s="16"/>
      <c r="KG154" s="16"/>
      <c r="KH154" s="16"/>
      <c r="KI154" s="16"/>
      <c r="KJ154" s="16"/>
      <c r="KK154" s="16"/>
      <c r="KL154" s="16"/>
      <c r="KM154" s="77"/>
      <c r="KN154" s="77"/>
      <c r="KO154" s="77"/>
      <c r="KP154" s="77"/>
      <c r="KQ154" s="77"/>
      <c r="KR154" s="77"/>
      <c r="KS154" s="77"/>
      <c r="KT154" s="77"/>
      <c r="KU154" s="77"/>
      <c r="KV154" s="77"/>
      <c r="KW154" s="77"/>
      <c r="KX154" s="77"/>
      <c r="KY154" s="77"/>
      <c r="KZ154" s="77"/>
      <c r="LA154" s="77"/>
      <c r="LB154" s="77"/>
      <c r="LC154" s="77"/>
      <c r="LD154" s="77"/>
      <c r="LE154" s="77"/>
      <c r="LF154" s="77"/>
      <c r="LG154" s="77"/>
      <c r="LH154" s="77"/>
      <c r="LI154" s="77"/>
      <c r="LJ154" s="77"/>
      <c r="LK154" s="77"/>
      <c r="LL154" s="77"/>
      <c r="LM154" s="77"/>
      <c r="LN154" s="77"/>
      <c r="LO154" s="77"/>
      <c r="LP154" s="77"/>
      <c r="LQ154" s="77"/>
      <c r="LR154" s="77"/>
      <c r="LS154" s="77"/>
      <c r="LT154" s="77"/>
      <c r="LU154" s="77"/>
      <c r="LV154" s="77"/>
      <c r="LW154" s="77"/>
      <c r="LX154" s="77"/>
      <c r="LY154" s="77"/>
      <c r="LZ154" s="77"/>
      <c r="MA154" s="77"/>
      <c r="MB154" s="77"/>
      <c r="MC154" s="77"/>
      <c r="MD154" s="77"/>
      <c r="ME154" s="77"/>
      <c r="MF154" s="77"/>
      <c r="MG154" s="77"/>
      <c r="MH154" s="77"/>
      <c r="MI154" s="77"/>
      <c r="MJ154" s="77"/>
      <c r="MK154" s="77"/>
      <c r="ML154" s="77"/>
      <c r="MM154" s="77"/>
      <c r="MN154" s="77"/>
      <c r="MO154" s="77"/>
      <c r="MP154" s="77"/>
      <c r="MQ154" s="77"/>
      <c r="MR154" s="77"/>
    </row>
    <row r="155" spans="1:421" ht="18.600000000000001" customHeight="1" x14ac:dyDescent="0.25">
      <c r="A155" s="119" t="s">
        <v>421</v>
      </c>
      <c r="B155" s="27" t="s">
        <v>1961</v>
      </c>
      <c r="C155" s="27" t="s">
        <v>3578</v>
      </c>
      <c r="D155" s="30" t="str">
        <f>HYPERLINK("https://twitter.com/CharlieFlanagan","https://twitter.com/CharlieFlanagan")</f>
        <v>https://twitter.com/CharlieFlanagan</v>
      </c>
      <c r="E155" s="30" t="str">
        <f>HYPERLINK("http://twiplomacy.com/info/europe/Ireland","http://twiplomacy.com/info/europe/Ireland")</f>
        <v>http://twiplomacy.com/info/europe/Ireland</v>
      </c>
      <c r="F155" s="10" t="s">
        <v>332</v>
      </c>
      <c r="G155" s="10" t="s">
        <v>416</v>
      </c>
      <c r="H155" s="10" t="s">
        <v>860</v>
      </c>
      <c r="I155" s="10" t="s">
        <v>773</v>
      </c>
      <c r="J155" s="27" t="s">
        <v>789</v>
      </c>
      <c r="K155" s="15" t="s">
        <v>777</v>
      </c>
      <c r="L155" s="10" t="s">
        <v>771</v>
      </c>
      <c r="M155" s="10" t="s">
        <v>770</v>
      </c>
      <c r="N155" s="30" t="str">
        <f>HYPERLINK("https://twitter.com/CharlieFlanagan/status/23132257472479232","https://twitter.com/CharlieFlanagan/status/23132257472479232")</f>
        <v>https://twitter.com/CharlieFlanagan/status/23132257472479232</v>
      </c>
      <c r="O155" s="27" t="s">
        <v>5781</v>
      </c>
      <c r="P155" s="80">
        <v>413</v>
      </c>
      <c r="Q155" s="80">
        <v>97</v>
      </c>
      <c r="R155" s="27" t="s">
        <v>2994</v>
      </c>
      <c r="S155" s="30" t="str">
        <f>HYPERLINK("https://twitter.com/CharlieFlanagan/lists","https://twitter.com/CharlieFlanagan/lists")</f>
        <v>https://twitter.com/CharlieFlanagan/lists</v>
      </c>
      <c r="T155" s="10" t="s">
        <v>771</v>
      </c>
      <c r="U155" s="10" t="s">
        <v>771</v>
      </c>
      <c r="V155" s="10" t="s">
        <v>771</v>
      </c>
      <c r="W155" s="10"/>
      <c r="X155" s="27" t="s">
        <v>421</v>
      </c>
      <c r="Y155" s="27" t="s">
        <v>1961</v>
      </c>
      <c r="Z155" s="80">
        <v>7348</v>
      </c>
      <c r="AA155" s="27">
        <v>386</v>
      </c>
      <c r="AB155" s="80">
        <v>10006</v>
      </c>
      <c r="AC155" s="27">
        <v>312</v>
      </c>
      <c r="AD155" s="27" t="s">
        <v>3579</v>
      </c>
      <c r="AE155" s="27">
        <v>87471023</v>
      </c>
      <c r="AF155" s="27" t="s">
        <v>3578</v>
      </c>
      <c r="AG155" s="27"/>
      <c r="AH155" s="79">
        <v>3.0991142977646602</v>
      </c>
      <c r="AI155" s="83">
        <v>3.67393800229621</v>
      </c>
      <c r="AJ155" s="80">
        <v>3.4302325581395299</v>
      </c>
      <c r="AK155" s="80">
        <v>3.12423500611995</v>
      </c>
      <c r="AL155" s="27">
        <v>544</v>
      </c>
      <c r="AM155" s="97">
        <f t="shared" si="2"/>
        <v>0.17</v>
      </c>
      <c r="AN155" s="27" t="s">
        <v>421</v>
      </c>
      <c r="AO155" s="27">
        <v>6</v>
      </c>
      <c r="AP155" s="27">
        <v>33</v>
      </c>
      <c r="AQ155" s="27">
        <v>5</v>
      </c>
      <c r="AR155" s="27">
        <f>SUM(AO155:AQ155)</f>
        <v>44</v>
      </c>
      <c r="AS155" s="27" t="s">
        <v>5067</v>
      </c>
      <c r="AT155" s="27" t="s">
        <v>6689</v>
      </c>
      <c r="AU155" s="84" t="s">
        <v>4680</v>
      </c>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c r="GD155" s="77"/>
      <c r="GE155" s="77"/>
      <c r="GF155" s="77"/>
      <c r="GG155" s="77"/>
      <c r="GH155" s="77"/>
      <c r="GI155" s="77"/>
      <c r="GJ155" s="77"/>
      <c r="GK155" s="77"/>
      <c r="GL155" s="77"/>
      <c r="GM155" s="77"/>
      <c r="GN155" s="77"/>
      <c r="GO155" s="77"/>
      <c r="GP155" s="77"/>
      <c r="GQ155" s="77"/>
      <c r="GR155" s="77"/>
      <c r="GS155" s="77"/>
      <c r="GT155" s="77"/>
      <c r="GU155" s="77"/>
      <c r="GV155" s="77"/>
      <c r="GW155" s="77"/>
      <c r="GX155" s="77"/>
      <c r="GY155" s="77"/>
      <c r="GZ155" s="77"/>
      <c r="HA155" s="77"/>
      <c r="HB155" s="77"/>
      <c r="HC155" s="77"/>
      <c r="HD155" s="77"/>
      <c r="HE155" s="77"/>
      <c r="HF155" s="77"/>
      <c r="HG155" s="77"/>
      <c r="HH155" s="77"/>
      <c r="HI155" s="77"/>
      <c r="HJ155" s="77"/>
      <c r="HK155" s="77"/>
      <c r="HL155" s="16"/>
      <c r="HM155" s="16"/>
      <c r="HN155" s="16"/>
      <c r="HO155" s="16"/>
      <c r="HP155" s="16"/>
      <c r="HQ155" s="16"/>
      <c r="HR155" s="16"/>
      <c r="HS155" s="16"/>
      <c r="HT155" s="16"/>
      <c r="HU155" s="16"/>
      <c r="HV155" s="16"/>
      <c r="HW155" s="16"/>
      <c r="HX155" s="16"/>
      <c r="HY155" s="16"/>
      <c r="HZ155" s="16"/>
      <c r="IA155" s="16"/>
      <c r="IB155" s="16"/>
      <c r="IC155" s="16"/>
      <c r="ID155" s="77"/>
      <c r="IE155" s="77"/>
      <c r="IF155" s="77"/>
      <c r="IG155" s="77"/>
      <c r="IH155" s="77"/>
      <c r="II155" s="77"/>
      <c r="IJ155" s="77"/>
      <c r="IK155" s="77"/>
      <c r="IL155" s="77"/>
      <c r="IM155" s="77"/>
      <c r="IN155" s="77"/>
      <c r="IO155" s="77"/>
      <c r="IP155" s="77"/>
      <c r="IQ155" s="77"/>
      <c r="IR155" s="77"/>
      <c r="IS155" s="77"/>
      <c r="IT155" s="77"/>
      <c r="IU155" s="77"/>
      <c r="IV155" s="77"/>
      <c r="IW155" s="77"/>
      <c r="IX155" s="77"/>
      <c r="IY155" s="77"/>
      <c r="IZ155" s="77"/>
      <c r="JA155" s="77"/>
      <c r="JB155" s="77"/>
      <c r="JC155" s="77"/>
      <c r="JD155" s="77"/>
      <c r="JE155" s="77"/>
      <c r="JF155" s="77"/>
      <c r="JG155" s="77"/>
      <c r="JH155" s="77"/>
      <c r="JI155" s="77"/>
      <c r="JJ155" s="77"/>
      <c r="JK155" s="77"/>
      <c r="JL155" s="77"/>
      <c r="JM155" s="77"/>
      <c r="JN155" s="77"/>
      <c r="JO155" s="77"/>
      <c r="JP155" s="77"/>
      <c r="JQ155" s="77"/>
      <c r="JR155" s="77"/>
      <c r="JS155" s="77"/>
      <c r="JT155" s="77"/>
      <c r="JU155" s="77"/>
      <c r="JV155" s="77"/>
      <c r="JW155" s="77"/>
      <c r="JX155" s="77"/>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77"/>
      <c r="LM155" s="77"/>
      <c r="LN155" s="77"/>
      <c r="LO155" s="77"/>
      <c r="LP155" s="77"/>
      <c r="LQ155" s="77"/>
      <c r="LR155" s="77"/>
      <c r="LS155" s="77"/>
      <c r="LT155" s="77"/>
      <c r="LU155" s="77"/>
      <c r="LV155" s="77"/>
      <c r="LW155" s="77"/>
      <c r="LX155" s="77"/>
    </row>
    <row r="156" spans="1:421" ht="18.600000000000001" customHeight="1" x14ac:dyDescent="0.25">
      <c r="A156" s="119" t="s">
        <v>681</v>
      </c>
      <c r="B156" s="27" t="s">
        <v>2714</v>
      </c>
      <c r="C156" s="27" t="s">
        <v>2715</v>
      </c>
      <c r="D156" s="30" t="str">
        <f>HYPERLINK("https://twitter.com/HeraldoMunoz","https://twitter.com/HeraldoMunoz")</f>
        <v>https://twitter.com/HeraldoMunoz</v>
      </c>
      <c r="E156" s="30" t="str">
        <f>HYPERLINK("http://twiplomacy.com/info/south-america/Chile","http://twiplomacy.com/info/south-america/Chile")</f>
        <v>http://twiplomacy.com/info/south-america/Chile</v>
      </c>
      <c r="F156" s="10" t="s">
        <v>668</v>
      </c>
      <c r="G156" s="10" t="s">
        <v>678</v>
      </c>
      <c r="H156" s="10" t="s">
        <v>860</v>
      </c>
      <c r="I156" s="10" t="s">
        <v>773</v>
      </c>
      <c r="J156" s="27" t="s">
        <v>789</v>
      </c>
      <c r="K156" s="15" t="s">
        <v>777</v>
      </c>
      <c r="L156" s="10"/>
      <c r="M156" s="10" t="s">
        <v>771</v>
      </c>
      <c r="N156" s="30" t="str">
        <f>HYPERLINK("https://twitter.com/HeraldoMunoz/statuses/45345237912133632","https://twitter.com/HeraldoMunoz/statuses/45345237912133632")</f>
        <v>https://twitter.com/HeraldoMunoz/statuses/45345237912133632</v>
      </c>
      <c r="O156" s="27" t="s">
        <v>5861</v>
      </c>
      <c r="P156" s="80">
        <v>273</v>
      </c>
      <c r="Q156" s="80">
        <v>92</v>
      </c>
      <c r="R156" s="27" t="s">
        <v>2995</v>
      </c>
      <c r="S156" s="30" t="str">
        <f>HYPERLINK("https://twitter.com/HeraldoMunoz/lists","https://twitter.com/HeraldoMunoz/lists")</f>
        <v>https://twitter.com/HeraldoMunoz/lists</v>
      </c>
      <c r="T156" s="10" t="s">
        <v>771</v>
      </c>
      <c r="U156" s="10">
        <v>1</v>
      </c>
      <c r="V156" s="10" t="s">
        <v>771</v>
      </c>
      <c r="W156" s="10"/>
      <c r="X156" s="27" t="s">
        <v>681</v>
      </c>
      <c r="Y156" s="27" t="s">
        <v>2714</v>
      </c>
      <c r="Z156" s="80">
        <v>7325</v>
      </c>
      <c r="AA156" s="27">
        <v>163</v>
      </c>
      <c r="AB156" s="80">
        <v>22886</v>
      </c>
      <c r="AC156" s="27">
        <v>15</v>
      </c>
      <c r="AD156" s="27" t="s">
        <v>3805</v>
      </c>
      <c r="AE156" s="27">
        <v>246971667</v>
      </c>
      <c r="AF156" s="27" t="s">
        <v>2715</v>
      </c>
      <c r="AG156" s="27" t="s">
        <v>2711</v>
      </c>
      <c r="AH156" s="79">
        <v>3.8265412748171399</v>
      </c>
      <c r="AI156" s="83">
        <v>3.11293436293436</v>
      </c>
      <c r="AJ156" s="80">
        <v>6.1624365482233499</v>
      </c>
      <c r="AK156" s="80">
        <v>2.9359137055837601</v>
      </c>
      <c r="AL156" s="27">
        <v>153</v>
      </c>
      <c r="AM156" s="97">
        <f t="shared" si="2"/>
        <v>4.7812500000000001E-2</v>
      </c>
      <c r="AN156" s="27" t="s">
        <v>681</v>
      </c>
      <c r="AO156" s="27">
        <v>2</v>
      </c>
      <c r="AP156" s="27">
        <v>23</v>
      </c>
      <c r="AQ156" s="27">
        <v>3</v>
      </c>
      <c r="AR156" s="27">
        <f>SUM(AO156:AQ156)</f>
        <v>28</v>
      </c>
      <c r="AS156" s="27" t="s">
        <v>5177</v>
      </c>
      <c r="AT156" s="27" t="s">
        <v>6747</v>
      </c>
      <c r="AU156" s="84" t="s">
        <v>4754</v>
      </c>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16"/>
      <c r="CL156" s="16"/>
      <c r="CM156" s="16"/>
      <c r="CN156" s="16"/>
      <c r="CO156" s="16"/>
      <c r="CP156" s="16"/>
      <c r="CQ156" s="16"/>
      <c r="CR156" s="16"/>
      <c r="CS156" s="16"/>
      <c r="CT156" s="16"/>
      <c r="CU156" s="16"/>
      <c r="CV156" s="16"/>
      <c r="CW156" s="16"/>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c r="GC156" s="77"/>
      <c r="GD156" s="77"/>
      <c r="GE156" s="77"/>
      <c r="GF156" s="77"/>
      <c r="GG156" s="77"/>
      <c r="GH156" s="77"/>
      <c r="GI156" s="77"/>
      <c r="GJ156" s="77"/>
      <c r="GK156" s="77"/>
      <c r="GL156" s="77"/>
      <c r="GM156" s="77"/>
      <c r="GN156" s="77"/>
      <c r="GO156" s="77"/>
      <c r="GP156" s="77"/>
      <c r="GQ156" s="77"/>
      <c r="GR156" s="77"/>
      <c r="GS156" s="77"/>
      <c r="GT156" s="77"/>
      <c r="GU156" s="77"/>
      <c r="GV156" s="77"/>
      <c r="GW156" s="77"/>
      <c r="GX156" s="77"/>
      <c r="GY156" s="77"/>
      <c r="GZ156" s="77"/>
      <c r="HA156" s="77"/>
      <c r="HB156" s="77"/>
      <c r="HC156" s="77"/>
      <c r="HD156" s="77"/>
      <c r="HE156" s="77"/>
      <c r="HF156" s="77"/>
      <c r="HG156" s="77"/>
      <c r="HH156" s="77"/>
      <c r="HI156" s="77"/>
      <c r="HJ156" s="77"/>
      <c r="HK156" s="77"/>
      <c r="ID156" s="77"/>
      <c r="IE156" s="77"/>
      <c r="IF156" s="77"/>
      <c r="IG156" s="77"/>
      <c r="IH156" s="77"/>
      <c r="II156" s="77"/>
      <c r="IJ156" s="77"/>
      <c r="IK156" s="77"/>
      <c r="IL156" s="77"/>
      <c r="IM156" s="77"/>
      <c r="IN156" s="77"/>
      <c r="IO156" s="77"/>
      <c r="IP156" s="77"/>
      <c r="IQ156" s="77"/>
      <c r="IR156" s="77"/>
      <c r="IS156" s="77"/>
      <c r="IT156" s="77"/>
      <c r="IU156" s="77"/>
      <c r="IV156" s="77"/>
      <c r="IW156" s="77"/>
      <c r="IX156" s="77"/>
      <c r="IY156" s="77"/>
      <c r="IZ156" s="77"/>
      <c r="JA156" s="77"/>
      <c r="JB156" s="77"/>
      <c r="JC156" s="77"/>
      <c r="JD156" s="77"/>
      <c r="JE156" s="77"/>
      <c r="JF156" s="77"/>
      <c r="JG156" s="77"/>
      <c r="JH156" s="77"/>
      <c r="JI156" s="77"/>
      <c r="JJ156" s="77"/>
      <c r="JK156" s="77"/>
      <c r="JL156" s="77"/>
      <c r="JM156" s="77"/>
      <c r="JN156" s="77"/>
      <c r="JO156" s="77"/>
      <c r="JP156" s="77"/>
      <c r="JQ156" s="77"/>
      <c r="JR156" s="77"/>
      <c r="JS156" s="77"/>
      <c r="JT156" s="77"/>
      <c r="JU156" s="77"/>
      <c r="JV156" s="77"/>
      <c r="JW156" s="77"/>
      <c r="JX156" s="77"/>
      <c r="JY156" s="77"/>
      <c r="JZ156" s="77"/>
      <c r="KA156" s="77"/>
      <c r="KB156" s="77"/>
      <c r="KC156" s="77"/>
      <c r="KD156" s="77"/>
      <c r="KE156" s="77"/>
      <c r="KF156" s="77"/>
      <c r="KG156" s="77"/>
      <c r="KH156" s="77"/>
      <c r="KI156" s="77"/>
      <c r="KJ156" s="77"/>
      <c r="KK156" s="77"/>
      <c r="KL156" s="77"/>
      <c r="MS156" s="77"/>
    </row>
    <row r="157" spans="1:421" ht="18.600000000000001" customHeight="1" x14ac:dyDescent="0.25">
      <c r="A157" s="119" t="s">
        <v>2313</v>
      </c>
      <c r="B157" s="27" t="s">
        <v>2314</v>
      </c>
      <c r="C157" s="27" t="s">
        <v>3474</v>
      </c>
      <c r="D157" s="30" t="str">
        <f>HYPERLINK("https://twitter.com/APUkraine","https://twitter.com/APUkraine")</f>
        <v>https://twitter.com/APUkraine</v>
      </c>
      <c r="E157" s="30" t="str">
        <f>HYPERLINK("http://twiplomacy.com/info/europe/Ukraine","http://twiplomacy.com/info/europe/Ukraine")</f>
        <v>http://twiplomacy.com/info/europe/Ukraine</v>
      </c>
      <c r="F157" s="10" t="s">
        <v>332</v>
      </c>
      <c r="G157" s="10" t="s">
        <v>543</v>
      </c>
      <c r="H157" s="10" t="s">
        <v>781</v>
      </c>
      <c r="I157" s="10" t="s">
        <v>782</v>
      </c>
      <c r="J157" s="27" t="s">
        <v>789</v>
      </c>
      <c r="K157" s="15" t="s">
        <v>777</v>
      </c>
      <c r="L157" s="10" t="s">
        <v>771</v>
      </c>
      <c r="M157" s="10" t="s">
        <v>770</v>
      </c>
      <c r="N157" s="30" t="str">
        <f>HYPERLINK("https://twitter.com/APUkraine/status/486921861176254464","https://twitter.com/APUkraine/status/486921861176254464")</f>
        <v>https://twitter.com/APUkraine/status/486921861176254464</v>
      </c>
      <c r="O157" s="30" t="str">
        <f>HYPERLINK("https://twitter.com/APUkraine/statuses/503499422257250304","https://twitter.com/APUkraine/statuses/503499422257250304")</f>
        <v>https://twitter.com/APUkraine/statuses/503499422257250304</v>
      </c>
      <c r="P157" s="46">
        <v>413</v>
      </c>
      <c r="Q157" s="46">
        <v>193</v>
      </c>
      <c r="R157" s="27" t="s">
        <v>2994</v>
      </c>
      <c r="S157" s="30" t="str">
        <f>HYPERLINK("https://twitter.com/APUkraine/lists","https://twitter.com/APUkraine/lists")</f>
        <v>https://twitter.com/APUkraine/lists</v>
      </c>
      <c r="T157" s="10" t="s">
        <v>771</v>
      </c>
      <c r="U157" s="10">
        <v>1</v>
      </c>
      <c r="V157" s="10" t="s">
        <v>771</v>
      </c>
      <c r="W157" s="20"/>
      <c r="X157" s="27" t="s">
        <v>2313</v>
      </c>
      <c r="Y157" s="27" t="s">
        <v>2314</v>
      </c>
      <c r="Z157" s="80">
        <v>7283</v>
      </c>
      <c r="AA157" s="27">
        <v>311</v>
      </c>
      <c r="AB157" s="80">
        <v>59801</v>
      </c>
      <c r="AC157" s="27">
        <v>0</v>
      </c>
      <c r="AD157" s="27" t="s">
        <v>3475</v>
      </c>
      <c r="AE157" s="27">
        <v>2613887972</v>
      </c>
      <c r="AF157" s="27" t="s">
        <v>3474</v>
      </c>
      <c r="AG157" s="27" t="s">
        <v>2315</v>
      </c>
      <c r="AH157" s="79">
        <v>10.9849170437406</v>
      </c>
      <c r="AI157" s="83">
        <v>9.1841359773371103</v>
      </c>
      <c r="AJ157" s="80">
        <v>17.4765625</v>
      </c>
      <c r="AK157" s="80">
        <v>5.4605823863636402</v>
      </c>
      <c r="AL157" s="96">
        <v>39</v>
      </c>
      <c r="AM157" s="97">
        <f t="shared" si="2"/>
        <v>1.21875E-2</v>
      </c>
      <c r="AN157" s="27" t="s">
        <v>2313</v>
      </c>
      <c r="AO157" s="27">
        <v>48</v>
      </c>
      <c r="AP157" s="27">
        <v>7</v>
      </c>
      <c r="AQ157" s="27">
        <v>18</v>
      </c>
      <c r="AR157" s="27">
        <f>SUM(AO157:AQ157)</f>
        <v>73</v>
      </c>
      <c r="AS157" s="27" t="s">
        <v>5020</v>
      </c>
      <c r="AT157" s="27" t="s">
        <v>5021</v>
      </c>
      <c r="AU157" s="84" t="s">
        <v>4647</v>
      </c>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HL157" s="77"/>
      <c r="HM157" s="77"/>
      <c r="HN157" s="77"/>
      <c r="HO157" s="77"/>
      <c r="HP157" s="77"/>
      <c r="HQ157" s="77"/>
      <c r="HR157" s="77"/>
      <c r="HS157" s="77"/>
      <c r="HT157" s="77"/>
      <c r="HU157" s="77"/>
      <c r="HV157" s="77"/>
      <c r="HW157" s="77"/>
      <c r="HX157" s="77"/>
      <c r="HY157" s="77"/>
      <c r="HZ157" s="77"/>
      <c r="IA157" s="77"/>
      <c r="IB157" s="77"/>
      <c r="IC157" s="77"/>
      <c r="ID157" s="77"/>
      <c r="IE157" s="77"/>
      <c r="IF157" s="77"/>
      <c r="IG157" s="77"/>
      <c r="IH157" s="77"/>
      <c r="II157" s="77"/>
      <c r="IJ157" s="77"/>
      <c r="IK157" s="77"/>
      <c r="IL157" s="77"/>
      <c r="IM157" s="77"/>
      <c r="IN157" s="77"/>
      <c r="IO157" s="77"/>
      <c r="IP157" s="77"/>
      <c r="IQ157" s="77"/>
      <c r="IR157" s="77"/>
      <c r="IS157" s="77"/>
      <c r="IT157" s="77"/>
      <c r="IU157" s="77"/>
      <c r="IV157" s="77"/>
      <c r="IW157" s="77"/>
      <c r="IX157" s="77"/>
      <c r="IY157" s="77"/>
      <c r="IZ157" s="77"/>
      <c r="JA157" s="77"/>
      <c r="JB157" s="77"/>
      <c r="JC157" s="77"/>
      <c r="JD157" s="77"/>
      <c r="JE157" s="77"/>
      <c r="JF157" s="77"/>
      <c r="JG157" s="77"/>
      <c r="JH157" s="77"/>
      <c r="JI157" s="77"/>
      <c r="JJ157" s="77"/>
      <c r="JK157" s="77"/>
      <c r="JL157" s="77"/>
      <c r="JM157" s="77"/>
      <c r="JN157" s="77"/>
      <c r="JO157" s="77"/>
      <c r="JP157" s="77"/>
      <c r="JQ157" s="77"/>
      <c r="JR157" s="77"/>
      <c r="JS157" s="77"/>
      <c r="JT157" s="77"/>
      <c r="JU157" s="77"/>
      <c r="JV157" s="77"/>
      <c r="JW157" s="77"/>
      <c r="JX157" s="77"/>
      <c r="JY157" s="77"/>
      <c r="JZ157" s="77"/>
      <c r="KA157" s="77"/>
      <c r="KB157" s="77"/>
      <c r="KC157" s="77"/>
      <c r="KD157" s="77"/>
      <c r="KE157" s="77"/>
      <c r="KF157" s="77"/>
      <c r="KG157" s="77"/>
      <c r="KH157" s="77"/>
      <c r="KI157" s="77"/>
      <c r="KJ157" s="77"/>
      <c r="KK157" s="77"/>
      <c r="KL157" s="77"/>
      <c r="MS157" s="77"/>
    </row>
    <row r="158" spans="1:421" ht="18.600000000000001" customHeight="1" x14ac:dyDescent="0.25">
      <c r="A158" s="119" t="s">
        <v>286</v>
      </c>
      <c r="B158" s="27" t="s">
        <v>1591</v>
      </c>
      <c r="C158" s="27" t="s">
        <v>1592</v>
      </c>
      <c r="D158" s="30" t="str">
        <f>HYPERLINK("https://twitter.com/Saudiegov","https://twitter.com/Saudiegov")</f>
        <v>https://twitter.com/Saudiegov</v>
      </c>
      <c r="E158" s="30" t="str">
        <f>HYPERLINK("http://twiplomacy.com/info/asia/Saudi-Arabia","http://twiplomacy.com/info/asia/Saudi-Arabia")</f>
        <v>http://twiplomacy.com/info/asia/Saudi-Arabia</v>
      </c>
      <c r="F158" s="10" t="s">
        <v>154</v>
      </c>
      <c r="G158" s="10" t="s">
        <v>282</v>
      </c>
      <c r="H158" s="10" t="s">
        <v>788</v>
      </c>
      <c r="I158" s="10" t="s">
        <v>782</v>
      </c>
      <c r="J158" s="27" t="s">
        <v>789</v>
      </c>
      <c r="K158" s="10" t="s">
        <v>777</v>
      </c>
      <c r="L158" s="10" t="s">
        <v>771</v>
      </c>
      <c r="M158" s="10" t="s">
        <v>770</v>
      </c>
      <c r="N158" s="30" t="str">
        <f>HYPERLINK("https://twitter.com/Saudiegov/status/21902148954492928","https://twitter.com/Saudiegov/status/21902148954492928")</f>
        <v>https://twitter.com/Saudiegov/status/21902148954492928</v>
      </c>
      <c r="O158" s="27" t="s">
        <v>6085</v>
      </c>
      <c r="P158" s="80">
        <v>268</v>
      </c>
      <c r="Q158" s="80">
        <v>49</v>
      </c>
      <c r="R158" s="27" t="s">
        <v>2994</v>
      </c>
      <c r="S158" s="30" t="str">
        <f>HYPERLINK("https://twitter.com/Saudiegov/lists","https://twitter.com/Saudiegov/lists")</f>
        <v>https://twitter.com/Saudiegov/lists</v>
      </c>
      <c r="T158" s="10">
        <v>2</v>
      </c>
      <c r="U158" s="10" t="s">
        <v>771</v>
      </c>
      <c r="V158" s="14" t="s">
        <v>771</v>
      </c>
      <c r="W158" s="42"/>
      <c r="X158" s="27" t="s">
        <v>286</v>
      </c>
      <c r="Y158" s="27" t="s">
        <v>1591</v>
      </c>
      <c r="Z158" s="80">
        <v>7260</v>
      </c>
      <c r="AA158" s="27">
        <v>250</v>
      </c>
      <c r="AB158" s="80">
        <v>159212</v>
      </c>
      <c r="AC158" s="27">
        <v>317</v>
      </c>
      <c r="AD158" s="27" t="s">
        <v>4462</v>
      </c>
      <c r="AE158" s="27">
        <v>233501306</v>
      </c>
      <c r="AF158" s="27" t="s">
        <v>1592</v>
      </c>
      <c r="AG158" s="27" t="s">
        <v>4463</v>
      </c>
      <c r="AH158" s="79">
        <v>3.7307297019527201</v>
      </c>
      <c r="AI158" s="83">
        <v>2.7265029635901801</v>
      </c>
      <c r="AJ158" s="80">
        <v>4.9833047945205502</v>
      </c>
      <c r="AK158" s="80">
        <v>2.6472602739725999</v>
      </c>
      <c r="AL158" s="27">
        <v>167</v>
      </c>
      <c r="AM158" s="97">
        <f t="shared" si="2"/>
        <v>5.2187499999999998E-2</v>
      </c>
      <c r="AN158" s="27" t="s">
        <v>286</v>
      </c>
      <c r="AO158" s="27">
        <v>3</v>
      </c>
      <c r="AP158" s="27">
        <v>8</v>
      </c>
      <c r="AQ158" s="27">
        <v>1</v>
      </c>
      <c r="AR158" s="27">
        <f>SUM(AO158:AQ158)</f>
        <v>12</v>
      </c>
      <c r="AS158" s="27" t="s">
        <v>5486</v>
      </c>
      <c r="AT158" s="27" t="s">
        <v>5487</v>
      </c>
      <c r="AU158" s="84" t="s">
        <v>3312</v>
      </c>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77"/>
      <c r="BR158" s="77"/>
      <c r="BS158" s="77"/>
      <c r="BT158" s="77"/>
      <c r="BU158" s="77"/>
      <c r="BV158" s="77"/>
      <c r="BW158" s="77"/>
      <c r="BX158" s="77"/>
      <c r="BY158" s="77"/>
      <c r="BZ158" s="77"/>
      <c r="CA158" s="77"/>
      <c r="CB158" s="77"/>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77"/>
      <c r="EN158" s="77"/>
      <c r="EO158" s="77"/>
      <c r="EP158" s="77"/>
      <c r="EQ158" s="77"/>
      <c r="GL158" s="77"/>
      <c r="GM158" s="77"/>
      <c r="GN158" s="77"/>
      <c r="GO158" s="77"/>
      <c r="GP158" s="77"/>
      <c r="GQ158" s="77"/>
      <c r="GR158" s="77"/>
      <c r="GS158" s="77"/>
      <c r="GT158" s="77"/>
      <c r="GU158" s="77"/>
      <c r="GV158" s="77"/>
      <c r="GW158" s="77"/>
      <c r="GX158" s="77"/>
      <c r="GY158" s="77"/>
      <c r="GZ158" s="77"/>
      <c r="HA158" s="77"/>
      <c r="HB158" s="77"/>
      <c r="HC158" s="77"/>
      <c r="HD158" s="77"/>
      <c r="HE158" s="77"/>
      <c r="HF158" s="77"/>
      <c r="HG158" s="77"/>
      <c r="HH158" s="77"/>
      <c r="HI158" s="77"/>
      <c r="HJ158" s="77"/>
      <c r="HK158" s="77"/>
      <c r="HL158" s="77"/>
      <c r="HM158" s="77"/>
      <c r="HN158" s="77"/>
      <c r="HO158" s="77"/>
      <c r="HP158" s="77"/>
      <c r="HQ158" s="77"/>
      <c r="HR158" s="77"/>
      <c r="HS158" s="77"/>
      <c r="HT158" s="77"/>
      <c r="HU158" s="77"/>
      <c r="HV158" s="77"/>
      <c r="HW158" s="77"/>
      <c r="HX158" s="77"/>
      <c r="HY158" s="77"/>
      <c r="HZ158" s="77"/>
      <c r="IA158" s="77"/>
      <c r="IB158" s="77"/>
      <c r="IC158" s="77"/>
      <c r="IF158" s="77"/>
      <c r="IG158" s="77"/>
      <c r="IH158" s="77"/>
      <c r="II158" s="77"/>
      <c r="IJ158" s="77"/>
      <c r="IK158" s="77"/>
      <c r="IL158" s="77"/>
      <c r="IM158" s="77"/>
      <c r="IN158" s="77"/>
      <c r="IO158" s="77"/>
      <c r="IP158" s="77"/>
      <c r="IQ158" s="77"/>
      <c r="IR158" s="77"/>
      <c r="IS158" s="77"/>
      <c r="IT158" s="77"/>
      <c r="IU158" s="77"/>
      <c r="IV158" s="77"/>
      <c r="IW158" s="77"/>
      <c r="IX158" s="77"/>
      <c r="IY158" s="77"/>
      <c r="IZ158" s="77"/>
      <c r="JA158" s="77"/>
      <c r="JB158" s="77"/>
      <c r="JC158" s="77"/>
      <c r="JD158" s="77"/>
      <c r="JE158" s="77"/>
      <c r="JF158" s="77"/>
      <c r="JG158" s="77"/>
      <c r="JH158" s="77"/>
      <c r="JI158" s="77"/>
      <c r="JJ158" s="77"/>
      <c r="JK158" s="77"/>
      <c r="JL158" s="77"/>
      <c r="JM158" s="77"/>
      <c r="JN158" s="77"/>
      <c r="JO158" s="77"/>
      <c r="JP158" s="77"/>
      <c r="JQ158" s="77"/>
      <c r="JR158" s="77"/>
      <c r="JS158" s="77"/>
      <c r="JT158" s="77"/>
      <c r="JU158" s="77"/>
      <c r="JV158" s="77"/>
      <c r="JW158" s="77"/>
      <c r="JX158" s="77"/>
      <c r="JY158" s="77"/>
      <c r="JZ158" s="77"/>
      <c r="KA158" s="77"/>
      <c r="KB158" s="77"/>
      <c r="KC158" s="77"/>
      <c r="KD158" s="77"/>
      <c r="KE158" s="77"/>
      <c r="KF158" s="77"/>
      <c r="KG158" s="77"/>
      <c r="KH158" s="77"/>
      <c r="KI158" s="77"/>
      <c r="KJ158" s="77"/>
      <c r="KK158" s="77"/>
      <c r="KL158" s="77"/>
      <c r="KM158" s="77"/>
      <c r="KN158" s="77"/>
      <c r="KO158" s="77"/>
      <c r="KP158" s="77"/>
      <c r="KQ158" s="77"/>
      <c r="KR158" s="77"/>
      <c r="KS158" s="77"/>
      <c r="KT158" s="77"/>
      <c r="KU158" s="77"/>
      <c r="KV158" s="77"/>
      <c r="KW158" s="77"/>
      <c r="KX158" s="77"/>
      <c r="KY158" s="77"/>
      <c r="KZ158" s="77"/>
      <c r="LA158" s="77"/>
      <c r="LB158" s="77"/>
      <c r="LC158" s="77"/>
      <c r="LD158" s="77"/>
      <c r="LE158" s="77"/>
      <c r="LF158" s="77"/>
      <c r="LG158" s="77"/>
      <c r="LH158" s="77"/>
      <c r="LI158" s="77"/>
      <c r="LJ158" s="77"/>
      <c r="LK158" s="77"/>
      <c r="LW158" s="77"/>
      <c r="LX158" s="77"/>
      <c r="LY158" s="77"/>
      <c r="LZ158" s="77"/>
      <c r="MA158" s="77"/>
      <c r="MB158" s="77"/>
      <c r="MC158" s="77"/>
      <c r="MD158" s="77"/>
      <c r="ME158" s="77"/>
      <c r="MF158" s="77"/>
      <c r="MG158" s="77"/>
      <c r="MH158" s="77"/>
      <c r="MI158" s="77"/>
      <c r="MJ158" s="77"/>
      <c r="MK158" s="77"/>
      <c r="ML158" s="77"/>
      <c r="MM158" s="77"/>
      <c r="MN158" s="77"/>
      <c r="MO158" s="77"/>
      <c r="MP158" s="77"/>
      <c r="MQ158" s="77"/>
      <c r="MR158" s="77"/>
    </row>
    <row r="159" spans="1:421" ht="18.600000000000001" customHeight="1" x14ac:dyDescent="0.25">
      <c r="A159" s="119" t="s">
        <v>3079</v>
      </c>
      <c r="B159" s="27" t="s">
        <v>4142</v>
      </c>
      <c r="C159" s="27" t="s">
        <v>4143</v>
      </c>
      <c r="D159" s="12" t="s">
        <v>3072</v>
      </c>
      <c r="E159" s="30" t="str">
        <f>HYPERLINK("http://twiplomacy.com/info/asia/japan/","http://twiplomacy.com/info/asia/japan/")</f>
        <v>http://twiplomacy.com/info/asia/japan/</v>
      </c>
      <c r="F159" s="10" t="s">
        <v>154</v>
      </c>
      <c r="G159" s="10" t="s">
        <v>213</v>
      </c>
      <c r="H159" s="10" t="s">
        <v>795</v>
      </c>
      <c r="I159" s="10" t="s">
        <v>782</v>
      </c>
      <c r="J159" s="27" t="s">
        <v>1382</v>
      </c>
      <c r="K159" s="15" t="s">
        <v>777</v>
      </c>
      <c r="L159" s="10" t="s">
        <v>771</v>
      </c>
      <c r="M159" s="42" t="s">
        <v>770</v>
      </c>
      <c r="N159" s="30" t="s">
        <v>3118</v>
      </c>
      <c r="O159" s="27" t="s">
        <v>3181</v>
      </c>
      <c r="P159" s="80">
        <v>4488</v>
      </c>
      <c r="Q159" s="80">
        <v>2698</v>
      </c>
      <c r="R159" s="27" t="s">
        <v>2994</v>
      </c>
      <c r="S159" s="12" t="s">
        <v>3087</v>
      </c>
      <c r="T159" s="10">
        <v>3</v>
      </c>
      <c r="U159" s="10" t="s">
        <v>771</v>
      </c>
      <c r="V159" s="12" t="s">
        <v>3143</v>
      </c>
      <c r="W159" s="10">
        <v>14</v>
      </c>
      <c r="X159" s="27" t="s">
        <v>3079</v>
      </c>
      <c r="Y159" s="27" t="s">
        <v>4142</v>
      </c>
      <c r="Z159" s="80">
        <v>7256</v>
      </c>
      <c r="AA159" s="27">
        <v>299</v>
      </c>
      <c r="AB159" s="80">
        <v>103340</v>
      </c>
      <c r="AC159" s="27">
        <v>60</v>
      </c>
      <c r="AD159" s="27" t="s">
        <v>4144</v>
      </c>
      <c r="AE159" s="27">
        <v>567949222</v>
      </c>
      <c r="AF159" s="27" t="s">
        <v>4143</v>
      </c>
      <c r="AG159" s="27" t="s">
        <v>1390</v>
      </c>
      <c r="AH159" s="79">
        <v>4.9630642954856397</v>
      </c>
      <c r="AI159" s="83">
        <v>4.1054637865311303</v>
      </c>
      <c r="AJ159" s="80">
        <v>69.882993197278907</v>
      </c>
      <c r="AK159" s="80">
        <v>48.206802721088401</v>
      </c>
      <c r="AL159" s="27">
        <v>118</v>
      </c>
      <c r="AM159" s="97">
        <f t="shared" si="2"/>
        <v>3.6874999999999998E-2</v>
      </c>
      <c r="AN159" s="27" t="s">
        <v>3079</v>
      </c>
      <c r="AO159" s="27">
        <v>3</v>
      </c>
      <c r="AP159" s="27">
        <v>1</v>
      </c>
      <c r="AQ159" s="27">
        <v>5</v>
      </c>
      <c r="AR159" s="27">
        <f>SUM(AO159:AQ159)</f>
        <v>9</v>
      </c>
      <c r="AS159" s="27" t="s">
        <v>5339</v>
      </c>
      <c r="AT159" s="27" t="s">
        <v>705</v>
      </c>
      <c r="AU159" s="84" t="s">
        <v>4864</v>
      </c>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P159" s="77"/>
      <c r="EQ159" s="77"/>
      <c r="GL159" s="77"/>
      <c r="GM159" s="77"/>
      <c r="GN159" s="77"/>
      <c r="GO159" s="77"/>
      <c r="GP159" s="77"/>
      <c r="GQ159" s="77"/>
      <c r="GR159" s="77"/>
      <c r="GS159" s="77"/>
      <c r="GT159" s="77"/>
      <c r="GU159" s="77"/>
      <c r="GV159" s="77"/>
      <c r="GW159" s="77"/>
      <c r="GX159" s="77"/>
      <c r="GY159" s="77"/>
      <c r="GZ159" s="77"/>
      <c r="HA159" s="77"/>
      <c r="HB159" s="77"/>
      <c r="HC159" s="77"/>
      <c r="HD159" s="77"/>
      <c r="HE159" s="77"/>
      <c r="HF159" s="77"/>
      <c r="HG159" s="77"/>
      <c r="HH159" s="77"/>
      <c r="HI159" s="77"/>
      <c r="HJ159" s="77"/>
      <c r="HK159" s="77"/>
      <c r="HL159" s="77"/>
      <c r="HM159" s="77"/>
      <c r="HN159" s="77"/>
      <c r="HO159" s="77"/>
      <c r="HP159" s="77"/>
      <c r="HQ159" s="77"/>
      <c r="HR159" s="77"/>
      <c r="HS159" s="77"/>
      <c r="HT159" s="77"/>
      <c r="HU159" s="77"/>
      <c r="HV159" s="77"/>
      <c r="HW159" s="77"/>
      <c r="HX159" s="77"/>
      <c r="HY159" s="77"/>
      <c r="HZ159" s="77"/>
      <c r="IA159" s="77"/>
      <c r="IB159" s="77"/>
      <c r="IC159" s="77"/>
      <c r="ID159" s="77"/>
      <c r="IE159" s="77"/>
      <c r="IF159" s="77"/>
      <c r="IG159" s="77"/>
      <c r="IH159" s="77"/>
      <c r="II159" s="77"/>
      <c r="IJ159" s="77"/>
      <c r="IK159" s="77"/>
      <c r="IL159" s="77"/>
      <c r="IM159" s="77"/>
      <c r="IN159" s="77"/>
      <c r="IO159" s="77"/>
      <c r="IP159" s="77"/>
      <c r="IQ159" s="77"/>
      <c r="IR159" s="77"/>
      <c r="IS159" s="77"/>
      <c r="IT159" s="77"/>
      <c r="IU159" s="77"/>
      <c r="IV159" s="77"/>
      <c r="IW159" s="77"/>
      <c r="IX159" s="77"/>
      <c r="IY159" s="77"/>
      <c r="IZ159" s="77"/>
      <c r="JA159" s="77"/>
      <c r="JB159" s="77"/>
      <c r="JC159" s="77"/>
      <c r="JD159" s="77"/>
      <c r="JE159" s="77"/>
      <c r="JF159" s="77"/>
      <c r="JG159" s="77"/>
      <c r="JH159" s="77"/>
      <c r="JI159" s="77"/>
      <c r="JJ159" s="77"/>
      <c r="JK159" s="77"/>
      <c r="JL159" s="77"/>
      <c r="JM159" s="77"/>
      <c r="JN159" s="77"/>
      <c r="JO159" s="77"/>
      <c r="JP159" s="77"/>
      <c r="JQ159" s="77"/>
      <c r="JR159" s="77"/>
      <c r="JS159" s="77"/>
      <c r="JT159" s="77"/>
      <c r="JU159" s="77"/>
      <c r="JV159" s="77"/>
      <c r="JW159" s="77"/>
      <c r="JX159" s="77"/>
      <c r="JY159" s="77"/>
      <c r="JZ159" s="77"/>
      <c r="KA159" s="77"/>
      <c r="KB159" s="77"/>
      <c r="KC159" s="77"/>
      <c r="KD159" s="77"/>
      <c r="KE159" s="77"/>
      <c r="KF159" s="77"/>
      <c r="KG159" s="77"/>
      <c r="KH159" s="77"/>
      <c r="KI159" s="77"/>
      <c r="KJ159" s="77"/>
      <c r="KK159" s="77"/>
      <c r="KL159" s="77"/>
    </row>
    <row r="160" spans="1:421" ht="18.600000000000001" customHeight="1" x14ac:dyDescent="0.25">
      <c r="A160" s="119" t="s">
        <v>645</v>
      </c>
      <c r="B160" s="27" t="s">
        <v>2628</v>
      </c>
      <c r="C160" s="27" t="s">
        <v>3907</v>
      </c>
      <c r="D160" s="30" t="str">
        <f>HYPERLINK("https://twitter.com/JulieBishopMP","https://twitter.com/JulieBishopMP")</f>
        <v>https://twitter.com/JulieBishopMP</v>
      </c>
      <c r="E160" s="30" t="s">
        <v>5641</v>
      </c>
      <c r="F160" s="10" t="s">
        <v>643</v>
      </c>
      <c r="G160" s="10" t="s">
        <v>642</v>
      </c>
      <c r="H160" s="10" t="s">
        <v>860</v>
      </c>
      <c r="I160" s="10" t="s">
        <v>773</v>
      </c>
      <c r="J160" s="27" t="s">
        <v>789</v>
      </c>
      <c r="K160" s="15" t="s">
        <v>777</v>
      </c>
      <c r="L160" s="10"/>
      <c r="M160" s="10" t="s">
        <v>770</v>
      </c>
      <c r="N160" s="30" t="str">
        <f>HYPERLINK("https://twitter.com/JulieBishopMP/statuses/5758734447","https://twitter.com/JulieBishopMP/statuses/5758734447")</f>
        <v>https://twitter.com/JulieBishopMP/statuses/5758734447</v>
      </c>
      <c r="O160" s="20" t="s">
        <v>2629</v>
      </c>
      <c r="P160" s="46">
        <v>447</v>
      </c>
      <c r="Q160" s="46">
        <v>48</v>
      </c>
      <c r="R160" s="27" t="s">
        <v>2994</v>
      </c>
      <c r="S160" s="10" t="s">
        <v>2630</v>
      </c>
      <c r="T160" s="10" t="s">
        <v>771</v>
      </c>
      <c r="U160" s="10" t="s">
        <v>771</v>
      </c>
      <c r="V160" s="10" t="s">
        <v>771</v>
      </c>
      <c r="W160" s="10"/>
      <c r="X160" s="27" t="s">
        <v>645</v>
      </c>
      <c r="Y160" s="27" t="s">
        <v>2628</v>
      </c>
      <c r="Z160" s="80">
        <v>7227</v>
      </c>
      <c r="AA160" s="27">
        <v>1361</v>
      </c>
      <c r="AB160" s="80">
        <v>186094</v>
      </c>
      <c r="AC160" s="27">
        <v>6</v>
      </c>
      <c r="AD160" s="27" t="s">
        <v>3908</v>
      </c>
      <c r="AE160" s="27">
        <v>89856037</v>
      </c>
      <c r="AF160" s="27" t="s">
        <v>3907</v>
      </c>
      <c r="AG160" s="27" t="s">
        <v>3909</v>
      </c>
      <c r="AH160" s="79">
        <v>3.0609911054637902</v>
      </c>
      <c r="AI160" s="83">
        <v>6.7006237006236997</v>
      </c>
      <c r="AJ160" s="80">
        <v>14.9480757483201</v>
      </c>
      <c r="AK160" s="80">
        <v>29.7483200977398</v>
      </c>
      <c r="AL160" s="27">
        <v>85</v>
      </c>
      <c r="AM160" s="97">
        <f t="shared" si="2"/>
        <v>2.6562499999999999E-2</v>
      </c>
      <c r="AN160" s="27" t="s">
        <v>645</v>
      </c>
      <c r="AO160" s="27">
        <v>24</v>
      </c>
      <c r="AP160" s="27">
        <v>45</v>
      </c>
      <c r="AQ160" s="27">
        <v>14</v>
      </c>
      <c r="AR160" s="27">
        <f>SUM(AO160:AQ160)</f>
        <v>83</v>
      </c>
      <c r="AS160" s="27" t="s">
        <v>6222</v>
      </c>
      <c r="AT160" s="27" t="s">
        <v>6762</v>
      </c>
      <c r="AU160" s="84" t="s">
        <v>4784</v>
      </c>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c r="EY160" s="77"/>
      <c r="EZ160" s="77"/>
      <c r="FA160" s="77"/>
      <c r="FB160" s="77"/>
      <c r="FC160" s="77"/>
      <c r="FD160" s="77"/>
      <c r="FE160" s="77"/>
      <c r="FF160" s="77"/>
      <c r="FG160" s="77"/>
      <c r="FH160" s="77"/>
      <c r="FI160" s="77"/>
      <c r="FJ160" s="77"/>
      <c r="FK160" s="77"/>
      <c r="FL160" s="77"/>
      <c r="FM160" s="77"/>
      <c r="FN160" s="77"/>
      <c r="FO160" s="77"/>
      <c r="FP160" s="77"/>
      <c r="FQ160" s="77"/>
      <c r="FR160" s="77"/>
      <c r="FS160" s="77"/>
      <c r="FT160" s="77"/>
      <c r="FU160" s="77"/>
      <c r="FV160" s="77"/>
      <c r="FW160" s="77"/>
      <c r="FX160" s="77"/>
      <c r="FY160" s="77"/>
      <c r="FZ160" s="77"/>
      <c r="GA160" s="77"/>
      <c r="GB160" s="77"/>
      <c r="GC160" s="77"/>
      <c r="GD160" s="77"/>
      <c r="GE160" s="77"/>
      <c r="GF160" s="77"/>
      <c r="GG160" s="77"/>
      <c r="GH160" s="77"/>
      <c r="GI160" s="77"/>
      <c r="GJ160" s="77"/>
      <c r="GK160" s="77"/>
      <c r="GL160" s="77"/>
      <c r="GM160" s="77"/>
      <c r="GN160" s="77"/>
      <c r="GO160" s="77"/>
      <c r="GP160" s="77"/>
      <c r="GQ160" s="77"/>
      <c r="GR160" s="77"/>
      <c r="GS160" s="77"/>
      <c r="GT160" s="77"/>
      <c r="GU160" s="77"/>
      <c r="GV160" s="77"/>
      <c r="GW160" s="77"/>
      <c r="GX160" s="77"/>
      <c r="GY160" s="77"/>
      <c r="GZ160" s="77"/>
      <c r="HA160" s="77"/>
      <c r="HB160" s="77"/>
      <c r="HC160" s="77"/>
      <c r="HD160" s="77"/>
      <c r="HE160" s="77"/>
      <c r="HF160" s="77"/>
      <c r="HG160" s="77"/>
      <c r="HH160" s="77"/>
      <c r="HI160" s="77"/>
      <c r="HJ160" s="77"/>
      <c r="HK160" s="77"/>
      <c r="HL160" s="77"/>
      <c r="HM160" s="77"/>
      <c r="HN160" s="77"/>
      <c r="HO160" s="77"/>
      <c r="HP160" s="77"/>
      <c r="HQ160" s="77"/>
      <c r="HR160" s="77"/>
      <c r="HS160" s="77"/>
      <c r="HT160" s="77"/>
      <c r="HU160" s="77"/>
      <c r="HV160" s="77"/>
      <c r="HW160" s="77"/>
      <c r="HX160" s="77"/>
      <c r="HY160" s="77"/>
      <c r="HZ160" s="77"/>
      <c r="IA160" s="77"/>
      <c r="IB160" s="77"/>
      <c r="IC160" s="77"/>
      <c r="IF160" s="77"/>
      <c r="IG160" s="77"/>
      <c r="IH160" s="77"/>
      <c r="II160" s="77"/>
      <c r="IJ160" s="77"/>
      <c r="IK160" s="77"/>
      <c r="IL160" s="77"/>
      <c r="IM160" s="77"/>
      <c r="IN160" s="77"/>
      <c r="IO160" s="77"/>
      <c r="IP160" s="77"/>
      <c r="IQ160" s="77"/>
      <c r="IR160" s="77"/>
      <c r="IS160" s="77"/>
      <c r="IT160" s="77"/>
      <c r="IU160" s="77"/>
      <c r="IV160" s="77"/>
      <c r="IW160" s="77"/>
      <c r="IX160" s="77"/>
      <c r="IY160" s="77"/>
      <c r="IZ160" s="77"/>
      <c r="JA160" s="77"/>
      <c r="JB160" s="77"/>
      <c r="JC160" s="77"/>
      <c r="JD160" s="77"/>
      <c r="JE160" s="77"/>
      <c r="JF160" s="77"/>
      <c r="JG160" s="77"/>
      <c r="JH160" s="77"/>
      <c r="JI160" s="77"/>
      <c r="JJ160" s="77"/>
      <c r="JK160" s="77"/>
      <c r="JL160" s="77"/>
      <c r="JM160" s="77"/>
      <c r="JN160" s="77"/>
      <c r="JO160" s="77"/>
      <c r="JP160" s="77"/>
      <c r="JQ160" s="77"/>
      <c r="JR160" s="77"/>
      <c r="JS160" s="77"/>
      <c r="JT160" s="77"/>
      <c r="JU160" s="77"/>
      <c r="JV160" s="77"/>
      <c r="JW160" s="77"/>
      <c r="JX160" s="77"/>
      <c r="KM160" s="77"/>
      <c r="KN160" s="77"/>
      <c r="KO160" s="77"/>
      <c r="KP160" s="77"/>
      <c r="KQ160" s="77"/>
      <c r="KR160" s="77"/>
      <c r="KS160" s="77"/>
      <c r="KT160" s="77"/>
      <c r="KU160" s="77"/>
      <c r="KV160" s="77"/>
      <c r="KW160" s="77"/>
      <c r="KX160" s="77"/>
      <c r="KY160" s="77"/>
      <c r="KZ160" s="77"/>
      <c r="LA160" s="77"/>
      <c r="LB160" s="77"/>
      <c r="LC160" s="77"/>
      <c r="LD160" s="77"/>
      <c r="LE160" s="77"/>
      <c r="LF160" s="77"/>
      <c r="LG160" s="77"/>
      <c r="LH160" s="77"/>
      <c r="LI160" s="77"/>
      <c r="LJ160" s="77"/>
      <c r="LK160" s="77"/>
      <c r="LL160" s="77"/>
      <c r="LM160" s="77"/>
      <c r="LN160" s="77"/>
      <c r="LO160" s="77"/>
      <c r="LP160" s="77"/>
      <c r="LQ160" s="77"/>
      <c r="LR160" s="77"/>
      <c r="LS160" s="77"/>
      <c r="LT160" s="77"/>
      <c r="LU160" s="77"/>
      <c r="LV160" s="77"/>
      <c r="LW160" s="77"/>
      <c r="LX160" s="77"/>
      <c r="MS160" s="16"/>
      <c r="MT160" s="77"/>
      <c r="MU160" s="77"/>
      <c r="MV160" s="77"/>
      <c r="MW160" s="77"/>
      <c r="MX160" s="77"/>
      <c r="MY160" s="77"/>
      <c r="MZ160" s="77"/>
      <c r="NA160" s="77"/>
      <c r="NB160" s="77"/>
      <c r="NC160" s="77"/>
    </row>
    <row r="161" spans="1:368" ht="18.600000000000001" customHeight="1" x14ac:dyDescent="0.25">
      <c r="A161" s="119" t="s">
        <v>433</v>
      </c>
      <c r="B161" s="27" t="s">
        <v>1994</v>
      </c>
      <c r="C161" s="27" t="s">
        <v>3480</v>
      </c>
      <c r="D161" s="30" t="str">
        <f>HYPERLINK("https://twitter.com/Arlietas","https://twitter.com/Arlietas")</f>
        <v>https://twitter.com/Arlietas</v>
      </c>
      <c r="E161" s="30" t="str">
        <f>HYPERLINK("http://twiplomacy.com/info/europe/Latvia","http://twiplomacy.com/info/europe/Latvia")</f>
        <v>http://twiplomacy.com/info/europe/Latvia</v>
      </c>
      <c r="F161" s="10" t="s">
        <v>332</v>
      </c>
      <c r="G161" s="10" t="s">
        <v>428</v>
      </c>
      <c r="H161" s="10" t="s">
        <v>795</v>
      </c>
      <c r="I161" s="10" t="s">
        <v>782</v>
      </c>
      <c r="J161" s="27" t="s">
        <v>789</v>
      </c>
      <c r="K161" s="15" t="s">
        <v>777</v>
      </c>
      <c r="L161" s="10" t="s">
        <v>771</v>
      </c>
      <c r="M161" s="10" t="s">
        <v>770</v>
      </c>
      <c r="N161" s="30" t="str">
        <f>HYPERLINK("https://twitter.com/Arlietas/statuses/26445465103","https://twitter.com/Arlietas/statuses/26445465103")</f>
        <v>https://twitter.com/Arlietas/statuses/26445465103</v>
      </c>
      <c r="O161" s="27" t="s">
        <v>5689</v>
      </c>
      <c r="P161" s="80">
        <v>98</v>
      </c>
      <c r="Q161" s="80">
        <v>84</v>
      </c>
      <c r="R161" s="27" t="s">
        <v>2994</v>
      </c>
      <c r="S161" s="30" t="str">
        <f>HYPERLINK("https://twitter.com/Arlietas/lists","https://twitter.com/Arlietas/lists")</f>
        <v>https://twitter.com/Arlietas/lists</v>
      </c>
      <c r="T161" s="10">
        <v>1</v>
      </c>
      <c r="U161" s="10">
        <v>1</v>
      </c>
      <c r="V161" s="10" t="s">
        <v>771</v>
      </c>
      <c r="W161" s="10"/>
      <c r="X161" s="27" t="s">
        <v>433</v>
      </c>
      <c r="Y161" s="27" t="s">
        <v>1994</v>
      </c>
      <c r="Z161" s="80">
        <v>7203</v>
      </c>
      <c r="AA161" s="27">
        <v>829</v>
      </c>
      <c r="AB161" s="80">
        <v>8228</v>
      </c>
      <c r="AC161" s="27">
        <v>115</v>
      </c>
      <c r="AD161" s="27" t="s">
        <v>3481</v>
      </c>
      <c r="AE161" s="27">
        <v>198437819</v>
      </c>
      <c r="AF161" s="27" t="s">
        <v>3480</v>
      </c>
      <c r="AG161" s="27" t="s">
        <v>1995</v>
      </c>
      <c r="AH161" s="79">
        <v>3.5360824742268</v>
      </c>
      <c r="AI161" s="83">
        <v>4.9369230769230796</v>
      </c>
      <c r="AJ161" s="80">
        <v>3.3614169459071301</v>
      </c>
      <c r="AK161" s="80">
        <v>1.94351364289134</v>
      </c>
      <c r="AL161" s="96">
        <v>117</v>
      </c>
      <c r="AM161" s="97">
        <f t="shared" si="2"/>
        <v>3.6562499999999998E-2</v>
      </c>
      <c r="AN161" s="27" t="s">
        <v>433</v>
      </c>
      <c r="AO161" s="27">
        <v>38</v>
      </c>
      <c r="AP161" s="27">
        <v>13</v>
      </c>
      <c r="AQ161" s="27">
        <v>14</v>
      </c>
      <c r="AR161" s="27">
        <f>SUM(AO161:AQ161)</f>
        <v>65</v>
      </c>
      <c r="AS161" s="27" t="s">
        <v>6199</v>
      </c>
      <c r="AT161" s="27" t="s">
        <v>5023</v>
      </c>
      <c r="AU161" s="84" t="s">
        <v>4648</v>
      </c>
      <c r="AV161" s="16"/>
      <c r="AW161" s="16"/>
      <c r="AX161" s="16"/>
      <c r="AY161" s="16"/>
      <c r="AZ161" s="16"/>
      <c r="BA161" s="16"/>
      <c r="BB161" s="16"/>
      <c r="BC161" s="16"/>
      <c r="BD161" s="16"/>
      <c r="BE161" s="16"/>
      <c r="BF161" s="16"/>
      <c r="BG161" s="16"/>
      <c r="BH161" s="16"/>
      <c r="BI161" s="16"/>
      <c r="BJ161" s="16"/>
      <c r="BK161" s="16"/>
      <c r="BL161" s="16"/>
      <c r="BM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7"/>
      <c r="GD161" s="77"/>
      <c r="GE161" s="77"/>
      <c r="GF161" s="77"/>
      <c r="GG161" s="77"/>
      <c r="GH161" s="77"/>
      <c r="GI161" s="77"/>
      <c r="GJ161" s="77"/>
      <c r="GK161" s="77"/>
      <c r="GL161" s="77"/>
      <c r="GM161" s="77"/>
      <c r="GN161" s="77"/>
      <c r="GO161" s="77"/>
      <c r="GP161" s="77"/>
      <c r="GQ161" s="77"/>
      <c r="GR161" s="77"/>
      <c r="GS161" s="77"/>
      <c r="GT161" s="77"/>
      <c r="GU161" s="77"/>
      <c r="GV161" s="77"/>
      <c r="GW161" s="77"/>
      <c r="GX161" s="77"/>
      <c r="GY161" s="77"/>
      <c r="GZ161" s="77"/>
      <c r="HA161" s="77"/>
      <c r="HB161" s="77"/>
      <c r="HC161" s="77"/>
      <c r="HD161" s="77"/>
      <c r="HE161" s="77"/>
      <c r="HF161" s="77"/>
      <c r="HG161" s="77"/>
      <c r="HH161" s="77"/>
      <c r="HI161" s="77"/>
      <c r="HJ161" s="77"/>
      <c r="HK161" s="77"/>
      <c r="HL161" s="16"/>
      <c r="HM161" s="16"/>
      <c r="HN161" s="16"/>
      <c r="HO161" s="16"/>
      <c r="HP161" s="16"/>
      <c r="HQ161" s="16"/>
      <c r="HR161" s="16"/>
      <c r="HS161" s="16"/>
      <c r="HT161" s="16"/>
      <c r="HU161" s="16"/>
      <c r="HV161" s="16"/>
      <c r="HW161" s="16"/>
      <c r="HX161" s="16"/>
      <c r="HY161" s="16"/>
      <c r="HZ161" s="16"/>
      <c r="IA161" s="16"/>
      <c r="IB161" s="16"/>
      <c r="IC161" s="16"/>
      <c r="JY161" s="77"/>
      <c r="JZ161" s="77"/>
      <c r="KA161" s="77"/>
      <c r="KB161" s="77"/>
      <c r="KC161" s="77"/>
      <c r="KD161" s="77"/>
      <c r="KE161" s="77"/>
      <c r="KF161" s="77"/>
      <c r="KG161" s="77"/>
      <c r="KH161" s="77"/>
      <c r="KI161" s="77"/>
      <c r="KJ161" s="77"/>
      <c r="KK161" s="77"/>
      <c r="KL161" s="77"/>
    </row>
    <row r="162" spans="1:368" ht="18.600000000000001" customHeight="1" x14ac:dyDescent="0.25">
      <c r="A162" s="119" t="s">
        <v>669</v>
      </c>
      <c r="B162" s="27" t="s">
        <v>2681</v>
      </c>
      <c r="C162" s="27" t="s">
        <v>2682</v>
      </c>
      <c r="D162" s="34" t="s">
        <v>2680</v>
      </c>
      <c r="E162" s="34" t="s">
        <v>2679</v>
      </c>
      <c r="F162" s="38" t="s">
        <v>668</v>
      </c>
      <c r="G162" s="38" t="s">
        <v>667</v>
      </c>
      <c r="H162" s="38" t="s">
        <v>772</v>
      </c>
      <c r="I162" s="38" t="s">
        <v>773</v>
      </c>
      <c r="J162" s="27" t="s">
        <v>2226</v>
      </c>
      <c r="K162" s="38" t="s">
        <v>777</v>
      </c>
      <c r="L162" s="10"/>
      <c r="M162" s="10" t="s">
        <v>770</v>
      </c>
      <c r="N162" s="34" t="s">
        <v>2683</v>
      </c>
      <c r="O162" s="11" t="s">
        <v>3155</v>
      </c>
      <c r="P162" s="80">
        <v>32188</v>
      </c>
      <c r="Q162" s="80">
        <v>21750</v>
      </c>
      <c r="R162" s="27" t="s">
        <v>2994</v>
      </c>
      <c r="S162" s="19" t="s">
        <v>2684</v>
      </c>
      <c r="T162" s="38">
        <v>2</v>
      </c>
      <c r="U162" s="38">
        <v>5</v>
      </c>
      <c r="V162" s="38" t="s">
        <v>771</v>
      </c>
      <c r="W162" s="38"/>
      <c r="X162" s="27" t="s">
        <v>669</v>
      </c>
      <c r="Y162" s="27" t="s">
        <v>2681</v>
      </c>
      <c r="Z162" s="80">
        <v>7139</v>
      </c>
      <c r="AA162" s="27">
        <v>639</v>
      </c>
      <c r="AB162" s="80">
        <v>2932188</v>
      </c>
      <c r="AC162" s="27">
        <v>86</v>
      </c>
      <c r="AD162" s="27" t="s">
        <v>4037</v>
      </c>
      <c r="AE162" s="27">
        <v>24900072</v>
      </c>
      <c r="AF162" s="27" t="s">
        <v>2682</v>
      </c>
      <c r="AG162" s="27" t="s">
        <v>4038</v>
      </c>
      <c r="AH162" s="79">
        <v>2.74260468689973</v>
      </c>
      <c r="AI162" s="83">
        <v>2.2753007784854899</v>
      </c>
      <c r="AJ162" s="80">
        <v>926.95892857142906</v>
      </c>
      <c r="AK162" s="80">
        <v>1251.3607142857099</v>
      </c>
      <c r="AL162" s="27">
        <v>7</v>
      </c>
      <c r="AM162" s="97">
        <f t="shared" si="2"/>
        <v>2.1875000000000002E-3</v>
      </c>
      <c r="AN162" s="27" t="s">
        <v>669</v>
      </c>
      <c r="AO162" s="27">
        <v>15</v>
      </c>
      <c r="AP162" s="27">
        <v>19</v>
      </c>
      <c r="AQ162" s="27">
        <v>7</v>
      </c>
      <c r="AR162" s="27">
        <f>SUM(AO162:AQ162)</f>
        <v>41</v>
      </c>
      <c r="AS162" s="27" t="s">
        <v>6652</v>
      </c>
      <c r="AT162" s="27" t="s">
        <v>5611</v>
      </c>
      <c r="AU162" s="84" t="s">
        <v>4831</v>
      </c>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EM162" s="77"/>
      <c r="EN162" s="77"/>
      <c r="EO162" s="77"/>
      <c r="EP162" s="77"/>
      <c r="GL162" s="77"/>
      <c r="GM162" s="77"/>
      <c r="GN162" s="77"/>
      <c r="GO162" s="77"/>
      <c r="GP162" s="77"/>
      <c r="GQ162" s="77"/>
      <c r="GR162" s="77"/>
      <c r="GS162" s="77"/>
      <c r="GT162" s="77"/>
      <c r="GU162" s="77"/>
      <c r="GV162" s="77"/>
      <c r="GW162" s="77"/>
      <c r="GX162" s="77"/>
      <c r="GY162" s="77"/>
      <c r="GZ162" s="77"/>
      <c r="HA162" s="77"/>
      <c r="HB162" s="77"/>
      <c r="HC162" s="77"/>
      <c r="HD162" s="77"/>
      <c r="HE162" s="77"/>
      <c r="HF162" s="77"/>
      <c r="HG162" s="77"/>
      <c r="HH162" s="77"/>
      <c r="HI162" s="77"/>
      <c r="HJ162" s="77"/>
      <c r="HK162" s="77"/>
      <c r="ID162" s="77"/>
      <c r="IE162" s="77"/>
      <c r="JY162" s="16"/>
      <c r="JZ162" s="16"/>
      <c r="KA162" s="16"/>
      <c r="KB162" s="16"/>
      <c r="KC162" s="16"/>
      <c r="KD162" s="16"/>
      <c r="KE162" s="16"/>
      <c r="KF162" s="16"/>
      <c r="KG162" s="16"/>
      <c r="KH162" s="16"/>
      <c r="KI162" s="16"/>
      <c r="KJ162" s="16"/>
      <c r="KK162" s="16"/>
      <c r="KL162" s="16"/>
      <c r="KM162" s="77"/>
      <c r="KN162" s="77"/>
      <c r="KO162" s="77"/>
      <c r="KP162" s="77"/>
      <c r="KQ162" s="77"/>
      <c r="KR162" s="77"/>
      <c r="KS162" s="77"/>
      <c r="KT162" s="77"/>
      <c r="KU162" s="77"/>
      <c r="KV162" s="77"/>
      <c r="KW162" s="77"/>
      <c r="KX162" s="77"/>
      <c r="KY162" s="77"/>
      <c r="KZ162" s="77"/>
      <c r="LA162" s="77"/>
      <c r="LB162" s="77"/>
      <c r="LC162" s="77"/>
      <c r="LD162" s="77"/>
      <c r="LE162" s="77"/>
      <c r="LF162" s="77"/>
      <c r="LG162" s="77"/>
      <c r="LH162" s="77"/>
      <c r="LI162" s="77"/>
      <c r="LJ162" s="77"/>
      <c r="LK162" s="77"/>
      <c r="LL162" s="77"/>
      <c r="LM162" s="77"/>
      <c r="LN162" s="77"/>
      <c r="LO162" s="77"/>
      <c r="LP162" s="77"/>
      <c r="LQ162" s="77"/>
      <c r="LR162" s="77"/>
      <c r="LS162" s="77"/>
      <c r="LT162" s="77"/>
      <c r="LU162" s="77"/>
      <c r="LV162" s="77"/>
      <c r="LW162" s="77"/>
      <c r="LX162" s="77"/>
      <c r="MT162" s="77"/>
      <c r="MU162" s="77"/>
      <c r="MV162" s="77"/>
      <c r="MW162" s="77"/>
      <c r="MX162" s="77"/>
      <c r="MY162" s="77"/>
      <c r="MZ162" s="77"/>
      <c r="NA162" s="77"/>
      <c r="NB162" s="77"/>
      <c r="NC162" s="77"/>
    </row>
    <row r="163" spans="1:368" ht="18.600000000000001" customHeight="1" x14ac:dyDescent="0.25">
      <c r="A163" s="119" t="s">
        <v>3251</v>
      </c>
      <c r="B163" s="27" t="s">
        <v>3782</v>
      </c>
      <c r="C163" s="27" t="s">
        <v>3783</v>
      </c>
      <c r="D163" s="19" t="s">
        <v>3250</v>
      </c>
      <c r="E163" s="30" t="str">
        <f>HYPERLINK("http://twiplomacy.com/info/south-america/Ecuador","http://twiplomacy.com/info/south-america/Ecuador")</f>
        <v>http://twiplomacy.com/info/south-america/Ecuador</v>
      </c>
      <c r="F163" s="10" t="s">
        <v>668</v>
      </c>
      <c r="G163" s="10" t="s">
        <v>687</v>
      </c>
      <c r="H163" s="10" t="s">
        <v>860</v>
      </c>
      <c r="I163" s="10" t="s">
        <v>773</v>
      </c>
      <c r="J163" s="27" t="s">
        <v>2226</v>
      </c>
      <c r="K163" s="42" t="s">
        <v>777</v>
      </c>
      <c r="L163" s="10"/>
      <c r="M163" s="10" t="s">
        <v>770</v>
      </c>
      <c r="N163" s="38" t="s">
        <v>3253</v>
      </c>
      <c r="O163" s="27" t="s">
        <v>5849</v>
      </c>
      <c r="P163" s="80">
        <v>1375</v>
      </c>
      <c r="Q163" s="80">
        <v>627</v>
      </c>
      <c r="R163" s="27" t="s">
        <v>2994</v>
      </c>
      <c r="S163" s="86" t="s">
        <v>3252</v>
      </c>
      <c r="T163" s="10" t="s">
        <v>771</v>
      </c>
      <c r="U163" s="10" t="s">
        <v>771</v>
      </c>
      <c r="V163" s="10" t="s">
        <v>771</v>
      </c>
      <c r="W163" s="42"/>
      <c r="X163" s="27" t="s">
        <v>3251</v>
      </c>
      <c r="Y163" s="27" t="s">
        <v>3782</v>
      </c>
      <c r="Z163" s="80">
        <v>7123</v>
      </c>
      <c r="AA163" s="27">
        <v>1433</v>
      </c>
      <c r="AB163" s="80">
        <v>30497</v>
      </c>
      <c r="AC163" s="27">
        <v>38</v>
      </c>
      <c r="AD163" s="27" t="s">
        <v>3784</v>
      </c>
      <c r="AE163" s="27">
        <v>376186166</v>
      </c>
      <c r="AF163" s="27" t="s">
        <v>3783</v>
      </c>
      <c r="AG163" s="27" t="s">
        <v>3785</v>
      </c>
      <c r="AH163" s="79">
        <v>4.2228808535862496</v>
      </c>
      <c r="AI163" s="83">
        <v>3.8387096774193501</v>
      </c>
      <c r="AJ163" s="80">
        <v>26.699453551912601</v>
      </c>
      <c r="AK163" s="80">
        <v>15.8017883755589</v>
      </c>
      <c r="AL163" s="27">
        <v>512</v>
      </c>
      <c r="AM163" s="97">
        <f t="shared" si="2"/>
        <v>0.16</v>
      </c>
      <c r="AN163" s="27" t="s">
        <v>3251</v>
      </c>
      <c r="AO163" s="27">
        <v>31</v>
      </c>
      <c r="AP163" s="27">
        <v>10</v>
      </c>
      <c r="AQ163" s="27">
        <v>5</v>
      </c>
      <c r="AR163" s="27">
        <f>SUM(AO163:AQ163)</f>
        <v>46</v>
      </c>
      <c r="AS163" s="27" t="s">
        <v>6566</v>
      </c>
      <c r="AT163" s="27" t="s">
        <v>6296</v>
      </c>
      <c r="AU163" s="84" t="s">
        <v>6157</v>
      </c>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EM163" s="77"/>
      <c r="EN163" s="77"/>
      <c r="EO163" s="77"/>
      <c r="EP163" s="77"/>
      <c r="EQ163" s="77"/>
      <c r="ER163" s="77"/>
      <c r="ES163" s="77"/>
      <c r="ET163" s="77"/>
      <c r="EU163" s="77"/>
      <c r="EV163" s="77"/>
      <c r="EW163" s="77"/>
      <c r="EX163" s="77"/>
      <c r="EY163" s="77"/>
      <c r="EZ163" s="77"/>
      <c r="FA163" s="77"/>
      <c r="FB163" s="77"/>
      <c r="FC163" s="77"/>
      <c r="FD163" s="77"/>
      <c r="FE163" s="77"/>
      <c r="FF163" s="77"/>
      <c r="FG163" s="77"/>
      <c r="FH163" s="77"/>
      <c r="FI163" s="77"/>
      <c r="FJ163" s="77"/>
      <c r="FK163" s="77"/>
      <c r="FL163" s="77"/>
      <c r="FM163" s="77"/>
      <c r="FN163" s="77"/>
      <c r="FO163" s="77"/>
      <c r="FP163" s="77"/>
      <c r="FQ163" s="77"/>
      <c r="FR163" s="77"/>
      <c r="FS163" s="77"/>
      <c r="FT163" s="77"/>
      <c r="FU163" s="77"/>
      <c r="FV163" s="77"/>
      <c r="FW163" s="77"/>
      <c r="FX163" s="77"/>
      <c r="FY163" s="77"/>
      <c r="FZ163" s="77"/>
      <c r="GA163" s="77"/>
      <c r="GB163" s="77"/>
      <c r="GC163" s="77"/>
      <c r="GD163" s="77"/>
      <c r="GE163" s="77"/>
      <c r="GF163" s="77"/>
      <c r="GG163" s="77"/>
      <c r="GH163" s="77"/>
      <c r="GI163" s="77"/>
      <c r="GJ163" s="77"/>
      <c r="GK163" s="77"/>
      <c r="GL163" s="77"/>
      <c r="GM163" s="77"/>
      <c r="GN163" s="77"/>
      <c r="GO163" s="77"/>
      <c r="GP163" s="77"/>
      <c r="GQ163" s="77"/>
      <c r="GR163" s="77"/>
      <c r="GS163" s="77"/>
      <c r="GT163" s="77"/>
      <c r="GU163" s="77"/>
      <c r="GV163" s="77"/>
      <c r="GW163" s="77"/>
      <c r="GX163" s="77"/>
      <c r="GY163" s="77"/>
      <c r="GZ163" s="77"/>
      <c r="HA163" s="77"/>
      <c r="HB163" s="77"/>
      <c r="HC163" s="77"/>
      <c r="HD163" s="77"/>
      <c r="HE163" s="77"/>
      <c r="HF163" s="77"/>
      <c r="HG163" s="77"/>
      <c r="HH163" s="77"/>
      <c r="HI163" s="77"/>
      <c r="HJ163" s="77"/>
      <c r="HK163" s="77"/>
      <c r="HL163" s="77"/>
      <c r="HM163" s="77"/>
      <c r="HN163" s="77"/>
      <c r="HO163" s="77"/>
      <c r="HP163" s="77"/>
      <c r="HQ163" s="77"/>
      <c r="HR163" s="77"/>
      <c r="HS163" s="77"/>
      <c r="HT163" s="77"/>
      <c r="HU163" s="77"/>
      <c r="HV163" s="77"/>
      <c r="HW163" s="77"/>
      <c r="HX163" s="77"/>
      <c r="HY163" s="77"/>
      <c r="HZ163" s="77"/>
      <c r="IA163" s="77"/>
      <c r="IB163" s="77"/>
      <c r="IC163" s="77"/>
      <c r="IF163" s="77"/>
      <c r="IG163" s="77"/>
      <c r="IH163" s="77"/>
      <c r="II163" s="77"/>
      <c r="IJ163" s="77"/>
      <c r="IK163" s="77"/>
      <c r="IL163" s="77"/>
      <c r="IM163" s="77"/>
      <c r="IN163" s="77"/>
      <c r="IO163" s="77"/>
      <c r="IP163" s="77"/>
      <c r="IQ163" s="77"/>
      <c r="IR163" s="77"/>
      <c r="IS163" s="77"/>
      <c r="IT163" s="77"/>
      <c r="IU163" s="77"/>
      <c r="IV163" s="77"/>
      <c r="IW163" s="77"/>
      <c r="IX163" s="77"/>
      <c r="IY163" s="77"/>
      <c r="IZ163" s="77"/>
      <c r="JA163" s="77"/>
      <c r="JB163" s="77"/>
      <c r="JC163" s="77"/>
      <c r="JD163" s="77"/>
      <c r="JE163" s="77"/>
      <c r="JF163" s="77"/>
      <c r="JG163" s="77"/>
      <c r="JH163" s="77"/>
      <c r="JI163" s="77"/>
      <c r="JJ163" s="77"/>
      <c r="JK163" s="77"/>
      <c r="JL163" s="77"/>
      <c r="JM163" s="77"/>
      <c r="JN163" s="77"/>
      <c r="JO163" s="77"/>
      <c r="JP163" s="77"/>
      <c r="JQ163" s="77"/>
      <c r="JR163" s="77"/>
      <c r="JS163" s="77"/>
      <c r="JT163" s="77"/>
      <c r="JU163" s="77"/>
      <c r="JV163" s="77"/>
      <c r="JW163" s="77"/>
      <c r="JX163" s="77"/>
      <c r="JY163" s="77"/>
      <c r="JZ163" s="77"/>
      <c r="KA163" s="77"/>
      <c r="KB163" s="77"/>
      <c r="KC163" s="77"/>
      <c r="KD163" s="77"/>
      <c r="KE163" s="77"/>
      <c r="KF163" s="77"/>
      <c r="KG163" s="77"/>
      <c r="KH163" s="77"/>
      <c r="KI163" s="77"/>
      <c r="KJ163" s="77"/>
      <c r="KK163" s="77"/>
      <c r="KL163" s="77"/>
      <c r="KM163" s="77"/>
      <c r="KN163" s="77"/>
      <c r="KO163" s="77"/>
      <c r="KP163" s="77"/>
      <c r="KQ163" s="77"/>
      <c r="KR163" s="77"/>
      <c r="KS163" s="77"/>
      <c r="KT163" s="77"/>
      <c r="KU163" s="77"/>
      <c r="KV163" s="77"/>
      <c r="KW163" s="77"/>
      <c r="KX163" s="77"/>
      <c r="KY163" s="77"/>
      <c r="KZ163" s="77"/>
      <c r="LA163" s="77"/>
      <c r="LB163" s="77"/>
      <c r="LC163" s="77"/>
      <c r="LD163" s="77"/>
      <c r="LE163" s="77"/>
      <c r="LF163" s="77"/>
      <c r="LG163" s="77"/>
      <c r="LH163" s="77"/>
      <c r="LI163" s="77"/>
      <c r="LJ163" s="77"/>
      <c r="LK163" s="77"/>
    </row>
    <row r="164" spans="1:368" ht="18.600000000000001" customHeight="1" x14ac:dyDescent="0.25">
      <c r="A164" s="119" t="s">
        <v>343</v>
      </c>
      <c r="B164" s="27" t="s">
        <v>3510</v>
      </c>
      <c r="C164" s="27" t="s">
        <v>1723</v>
      </c>
      <c r="D164" s="30" t="str">
        <f>HYPERLINK("https://twitter.com/BelarusMID","https://twitter.com/BelarusMID")</f>
        <v>https://twitter.com/BelarusMID</v>
      </c>
      <c r="E164" s="30" t="str">
        <f>HYPERLINK("http://twiplomacy.com/info/europe/Belarus","http://twiplomacy.com/info/europe/Belarus")</f>
        <v>http://twiplomacy.com/info/europe/Belarus</v>
      </c>
      <c r="F164" s="10" t="s">
        <v>332</v>
      </c>
      <c r="G164" s="10" t="s">
        <v>342</v>
      </c>
      <c r="H164" s="10" t="s">
        <v>795</v>
      </c>
      <c r="I164" s="10" t="s">
        <v>782</v>
      </c>
      <c r="J164" s="27" t="s">
        <v>1420</v>
      </c>
      <c r="K164" s="10" t="s">
        <v>777</v>
      </c>
      <c r="L164" s="10" t="s">
        <v>771</v>
      </c>
      <c r="M164" s="10" t="s">
        <v>770</v>
      </c>
      <c r="N164" s="30" t="str">
        <f>HYPERLINK("https://twitter.com/BelarusMID/statuses/107001193972248576","https://twitter.com/BelarusMID/statuses/107001193972248576")</f>
        <v>https://twitter.com/BelarusMID/statuses/107001193972248576</v>
      </c>
      <c r="O164" s="27" t="s">
        <v>5706</v>
      </c>
      <c r="P164" s="80">
        <v>117</v>
      </c>
      <c r="Q164" s="80">
        <v>43</v>
      </c>
      <c r="R164" s="27" t="s">
        <v>2994</v>
      </c>
      <c r="S164" s="12" t="s">
        <v>1724</v>
      </c>
      <c r="T164" s="10" t="s">
        <v>771</v>
      </c>
      <c r="U164" s="10" t="s">
        <v>771</v>
      </c>
      <c r="V164" s="10" t="s">
        <v>771</v>
      </c>
      <c r="W164" s="10"/>
      <c r="X164" s="27" t="s">
        <v>343</v>
      </c>
      <c r="Y164" s="27" t="s">
        <v>3510</v>
      </c>
      <c r="Z164" s="80">
        <v>7077</v>
      </c>
      <c r="AA164" s="27">
        <v>405</v>
      </c>
      <c r="AB164" s="80">
        <v>6962</v>
      </c>
      <c r="AC164" s="27">
        <v>232</v>
      </c>
      <c r="AD164" s="27" t="s">
        <v>3511</v>
      </c>
      <c r="AE164" s="27">
        <v>361733258</v>
      </c>
      <c r="AF164" s="27" t="s">
        <v>1723</v>
      </c>
      <c r="AG164" s="27"/>
      <c r="AH164" s="79">
        <v>4.1319322825452396</v>
      </c>
      <c r="AI164" s="83">
        <v>8.6729729729729694</v>
      </c>
      <c r="AJ164" s="80">
        <v>3.2637423653525799</v>
      </c>
      <c r="AK164" s="80">
        <v>0.992781787895614</v>
      </c>
      <c r="AL164" s="27">
        <v>159</v>
      </c>
      <c r="AM164" s="97">
        <f t="shared" si="2"/>
        <v>4.9687500000000002E-2</v>
      </c>
      <c r="AN164" s="27" t="s">
        <v>343</v>
      </c>
      <c r="AO164" s="27">
        <v>50</v>
      </c>
      <c r="AP164" s="27">
        <v>7</v>
      </c>
      <c r="AQ164" s="27">
        <v>25</v>
      </c>
      <c r="AR164" s="27">
        <f>SUM(AO164:AQ164)</f>
        <v>82</v>
      </c>
      <c r="AS164" s="27" t="s">
        <v>6545</v>
      </c>
      <c r="AT164" s="27" t="s">
        <v>6275</v>
      </c>
      <c r="AU164" s="84" t="s">
        <v>6146</v>
      </c>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EP164" s="77"/>
      <c r="EQ164" s="77"/>
      <c r="GL164" s="77"/>
      <c r="GM164" s="77"/>
      <c r="GN164" s="77"/>
      <c r="GO164" s="77"/>
      <c r="GP164" s="77"/>
      <c r="GQ164" s="77"/>
      <c r="GR164" s="77"/>
      <c r="GS164" s="77"/>
      <c r="GT164" s="77"/>
      <c r="GU164" s="77"/>
      <c r="GV164" s="77"/>
      <c r="GW164" s="77"/>
      <c r="GX164" s="77"/>
      <c r="GY164" s="77"/>
      <c r="GZ164" s="77"/>
      <c r="HA164" s="77"/>
      <c r="HB164" s="77"/>
      <c r="HC164" s="77"/>
      <c r="HD164" s="77"/>
      <c r="HE164" s="77"/>
      <c r="HF164" s="77"/>
      <c r="HG164" s="77"/>
      <c r="HH164" s="77"/>
      <c r="HI164" s="77"/>
      <c r="HJ164" s="77"/>
      <c r="HK164" s="77"/>
      <c r="HL164" s="77"/>
      <c r="HM164" s="77"/>
      <c r="HN164" s="77"/>
      <c r="HO164" s="77"/>
      <c r="HP164" s="77"/>
      <c r="HQ164" s="77"/>
      <c r="HR164" s="77"/>
      <c r="HS164" s="77"/>
      <c r="HT164" s="77"/>
      <c r="HU164" s="77"/>
      <c r="HV164" s="77"/>
      <c r="HW164" s="77"/>
      <c r="HX164" s="77"/>
      <c r="HY164" s="77"/>
      <c r="HZ164" s="77"/>
      <c r="IA164" s="77"/>
      <c r="IB164" s="77"/>
      <c r="IC164" s="77"/>
      <c r="ID164" s="77"/>
      <c r="IE164" s="77"/>
      <c r="IF164" s="77"/>
      <c r="IG164" s="77"/>
      <c r="IH164" s="77"/>
      <c r="II164" s="77"/>
      <c r="IJ164" s="77"/>
      <c r="IK164" s="77"/>
      <c r="IL164" s="77"/>
      <c r="IM164" s="77"/>
      <c r="IN164" s="77"/>
      <c r="IO164" s="77"/>
      <c r="IP164" s="77"/>
      <c r="IQ164" s="77"/>
      <c r="IR164" s="77"/>
      <c r="IS164" s="77"/>
      <c r="IT164" s="77"/>
      <c r="IU164" s="77"/>
      <c r="IV164" s="77"/>
      <c r="IW164" s="77"/>
      <c r="IX164" s="77"/>
      <c r="IY164" s="77"/>
      <c r="IZ164" s="77"/>
      <c r="JA164" s="77"/>
      <c r="JB164" s="77"/>
      <c r="JC164" s="77"/>
      <c r="JD164" s="77"/>
      <c r="JE164" s="77"/>
      <c r="JF164" s="77"/>
      <c r="JG164" s="77"/>
      <c r="JH164" s="77"/>
      <c r="JI164" s="77"/>
      <c r="JJ164" s="77"/>
      <c r="JK164" s="77"/>
      <c r="JL164" s="77"/>
      <c r="JM164" s="77"/>
      <c r="JN164" s="77"/>
      <c r="JO164" s="77"/>
      <c r="JP164" s="77"/>
      <c r="JQ164" s="77"/>
      <c r="JR164" s="77"/>
      <c r="JS164" s="77"/>
      <c r="JT164" s="77"/>
      <c r="JU164" s="77"/>
      <c r="JV164" s="77"/>
      <c r="JW164" s="77"/>
      <c r="JX164" s="77"/>
      <c r="KM164" s="77"/>
      <c r="KN164" s="77"/>
      <c r="KO164" s="77"/>
      <c r="KP164" s="77"/>
      <c r="KQ164" s="77"/>
      <c r="KR164" s="77"/>
      <c r="KS164" s="77"/>
      <c r="KT164" s="77"/>
      <c r="KU164" s="77"/>
      <c r="KV164" s="77"/>
      <c r="KW164" s="77"/>
      <c r="KX164" s="77"/>
      <c r="KY164" s="77"/>
      <c r="KZ164" s="77"/>
      <c r="LA164" s="77"/>
      <c r="LB164" s="77"/>
      <c r="LC164" s="77"/>
      <c r="LD164" s="77"/>
      <c r="LE164" s="77"/>
      <c r="LF164" s="77"/>
      <c r="LG164" s="77"/>
      <c r="LH164" s="77"/>
      <c r="LI164" s="77"/>
      <c r="LJ164" s="77"/>
      <c r="LK164" s="77"/>
      <c r="LL164" s="77"/>
      <c r="LM164" s="77"/>
      <c r="LN164" s="77"/>
      <c r="LO164" s="77"/>
      <c r="LP164" s="77"/>
      <c r="LQ164" s="77"/>
      <c r="LR164" s="77"/>
      <c r="LS164" s="77"/>
      <c r="LT164" s="77"/>
      <c r="LU164" s="77"/>
      <c r="LV164" s="77"/>
      <c r="ND164" s="77"/>
    </row>
    <row r="165" spans="1:368" ht="18.600000000000001" customHeight="1" x14ac:dyDescent="0.25">
      <c r="A165" s="119" t="s">
        <v>228</v>
      </c>
      <c r="B165" s="27" t="s">
        <v>1430</v>
      </c>
      <c r="C165" s="27" t="s">
        <v>1431</v>
      </c>
      <c r="D165" s="30" t="str">
        <f>HYPERLINK("https://twitter.com/MFA_KZ","https://twitter.com/MFA_KZ")</f>
        <v>https://twitter.com/MFA_KZ</v>
      </c>
      <c r="E165" s="30" t="str">
        <f>HYPERLINK("http://twiplomacy.com/info/asia/Kazakhstan","http://twiplomacy.com/info/asia/Kazakhstan")</f>
        <v>http://twiplomacy.com/info/asia/Kazakhstan</v>
      </c>
      <c r="F165" s="10" t="s">
        <v>154</v>
      </c>
      <c r="G165" s="10" t="s">
        <v>224</v>
      </c>
      <c r="H165" s="10" t="s">
        <v>795</v>
      </c>
      <c r="I165" s="10" t="s">
        <v>782</v>
      </c>
      <c r="J165" s="27" t="s">
        <v>1420</v>
      </c>
      <c r="K165" s="15" t="s">
        <v>777</v>
      </c>
      <c r="L165" s="10" t="s">
        <v>771</v>
      </c>
      <c r="M165" s="10" t="s">
        <v>770</v>
      </c>
      <c r="N165" s="30" t="str">
        <f>HYPERLINK("https://twitter.com/MFA_KZ/statuses/142832018550554624","https://twitter.com/MFA_KZ/statuses/142832018550554624")</f>
        <v>https://twitter.com/MFA_KZ/statuses/142832018550554624</v>
      </c>
      <c r="O165" s="27" t="s">
        <v>5939</v>
      </c>
      <c r="P165" s="80">
        <v>88</v>
      </c>
      <c r="Q165" s="80">
        <v>0</v>
      </c>
      <c r="R165" s="27" t="s">
        <v>2995</v>
      </c>
      <c r="S165" s="12" t="s">
        <v>1432</v>
      </c>
      <c r="T165" s="10">
        <v>1</v>
      </c>
      <c r="U165" s="10">
        <v>2</v>
      </c>
      <c r="V165" s="10" t="s">
        <v>771</v>
      </c>
      <c r="W165" s="10"/>
      <c r="X165" s="27" t="s">
        <v>228</v>
      </c>
      <c r="Y165" s="27" t="s">
        <v>1430</v>
      </c>
      <c r="Z165" s="80">
        <v>7046</v>
      </c>
      <c r="AA165" s="27">
        <v>314</v>
      </c>
      <c r="AB165" s="80">
        <v>12294</v>
      </c>
      <c r="AC165" s="27">
        <v>241</v>
      </c>
      <c r="AD165" s="27" t="s">
        <v>4058</v>
      </c>
      <c r="AE165" s="27">
        <v>427136193</v>
      </c>
      <c r="AF165" s="27" t="s">
        <v>1431</v>
      </c>
      <c r="AG165" s="27" t="s">
        <v>1433</v>
      </c>
      <c r="AH165" s="79">
        <v>4.3709677419354804</v>
      </c>
      <c r="AI165" s="83">
        <v>6.2592592592592604</v>
      </c>
      <c r="AJ165" s="80">
        <v>2.84137658227848</v>
      </c>
      <c r="AK165" s="80">
        <v>1.13924050632911</v>
      </c>
      <c r="AL165" s="27">
        <v>114</v>
      </c>
      <c r="AM165" s="97">
        <f t="shared" si="2"/>
        <v>3.5624999999999997E-2</v>
      </c>
      <c r="AN165" s="27" t="s">
        <v>228</v>
      </c>
      <c r="AO165" s="27">
        <v>82</v>
      </c>
      <c r="AP165" s="27">
        <v>16</v>
      </c>
      <c r="AQ165" s="27">
        <v>53</v>
      </c>
      <c r="AR165" s="27">
        <f>SUM(AO165:AQ165)</f>
        <v>151</v>
      </c>
      <c r="AS165" s="27" t="s">
        <v>6590</v>
      </c>
      <c r="AT165" s="27" t="s">
        <v>5293</v>
      </c>
      <c r="AU165" s="84" t="s">
        <v>6168</v>
      </c>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Q165" s="77"/>
      <c r="ER165" s="77"/>
      <c r="ES165" s="77"/>
      <c r="ET165" s="77"/>
      <c r="EU165" s="77"/>
      <c r="EV165" s="77"/>
      <c r="EW165" s="77"/>
      <c r="EX165" s="77"/>
      <c r="EY165" s="77"/>
      <c r="EZ165" s="77"/>
      <c r="FA165" s="77"/>
      <c r="FB165" s="77"/>
      <c r="FC165" s="77"/>
      <c r="FD165" s="77"/>
      <c r="FE165" s="77"/>
      <c r="FF165" s="77"/>
      <c r="FG165" s="77"/>
      <c r="FH165" s="77"/>
      <c r="FI165" s="77"/>
      <c r="FJ165" s="77"/>
      <c r="FK165" s="77"/>
      <c r="FL165" s="77"/>
      <c r="FM165" s="77"/>
      <c r="FN165" s="77"/>
      <c r="FO165" s="77"/>
      <c r="FP165" s="77"/>
      <c r="FQ165" s="77"/>
      <c r="FR165" s="77"/>
      <c r="FS165" s="77"/>
      <c r="FT165" s="77"/>
      <c r="FU165" s="77"/>
      <c r="FV165" s="77"/>
      <c r="FW165" s="77"/>
      <c r="FX165" s="77"/>
      <c r="FY165" s="77"/>
      <c r="FZ165" s="77"/>
      <c r="GA165" s="77"/>
      <c r="GB165" s="77"/>
      <c r="GC165" s="77"/>
      <c r="GD165" s="77"/>
      <c r="GE165" s="77"/>
      <c r="GF165" s="77"/>
      <c r="GG165" s="77"/>
      <c r="GH165" s="77"/>
      <c r="GI165" s="77"/>
      <c r="GJ165" s="77"/>
      <c r="GK165" s="77"/>
      <c r="GL165" s="77"/>
      <c r="GM165" s="77"/>
      <c r="GN165" s="77"/>
      <c r="GO165" s="77"/>
      <c r="GP165" s="77"/>
      <c r="GQ165" s="77"/>
      <c r="GR165" s="77"/>
      <c r="GS165" s="77"/>
      <c r="GT165" s="77"/>
      <c r="GU165" s="77"/>
      <c r="GV165" s="77"/>
      <c r="GW165" s="77"/>
      <c r="GX165" s="77"/>
      <c r="GY165" s="77"/>
      <c r="GZ165" s="77"/>
      <c r="HA165" s="77"/>
      <c r="HB165" s="77"/>
      <c r="HC165" s="77"/>
      <c r="HD165" s="77"/>
      <c r="HE165" s="77"/>
      <c r="HF165" s="77"/>
      <c r="HG165" s="77"/>
      <c r="HH165" s="77"/>
      <c r="HI165" s="77"/>
      <c r="HJ165" s="77"/>
      <c r="HK165" s="77"/>
      <c r="HL165" s="77"/>
      <c r="HM165" s="77"/>
      <c r="HN165" s="77"/>
      <c r="HO165" s="77"/>
      <c r="HP165" s="77"/>
      <c r="HQ165" s="77"/>
      <c r="HR165" s="77"/>
      <c r="HS165" s="77"/>
      <c r="HT165" s="77"/>
      <c r="HU165" s="77"/>
      <c r="HV165" s="77"/>
      <c r="HW165" s="77"/>
      <c r="HX165" s="77"/>
      <c r="HY165" s="77"/>
      <c r="HZ165" s="77"/>
      <c r="IA165" s="77"/>
      <c r="IB165" s="77"/>
      <c r="IC165" s="77"/>
      <c r="ID165" s="77"/>
      <c r="IE165" s="77"/>
      <c r="IF165" s="77"/>
      <c r="IG165" s="77"/>
      <c r="IH165" s="77"/>
      <c r="II165" s="77"/>
      <c r="IJ165" s="77"/>
      <c r="IK165" s="77"/>
      <c r="IL165" s="77"/>
      <c r="IM165" s="77"/>
      <c r="IN165" s="77"/>
      <c r="IO165" s="77"/>
      <c r="IP165" s="77"/>
      <c r="IQ165" s="77"/>
      <c r="IR165" s="77"/>
      <c r="IS165" s="77"/>
      <c r="IT165" s="77"/>
      <c r="IU165" s="77"/>
      <c r="IV165" s="77"/>
      <c r="IW165" s="77"/>
      <c r="IX165" s="77"/>
      <c r="IY165" s="77"/>
      <c r="IZ165" s="77"/>
      <c r="JA165" s="77"/>
      <c r="JB165" s="77"/>
      <c r="JC165" s="77"/>
      <c r="JD165" s="77"/>
      <c r="JE165" s="77"/>
      <c r="JF165" s="77"/>
      <c r="JG165" s="77"/>
      <c r="JH165" s="77"/>
      <c r="JI165" s="77"/>
      <c r="JJ165" s="77"/>
      <c r="JK165" s="77"/>
      <c r="JL165" s="77"/>
      <c r="JM165" s="77"/>
      <c r="JN165" s="77"/>
      <c r="JO165" s="77"/>
      <c r="JP165" s="77"/>
      <c r="JQ165" s="77"/>
      <c r="JR165" s="77"/>
      <c r="JS165" s="77"/>
      <c r="JT165" s="77"/>
      <c r="JU165" s="77"/>
      <c r="JV165" s="77"/>
      <c r="JW165" s="77"/>
      <c r="JX165" s="77"/>
      <c r="JY165" s="77"/>
      <c r="JZ165" s="77"/>
      <c r="KA165" s="77"/>
      <c r="KB165" s="77"/>
      <c r="KC165" s="77"/>
      <c r="KD165" s="77"/>
      <c r="KE165" s="77"/>
      <c r="KF165" s="77"/>
      <c r="KG165" s="77"/>
      <c r="KH165" s="77"/>
      <c r="KI165" s="77"/>
      <c r="KJ165" s="77"/>
      <c r="KK165" s="77"/>
      <c r="KL165" s="77"/>
      <c r="KM165" s="77"/>
      <c r="KN165" s="77"/>
      <c r="KO165" s="77"/>
      <c r="KP165" s="77"/>
      <c r="KQ165" s="77"/>
      <c r="KR165" s="77"/>
      <c r="KS165" s="77"/>
      <c r="KT165" s="77"/>
      <c r="KU165" s="77"/>
      <c r="KV165" s="77"/>
      <c r="KW165" s="77"/>
      <c r="KX165" s="77"/>
      <c r="KY165" s="77"/>
      <c r="KZ165" s="77"/>
      <c r="LA165" s="77"/>
      <c r="LB165" s="77"/>
      <c r="LC165" s="77"/>
      <c r="LD165" s="77"/>
      <c r="LE165" s="77"/>
      <c r="LF165" s="77"/>
      <c r="LG165" s="77"/>
      <c r="LH165" s="77"/>
      <c r="LI165" s="77"/>
      <c r="LJ165" s="77"/>
      <c r="LK165" s="77"/>
      <c r="LL165" s="77"/>
      <c r="LM165" s="77"/>
      <c r="LN165" s="77"/>
      <c r="LO165" s="77"/>
      <c r="LP165" s="77"/>
      <c r="LQ165" s="77"/>
      <c r="LR165" s="77"/>
      <c r="LS165" s="77"/>
      <c r="LT165" s="77"/>
      <c r="LU165" s="77"/>
      <c r="LV165" s="77"/>
      <c r="LW165" s="77"/>
      <c r="LX165" s="77"/>
      <c r="LY165" s="77"/>
      <c r="LZ165" s="77"/>
      <c r="MA165" s="77"/>
      <c r="MB165" s="77"/>
      <c r="MC165" s="77"/>
      <c r="MD165" s="77"/>
      <c r="ME165" s="77"/>
      <c r="MF165" s="77"/>
      <c r="MG165" s="77"/>
      <c r="MH165" s="77"/>
      <c r="MI165" s="77"/>
      <c r="MJ165" s="77"/>
      <c r="MK165" s="77"/>
      <c r="ML165" s="77"/>
      <c r="MM165" s="77"/>
      <c r="MN165" s="77"/>
      <c r="MO165" s="77"/>
      <c r="MP165" s="77"/>
      <c r="MQ165" s="77"/>
      <c r="MR165" s="77"/>
      <c r="ND165" s="77"/>
    </row>
    <row r="166" spans="1:368" ht="18.600000000000001" customHeight="1" x14ac:dyDescent="0.25">
      <c r="A166" s="119" t="s">
        <v>521</v>
      </c>
      <c r="B166" s="27" t="s">
        <v>2215</v>
      </c>
      <c r="C166" s="27" t="s">
        <v>2216</v>
      </c>
      <c r="D166" s="30" t="str">
        <f>HYPERLINK("https://twitter.com/MZZRS","https://twitter.com/MZZRS")</f>
        <v>https://twitter.com/MZZRS</v>
      </c>
      <c r="E166" s="30" t="str">
        <f>HYPERLINK("http://twiplomacy.com/info/europe/Slovenia","http://twiplomacy.com/info/europe/Slovenia")</f>
        <v>http://twiplomacy.com/info/europe/Slovenia</v>
      </c>
      <c r="F166" s="10" t="s">
        <v>332</v>
      </c>
      <c r="G166" s="10" t="s">
        <v>518</v>
      </c>
      <c r="H166" s="10" t="s">
        <v>795</v>
      </c>
      <c r="I166" s="10" t="s">
        <v>782</v>
      </c>
      <c r="J166" s="27" t="s">
        <v>789</v>
      </c>
      <c r="K166" s="15" t="s">
        <v>777</v>
      </c>
      <c r="L166" s="10" t="s">
        <v>771</v>
      </c>
      <c r="M166" s="10" t="s">
        <v>770</v>
      </c>
      <c r="N166" s="30" t="str">
        <f>HYPERLINK("https://twitter.com/MZZRS/statuses/25043200085","https://twitter.com/MZZRS/statuses/25043200085")</f>
        <v>https://twitter.com/MZZRS/statuses/25043200085</v>
      </c>
      <c r="O166" s="27" t="s">
        <v>5984</v>
      </c>
      <c r="P166" s="80">
        <v>74</v>
      </c>
      <c r="Q166" s="80">
        <v>69</v>
      </c>
      <c r="R166" s="27" t="s">
        <v>2994</v>
      </c>
      <c r="S166" s="30" t="str">
        <f>HYPERLINK("https://twitter.com/MZZRS/lists","https://twitter.com/MZZRS/lists")</f>
        <v>https://twitter.com/MZZRS/lists</v>
      </c>
      <c r="T166" s="10">
        <v>1</v>
      </c>
      <c r="U166" s="10">
        <v>6</v>
      </c>
      <c r="V166" s="30" t="str">
        <f>HYPERLINK("https://twitter.com/MZZRS/slovenia-abroad/members","https://twitter.com/MZZRS/slovenia-abroad/members")</f>
        <v>https://twitter.com/MZZRS/slovenia-abroad/members</v>
      </c>
      <c r="W166" s="10">
        <v>39</v>
      </c>
      <c r="X166" s="27" t="s">
        <v>521</v>
      </c>
      <c r="Y166" s="27" t="s">
        <v>2215</v>
      </c>
      <c r="Z166" s="80">
        <v>7046</v>
      </c>
      <c r="AA166" s="27">
        <v>991</v>
      </c>
      <c r="AB166" s="80">
        <v>8775</v>
      </c>
      <c r="AC166" s="27">
        <v>476</v>
      </c>
      <c r="AD166" s="27" t="s">
        <v>4180</v>
      </c>
      <c r="AE166" s="27">
        <v>192973828</v>
      </c>
      <c r="AF166" s="27" t="s">
        <v>2216</v>
      </c>
      <c r="AG166" s="27" t="s">
        <v>2217</v>
      </c>
      <c r="AH166" s="79">
        <v>3.4353973671379801</v>
      </c>
      <c r="AI166" s="83">
        <v>3.8619447779111602</v>
      </c>
      <c r="AJ166" s="80">
        <v>2.4680203045685301</v>
      </c>
      <c r="AK166" s="80">
        <v>1.7395939086294401</v>
      </c>
      <c r="AL166" s="27">
        <v>102</v>
      </c>
      <c r="AM166" s="97">
        <f t="shared" si="2"/>
        <v>3.1875000000000001E-2</v>
      </c>
      <c r="AN166" s="27" t="s">
        <v>521</v>
      </c>
      <c r="AO166" s="27">
        <v>53</v>
      </c>
      <c r="AP166" s="27">
        <v>20</v>
      </c>
      <c r="AQ166" s="27">
        <v>78</v>
      </c>
      <c r="AR166" s="27">
        <f>SUM(AO166:AQ166)</f>
        <v>151</v>
      </c>
      <c r="AS166" s="27" t="s">
        <v>6595</v>
      </c>
      <c r="AT166" s="27" t="s">
        <v>5356</v>
      </c>
      <c r="AU166" s="84" t="s">
        <v>4876</v>
      </c>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EM166" s="77"/>
      <c r="EN166" s="77"/>
      <c r="EO166" s="77"/>
      <c r="EP166" s="77"/>
      <c r="GL166" s="77"/>
      <c r="GM166" s="77"/>
      <c r="GN166" s="77"/>
      <c r="GO166" s="77"/>
      <c r="GP166" s="77"/>
      <c r="GQ166" s="77"/>
      <c r="GR166" s="77"/>
      <c r="GS166" s="77"/>
      <c r="GT166" s="77"/>
      <c r="GU166" s="77"/>
      <c r="GV166" s="77"/>
      <c r="GW166" s="77"/>
      <c r="GX166" s="77"/>
      <c r="GY166" s="77"/>
      <c r="GZ166" s="77"/>
      <c r="HA166" s="77"/>
      <c r="HB166" s="77"/>
      <c r="HC166" s="77"/>
      <c r="HD166" s="77"/>
      <c r="HE166" s="77"/>
      <c r="HF166" s="77"/>
      <c r="HG166" s="77"/>
      <c r="HH166" s="77"/>
      <c r="HI166" s="77"/>
      <c r="HJ166" s="77"/>
      <c r="HK166" s="77"/>
      <c r="HL166" s="77"/>
      <c r="HM166" s="77"/>
      <c r="HN166" s="77"/>
      <c r="HO166" s="77"/>
      <c r="HP166" s="77"/>
      <c r="HQ166" s="77"/>
      <c r="HR166" s="77"/>
      <c r="HS166" s="77"/>
      <c r="HT166" s="77"/>
      <c r="HU166" s="77"/>
      <c r="HV166" s="77"/>
      <c r="HW166" s="77"/>
      <c r="HX166" s="77"/>
      <c r="HY166" s="77"/>
      <c r="HZ166" s="77"/>
      <c r="IA166" s="77"/>
      <c r="IB166" s="77"/>
      <c r="IC166" s="77"/>
      <c r="IF166" s="77"/>
      <c r="IG166" s="77"/>
      <c r="IH166" s="77"/>
      <c r="II166" s="77"/>
      <c r="IJ166" s="77"/>
      <c r="IK166" s="77"/>
      <c r="IL166" s="77"/>
      <c r="IM166" s="77"/>
      <c r="IN166" s="77"/>
      <c r="IO166" s="77"/>
      <c r="IP166" s="77"/>
      <c r="IQ166" s="77"/>
      <c r="IR166" s="77"/>
      <c r="IS166" s="77"/>
      <c r="IT166" s="77"/>
      <c r="IU166" s="77"/>
      <c r="IV166" s="77"/>
      <c r="IW166" s="77"/>
      <c r="IX166" s="77"/>
      <c r="IY166" s="77"/>
      <c r="IZ166" s="77"/>
      <c r="JA166" s="77"/>
      <c r="JB166" s="77"/>
      <c r="JC166" s="77"/>
      <c r="JD166" s="77"/>
      <c r="JE166" s="77"/>
      <c r="JF166" s="77"/>
      <c r="JG166" s="77"/>
      <c r="JH166" s="77"/>
      <c r="JI166" s="77"/>
      <c r="JJ166" s="77"/>
      <c r="JK166" s="77"/>
      <c r="JL166" s="77"/>
      <c r="JM166" s="77"/>
      <c r="JN166" s="77"/>
      <c r="JO166" s="77"/>
      <c r="JP166" s="77"/>
      <c r="JQ166" s="77"/>
      <c r="JR166" s="77"/>
      <c r="JS166" s="77"/>
      <c r="JT166" s="77"/>
      <c r="JU166" s="77"/>
      <c r="JV166" s="77"/>
      <c r="JW166" s="77"/>
      <c r="JX166" s="77"/>
      <c r="JY166" s="77"/>
      <c r="JZ166" s="77"/>
      <c r="KA166" s="77"/>
      <c r="KB166" s="77"/>
      <c r="KC166" s="77"/>
      <c r="KD166" s="77"/>
      <c r="KE166" s="77"/>
      <c r="KF166" s="77"/>
      <c r="KG166" s="77"/>
      <c r="KH166" s="77"/>
      <c r="KI166" s="77"/>
      <c r="KJ166" s="77"/>
      <c r="KK166" s="77"/>
      <c r="KL166" s="77"/>
      <c r="KM166" s="77"/>
      <c r="KN166" s="77"/>
      <c r="KO166" s="77"/>
      <c r="KP166" s="77"/>
      <c r="KQ166" s="77"/>
      <c r="KR166" s="77"/>
      <c r="KS166" s="77"/>
      <c r="KT166" s="77"/>
      <c r="KU166" s="77"/>
      <c r="KV166" s="77"/>
      <c r="KW166" s="77"/>
      <c r="KX166" s="77"/>
      <c r="KY166" s="77"/>
      <c r="KZ166" s="77"/>
      <c r="LA166" s="77"/>
      <c r="LB166" s="77"/>
      <c r="LC166" s="77"/>
      <c r="LD166" s="77"/>
      <c r="LE166" s="77"/>
      <c r="LF166" s="77"/>
      <c r="LG166" s="77"/>
      <c r="LH166" s="77"/>
      <c r="LI166" s="77"/>
      <c r="LJ166" s="77"/>
      <c r="LK166" s="77"/>
      <c r="LL166" s="77"/>
      <c r="LM166" s="77"/>
      <c r="LN166" s="77"/>
      <c r="LO166" s="77"/>
      <c r="LP166" s="77"/>
      <c r="LQ166" s="77"/>
      <c r="LR166" s="77"/>
      <c r="LS166" s="77"/>
      <c r="LT166" s="77"/>
      <c r="LU166" s="77"/>
      <c r="LV166" s="77"/>
      <c r="LW166" s="77"/>
      <c r="LX166" s="77"/>
    </row>
    <row r="167" spans="1:368" ht="18.600000000000001" customHeight="1" x14ac:dyDescent="0.25">
      <c r="A167" s="119" t="s">
        <v>481</v>
      </c>
      <c r="B167" s="27" t="s">
        <v>2105</v>
      </c>
      <c r="C167" s="27"/>
      <c r="D167" s="30" t="str">
        <f>HYPERLINK("https://twitter.com/AndrzejDuda","https://twitter.com/AndrzejDuda")</f>
        <v>https://twitter.com/AndrzejDuda</v>
      </c>
      <c r="E167" s="30" t="str">
        <f>HYPERLINK("http://twiplomacy.com/info/europe/Poland","http://twiplomacy.com/info/europe/Poland")</f>
        <v>http://twiplomacy.com/info/europe/Poland</v>
      </c>
      <c r="F167" s="10" t="s">
        <v>332</v>
      </c>
      <c r="G167" s="10" t="s">
        <v>480</v>
      </c>
      <c r="H167" s="10" t="s">
        <v>772</v>
      </c>
      <c r="I167" s="10" t="s">
        <v>773</v>
      </c>
      <c r="J167" s="27" t="s">
        <v>789</v>
      </c>
      <c r="K167" s="15" t="s">
        <v>777</v>
      </c>
      <c r="L167" s="10"/>
      <c r="M167" s="10" t="s">
        <v>770</v>
      </c>
      <c r="N167" s="30" t="s">
        <v>3107</v>
      </c>
      <c r="O167" s="27" t="s">
        <v>3154</v>
      </c>
      <c r="P167" s="80">
        <v>1727</v>
      </c>
      <c r="Q167" s="80">
        <v>2842</v>
      </c>
      <c r="R167" s="27" t="s">
        <v>2995</v>
      </c>
      <c r="S167" s="12" t="s">
        <v>2106</v>
      </c>
      <c r="T167" s="10" t="s">
        <v>771</v>
      </c>
      <c r="U167" s="10" t="s">
        <v>771</v>
      </c>
      <c r="V167" s="10" t="s">
        <v>771</v>
      </c>
      <c r="W167" s="10"/>
      <c r="X167" s="27" t="s">
        <v>481</v>
      </c>
      <c r="Y167" s="27" t="s">
        <v>2105</v>
      </c>
      <c r="Z167" s="80">
        <v>7035</v>
      </c>
      <c r="AA167" s="27">
        <v>797</v>
      </c>
      <c r="AB167" s="80">
        <v>341371</v>
      </c>
      <c r="AC167" s="27">
        <v>27</v>
      </c>
      <c r="AD167" s="27" t="s">
        <v>3465</v>
      </c>
      <c r="AE167" s="27">
        <v>202086424</v>
      </c>
      <c r="AF167" s="27"/>
      <c r="AG167" s="27" t="s">
        <v>3466</v>
      </c>
      <c r="AH167" s="79">
        <v>3.4689349112426</v>
      </c>
      <c r="AI167" s="83">
        <v>3.5803167420814499</v>
      </c>
      <c r="AJ167" s="80">
        <v>28.086760563380299</v>
      </c>
      <c r="AK167" s="80">
        <v>76.941408450704202</v>
      </c>
      <c r="AL167" s="96">
        <v>1185</v>
      </c>
      <c r="AM167" s="97">
        <f t="shared" si="2"/>
        <v>0.37031249999999999</v>
      </c>
      <c r="AN167" s="27" t="s">
        <v>481</v>
      </c>
      <c r="AO167" s="27">
        <v>0</v>
      </c>
      <c r="AP167" s="27">
        <v>17</v>
      </c>
      <c r="AQ167" s="27">
        <v>1</v>
      </c>
      <c r="AR167" s="27">
        <f>SUM(AO167:AQ167)</f>
        <v>18</v>
      </c>
      <c r="AS167" s="27"/>
      <c r="AT167" s="27" t="s">
        <v>6674</v>
      </c>
      <c r="AU167" s="84" t="s">
        <v>483</v>
      </c>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c r="EY167" s="77"/>
      <c r="EZ167" s="77"/>
      <c r="FA167" s="77"/>
      <c r="FB167" s="77"/>
      <c r="FC167" s="77"/>
      <c r="FD167" s="77"/>
      <c r="FE167" s="77"/>
      <c r="FF167" s="77"/>
      <c r="FG167" s="77"/>
      <c r="FH167" s="77"/>
      <c r="FI167" s="77"/>
      <c r="FJ167" s="77"/>
      <c r="FK167" s="77"/>
      <c r="FL167" s="77"/>
      <c r="FM167" s="77"/>
      <c r="FN167" s="77"/>
      <c r="FO167" s="77"/>
      <c r="FP167" s="77"/>
      <c r="FQ167" s="77"/>
      <c r="FR167" s="77"/>
      <c r="FS167" s="77"/>
      <c r="FT167" s="77"/>
      <c r="FU167" s="77"/>
      <c r="FV167" s="77"/>
      <c r="FW167" s="77"/>
      <c r="FX167" s="77"/>
      <c r="FY167" s="77"/>
      <c r="FZ167" s="77"/>
      <c r="GA167" s="77"/>
      <c r="GB167" s="77"/>
      <c r="GC167" s="77"/>
      <c r="GD167" s="77"/>
      <c r="GE167" s="77"/>
      <c r="GF167" s="77"/>
      <c r="GG167" s="77"/>
      <c r="GH167" s="77"/>
      <c r="GI167" s="77"/>
      <c r="GJ167" s="77"/>
      <c r="GK167" s="77"/>
      <c r="HL167" s="77"/>
      <c r="HM167" s="77"/>
      <c r="HN167" s="77"/>
      <c r="HO167" s="77"/>
      <c r="HP167" s="77"/>
      <c r="HQ167" s="77"/>
      <c r="HR167" s="77"/>
      <c r="HS167" s="77"/>
      <c r="HT167" s="77"/>
      <c r="HU167" s="77"/>
      <c r="HV167" s="77"/>
      <c r="HW167" s="77"/>
      <c r="HX167" s="77"/>
      <c r="HY167" s="77"/>
      <c r="HZ167" s="77"/>
      <c r="IA167" s="77"/>
      <c r="IB167" s="77"/>
      <c r="IC167" s="77"/>
      <c r="IF167" s="77"/>
      <c r="IG167" s="77"/>
      <c r="IH167" s="77"/>
      <c r="II167" s="77"/>
      <c r="IJ167" s="77"/>
      <c r="IK167" s="77"/>
      <c r="IL167" s="77"/>
      <c r="IM167" s="77"/>
      <c r="IN167" s="77"/>
      <c r="IO167" s="77"/>
      <c r="IP167" s="77"/>
      <c r="IQ167" s="77"/>
      <c r="IR167" s="77"/>
      <c r="IS167" s="77"/>
      <c r="IT167" s="77"/>
      <c r="IU167" s="77"/>
      <c r="IV167" s="77"/>
      <c r="IW167" s="77"/>
      <c r="IX167" s="77"/>
      <c r="IY167" s="77"/>
      <c r="IZ167" s="77"/>
      <c r="JA167" s="77"/>
      <c r="JB167" s="77"/>
      <c r="JC167" s="77"/>
      <c r="JD167" s="77"/>
      <c r="JE167" s="77"/>
      <c r="JF167" s="77"/>
      <c r="JG167" s="77"/>
      <c r="JH167" s="77"/>
      <c r="JI167" s="77"/>
      <c r="JJ167" s="77"/>
      <c r="JK167" s="77"/>
      <c r="JL167" s="77"/>
      <c r="JM167" s="77"/>
      <c r="JN167" s="77"/>
      <c r="JO167" s="77"/>
      <c r="JP167" s="77"/>
      <c r="JQ167" s="77"/>
      <c r="JR167" s="77"/>
      <c r="JS167" s="77"/>
      <c r="JT167" s="77"/>
      <c r="JU167" s="77"/>
      <c r="JV167" s="77"/>
      <c r="JW167" s="77"/>
      <c r="JX167" s="77"/>
      <c r="KM167" s="77"/>
      <c r="KN167" s="77"/>
      <c r="KO167" s="77"/>
      <c r="KP167" s="77"/>
      <c r="KQ167" s="77"/>
      <c r="KR167" s="77"/>
      <c r="KS167" s="77"/>
      <c r="KT167" s="77"/>
      <c r="KU167" s="77"/>
      <c r="KV167" s="77"/>
      <c r="KW167" s="77"/>
      <c r="KX167" s="77"/>
      <c r="KY167" s="77"/>
      <c r="KZ167" s="77"/>
      <c r="LA167" s="77"/>
      <c r="LB167" s="77"/>
      <c r="LC167" s="77"/>
      <c r="LD167" s="77"/>
      <c r="LE167" s="77"/>
      <c r="LF167" s="77"/>
      <c r="LG167" s="77"/>
      <c r="LH167" s="77"/>
      <c r="LI167" s="77"/>
      <c r="LJ167" s="77"/>
      <c r="LK167" s="77"/>
      <c r="LW167" s="77"/>
      <c r="LX167" s="77"/>
      <c r="LY167" s="77"/>
      <c r="LZ167" s="77"/>
      <c r="MA167" s="77"/>
      <c r="MB167" s="77"/>
      <c r="MC167" s="77"/>
      <c r="MD167" s="77"/>
      <c r="ME167" s="77"/>
      <c r="MF167" s="77"/>
      <c r="MG167" s="77"/>
      <c r="MH167" s="77"/>
      <c r="MI167" s="77"/>
      <c r="MJ167" s="77"/>
      <c r="MK167" s="77"/>
      <c r="ML167" s="77"/>
      <c r="MM167" s="77"/>
      <c r="MN167" s="77"/>
      <c r="MO167" s="77"/>
      <c r="MP167" s="77"/>
      <c r="MQ167" s="77"/>
      <c r="MR167" s="77"/>
      <c r="ND167" s="16"/>
    </row>
    <row r="168" spans="1:368" ht="18.600000000000001" customHeight="1" x14ac:dyDescent="0.25">
      <c r="A168" s="119" t="s">
        <v>2305</v>
      </c>
      <c r="B168" s="27" t="s">
        <v>2306</v>
      </c>
      <c r="C168" s="27" t="s">
        <v>4241</v>
      </c>
      <c r="D168" s="30" t="str">
        <f>HYPERLINK("https://twitter.com/PDTurkeyArabic","https://twitter.com/PDTurkeyArabic")</f>
        <v>https://twitter.com/PDTurkeyArabic</v>
      </c>
      <c r="E168" s="30" t="str">
        <f>HYPERLINK("http://twiplomacy.com/info/europe/Turkey","http://twiplomacy.com/info/europe/Turkey")</f>
        <v>http://twiplomacy.com/info/europe/Turkey</v>
      </c>
      <c r="F168" s="10" t="s">
        <v>332</v>
      </c>
      <c r="G168" s="10" t="s">
        <v>536</v>
      </c>
      <c r="H168" s="10" t="s">
        <v>795</v>
      </c>
      <c r="I168" s="10" t="s">
        <v>782</v>
      </c>
      <c r="J168" s="27" t="s">
        <v>2254</v>
      </c>
      <c r="K168" s="10" t="s">
        <v>777</v>
      </c>
      <c r="L168" s="10" t="s">
        <v>771</v>
      </c>
      <c r="M168" s="10" t="s">
        <v>770</v>
      </c>
      <c r="N168" s="30" t="str">
        <f>HYPERLINK("https://twitter.com/TRDiplo_ARABIC/statuses/226070008751611904","https://twitter.com/TRDiplo_ARABIC/statuses/226070008751611904")</f>
        <v>https://twitter.com/TRDiplo_ARABIC/statuses/226070008751611904</v>
      </c>
      <c r="O168" s="27" t="s">
        <v>6007</v>
      </c>
      <c r="P168" s="80">
        <v>119</v>
      </c>
      <c r="Q168" s="80">
        <v>51</v>
      </c>
      <c r="R168" s="27" t="s">
        <v>2994</v>
      </c>
      <c r="S168" s="10" t="s">
        <v>2307</v>
      </c>
      <c r="T168" s="10" t="s">
        <v>771</v>
      </c>
      <c r="U168" s="10" t="s">
        <v>771</v>
      </c>
      <c r="V168" s="10" t="s">
        <v>771</v>
      </c>
      <c r="W168" s="10"/>
      <c r="X168" s="27" t="s">
        <v>2305</v>
      </c>
      <c r="Y168" s="27" t="s">
        <v>2306</v>
      </c>
      <c r="Z168" s="80">
        <v>6993</v>
      </c>
      <c r="AA168" s="27">
        <v>86</v>
      </c>
      <c r="AB168" s="80">
        <v>11059</v>
      </c>
      <c r="AC168" s="27">
        <v>14</v>
      </c>
      <c r="AD168" s="27" t="s">
        <v>4242</v>
      </c>
      <c r="AE168" s="27">
        <v>702914120</v>
      </c>
      <c r="AF168" s="27" t="s">
        <v>4241</v>
      </c>
      <c r="AG168" s="27" t="s">
        <v>2308</v>
      </c>
      <c r="AH168" s="79">
        <v>5.0527456647398798</v>
      </c>
      <c r="AI168" s="83">
        <v>10.0880503144654</v>
      </c>
      <c r="AJ168" s="80">
        <v>2.43426154388438</v>
      </c>
      <c r="AK168" s="80">
        <v>2.3221713077194202</v>
      </c>
      <c r="AL168" s="27">
        <v>419</v>
      </c>
      <c r="AM168" s="97">
        <f t="shared" si="2"/>
        <v>0.13093750000000001</v>
      </c>
      <c r="AN168" s="27" t="s">
        <v>2305</v>
      </c>
      <c r="AO168" s="27">
        <v>10</v>
      </c>
      <c r="AP168" s="27">
        <v>5</v>
      </c>
      <c r="AQ168" s="27">
        <v>7</v>
      </c>
      <c r="AR168" s="27">
        <f>SUM(AO168:AQ168)</f>
        <v>22</v>
      </c>
      <c r="AS168" s="27" t="s">
        <v>5625</v>
      </c>
      <c r="AT168" s="27" t="s">
        <v>5387</v>
      </c>
      <c r="AU168" s="84" t="s">
        <v>4888</v>
      </c>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77"/>
      <c r="EN168" s="77"/>
      <c r="EO168" s="77"/>
      <c r="EP168" s="77"/>
      <c r="EQ168" s="77"/>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77"/>
      <c r="GM168" s="77"/>
      <c r="GN168" s="77"/>
      <c r="GO168" s="77"/>
      <c r="GP168" s="77"/>
      <c r="GQ168" s="77"/>
      <c r="GR168" s="77"/>
      <c r="GS168" s="77"/>
      <c r="GT168" s="77"/>
      <c r="GU168" s="77"/>
      <c r="GV168" s="77"/>
      <c r="GW168" s="77"/>
      <c r="GX168" s="77"/>
      <c r="GY168" s="77"/>
      <c r="GZ168" s="77"/>
      <c r="HA168" s="77"/>
      <c r="HB168" s="77"/>
      <c r="HC168" s="77"/>
      <c r="HD168" s="77"/>
      <c r="HE168" s="77"/>
      <c r="HF168" s="77"/>
      <c r="HG168" s="77"/>
      <c r="HH168" s="77"/>
      <c r="HI168" s="77"/>
      <c r="HJ168" s="77"/>
      <c r="HK168" s="77"/>
      <c r="HL168" s="77"/>
      <c r="HM168" s="77"/>
      <c r="HN168" s="77"/>
      <c r="HO168" s="77"/>
      <c r="HP168" s="77"/>
      <c r="HQ168" s="77"/>
      <c r="HR168" s="77"/>
      <c r="HS168" s="77"/>
      <c r="HT168" s="77"/>
      <c r="HU168" s="77"/>
      <c r="HV168" s="77"/>
      <c r="HW168" s="77"/>
      <c r="HX168" s="77"/>
      <c r="HY168" s="77"/>
      <c r="HZ168" s="77"/>
      <c r="IA168" s="77"/>
      <c r="IB168" s="77"/>
      <c r="IC168" s="77"/>
      <c r="LW168" s="77"/>
      <c r="LX168" s="77"/>
      <c r="LY168" s="77"/>
      <c r="LZ168" s="77"/>
      <c r="MA168" s="77"/>
      <c r="MB168" s="77"/>
      <c r="MC168" s="77"/>
      <c r="MD168" s="77"/>
      <c r="ME168" s="77"/>
      <c r="MF168" s="77"/>
      <c r="MG168" s="77"/>
      <c r="MH168" s="77"/>
      <c r="MI168" s="77"/>
      <c r="MJ168" s="77"/>
      <c r="MK168" s="77"/>
      <c r="ML168" s="77"/>
      <c r="MM168" s="77"/>
      <c r="MN168" s="77"/>
      <c r="MO168" s="77"/>
      <c r="MP168" s="77"/>
      <c r="MQ168" s="77"/>
      <c r="MR168" s="77"/>
    </row>
    <row r="169" spans="1:368" ht="18.600000000000001" customHeight="1" x14ac:dyDescent="0.25">
      <c r="A169" s="119" t="s">
        <v>3367</v>
      </c>
      <c r="B169" s="27" t="s">
        <v>3849</v>
      </c>
      <c r="C169" s="27" t="s">
        <v>6403</v>
      </c>
      <c r="D169" s="51" t="s">
        <v>3360</v>
      </c>
      <c r="E169" s="30" t="str">
        <f>HYPERLINK("http://twiplomacy.com/info/asia/Israel","http://twiplomacy.com/info/asia/Israel")</f>
        <v>http://twiplomacy.com/info/asia/Israel</v>
      </c>
      <c r="F169" s="10" t="s">
        <v>154</v>
      </c>
      <c r="G169" s="10" t="s">
        <v>207</v>
      </c>
      <c r="H169" s="10" t="s">
        <v>795</v>
      </c>
      <c r="I169" s="10" t="s">
        <v>782</v>
      </c>
      <c r="J169" s="27" t="s">
        <v>789</v>
      </c>
      <c r="K169" s="15" t="s">
        <v>777</v>
      </c>
      <c r="L169" s="10"/>
      <c r="M169" s="10"/>
      <c r="N169" s="30" t="s">
        <v>3382</v>
      </c>
      <c r="O169" s="27" t="s">
        <v>3398</v>
      </c>
      <c r="P169" s="80">
        <v>799</v>
      </c>
      <c r="Q169" s="80">
        <v>169</v>
      </c>
      <c r="R169" s="27" t="s">
        <v>2994</v>
      </c>
      <c r="S169" s="12" t="s">
        <v>3377</v>
      </c>
      <c r="T169" s="10" t="s">
        <v>771</v>
      </c>
      <c r="U169" s="10" t="s">
        <v>771</v>
      </c>
      <c r="V169" s="10" t="s">
        <v>771</v>
      </c>
      <c r="W169" s="10"/>
      <c r="X169" s="27" t="s">
        <v>3367</v>
      </c>
      <c r="Y169" s="27" t="s">
        <v>3849</v>
      </c>
      <c r="Z169" s="80">
        <v>6947</v>
      </c>
      <c r="AA169" s="27">
        <v>1034</v>
      </c>
      <c r="AB169" s="80">
        <v>64848</v>
      </c>
      <c r="AC169" s="27">
        <v>460</v>
      </c>
      <c r="AD169" s="27" t="s">
        <v>3850</v>
      </c>
      <c r="AE169" s="27">
        <v>237695510</v>
      </c>
      <c r="AF169" s="27" t="s">
        <v>6403</v>
      </c>
      <c r="AG169" s="27" t="s">
        <v>3851</v>
      </c>
      <c r="AH169" s="79">
        <v>3.5893595041322301</v>
      </c>
      <c r="AI169" s="83">
        <v>3.3333333333333299</v>
      </c>
      <c r="AJ169" s="80">
        <v>5.6766295707472203</v>
      </c>
      <c r="AK169" s="80">
        <v>3.40667726550079</v>
      </c>
      <c r="AL169" s="27">
        <v>337</v>
      </c>
      <c r="AM169" s="97">
        <f t="shared" si="2"/>
        <v>0.1053125</v>
      </c>
      <c r="AN169" s="27" t="s">
        <v>3367</v>
      </c>
      <c r="AO169" s="27">
        <v>10</v>
      </c>
      <c r="AP169" s="27">
        <v>4</v>
      </c>
      <c r="AQ169" s="27">
        <v>4</v>
      </c>
      <c r="AR169" s="27">
        <f>SUM(AO169:AQ169)</f>
        <v>18</v>
      </c>
      <c r="AS169" s="27" t="s">
        <v>5203</v>
      </c>
      <c r="AT169" s="27" t="s">
        <v>6298</v>
      </c>
      <c r="AU169" s="84" t="s">
        <v>4766</v>
      </c>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7"/>
      <c r="GD169" s="77"/>
      <c r="GE169" s="77"/>
      <c r="GF169" s="77"/>
      <c r="GG169" s="77"/>
      <c r="GH169" s="77"/>
      <c r="GI169" s="77"/>
      <c r="GJ169" s="77"/>
      <c r="GK169" s="77"/>
      <c r="GL169" s="77"/>
      <c r="GM169" s="77"/>
      <c r="GN169" s="77"/>
      <c r="GO169" s="77"/>
      <c r="GP169" s="77"/>
      <c r="GQ169" s="77"/>
      <c r="GR169" s="77"/>
      <c r="GS169" s="77"/>
      <c r="GT169" s="77"/>
      <c r="GU169" s="77"/>
      <c r="GV169" s="77"/>
      <c r="GW169" s="77"/>
      <c r="GX169" s="77"/>
      <c r="GY169" s="77"/>
      <c r="GZ169" s="77"/>
      <c r="HA169" s="77"/>
      <c r="HB169" s="77"/>
      <c r="HC169" s="77"/>
      <c r="HD169" s="77"/>
      <c r="HE169" s="77"/>
      <c r="HF169" s="77"/>
      <c r="HG169" s="77"/>
      <c r="HH169" s="77"/>
      <c r="HI169" s="77"/>
      <c r="HJ169" s="77"/>
      <c r="HK169" s="77"/>
      <c r="HL169" s="77"/>
      <c r="HM169" s="77"/>
      <c r="HN169" s="77"/>
      <c r="HO169" s="77"/>
      <c r="HP169" s="77"/>
      <c r="HQ169" s="77"/>
      <c r="HR169" s="77"/>
      <c r="HS169" s="77"/>
      <c r="HT169" s="77"/>
      <c r="HU169" s="77"/>
      <c r="HV169" s="77"/>
      <c r="HW169" s="77"/>
      <c r="HX169" s="77"/>
      <c r="HY169" s="77"/>
      <c r="HZ169" s="77"/>
      <c r="IA169" s="77"/>
      <c r="IB169" s="77"/>
      <c r="IC169" s="77"/>
      <c r="ID169" s="77"/>
      <c r="IE169" s="77"/>
      <c r="IF169" s="77"/>
      <c r="IG169" s="77"/>
      <c r="IH169" s="77"/>
      <c r="II169" s="77"/>
      <c r="IJ169" s="77"/>
      <c r="IK169" s="77"/>
      <c r="IL169" s="77"/>
      <c r="IM169" s="77"/>
      <c r="IN169" s="77"/>
      <c r="IO169" s="77"/>
      <c r="IP169" s="77"/>
      <c r="IQ169" s="77"/>
      <c r="IR169" s="77"/>
      <c r="IS169" s="77"/>
      <c r="IT169" s="77"/>
      <c r="IU169" s="77"/>
      <c r="IV169" s="77"/>
      <c r="IW169" s="77"/>
      <c r="IX169" s="77"/>
      <c r="IY169" s="77"/>
      <c r="IZ169" s="77"/>
      <c r="JA169" s="77"/>
      <c r="JB169" s="77"/>
      <c r="JC169" s="77"/>
      <c r="JD169" s="77"/>
      <c r="JE169" s="77"/>
      <c r="JF169" s="77"/>
      <c r="JG169" s="77"/>
      <c r="JH169" s="77"/>
      <c r="JI169" s="77"/>
      <c r="JJ169" s="77"/>
      <c r="JK169" s="77"/>
      <c r="JL169" s="77"/>
      <c r="JM169" s="77"/>
      <c r="JN169" s="77"/>
      <c r="JO169" s="77"/>
      <c r="JP169" s="77"/>
      <c r="JQ169" s="77"/>
      <c r="JR169" s="77"/>
      <c r="JS169" s="77"/>
      <c r="JT169" s="77"/>
      <c r="JU169" s="77"/>
      <c r="JV169" s="77"/>
      <c r="JW169" s="77"/>
      <c r="JX169" s="77"/>
      <c r="LW169" s="77"/>
      <c r="LX169" s="77"/>
      <c r="MS169" s="77"/>
    </row>
    <row r="170" spans="1:368" ht="18.600000000000001" customHeight="1" x14ac:dyDescent="0.25">
      <c r="A170" s="121" t="s">
        <v>5572</v>
      </c>
      <c r="B170" s="27" t="s">
        <v>5576</v>
      </c>
      <c r="C170" s="27" t="s">
        <v>5577</v>
      </c>
      <c r="D170" s="12" t="s">
        <v>6137</v>
      </c>
      <c r="E170" s="30" t="str">
        <f>HYPERLINK("http://twiplomacy.com/info/south-america/Brazil","http://twiplomacy.com/info/south-america/Brazil")</f>
        <v>http://twiplomacy.com/info/south-america/Brazil</v>
      </c>
      <c r="F170" s="10" t="s">
        <v>668</v>
      </c>
      <c r="G170" s="10" t="s">
        <v>673</v>
      </c>
      <c r="H170" s="10" t="s">
        <v>772</v>
      </c>
      <c r="I170" s="10" t="s">
        <v>773</v>
      </c>
      <c r="J170" s="27" t="s">
        <v>785</v>
      </c>
      <c r="K170" s="15" t="s">
        <v>777</v>
      </c>
      <c r="L170" s="10"/>
      <c r="M170" s="10"/>
      <c r="N170" s="34" t="s">
        <v>6139</v>
      </c>
      <c r="O170" s="27" t="s">
        <v>5956</v>
      </c>
      <c r="P170" s="80">
        <v>11283</v>
      </c>
      <c r="Q170" s="80">
        <v>4081</v>
      </c>
      <c r="R170" s="27" t="s">
        <v>2994</v>
      </c>
      <c r="S170" s="12" t="s">
        <v>6141</v>
      </c>
      <c r="T170" s="10" t="s">
        <v>771</v>
      </c>
      <c r="U170" s="10">
        <v>3</v>
      </c>
      <c r="V170" s="10" t="s">
        <v>771</v>
      </c>
      <c r="W170" s="42"/>
      <c r="X170" s="39" t="s">
        <v>5572</v>
      </c>
      <c r="Y170" s="27" t="s">
        <v>5576</v>
      </c>
      <c r="Z170" s="80">
        <v>6919</v>
      </c>
      <c r="AA170" s="27">
        <v>561</v>
      </c>
      <c r="AB170" s="80">
        <v>555688</v>
      </c>
      <c r="AC170" s="27">
        <v>519</v>
      </c>
      <c r="AD170" s="27" t="s">
        <v>5578</v>
      </c>
      <c r="AE170" s="27">
        <v>39591928</v>
      </c>
      <c r="AF170" s="27" t="s">
        <v>5577</v>
      </c>
      <c r="AG170" s="27" t="s">
        <v>3871</v>
      </c>
      <c r="AH170" s="79">
        <v>2.7175962293794198</v>
      </c>
      <c r="AI170" s="79">
        <v>5.8150807899461396</v>
      </c>
      <c r="AJ170" s="80">
        <v>13.995425085779599</v>
      </c>
      <c r="AK170" s="80">
        <v>13.441860465116299</v>
      </c>
      <c r="AL170" s="27">
        <v>110</v>
      </c>
      <c r="AM170" s="97">
        <f t="shared" si="2"/>
        <v>3.4375000000000003E-2</v>
      </c>
      <c r="AN170" s="39" t="s">
        <v>5572</v>
      </c>
      <c r="AO170" s="27">
        <v>17</v>
      </c>
      <c r="AP170" s="27">
        <v>4</v>
      </c>
      <c r="AQ170" s="27">
        <v>2</v>
      </c>
      <c r="AR170" s="27">
        <f>SUM(AO170:AQ170)</f>
        <v>23</v>
      </c>
      <c r="AS170" s="27" t="s">
        <v>6598</v>
      </c>
      <c r="AT170" s="27" t="s">
        <v>6792</v>
      </c>
      <c r="AU170" s="84" t="s">
        <v>6510</v>
      </c>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GL170" s="77"/>
      <c r="GM170" s="77"/>
      <c r="GN170" s="77"/>
      <c r="GO170" s="77"/>
      <c r="GP170" s="77"/>
      <c r="GQ170" s="77"/>
      <c r="GR170" s="77"/>
      <c r="GS170" s="77"/>
      <c r="GT170" s="77"/>
      <c r="GU170" s="77"/>
      <c r="GV170" s="77"/>
      <c r="GW170" s="77"/>
      <c r="GX170" s="77"/>
      <c r="GY170" s="77"/>
      <c r="GZ170" s="77"/>
      <c r="HA170" s="77"/>
      <c r="HB170" s="77"/>
      <c r="HC170" s="77"/>
      <c r="HD170" s="77"/>
      <c r="HE170" s="77"/>
      <c r="HF170" s="77"/>
      <c r="HG170" s="77"/>
      <c r="HH170" s="77"/>
      <c r="HI170" s="77"/>
      <c r="HJ170" s="77"/>
      <c r="HK170" s="77"/>
      <c r="HL170" s="77"/>
      <c r="HM170" s="77"/>
      <c r="HN170" s="77"/>
      <c r="HO170" s="77"/>
      <c r="HP170" s="77"/>
      <c r="HQ170" s="77"/>
      <c r="HR170" s="77"/>
      <c r="HS170" s="77"/>
      <c r="HT170" s="77"/>
      <c r="HU170" s="77"/>
      <c r="HV170" s="77"/>
      <c r="HW170" s="77"/>
      <c r="HX170" s="77"/>
      <c r="HY170" s="77"/>
      <c r="HZ170" s="77"/>
      <c r="IA170" s="77"/>
      <c r="IB170" s="77"/>
      <c r="IC170" s="77"/>
      <c r="ID170" s="77"/>
      <c r="IE170" s="77"/>
      <c r="IF170" s="77"/>
      <c r="IG170" s="77"/>
      <c r="IH170" s="77"/>
      <c r="II170" s="77"/>
      <c r="IJ170" s="77"/>
      <c r="IK170" s="77"/>
      <c r="IL170" s="77"/>
      <c r="IM170" s="77"/>
      <c r="IN170" s="77"/>
      <c r="IO170" s="77"/>
      <c r="IP170" s="77"/>
      <c r="IQ170" s="77"/>
      <c r="IR170" s="77"/>
      <c r="IS170" s="77"/>
      <c r="IT170" s="77"/>
      <c r="IU170" s="77"/>
      <c r="IV170" s="77"/>
      <c r="IW170" s="77"/>
      <c r="IX170" s="77"/>
      <c r="IY170" s="77"/>
      <c r="IZ170" s="77"/>
      <c r="JA170" s="77"/>
      <c r="JB170" s="77"/>
      <c r="JC170" s="77"/>
      <c r="JD170" s="77"/>
      <c r="JE170" s="77"/>
      <c r="JF170" s="77"/>
      <c r="JG170" s="77"/>
      <c r="JH170" s="77"/>
      <c r="JI170" s="77"/>
      <c r="JJ170" s="77"/>
      <c r="JK170" s="77"/>
      <c r="JL170" s="77"/>
      <c r="JM170" s="77"/>
      <c r="JN170" s="77"/>
      <c r="JO170" s="77"/>
      <c r="JP170" s="77"/>
      <c r="JQ170" s="77"/>
      <c r="JR170" s="77"/>
      <c r="JS170" s="77"/>
      <c r="JT170" s="77"/>
      <c r="JU170" s="77"/>
      <c r="JV170" s="77"/>
      <c r="JW170" s="77"/>
      <c r="JX170" s="77"/>
      <c r="JY170" s="77"/>
      <c r="JZ170" s="77"/>
      <c r="KA170" s="77"/>
      <c r="KB170" s="77"/>
      <c r="KC170" s="77"/>
      <c r="KD170" s="77"/>
      <c r="KE170" s="77"/>
      <c r="KF170" s="77"/>
      <c r="KG170" s="77"/>
      <c r="KH170" s="77"/>
      <c r="KI170" s="77"/>
      <c r="KJ170" s="77"/>
      <c r="KK170" s="77"/>
      <c r="KL170" s="77"/>
      <c r="KM170" s="77"/>
      <c r="KN170" s="77"/>
      <c r="KO170" s="77"/>
      <c r="KP170" s="77"/>
      <c r="KQ170" s="77"/>
      <c r="KR170" s="77"/>
      <c r="KS170" s="77"/>
      <c r="KT170" s="77"/>
      <c r="KU170" s="77"/>
      <c r="KV170" s="77"/>
      <c r="KW170" s="77"/>
      <c r="KX170" s="77"/>
      <c r="KY170" s="77"/>
      <c r="KZ170" s="77"/>
      <c r="LA170" s="77"/>
      <c r="LB170" s="77"/>
      <c r="LC170" s="77"/>
      <c r="LD170" s="77"/>
      <c r="LE170" s="77"/>
      <c r="LF170" s="77"/>
      <c r="LG170" s="77"/>
      <c r="LH170" s="77"/>
      <c r="LI170" s="77"/>
      <c r="LJ170" s="77"/>
      <c r="LK170" s="77"/>
      <c r="LL170" s="77"/>
      <c r="LM170" s="77"/>
      <c r="LN170" s="77"/>
      <c r="LO170" s="77"/>
      <c r="LP170" s="77"/>
      <c r="LQ170" s="77"/>
      <c r="LR170" s="77"/>
      <c r="LS170" s="77"/>
      <c r="LT170" s="77"/>
      <c r="LU170" s="77"/>
      <c r="LV170" s="77"/>
    </row>
    <row r="171" spans="1:368" ht="18.600000000000001" customHeight="1" x14ac:dyDescent="0.25">
      <c r="A171" s="119" t="s">
        <v>231</v>
      </c>
      <c r="B171" s="27" t="s">
        <v>1234</v>
      </c>
      <c r="C171" s="27" t="s">
        <v>4147</v>
      </c>
      <c r="D171" s="30" t="str">
        <f>HYPERLINK("https://twitter.com/MOFAKuwait","https://twitter.com/MOFAKuwait")</f>
        <v>https://twitter.com/MOFAKuwait</v>
      </c>
      <c r="E171" s="30" t="str">
        <f>HYPERLINK("http://twiplomacy.com/info/asia/Kuwait","http://twiplomacy.com/info/asia/Kuwait")</f>
        <v>http://twiplomacy.com/info/asia/Kuwait</v>
      </c>
      <c r="F171" s="10" t="s">
        <v>154</v>
      </c>
      <c r="G171" s="10" t="s">
        <v>230</v>
      </c>
      <c r="H171" s="10" t="s">
        <v>795</v>
      </c>
      <c r="I171" s="10" t="s">
        <v>782</v>
      </c>
      <c r="J171" s="27" t="s">
        <v>789</v>
      </c>
      <c r="K171" s="15" t="s">
        <v>777</v>
      </c>
      <c r="L171" s="10" t="s">
        <v>771</v>
      </c>
      <c r="M171" s="10" t="s">
        <v>770</v>
      </c>
      <c r="N171" s="30" t="str">
        <f>HYPERLINK("https://twitter.com/MOFAKuwait/statuses/2611365326","https://twitter.com/MOFAKuwait/statuses/2611365326")</f>
        <v>https://twitter.com/MOFAKuwait/statuses/2611365326</v>
      </c>
      <c r="O171" s="20" t="s">
        <v>1444</v>
      </c>
      <c r="P171" s="46">
        <v>1638</v>
      </c>
      <c r="Q171" s="46">
        <v>2</v>
      </c>
      <c r="R171" s="27" t="s">
        <v>2994</v>
      </c>
      <c r="S171" s="10" t="s">
        <v>1445</v>
      </c>
      <c r="T171" s="10" t="s">
        <v>771</v>
      </c>
      <c r="U171" s="10" t="s">
        <v>771</v>
      </c>
      <c r="V171" s="10" t="s">
        <v>771</v>
      </c>
      <c r="W171" s="10"/>
      <c r="X171" s="27" t="s">
        <v>231</v>
      </c>
      <c r="Y171" s="27" t="s">
        <v>1234</v>
      </c>
      <c r="Z171" s="80">
        <v>6914</v>
      </c>
      <c r="AA171" s="27">
        <v>3</v>
      </c>
      <c r="AB171" s="80">
        <v>72462</v>
      </c>
      <c r="AC171" s="27">
        <v>0</v>
      </c>
      <c r="AD171" s="27" t="s">
        <v>4148</v>
      </c>
      <c r="AE171" s="27">
        <v>55587669</v>
      </c>
      <c r="AF171" s="27" t="s">
        <v>4147</v>
      </c>
      <c r="AG171" s="27" t="s">
        <v>4149</v>
      </c>
      <c r="AH171" s="79">
        <v>2.7789389067524102</v>
      </c>
      <c r="AI171" s="83">
        <v>5.9425925925925904</v>
      </c>
      <c r="AJ171" s="80">
        <v>2.8268325487558799</v>
      </c>
      <c r="AK171" s="80">
        <v>1.0060524546065901</v>
      </c>
      <c r="AL171" s="27">
        <v>25</v>
      </c>
      <c r="AM171" s="97">
        <f t="shared" si="2"/>
        <v>7.8125E-3</v>
      </c>
      <c r="AN171" s="27" t="s">
        <v>231</v>
      </c>
      <c r="AO171" s="27">
        <v>0</v>
      </c>
      <c r="AP171" s="27">
        <v>35</v>
      </c>
      <c r="AQ171" s="27">
        <v>1</v>
      </c>
      <c r="AR171" s="27">
        <f>SUM(AO171:AQ171)</f>
        <v>36</v>
      </c>
      <c r="AS171" s="27"/>
      <c r="AT171" s="39" t="s">
        <v>6906</v>
      </c>
      <c r="AU171" s="84" t="s">
        <v>232</v>
      </c>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Q171" s="77"/>
      <c r="ER171" s="77"/>
      <c r="ES171" s="77"/>
      <c r="ET171" s="77"/>
      <c r="EU171" s="77"/>
      <c r="EV171" s="77"/>
      <c r="EW171" s="77"/>
      <c r="EX171" s="77"/>
      <c r="EY171" s="77"/>
      <c r="EZ171" s="77"/>
      <c r="FA171" s="77"/>
      <c r="FB171" s="77"/>
      <c r="FC171" s="77"/>
      <c r="FD171" s="77"/>
      <c r="FE171" s="77"/>
      <c r="FF171" s="77"/>
      <c r="FG171" s="77"/>
      <c r="FH171" s="77"/>
      <c r="FI171" s="77"/>
      <c r="FJ171" s="77"/>
      <c r="FK171" s="77"/>
      <c r="FL171" s="77"/>
      <c r="FM171" s="77"/>
      <c r="FN171" s="77"/>
      <c r="FO171" s="77"/>
      <c r="FP171" s="77"/>
      <c r="FQ171" s="77"/>
      <c r="FR171" s="77"/>
      <c r="FS171" s="77"/>
      <c r="FT171" s="77"/>
      <c r="FU171" s="77"/>
      <c r="FV171" s="77"/>
      <c r="FW171" s="77"/>
      <c r="FX171" s="77"/>
      <c r="FY171" s="77"/>
      <c r="FZ171" s="77"/>
      <c r="GA171" s="77"/>
      <c r="GB171" s="77"/>
      <c r="GC171" s="77"/>
      <c r="GD171" s="77"/>
      <c r="GE171" s="77"/>
      <c r="GF171" s="77"/>
      <c r="GG171" s="77"/>
      <c r="GH171" s="77"/>
      <c r="GI171" s="77"/>
      <c r="GJ171" s="77"/>
      <c r="GK171" s="77"/>
      <c r="HL171" s="77"/>
      <c r="HM171" s="77"/>
      <c r="HN171" s="77"/>
      <c r="HO171" s="77"/>
      <c r="HP171" s="77"/>
      <c r="HQ171" s="77"/>
      <c r="HR171" s="77"/>
      <c r="HS171" s="77"/>
      <c r="HT171" s="77"/>
      <c r="HU171" s="77"/>
      <c r="HV171" s="77"/>
      <c r="HW171" s="77"/>
      <c r="HX171" s="77"/>
      <c r="HY171" s="77"/>
      <c r="HZ171" s="77"/>
      <c r="IA171" s="77"/>
      <c r="IB171" s="77"/>
      <c r="IC171" s="77"/>
      <c r="ID171" s="77"/>
      <c r="IE171" s="77"/>
      <c r="IF171" s="16"/>
      <c r="IG171" s="16"/>
      <c r="IH171" s="16"/>
      <c r="II171" s="16"/>
      <c r="IJ171" s="16"/>
      <c r="IK171" s="16"/>
      <c r="IL171" s="16"/>
      <c r="IM171" s="16"/>
      <c r="IN171" s="16"/>
      <c r="IO171" s="16"/>
      <c r="IP171" s="16"/>
      <c r="IQ171" s="16"/>
      <c r="IR171" s="16"/>
      <c r="IS171" s="16"/>
      <c r="IT171" s="16"/>
      <c r="IU171" s="16"/>
      <c r="IV171" s="16"/>
      <c r="IW171" s="16"/>
      <c r="IX171" s="16"/>
      <c r="IY171" s="16"/>
      <c r="IZ171" s="16"/>
      <c r="JA171" s="16"/>
      <c r="JB171" s="16"/>
      <c r="JC171" s="16"/>
      <c r="JD171" s="16"/>
      <c r="JE171" s="16"/>
      <c r="JF171" s="16"/>
      <c r="JG171" s="16"/>
      <c r="JH171" s="16"/>
      <c r="JI171" s="16"/>
      <c r="JJ171" s="16"/>
      <c r="JK171" s="16"/>
      <c r="JL171" s="16"/>
      <c r="JM171" s="16"/>
      <c r="JN171" s="16"/>
      <c r="JO171" s="16"/>
      <c r="JP171" s="16"/>
      <c r="JQ171" s="16"/>
      <c r="JR171" s="16"/>
      <c r="JS171" s="16"/>
      <c r="JT171" s="16"/>
      <c r="JU171" s="16"/>
      <c r="JV171" s="16"/>
      <c r="JW171" s="16"/>
      <c r="JX171" s="16"/>
      <c r="KM171" s="77"/>
      <c r="KN171" s="77"/>
      <c r="KO171" s="77"/>
      <c r="KP171" s="77"/>
      <c r="KQ171" s="77"/>
      <c r="KR171" s="77"/>
      <c r="KS171" s="77"/>
      <c r="KT171" s="77"/>
      <c r="KU171" s="77"/>
      <c r="KV171" s="77"/>
      <c r="KW171" s="77"/>
      <c r="KX171" s="77"/>
      <c r="KY171" s="77"/>
      <c r="KZ171" s="77"/>
      <c r="LA171" s="77"/>
      <c r="LB171" s="77"/>
      <c r="LC171" s="77"/>
      <c r="LD171" s="77"/>
      <c r="LE171" s="77"/>
      <c r="LF171" s="77"/>
      <c r="LG171" s="77"/>
      <c r="LH171" s="77"/>
      <c r="LI171" s="77"/>
      <c r="LJ171" s="77"/>
      <c r="LK171" s="77"/>
    </row>
    <row r="172" spans="1:368" ht="18.600000000000001" customHeight="1" x14ac:dyDescent="0.25">
      <c r="A172" s="119" t="s">
        <v>444</v>
      </c>
      <c r="B172" s="27" t="s">
        <v>2024</v>
      </c>
      <c r="C172" s="27" t="s">
        <v>2025</v>
      </c>
      <c r="D172" s="30" t="str">
        <f>HYPERLINK("https://twitter.com/LithuaniaMFA","https://twitter.com/LithuaniaMFA")</f>
        <v>https://twitter.com/LithuaniaMFA</v>
      </c>
      <c r="E172" s="30" t="str">
        <f>HYPERLINK("http://twiplomacy.com/info/europe/Lithuania","http://twiplomacy.com/info/europe/Lithuania")</f>
        <v>http://twiplomacy.com/info/europe/Lithuania</v>
      </c>
      <c r="F172" s="10" t="s">
        <v>332</v>
      </c>
      <c r="G172" s="10" t="s">
        <v>439</v>
      </c>
      <c r="H172" s="10" t="s">
        <v>795</v>
      </c>
      <c r="I172" s="10" t="s">
        <v>782</v>
      </c>
      <c r="J172" s="27" t="s">
        <v>789</v>
      </c>
      <c r="K172" s="15" t="s">
        <v>777</v>
      </c>
      <c r="L172" s="10" t="s">
        <v>771</v>
      </c>
      <c r="M172" s="10" t="s">
        <v>770</v>
      </c>
      <c r="N172" s="30" t="str">
        <f>HYPERLINK("https://twitter.com/LithuaniaMFA/statuses/315369797217046528","https://twitter.com/LithuaniaMFA/statuses/315369797217046528")</f>
        <v>https://twitter.com/LithuaniaMFA/statuses/315369797217046528</v>
      </c>
      <c r="O172" s="27" t="s">
        <v>2026</v>
      </c>
      <c r="P172" s="80">
        <v>465</v>
      </c>
      <c r="Q172" s="80">
        <v>246</v>
      </c>
      <c r="R172" s="27" t="s">
        <v>2994</v>
      </c>
      <c r="S172" s="30" t="str">
        <f>HYPERLINK("https://twitter.com/LithuaniaMFA/lists","https://twitter.com/LithuaniaMFA/lists")</f>
        <v>https://twitter.com/LithuaniaMFA/lists</v>
      </c>
      <c r="T172" s="10">
        <v>12</v>
      </c>
      <c r="U172" s="10">
        <v>2</v>
      </c>
      <c r="V172" s="12" t="s">
        <v>6881</v>
      </c>
      <c r="W172" s="10">
        <v>46</v>
      </c>
      <c r="X172" s="27" t="s">
        <v>444</v>
      </c>
      <c r="Y172" s="27" t="s">
        <v>2024</v>
      </c>
      <c r="Z172" s="80">
        <v>6812</v>
      </c>
      <c r="AA172" s="27">
        <v>1140</v>
      </c>
      <c r="AB172" s="80">
        <v>43125</v>
      </c>
      <c r="AC172" s="27">
        <v>6714</v>
      </c>
      <c r="AD172" s="27" t="s">
        <v>3975</v>
      </c>
      <c r="AE172" s="27">
        <v>226541132</v>
      </c>
      <c r="AF172" s="27" t="s">
        <v>2025</v>
      </c>
      <c r="AG172" s="27" t="s">
        <v>2023</v>
      </c>
      <c r="AH172" s="79">
        <v>3.4649033570701899</v>
      </c>
      <c r="AI172" s="83">
        <v>4.9984496124030997</v>
      </c>
      <c r="AJ172" s="80">
        <v>9.3222535211267594</v>
      </c>
      <c r="AK172" s="80">
        <v>5.8518309859154902</v>
      </c>
      <c r="AL172" s="27">
        <v>215</v>
      </c>
      <c r="AM172" s="97">
        <f t="shared" si="2"/>
        <v>6.7187499999999997E-2</v>
      </c>
      <c r="AN172" s="27" t="s">
        <v>444</v>
      </c>
      <c r="AO172" s="27">
        <v>129</v>
      </c>
      <c r="AP172" s="27">
        <v>9</v>
      </c>
      <c r="AQ172" s="27">
        <v>97</v>
      </c>
      <c r="AR172" s="27">
        <f>SUM(AO172:AQ172)</f>
        <v>235</v>
      </c>
      <c r="AS172" s="27" t="s">
        <v>6921</v>
      </c>
      <c r="AT172" s="27" t="s">
        <v>5254</v>
      </c>
      <c r="AU172" s="84" t="s">
        <v>4806</v>
      </c>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c r="EY172" s="77"/>
      <c r="EZ172" s="77"/>
      <c r="FA172" s="77"/>
      <c r="FB172" s="77"/>
      <c r="FC172" s="77"/>
      <c r="FD172" s="77"/>
      <c r="FE172" s="77"/>
      <c r="FF172" s="77"/>
      <c r="FG172" s="77"/>
      <c r="FH172" s="77"/>
      <c r="FI172" s="77"/>
      <c r="FJ172" s="77"/>
      <c r="FK172" s="77"/>
      <c r="FL172" s="77"/>
      <c r="FM172" s="77"/>
      <c r="FN172" s="77"/>
      <c r="FO172" s="77"/>
      <c r="FP172" s="77"/>
      <c r="FQ172" s="77"/>
      <c r="FR172" s="77"/>
      <c r="FS172" s="77"/>
      <c r="FT172" s="77"/>
      <c r="FU172" s="77"/>
      <c r="FV172" s="77"/>
      <c r="FW172" s="77"/>
      <c r="FX172" s="77"/>
      <c r="FY172" s="77"/>
      <c r="FZ172" s="77"/>
      <c r="GA172" s="77"/>
      <c r="GB172" s="77"/>
      <c r="GC172" s="77"/>
      <c r="GD172" s="77"/>
      <c r="GE172" s="77"/>
      <c r="GF172" s="77"/>
      <c r="GG172" s="77"/>
      <c r="GH172" s="77"/>
      <c r="GI172" s="77"/>
      <c r="GJ172" s="77"/>
      <c r="GK172" s="77"/>
      <c r="GL172" s="77"/>
      <c r="GM172" s="77"/>
      <c r="GN172" s="77"/>
      <c r="GO172" s="77"/>
      <c r="GP172" s="77"/>
      <c r="GQ172" s="77"/>
      <c r="GR172" s="77"/>
      <c r="GS172" s="77"/>
      <c r="GT172" s="77"/>
      <c r="GU172" s="77"/>
      <c r="GV172" s="77"/>
      <c r="GW172" s="77"/>
      <c r="GX172" s="77"/>
      <c r="GY172" s="77"/>
      <c r="GZ172" s="77"/>
      <c r="HA172" s="77"/>
      <c r="HB172" s="77"/>
      <c r="HC172" s="77"/>
      <c r="HD172" s="77"/>
      <c r="HE172" s="77"/>
      <c r="HF172" s="77"/>
      <c r="HG172" s="77"/>
      <c r="HH172" s="77"/>
      <c r="HI172" s="77"/>
      <c r="HJ172" s="77"/>
      <c r="HK172" s="77"/>
      <c r="ID172" s="77"/>
      <c r="IE172" s="77"/>
      <c r="IF172" s="16"/>
      <c r="IG172" s="16"/>
      <c r="IH172" s="16"/>
      <c r="II172" s="16"/>
      <c r="IJ172" s="16"/>
      <c r="IK172" s="16"/>
      <c r="IL172" s="16"/>
      <c r="IM172" s="16"/>
      <c r="IN172" s="16"/>
      <c r="IO172" s="16"/>
      <c r="IP172" s="16"/>
      <c r="IQ172" s="16"/>
      <c r="IR172" s="16"/>
      <c r="IS172" s="16"/>
      <c r="IT172" s="16"/>
      <c r="IU172" s="16"/>
      <c r="IV172" s="16"/>
      <c r="IW172" s="16"/>
      <c r="IX172" s="16"/>
      <c r="IY172" s="16"/>
      <c r="IZ172" s="16"/>
      <c r="JA172" s="16"/>
      <c r="JB172" s="16"/>
      <c r="JC172" s="16"/>
      <c r="JD172" s="16"/>
      <c r="JE172" s="16"/>
      <c r="JF172" s="16"/>
      <c r="JG172" s="16"/>
      <c r="JH172" s="16"/>
      <c r="JI172" s="16"/>
      <c r="JJ172" s="16"/>
      <c r="JK172" s="16"/>
      <c r="JL172" s="16"/>
      <c r="JM172" s="16"/>
      <c r="JN172" s="16"/>
      <c r="JO172" s="16"/>
      <c r="JP172" s="16"/>
      <c r="JQ172" s="16"/>
      <c r="JR172" s="16"/>
      <c r="JS172" s="16"/>
      <c r="JT172" s="16"/>
      <c r="JU172" s="16"/>
      <c r="JV172" s="16"/>
      <c r="JW172" s="16"/>
      <c r="JX172" s="16"/>
      <c r="JY172" s="77"/>
      <c r="JZ172" s="77"/>
      <c r="KA172" s="77"/>
      <c r="KB172" s="77"/>
      <c r="KC172" s="77"/>
      <c r="KD172" s="77"/>
      <c r="KE172" s="77"/>
      <c r="KF172" s="77"/>
      <c r="KG172" s="77"/>
      <c r="KH172" s="77"/>
      <c r="KI172" s="77"/>
      <c r="KJ172" s="77"/>
      <c r="KK172" s="77"/>
      <c r="KL172" s="77"/>
      <c r="LW172" s="16"/>
      <c r="LX172" s="16"/>
    </row>
    <row r="173" spans="1:368" ht="18.600000000000001" customHeight="1" x14ac:dyDescent="0.25">
      <c r="A173" s="119" t="s">
        <v>407</v>
      </c>
      <c r="B173" s="27" t="s">
        <v>1929</v>
      </c>
      <c r="C173" s="27" t="s">
        <v>4199</v>
      </c>
      <c r="D173" s="30" t="str">
        <f>HYPERLINK("https://twitter.com/Evenizelos","https://twitter.com/NikosKotzias")</f>
        <v>https://twitter.com/NikosKotzias</v>
      </c>
      <c r="E173" s="30" t="str">
        <f>HYPERLINK("http://twiplomacy.com/info/europe/Greece","http://twiplomacy.com/info/europe/Greece")</f>
        <v>http://twiplomacy.com/info/europe/Greece</v>
      </c>
      <c r="F173" s="10" t="s">
        <v>332</v>
      </c>
      <c r="G173" s="10" t="s">
        <v>405</v>
      </c>
      <c r="H173" s="10" t="s">
        <v>860</v>
      </c>
      <c r="I173" s="10" t="s">
        <v>773</v>
      </c>
      <c r="J173" s="27" t="s">
        <v>789</v>
      </c>
      <c r="K173" s="15" t="s">
        <v>777</v>
      </c>
      <c r="L173" s="10"/>
      <c r="M173" s="10" t="s">
        <v>771</v>
      </c>
      <c r="N173" s="30" t="str">
        <f>HYPERLINK("https://twitter.com/NikosKotzias/status/131862885944147968","https://twitter.com/NikosKotzias/status/131862885944147968")</f>
        <v>https://twitter.com/NikosKotzias/status/131862885944147968</v>
      </c>
      <c r="O173" s="27" t="s">
        <v>5990</v>
      </c>
      <c r="P173" s="80">
        <v>339</v>
      </c>
      <c r="Q173" s="80">
        <v>323</v>
      </c>
      <c r="R173" s="27" t="s">
        <v>2995</v>
      </c>
      <c r="S173" s="30" t="str">
        <f>HYPERLINK("https://twitter.com/NikosKotzias/lists","https://twitter.com/NikosKotzias/lists")</f>
        <v>https://twitter.com/NikosKotzias/lists</v>
      </c>
      <c r="T173" s="10" t="s">
        <v>771</v>
      </c>
      <c r="U173" s="10">
        <v>32</v>
      </c>
      <c r="V173" s="10" t="s">
        <v>771</v>
      </c>
      <c r="W173" s="10"/>
      <c r="X173" s="27" t="s">
        <v>407</v>
      </c>
      <c r="Y173" s="27" t="s">
        <v>1929</v>
      </c>
      <c r="Z173" s="80">
        <v>6778</v>
      </c>
      <c r="AA173" s="27">
        <v>780</v>
      </c>
      <c r="AB173" s="80">
        <v>22085</v>
      </c>
      <c r="AC173" s="27">
        <v>26</v>
      </c>
      <c r="AD173" s="27" t="s">
        <v>4200</v>
      </c>
      <c r="AE173" s="27">
        <v>402920490</v>
      </c>
      <c r="AF173" s="27" t="s">
        <v>4199</v>
      </c>
      <c r="AG173" s="27" t="s">
        <v>800</v>
      </c>
      <c r="AH173" s="79">
        <v>4.1253804017042004</v>
      </c>
      <c r="AI173" s="83">
        <v>2.2127512127512099</v>
      </c>
      <c r="AJ173" s="80">
        <v>6.1438423645320199</v>
      </c>
      <c r="AK173" s="80">
        <v>4.5743842364532004</v>
      </c>
      <c r="AL173" s="27">
        <v>879</v>
      </c>
      <c r="AM173" s="97">
        <f t="shared" si="2"/>
        <v>0.27468749999999997</v>
      </c>
      <c r="AN173" s="27" t="s">
        <v>407</v>
      </c>
      <c r="AO173" s="27">
        <v>3</v>
      </c>
      <c r="AP173" s="27">
        <v>15</v>
      </c>
      <c r="AQ173" s="27">
        <v>10</v>
      </c>
      <c r="AR173" s="27">
        <f>SUM(AO173:AQ173)</f>
        <v>28</v>
      </c>
      <c r="AS173" s="27" t="s">
        <v>5365</v>
      </c>
      <c r="AT173" s="27" t="s">
        <v>6805</v>
      </c>
      <c r="AU173" s="84" t="s">
        <v>6518</v>
      </c>
      <c r="AV173" s="77"/>
      <c r="AW173" s="77"/>
      <c r="AX173" s="77"/>
      <c r="AY173" s="77"/>
      <c r="AZ173" s="77"/>
      <c r="BA173" s="77"/>
      <c r="BB173" s="77"/>
      <c r="BC173" s="77"/>
      <c r="BD173" s="77"/>
      <c r="BE173" s="77"/>
      <c r="BF173" s="77"/>
      <c r="BG173" s="77"/>
      <c r="BH173" s="77"/>
      <c r="BI173" s="77"/>
      <c r="BJ173" s="77"/>
      <c r="BK173" s="77"/>
      <c r="BL173" s="77"/>
      <c r="BN173" s="77"/>
      <c r="BO173" s="77"/>
      <c r="BP173" s="77"/>
      <c r="BQ173" s="77"/>
      <c r="BR173" s="77"/>
      <c r="BS173" s="77"/>
      <c r="BT173" s="77"/>
      <c r="BU173" s="77"/>
      <c r="BV173" s="77"/>
      <c r="BW173" s="77"/>
      <c r="BX173" s="77"/>
      <c r="BY173" s="77"/>
      <c r="BZ173" s="77"/>
      <c r="CA173" s="77"/>
      <c r="CB173" s="77"/>
      <c r="CX173" s="77"/>
      <c r="CY173" s="77"/>
      <c r="CZ173" s="77"/>
      <c r="DA173" s="77"/>
      <c r="DB173" s="77"/>
      <c r="DC173" s="77"/>
      <c r="DD173" s="77"/>
      <c r="DE173" s="77"/>
      <c r="DF173" s="77"/>
      <c r="DG173" s="77"/>
      <c r="DH173" s="77"/>
      <c r="DI173" s="77"/>
      <c r="DJ173" s="77"/>
      <c r="DK173" s="77"/>
      <c r="DL173" s="77"/>
      <c r="DM173" s="77"/>
      <c r="DN173" s="77"/>
      <c r="DO173" s="77"/>
      <c r="DP173" s="77"/>
      <c r="DQ173" s="77"/>
      <c r="DR173" s="77"/>
      <c r="DS173" s="77"/>
      <c r="DT173" s="77"/>
      <c r="DU173" s="77"/>
      <c r="DV173" s="77"/>
      <c r="DW173" s="77"/>
      <c r="DX173" s="77"/>
      <c r="DY173" s="77"/>
      <c r="DZ173" s="77"/>
      <c r="EA173" s="77"/>
      <c r="EB173" s="77"/>
      <c r="EC173" s="77"/>
      <c r="ED173" s="77"/>
      <c r="EE173" s="77"/>
      <c r="EF173" s="77"/>
      <c r="EG173" s="77"/>
      <c r="EH173" s="77"/>
      <c r="EI173" s="77"/>
      <c r="EJ173" s="77"/>
      <c r="EK173" s="77"/>
      <c r="EL173" s="77"/>
      <c r="EM173" s="77"/>
      <c r="EN173" s="77"/>
      <c r="EO173" s="77"/>
      <c r="EP173" s="77"/>
      <c r="EQ173" s="77"/>
      <c r="ER173" s="77"/>
      <c r="ES173" s="77"/>
      <c r="ET173" s="77"/>
      <c r="EU173" s="77"/>
      <c r="EV173" s="77"/>
      <c r="EW173" s="77"/>
      <c r="EX173" s="77"/>
      <c r="EY173" s="77"/>
      <c r="EZ173" s="77"/>
      <c r="FA173" s="77"/>
      <c r="FB173" s="77"/>
      <c r="FC173" s="77"/>
      <c r="FD173" s="77"/>
      <c r="FE173" s="77"/>
      <c r="FF173" s="77"/>
      <c r="FG173" s="77"/>
      <c r="FH173" s="77"/>
      <c r="FI173" s="77"/>
      <c r="FJ173" s="77"/>
      <c r="FK173" s="77"/>
      <c r="FL173" s="77"/>
      <c r="FM173" s="77"/>
      <c r="FN173" s="77"/>
      <c r="FO173" s="77"/>
      <c r="FP173" s="77"/>
      <c r="FQ173" s="77"/>
      <c r="FR173" s="77"/>
      <c r="FS173" s="77"/>
      <c r="FT173" s="77"/>
      <c r="FU173" s="77"/>
      <c r="FV173" s="77"/>
      <c r="FW173" s="77"/>
      <c r="FX173" s="77"/>
      <c r="FY173" s="77"/>
      <c r="FZ173" s="77"/>
      <c r="GA173" s="77"/>
      <c r="GB173" s="77"/>
      <c r="GC173" s="77"/>
      <c r="GD173" s="77"/>
      <c r="GE173" s="77"/>
      <c r="GF173" s="77"/>
      <c r="GG173" s="77"/>
      <c r="GH173" s="77"/>
      <c r="GI173" s="77"/>
      <c r="GJ173" s="77"/>
      <c r="GK173" s="77"/>
      <c r="GL173" s="77"/>
      <c r="GM173" s="77"/>
      <c r="GN173" s="77"/>
      <c r="GO173" s="77"/>
      <c r="GP173" s="77"/>
      <c r="GQ173" s="77"/>
      <c r="GR173" s="77"/>
      <c r="GS173" s="77"/>
      <c r="GT173" s="77"/>
      <c r="GU173" s="77"/>
      <c r="GV173" s="77"/>
      <c r="GW173" s="77"/>
      <c r="GX173" s="77"/>
      <c r="GY173" s="77"/>
      <c r="GZ173" s="77"/>
      <c r="HA173" s="77"/>
      <c r="HB173" s="77"/>
      <c r="HC173" s="77"/>
      <c r="HD173" s="77"/>
      <c r="HE173" s="77"/>
      <c r="HF173" s="77"/>
      <c r="HG173" s="77"/>
      <c r="HH173" s="77"/>
      <c r="HI173" s="77"/>
      <c r="HJ173" s="77"/>
      <c r="HK173" s="77"/>
      <c r="HL173" s="77"/>
      <c r="HM173" s="77"/>
      <c r="HN173" s="77"/>
      <c r="HO173" s="77"/>
      <c r="HP173" s="77"/>
      <c r="HQ173" s="77"/>
      <c r="HR173" s="77"/>
      <c r="HS173" s="77"/>
      <c r="HT173" s="77"/>
      <c r="HU173" s="77"/>
      <c r="HV173" s="77"/>
      <c r="HW173" s="77"/>
      <c r="HX173" s="77"/>
      <c r="HY173" s="77"/>
      <c r="HZ173" s="77"/>
      <c r="IA173" s="77"/>
      <c r="IB173" s="77"/>
      <c r="IC173" s="77"/>
      <c r="ID173" s="77"/>
      <c r="IE173" s="77"/>
      <c r="IF173" s="77"/>
      <c r="IG173" s="77"/>
      <c r="IH173" s="77"/>
      <c r="II173" s="77"/>
      <c r="IJ173" s="77"/>
      <c r="IK173" s="77"/>
      <c r="IL173" s="77"/>
      <c r="IM173" s="77"/>
      <c r="IN173" s="77"/>
      <c r="IO173" s="77"/>
      <c r="IP173" s="77"/>
      <c r="IQ173" s="77"/>
      <c r="IR173" s="77"/>
      <c r="IS173" s="77"/>
      <c r="IT173" s="77"/>
      <c r="IU173" s="77"/>
      <c r="IV173" s="77"/>
      <c r="IW173" s="77"/>
      <c r="IX173" s="77"/>
      <c r="IY173" s="77"/>
      <c r="IZ173" s="77"/>
      <c r="JA173" s="77"/>
      <c r="JB173" s="77"/>
      <c r="JC173" s="77"/>
      <c r="JD173" s="77"/>
      <c r="JE173" s="77"/>
      <c r="JF173" s="77"/>
      <c r="JG173" s="77"/>
      <c r="JH173" s="77"/>
      <c r="JI173" s="77"/>
      <c r="JJ173" s="77"/>
      <c r="JK173" s="77"/>
      <c r="JL173" s="77"/>
      <c r="JM173" s="77"/>
      <c r="JN173" s="77"/>
      <c r="JO173" s="77"/>
      <c r="JP173" s="77"/>
      <c r="JQ173" s="77"/>
      <c r="JR173" s="77"/>
      <c r="JS173" s="77"/>
      <c r="JT173" s="77"/>
      <c r="JU173" s="77"/>
      <c r="JV173" s="77"/>
      <c r="JW173" s="77"/>
      <c r="JX173" s="77"/>
      <c r="KM173" s="77"/>
      <c r="KN173" s="77"/>
      <c r="KO173" s="77"/>
      <c r="KP173" s="77"/>
      <c r="KQ173" s="77"/>
      <c r="KR173" s="77"/>
      <c r="KS173" s="77"/>
      <c r="KT173" s="77"/>
      <c r="KU173" s="77"/>
      <c r="KV173" s="77"/>
      <c r="KW173" s="77"/>
      <c r="KX173" s="77"/>
      <c r="KY173" s="77"/>
      <c r="KZ173" s="77"/>
      <c r="LA173" s="77"/>
      <c r="LB173" s="77"/>
      <c r="LC173" s="77"/>
      <c r="LD173" s="77"/>
      <c r="LE173" s="77"/>
      <c r="LF173" s="77"/>
      <c r="LG173" s="77"/>
      <c r="LH173" s="77"/>
      <c r="LI173" s="77"/>
      <c r="LJ173" s="77"/>
      <c r="LK173" s="77"/>
      <c r="LL173" s="16"/>
      <c r="LM173" s="16"/>
      <c r="LN173" s="16"/>
      <c r="LO173" s="16"/>
      <c r="LP173" s="16"/>
      <c r="LQ173" s="16"/>
      <c r="LR173" s="16"/>
      <c r="LS173" s="16"/>
      <c r="LT173" s="16"/>
      <c r="LU173" s="16"/>
      <c r="LV173" s="16"/>
      <c r="LW173" s="77"/>
      <c r="LX173" s="77"/>
      <c r="LY173" s="77"/>
      <c r="LZ173" s="77"/>
      <c r="MA173" s="77"/>
      <c r="MB173" s="77"/>
      <c r="MC173" s="77"/>
      <c r="MD173" s="77"/>
      <c r="ME173" s="77"/>
      <c r="MF173" s="77"/>
      <c r="MG173" s="77"/>
      <c r="MH173" s="77"/>
      <c r="MI173" s="77"/>
      <c r="MJ173" s="77"/>
      <c r="MK173" s="77"/>
      <c r="ML173" s="77"/>
      <c r="MM173" s="77"/>
      <c r="MN173" s="77"/>
      <c r="MO173" s="77"/>
      <c r="MP173" s="77"/>
      <c r="MQ173" s="77"/>
      <c r="MR173" s="77"/>
      <c r="MS173" s="77"/>
    </row>
    <row r="174" spans="1:368" ht="18.600000000000001" customHeight="1" x14ac:dyDescent="0.25">
      <c r="A174" s="119" t="s">
        <v>380</v>
      </c>
      <c r="B174" s="27" t="s">
        <v>1822</v>
      </c>
      <c r="C174" s="27" t="s">
        <v>4506</v>
      </c>
      <c r="D174" s="30" t="str">
        <f>HYPERLINK("https://twitter.com/TaaviRoivas","https://twitter.com/TaaviRoivas")</f>
        <v>https://twitter.com/TaaviRoivas</v>
      </c>
      <c r="E174" s="30" t="str">
        <f>HYPERLINK("http://twiplomacy.com/info/europe/Estonia","http://twiplomacy.com/info/europe/Estonia")</f>
        <v>http://twiplomacy.com/info/europe/Estonia</v>
      </c>
      <c r="F174" s="10" t="s">
        <v>332</v>
      </c>
      <c r="G174" s="10" t="s">
        <v>378</v>
      </c>
      <c r="H174" s="10" t="s">
        <v>776</v>
      </c>
      <c r="I174" s="10" t="s">
        <v>773</v>
      </c>
      <c r="J174" s="27" t="s">
        <v>789</v>
      </c>
      <c r="K174" s="15" t="s">
        <v>777</v>
      </c>
      <c r="L174" s="10" t="s">
        <v>905</v>
      </c>
      <c r="M174" s="10" t="s">
        <v>770</v>
      </c>
      <c r="N174" s="30" t="str">
        <f>HYPERLINK("https://twitter.com/TaaviRoivas/statuses/141444781644587008","https://twitter.com/TaaviRoivas/statuses/141444781644587008")</f>
        <v>https://twitter.com/TaaviRoivas/statuses/141444781644587008</v>
      </c>
      <c r="O174" s="20" t="s">
        <v>1823</v>
      </c>
      <c r="P174" s="46">
        <v>364</v>
      </c>
      <c r="Q174" s="46">
        <v>428</v>
      </c>
      <c r="R174" s="27" t="s">
        <v>2994</v>
      </c>
      <c r="S174" s="30" t="str">
        <f>HYPERLINK("https://twitter.com/TaaviRoivas/lists","https://twitter.com/TaaviRoivas/lists")</f>
        <v>https://twitter.com/TaaviRoivas/lists</v>
      </c>
      <c r="T174" s="10" t="s">
        <v>771</v>
      </c>
      <c r="U174" s="10" t="s">
        <v>771</v>
      </c>
      <c r="V174" s="10" t="s">
        <v>771</v>
      </c>
      <c r="W174" s="10"/>
      <c r="X174" s="27" t="s">
        <v>380</v>
      </c>
      <c r="Y174" s="27" t="s">
        <v>1822</v>
      </c>
      <c r="Z174" s="80">
        <v>6768</v>
      </c>
      <c r="AA174" s="27">
        <v>689</v>
      </c>
      <c r="AB174" s="80">
        <v>25435</v>
      </c>
      <c r="AC174" s="27">
        <v>3102</v>
      </c>
      <c r="AD174" s="27" t="s">
        <v>4507</v>
      </c>
      <c r="AE174" s="27">
        <v>422049167</v>
      </c>
      <c r="AF174" s="27" t="s">
        <v>4506</v>
      </c>
      <c r="AG174" s="27" t="s">
        <v>1821</v>
      </c>
      <c r="AH174" s="79">
        <v>4.1829419035846698</v>
      </c>
      <c r="AI174" s="83">
        <v>7.0859030837004404</v>
      </c>
      <c r="AJ174" s="80">
        <v>9.3450520833333304</v>
      </c>
      <c r="AK174" s="80">
        <v>14.9375</v>
      </c>
      <c r="AL174" s="27">
        <v>140</v>
      </c>
      <c r="AM174" s="97">
        <f t="shared" si="2"/>
        <v>4.3749999999999997E-2</v>
      </c>
      <c r="AN174" s="27" t="s">
        <v>380</v>
      </c>
      <c r="AO174" s="27">
        <v>26</v>
      </c>
      <c r="AP174" s="27">
        <v>16</v>
      </c>
      <c r="AQ174" s="27">
        <v>23</v>
      </c>
      <c r="AR174" s="27">
        <f>SUM(AO174:AQ174)</f>
        <v>65</v>
      </c>
      <c r="AS174" s="27" t="s">
        <v>6632</v>
      </c>
      <c r="AT174" s="27" t="s">
        <v>6349</v>
      </c>
      <c r="AU174" s="84" t="s">
        <v>6538</v>
      </c>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16"/>
      <c r="EN174" s="16"/>
      <c r="EO174" s="16"/>
      <c r="EP174" s="77"/>
      <c r="EQ174" s="77"/>
      <c r="GL174" s="77"/>
      <c r="GM174" s="77"/>
      <c r="GN174" s="77"/>
      <c r="GO174" s="77"/>
      <c r="GP174" s="77"/>
      <c r="GQ174" s="77"/>
      <c r="GR174" s="77"/>
      <c r="GS174" s="77"/>
      <c r="GT174" s="77"/>
      <c r="GU174" s="77"/>
      <c r="GV174" s="77"/>
      <c r="GW174" s="77"/>
      <c r="GX174" s="77"/>
      <c r="GY174" s="77"/>
      <c r="GZ174" s="77"/>
      <c r="HA174" s="77"/>
      <c r="HB174" s="77"/>
      <c r="HC174" s="77"/>
      <c r="HD174" s="77"/>
      <c r="HE174" s="77"/>
      <c r="HF174" s="77"/>
      <c r="HG174" s="77"/>
      <c r="HH174" s="77"/>
      <c r="HI174" s="77"/>
      <c r="HJ174" s="77"/>
      <c r="HK174" s="77"/>
      <c r="ID174" s="77"/>
      <c r="IE174" s="77"/>
      <c r="IF174" s="77"/>
      <c r="IG174" s="77"/>
      <c r="IH174" s="77"/>
      <c r="II174" s="77"/>
      <c r="IJ174" s="77"/>
      <c r="IK174" s="77"/>
      <c r="IL174" s="77"/>
      <c r="IM174" s="77"/>
      <c r="IN174" s="77"/>
      <c r="IO174" s="77"/>
      <c r="IP174" s="77"/>
      <c r="IQ174" s="77"/>
      <c r="IR174" s="77"/>
      <c r="IS174" s="77"/>
      <c r="IT174" s="77"/>
      <c r="IU174" s="77"/>
      <c r="IV174" s="77"/>
      <c r="IW174" s="77"/>
      <c r="IX174" s="77"/>
      <c r="IY174" s="77"/>
      <c r="IZ174" s="77"/>
      <c r="JA174" s="77"/>
      <c r="JB174" s="77"/>
      <c r="JC174" s="77"/>
      <c r="JD174" s="77"/>
      <c r="JE174" s="77"/>
      <c r="JF174" s="77"/>
      <c r="JG174" s="77"/>
      <c r="JH174" s="77"/>
      <c r="JI174" s="77"/>
      <c r="JJ174" s="77"/>
      <c r="JK174" s="77"/>
      <c r="JL174" s="77"/>
      <c r="JM174" s="77"/>
      <c r="JN174" s="77"/>
      <c r="JO174" s="77"/>
      <c r="JP174" s="77"/>
      <c r="JQ174" s="77"/>
      <c r="JR174" s="77"/>
      <c r="JS174" s="77"/>
      <c r="JT174" s="77"/>
      <c r="JU174" s="77"/>
      <c r="JV174" s="77"/>
      <c r="JW174" s="77"/>
      <c r="JX174" s="77"/>
      <c r="JY174" s="77"/>
      <c r="JZ174" s="77"/>
      <c r="KA174" s="77"/>
      <c r="KB174" s="77"/>
      <c r="KC174" s="77"/>
      <c r="KD174" s="77"/>
      <c r="KE174" s="77"/>
      <c r="KF174" s="77"/>
      <c r="KG174" s="77"/>
      <c r="KH174" s="77"/>
      <c r="KI174" s="77"/>
      <c r="KJ174" s="77"/>
      <c r="KK174" s="77"/>
      <c r="KL174" s="77"/>
      <c r="KM174" s="77"/>
      <c r="KN174" s="77"/>
      <c r="KO174" s="77"/>
      <c r="KP174" s="77"/>
      <c r="KQ174" s="77"/>
      <c r="KR174" s="77"/>
      <c r="KS174" s="77"/>
      <c r="KT174" s="77"/>
      <c r="KU174" s="77"/>
      <c r="KV174" s="77"/>
      <c r="KW174" s="77"/>
      <c r="KX174" s="77"/>
      <c r="KY174" s="77"/>
      <c r="KZ174" s="77"/>
      <c r="LA174" s="77"/>
      <c r="LB174" s="77"/>
      <c r="LC174" s="77"/>
      <c r="LD174" s="77"/>
      <c r="LE174" s="77"/>
      <c r="LF174" s="77"/>
      <c r="LG174" s="77"/>
      <c r="LH174" s="77"/>
      <c r="LI174" s="77"/>
      <c r="LJ174" s="77"/>
      <c r="LK174" s="77"/>
      <c r="LW174" s="77"/>
      <c r="LX174" s="77"/>
    </row>
    <row r="175" spans="1:368" ht="18.600000000000001" customHeight="1" x14ac:dyDescent="0.25">
      <c r="A175" s="119" t="s">
        <v>718</v>
      </c>
      <c r="B175" s="27" t="s">
        <v>1984</v>
      </c>
      <c r="C175" s="27" t="s">
        <v>4083</v>
      </c>
      <c r="D175" s="30" t="str">
        <f>HYPERLINK("https://twitter.com/MFAKOSOVO","https://twitter.com/MFAKOSOVO")</f>
        <v>https://twitter.com/MFAKOSOVO</v>
      </c>
      <c r="E175" s="30" t="str">
        <f>HYPERLINK("http://twiplomacy.com/info/europe/Kosovo","http://twiplomacy.com/info/europe/Kosovo")</f>
        <v>http://twiplomacy.com/info/europe/Kosovo</v>
      </c>
      <c r="F175" s="10" t="s">
        <v>332</v>
      </c>
      <c r="G175" s="10" t="s">
        <v>716</v>
      </c>
      <c r="H175" s="10" t="s">
        <v>795</v>
      </c>
      <c r="I175" s="10" t="s">
        <v>782</v>
      </c>
      <c r="J175" s="27" t="s">
        <v>789</v>
      </c>
      <c r="K175" s="15" t="s">
        <v>777</v>
      </c>
      <c r="L175" s="10" t="s">
        <v>771</v>
      </c>
      <c r="M175" s="10" t="s">
        <v>771</v>
      </c>
      <c r="N175" s="30" t="str">
        <f>HYPERLINK("https://twitter.com/MFAKOSOVO/statuses/98775178368139264","https://twitter.com/MFAKOSOVO/statuses/98775178368139264")</f>
        <v>https://twitter.com/MFAKOSOVO/statuses/98775178368139264</v>
      </c>
      <c r="O175" s="27" t="s">
        <v>5945</v>
      </c>
      <c r="P175" s="80">
        <v>102</v>
      </c>
      <c r="Q175" s="80">
        <v>49</v>
      </c>
      <c r="R175" s="27" t="s">
        <v>2994</v>
      </c>
      <c r="S175" s="30" t="str">
        <f>HYPERLINK("https://twitter.com/MFAKOSOVO/lists","https://twitter.com/MFAKOSOVO/lists")</f>
        <v>https://twitter.com/MFAKOSOVO/lists</v>
      </c>
      <c r="T175" s="10">
        <v>1</v>
      </c>
      <c r="U175" s="10">
        <v>1</v>
      </c>
      <c r="V175" s="30" t="str">
        <f>HYPERLINK("https://twitter.com/MFAKOSOVO/lists/kosovo-diplomats","https://twitter.com/MFAKOSOVO/lists/kosovo-diplomats")</f>
        <v>https://twitter.com/MFAKOSOVO/lists/kosovo-diplomats</v>
      </c>
      <c r="W175" s="10">
        <v>41</v>
      </c>
      <c r="X175" s="27" t="s">
        <v>718</v>
      </c>
      <c r="Y175" s="27" t="s">
        <v>1984</v>
      </c>
      <c r="Z175" s="80">
        <v>6750</v>
      </c>
      <c r="AA175" s="27">
        <v>1841</v>
      </c>
      <c r="AB175" s="80">
        <v>16229</v>
      </c>
      <c r="AC175" s="27">
        <v>453</v>
      </c>
      <c r="AD175" s="27" t="s">
        <v>4084</v>
      </c>
      <c r="AE175" s="27">
        <v>295642096</v>
      </c>
      <c r="AF175" s="27" t="s">
        <v>4083</v>
      </c>
      <c r="AG175" s="27" t="s">
        <v>716</v>
      </c>
      <c r="AH175" s="79">
        <v>3.7087912087912098</v>
      </c>
      <c r="AI175" s="83">
        <v>4.11681643132221</v>
      </c>
      <c r="AJ175" s="80">
        <v>5.2432859399684002</v>
      </c>
      <c r="AK175" s="80">
        <v>5.4028436018957304</v>
      </c>
      <c r="AL175" s="27">
        <v>12</v>
      </c>
      <c r="AM175" s="97">
        <f t="shared" si="2"/>
        <v>3.7499999999999999E-3</v>
      </c>
      <c r="AN175" s="27" t="s">
        <v>718</v>
      </c>
      <c r="AO175" s="27">
        <v>89</v>
      </c>
      <c r="AP175" s="27">
        <v>8</v>
      </c>
      <c r="AQ175" s="27">
        <v>52</v>
      </c>
      <c r="AR175" s="27">
        <f>SUM(AO175:AQ175)</f>
        <v>149</v>
      </c>
      <c r="AS175" s="27" t="s">
        <v>6587</v>
      </c>
      <c r="AT175" s="27" t="s">
        <v>5306</v>
      </c>
      <c r="AU175" s="84" t="s">
        <v>4847</v>
      </c>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c r="BZ175" s="77"/>
      <c r="CA175" s="77"/>
      <c r="CB175" s="77"/>
      <c r="CC175" s="77"/>
      <c r="CD175" s="77"/>
      <c r="CE175" s="77"/>
      <c r="CF175" s="77"/>
      <c r="CG175" s="77"/>
      <c r="CH175" s="77"/>
      <c r="CI175" s="77"/>
      <c r="CJ175" s="77"/>
      <c r="CK175" s="77"/>
      <c r="CL175" s="77"/>
      <c r="CM175" s="77"/>
      <c r="CN175" s="77"/>
      <c r="CO175" s="77"/>
      <c r="CP175" s="77"/>
      <c r="CQ175" s="77"/>
      <c r="CR175" s="77"/>
      <c r="CS175" s="77"/>
      <c r="CT175" s="77"/>
      <c r="CU175" s="77"/>
      <c r="CV175" s="77"/>
      <c r="CW175" s="77"/>
      <c r="CX175" s="77"/>
      <c r="CY175" s="77"/>
      <c r="CZ175" s="77"/>
      <c r="DA175" s="77"/>
      <c r="DB175" s="77"/>
      <c r="DC175" s="77"/>
      <c r="DD175" s="77"/>
      <c r="DE175" s="77"/>
      <c r="DF175" s="77"/>
      <c r="DG175" s="77"/>
      <c r="DH175" s="77"/>
      <c r="DI175" s="77"/>
      <c r="DJ175" s="77"/>
      <c r="DK175" s="77"/>
      <c r="DL175" s="77"/>
      <c r="DM175" s="77"/>
      <c r="DN175" s="77"/>
      <c r="DO175" s="77"/>
      <c r="DP175" s="77"/>
      <c r="DQ175" s="77"/>
      <c r="DR175" s="77"/>
      <c r="DS175" s="77"/>
      <c r="DT175" s="77"/>
      <c r="DU175" s="77"/>
      <c r="DV175" s="77"/>
      <c r="DW175" s="77"/>
      <c r="DX175" s="77"/>
      <c r="DY175" s="77"/>
      <c r="DZ175" s="77"/>
      <c r="EA175" s="77"/>
      <c r="EB175" s="77"/>
      <c r="EC175" s="77"/>
      <c r="ED175" s="77"/>
      <c r="EE175" s="77"/>
      <c r="EF175" s="77"/>
      <c r="EG175" s="77"/>
      <c r="EH175" s="77"/>
      <c r="EI175" s="77"/>
      <c r="EJ175" s="77"/>
      <c r="EK175" s="77"/>
      <c r="EL175" s="77"/>
      <c r="EM175" s="77"/>
      <c r="EN175" s="77"/>
      <c r="EO175" s="77"/>
      <c r="EP175" s="77"/>
      <c r="EQ175" s="77"/>
      <c r="ER175" s="77"/>
      <c r="ES175" s="77"/>
      <c r="ET175" s="77"/>
      <c r="EU175" s="77"/>
      <c r="EV175" s="77"/>
      <c r="EW175" s="77"/>
      <c r="EX175" s="77"/>
      <c r="EY175" s="77"/>
      <c r="EZ175" s="77"/>
      <c r="FA175" s="77"/>
      <c r="FB175" s="77"/>
      <c r="FC175" s="77"/>
      <c r="FD175" s="77"/>
      <c r="FE175" s="77"/>
      <c r="FF175" s="77"/>
      <c r="FG175" s="77"/>
      <c r="FH175" s="77"/>
      <c r="FI175" s="77"/>
      <c r="FJ175" s="77"/>
      <c r="FK175" s="77"/>
      <c r="FL175" s="77"/>
      <c r="FM175" s="77"/>
      <c r="FN175" s="77"/>
      <c r="FO175" s="77"/>
      <c r="FP175" s="77"/>
      <c r="FQ175" s="77"/>
      <c r="FR175" s="77"/>
      <c r="FS175" s="77"/>
      <c r="FT175" s="77"/>
      <c r="FU175" s="77"/>
      <c r="FV175" s="77"/>
      <c r="FW175" s="77"/>
      <c r="FX175" s="77"/>
      <c r="FY175" s="77"/>
      <c r="FZ175" s="77"/>
      <c r="GA175" s="77"/>
      <c r="GB175" s="77"/>
      <c r="GC175" s="77"/>
      <c r="GD175" s="77"/>
      <c r="GE175" s="77"/>
      <c r="GF175" s="77"/>
      <c r="GG175" s="77"/>
      <c r="GH175" s="77"/>
      <c r="GI175" s="77"/>
      <c r="GJ175" s="77"/>
      <c r="GK175" s="77"/>
      <c r="HL175" s="77"/>
      <c r="HM175" s="77"/>
      <c r="HN175" s="77"/>
      <c r="HO175" s="77"/>
      <c r="HP175" s="77"/>
      <c r="HQ175" s="77"/>
      <c r="HR175" s="77"/>
      <c r="HS175" s="77"/>
      <c r="HT175" s="77"/>
      <c r="HU175" s="77"/>
      <c r="HV175" s="77"/>
      <c r="HW175" s="77"/>
      <c r="HX175" s="77"/>
      <c r="HY175" s="77"/>
      <c r="HZ175" s="77"/>
      <c r="IA175" s="77"/>
      <c r="IB175" s="77"/>
      <c r="IC175" s="77"/>
      <c r="ID175" s="77"/>
      <c r="IE175" s="77"/>
      <c r="IF175" s="77"/>
      <c r="IG175" s="77"/>
      <c r="IH175" s="77"/>
      <c r="II175" s="77"/>
      <c r="IJ175" s="77"/>
      <c r="IK175" s="77"/>
      <c r="IL175" s="77"/>
      <c r="IM175" s="77"/>
      <c r="IN175" s="77"/>
      <c r="IO175" s="77"/>
      <c r="IP175" s="77"/>
      <c r="IQ175" s="77"/>
      <c r="IR175" s="77"/>
      <c r="IS175" s="77"/>
      <c r="IT175" s="77"/>
      <c r="IU175" s="77"/>
      <c r="IV175" s="77"/>
      <c r="IW175" s="77"/>
      <c r="IX175" s="77"/>
      <c r="IY175" s="77"/>
      <c r="IZ175" s="77"/>
      <c r="JA175" s="77"/>
      <c r="JB175" s="77"/>
      <c r="JC175" s="77"/>
      <c r="JD175" s="77"/>
      <c r="JE175" s="77"/>
      <c r="JF175" s="77"/>
      <c r="JG175" s="77"/>
      <c r="JH175" s="77"/>
      <c r="JI175" s="77"/>
      <c r="JJ175" s="77"/>
      <c r="JK175" s="77"/>
      <c r="JL175" s="77"/>
      <c r="JM175" s="77"/>
      <c r="JN175" s="77"/>
      <c r="JO175" s="77"/>
      <c r="JP175" s="77"/>
      <c r="JQ175" s="77"/>
      <c r="JR175" s="77"/>
      <c r="JS175" s="77"/>
      <c r="JT175" s="77"/>
      <c r="JU175" s="77"/>
      <c r="JV175" s="77"/>
      <c r="JW175" s="77"/>
      <c r="JX175" s="77"/>
      <c r="JY175" s="77"/>
      <c r="JZ175" s="77"/>
      <c r="KA175" s="77"/>
      <c r="KB175" s="77"/>
      <c r="KC175" s="77"/>
      <c r="KD175" s="77"/>
      <c r="KE175" s="77"/>
      <c r="KF175" s="77"/>
      <c r="KG175" s="77"/>
      <c r="KH175" s="77"/>
      <c r="KI175" s="77"/>
      <c r="KJ175" s="77"/>
      <c r="KK175" s="77"/>
      <c r="KL175" s="77"/>
      <c r="KM175" s="77"/>
      <c r="KN175" s="77"/>
      <c r="KO175" s="77"/>
      <c r="KP175" s="77"/>
      <c r="KQ175" s="77"/>
      <c r="KR175" s="77"/>
      <c r="KS175" s="77"/>
      <c r="KT175" s="77"/>
      <c r="KU175" s="77"/>
      <c r="KV175" s="77"/>
      <c r="KW175" s="77"/>
      <c r="KX175" s="77"/>
      <c r="KY175" s="77"/>
      <c r="KZ175" s="77"/>
      <c r="LA175" s="77"/>
      <c r="LB175" s="77"/>
      <c r="LC175" s="77"/>
      <c r="LD175" s="77"/>
      <c r="LE175" s="77"/>
      <c r="LF175" s="77"/>
      <c r="LG175" s="77"/>
      <c r="LH175" s="77"/>
      <c r="LI175" s="77"/>
      <c r="LJ175" s="77"/>
      <c r="LK175" s="77"/>
      <c r="LL175" s="77"/>
      <c r="LM175" s="77"/>
      <c r="LN175" s="77"/>
      <c r="LO175" s="77"/>
      <c r="LP175" s="77"/>
      <c r="LQ175" s="77"/>
      <c r="LR175" s="77"/>
      <c r="LS175" s="77"/>
      <c r="LT175" s="77"/>
      <c r="LU175" s="77"/>
      <c r="LV175" s="77"/>
      <c r="LW175" s="77"/>
      <c r="LX175" s="77"/>
    </row>
    <row r="176" spans="1:368" ht="18.600000000000001" customHeight="1" x14ac:dyDescent="0.25">
      <c r="A176" s="119" t="s">
        <v>544</v>
      </c>
      <c r="B176" s="27" t="s">
        <v>2309</v>
      </c>
      <c r="C176" s="27" t="s">
        <v>2310</v>
      </c>
      <c r="D176" s="30" t="str">
        <f>HYPERLINK("https://twitter.com/poroshenko","https://twitter.com/poroshenko")</f>
        <v>https://twitter.com/poroshenko</v>
      </c>
      <c r="E176" s="30" t="str">
        <f>HYPERLINK("http://twiplomacy.com/info/europe/Ukraine","http://twiplomacy.com/info/europe/Ukraine")</f>
        <v>http://twiplomacy.com/info/europe/Ukraine</v>
      </c>
      <c r="F176" s="10" t="s">
        <v>332</v>
      </c>
      <c r="G176" s="10" t="s">
        <v>543</v>
      </c>
      <c r="H176" s="10" t="s">
        <v>772</v>
      </c>
      <c r="I176" s="10" t="s">
        <v>773</v>
      </c>
      <c r="J176" s="27" t="s">
        <v>2312</v>
      </c>
      <c r="K176" s="10" t="s">
        <v>777</v>
      </c>
      <c r="L176" s="10"/>
      <c r="M176" s="10" t="s">
        <v>771</v>
      </c>
      <c r="N176" s="30" t="str">
        <f>HYPERLINK("https://twitter.com/poroshenko/status/452098909825814530","https://twitter.com/poroshenko/status/452098909825814530")</f>
        <v>https://twitter.com/poroshenko/status/452098909825814530</v>
      </c>
      <c r="O176" s="27" t="s">
        <v>6023</v>
      </c>
      <c r="P176" s="80">
        <v>7185</v>
      </c>
      <c r="Q176" s="80">
        <v>269</v>
      </c>
      <c r="R176" s="27" t="s">
        <v>2994</v>
      </c>
      <c r="S176" s="30" t="str">
        <f>HYPERLINK("https://twitter.com/poroshenko/lists","https://twitter.com/poroshenko/lists")</f>
        <v>https://twitter.com/poroshenko/lists</v>
      </c>
      <c r="T176" s="10" t="s">
        <v>771</v>
      </c>
      <c r="U176" s="10" t="s">
        <v>771</v>
      </c>
      <c r="V176" s="10" t="s">
        <v>771</v>
      </c>
      <c r="W176" s="10"/>
      <c r="X176" s="27" t="s">
        <v>544</v>
      </c>
      <c r="Y176" s="27" t="s">
        <v>2309</v>
      </c>
      <c r="Z176" s="80">
        <v>6743</v>
      </c>
      <c r="AA176" s="27">
        <v>85</v>
      </c>
      <c r="AB176" s="80">
        <v>805853</v>
      </c>
      <c r="AC176" s="27">
        <v>3</v>
      </c>
      <c r="AD176" s="27" t="s">
        <v>4288</v>
      </c>
      <c r="AE176" s="27">
        <v>2423747006</v>
      </c>
      <c r="AF176" s="27" t="s">
        <v>2310</v>
      </c>
      <c r="AG176" s="27"/>
      <c r="AH176" s="79">
        <v>8.8607095926412605</v>
      </c>
      <c r="AI176" s="83">
        <v>8.6434316353887404</v>
      </c>
      <c r="AJ176" s="80">
        <v>84.695990052844294</v>
      </c>
      <c r="AK176" s="80">
        <v>58.864470003108501</v>
      </c>
      <c r="AL176" s="27">
        <v>46</v>
      </c>
      <c r="AM176" s="97">
        <f t="shared" si="2"/>
        <v>1.4375000000000001E-2</v>
      </c>
      <c r="AN176" s="27" t="s">
        <v>544</v>
      </c>
      <c r="AO176" s="27">
        <v>8</v>
      </c>
      <c r="AP176" s="27">
        <v>39</v>
      </c>
      <c r="AQ176" s="27">
        <v>10</v>
      </c>
      <c r="AR176" s="27">
        <f>SUM(AO176:AQ176)</f>
        <v>57</v>
      </c>
      <c r="AS176" s="27" t="s">
        <v>5405</v>
      </c>
      <c r="AT176" s="27" t="s">
        <v>6823</v>
      </c>
      <c r="AU176" s="84" t="s">
        <v>4904</v>
      </c>
      <c r="BN176" s="77"/>
      <c r="BO176" s="77"/>
      <c r="BP176" s="77"/>
      <c r="BQ176" s="77"/>
      <c r="BR176" s="77"/>
      <c r="BS176" s="77"/>
      <c r="BT176" s="77"/>
      <c r="BU176" s="77"/>
      <c r="BV176" s="77"/>
      <c r="BW176" s="77"/>
      <c r="BX176" s="77"/>
      <c r="BY176" s="77"/>
      <c r="BZ176" s="77"/>
      <c r="CA176" s="77"/>
      <c r="CB176" s="77"/>
      <c r="CC176" s="77"/>
      <c r="CD176" s="77"/>
      <c r="CE176" s="77"/>
      <c r="CF176" s="77"/>
      <c r="CG176" s="77"/>
      <c r="CH176" s="77"/>
      <c r="CI176" s="77"/>
      <c r="CJ176" s="77"/>
      <c r="CK176" s="77"/>
      <c r="CL176" s="77"/>
      <c r="CM176" s="77"/>
      <c r="CN176" s="77"/>
      <c r="CO176" s="77"/>
      <c r="CP176" s="77"/>
      <c r="CQ176" s="77"/>
      <c r="CR176" s="77"/>
      <c r="CS176" s="77"/>
      <c r="CT176" s="77"/>
      <c r="CU176" s="77"/>
      <c r="CV176" s="77"/>
      <c r="CW176" s="77"/>
      <c r="CX176" s="77"/>
      <c r="CY176" s="77"/>
      <c r="CZ176" s="77"/>
      <c r="DA176" s="77"/>
      <c r="DB176" s="77"/>
      <c r="DC176" s="77"/>
      <c r="DD176" s="77"/>
      <c r="DE176" s="77"/>
      <c r="DF176" s="77"/>
      <c r="DG176" s="77"/>
      <c r="DH176" s="77"/>
      <c r="DI176" s="77"/>
      <c r="DJ176" s="77"/>
      <c r="DK176" s="77"/>
      <c r="DL176" s="77"/>
      <c r="DM176" s="77"/>
      <c r="DN176" s="77"/>
      <c r="DO176" s="77"/>
      <c r="DP176" s="77"/>
      <c r="DQ176" s="77"/>
      <c r="DR176" s="77"/>
      <c r="DS176" s="77"/>
      <c r="DT176" s="77"/>
      <c r="DU176" s="77"/>
      <c r="DV176" s="77"/>
      <c r="DW176" s="77"/>
      <c r="DX176" s="77"/>
      <c r="DY176" s="77"/>
      <c r="DZ176" s="77"/>
      <c r="EA176" s="77"/>
      <c r="EB176" s="77"/>
      <c r="EC176" s="77"/>
      <c r="ED176" s="77"/>
      <c r="EE176" s="77"/>
      <c r="EF176" s="77"/>
      <c r="EG176" s="77"/>
      <c r="EH176" s="77"/>
      <c r="EI176" s="77"/>
      <c r="EJ176" s="77"/>
      <c r="EK176" s="77"/>
      <c r="EL176" s="77"/>
      <c r="EM176" s="77"/>
      <c r="EN176" s="77"/>
      <c r="EO176" s="77"/>
      <c r="EP176" s="77"/>
      <c r="EQ176" s="77"/>
      <c r="GL176" s="77"/>
      <c r="GM176" s="77"/>
      <c r="GN176" s="77"/>
      <c r="GO176" s="77"/>
      <c r="GP176" s="77"/>
      <c r="GQ176" s="77"/>
      <c r="GR176" s="77"/>
      <c r="GS176" s="77"/>
      <c r="GT176" s="77"/>
      <c r="GU176" s="77"/>
      <c r="GV176" s="77"/>
      <c r="GW176" s="77"/>
      <c r="GX176" s="77"/>
      <c r="GY176" s="77"/>
      <c r="GZ176" s="77"/>
      <c r="HA176" s="77"/>
      <c r="HB176" s="77"/>
      <c r="HC176" s="77"/>
      <c r="HD176" s="77"/>
      <c r="HE176" s="77"/>
      <c r="HF176" s="77"/>
      <c r="HG176" s="77"/>
      <c r="HH176" s="77"/>
      <c r="HI176" s="77"/>
      <c r="HJ176" s="77"/>
      <c r="HK176" s="77"/>
      <c r="HL176" s="77"/>
      <c r="HM176" s="77"/>
      <c r="HN176" s="77"/>
      <c r="HO176" s="77"/>
      <c r="HP176" s="77"/>
      <c r="HQ176" s="77"/>
      <c r="HR176" s="77"/>
      <c r="HS176" s="77"/>
      <c r="HT176" s="77"/>
      <c r="HU176" s="77"/>
      <c r="HV176" s="77"/>
      <c r="HW176" s="77"/>
      <c r="HX176" s="77"/>
      <c r="HY176" s="77"/>
      <c r="HZ176" s="77"/>
      <c r="IA176" s="77"/>
      <c r="IB176" s="77"/>
      <c r="IC176" s="77"/>
      <c r="ID176" s="77"/>
      <c r="IE176" s="77"/>
      <c r="IF176" s="77"/>
      <c r="IG176" s="77"/>
      <c r="IH176" s="77"/>
      <c r="II176" s="77"/>
      <c r="IJ176" s="77"/>
      <c r="IK176" s="77"/>
      <c r="IL176" s="77"/>
      <c r="IM176" s="77"/>
      <c r="IN176" s="77"/>
      <c r="IO176" s="77"/>
      <c r="IP176" s="77"/>
      <c r="IQ176" s="77"/>
      <c r="IR176" s="77"/>
      <c r="IS176" s="77"/>
      <c r="IT176" s="77"/>
      <c r="IU176" s="77"/>
      <c r="IV176" s="77"/>
      <c r="IW176" s="77"/>
      <c r="IX176" s="77"/>
      <c r="IY176" s="77"/>
      <c r="IZ176" s="77"/>
      <c r="JA176" s="77"/>
      <c r="JB176" s="77"/>
      <c r="JC176" s="77"/>
      <c r="JD176" s="77"/>
      <c r="JE176" s="77"/>
      <c r="JF176" s="77"/>
      <c r="JG176" s="77"/>
      <c r="JH176" s="77"/>
      <c r="JI176" s="77"/>
      <c r="JJ176" s="77"/>
      <c r="JK176" s="77"/>
      <c r="JL176" s="77"/>
      <c r="JM176" s="77"/>
      <c r="JN176" s="77"/>
      <c r="JO176" s="77"/>
      <c r="JP176" s="77"/>
      <c r="JQ176" s="77"/>
      <c r="JR176" s="77"/>
      <c r="JS176" s="77"/>
      <c r="JT176" s="77"/>
      <c r="JU176" s="77"/>
      <c r="JV176" s="77"/>
      <c r="JW176" s="77"/>
      <c r="JX176" s="77"/>
      <c r="JY176" s="77"/>
      <c r="JZ176" s="77"/>
      <c r="KA176" s="77"/>
      <c r="KB176" s="77"/>
      <c r="KC176" s="77"/>
      <c r="KD176" s="77"/>
      <c r="KE176" s="77"/>
      <c r="KF176" s="77"/>
      <c r="KG176" s="77"/>
      <c r="KH176" s="77"/>
      <c r="KI176" s="77"/>
      <c r="KJ176" s="77"/>
      <c r="KK176" s="77"/>
      <c r="KL176" s="77"/>
      <c r="KM176" s="77"/>
      <c r="KN176" s="77"/>
      <c r="KO176" s="77"/>
      <c r="KP176" s="77"/>
      <c r="KQ176" s="77"/>
      <c r="KR176" s="77"/>
      <c r="KS176" s="77"/>
      <c r="KT176" s="77"/>
      <c r="KU176" s="77"/>
      <c r="KV176" s="77"/>
      <c r="KW176" s="77"/>
      <c r="KX176" s="77"/>
      <c r="KY176" s="77"/>
      <c r="KZ176" s="77"/>
      <c r="LA176" s="77"/>
      <c r="LB176" s="77"/>
      <c r="LC176" s="77"/>
      <c r="LD176" s="77"/>
      <c r="LE176" s="77"/>
      <c r="LF176" s="77"/>
      <c r="LG176" s="77"/>
      <c r="LH176" s="77"/>
      <c r="LI176" s="77"/>
      <c r="LJ176" s="77"/>
      <c r="LK176" s="77"/>
      <c r="LL176" s="77"/>
      <c r="LM176" s="77"/>
      <c r="LN176" s="77"/>
      <c r="LO176" s="77"/>
      <c r="LP176" s="77"/>
      <c r="LQ176" s="77"/>
      <c r="LR176" s="77"/>
      <c r="LS176" s="77"/>
      <c r="LT176" s="77"/>
      <c r="LU176" s="77"/>
      <c r="LV176" s="77"/>
      <c r="LW176" s="77"/>
      <c r="LX176" s="77"/>
      <c r="MT176" s="77"/>
      <c r="MU176" s="77"/>
      <c r="MV176" s="77"/>
      <c r="MW176" s="77"/>
      <c r="MX176" s="77"/>
      <c r="MY176" s="77"/>
      <c r="MZ176" s="77"/>
      <c r="NA176" s="77"/>
      <c r="NB176" s="77"/>
      <c r="NC176" s="77"/>
    </row>
    <row r="177" spans="1:421" ht="18.600000000000001" customHeight="1" x14ac:dyDescent="0.25">
      <c r="A177" s="119" t="s">
        <v>585</v>
      </c>
      <c r="B177" s="27" t="s">
        <v>2462</v>
      </c>
      <c r="C177" s="27" t="s">
        <v>2463</v>
      </c>
      <c r="D177" s="30" t="str">
        <f>HYPERLINK("https://twitter.com/DaniloMedina","https://twitter.com/DaniloMedina")</f>
        <v>https://twitter.com/DaniloMedina</v>
      </c>
      <c r="E177" s="30" t="str">
        <f>HYPERLINK("http://twiplomacy.com/info/north-america/Dominican-Republic","http://twiplomacy.com/info/north-america/Dominican-Republic")</f>
        <v>http://twiplomacy.com/info/north-america/Dominican-Republic</v>
      </c>
      <c r="F177" s="10" t="s">
        <v>558</v>
      </c>
      <c r="G177" s="10" t="s">
        <v>584</v>
      </c>
      <c r="H177" s="10" t="s">
        <v>772</v>
      </c>
      <c r="I177" s="10" t="s">
        <v>773</v>
      </c>
      <c r="J177" s="27" t="s">
        <v>2226</v>
      </c>
      <c r="K177" s="15" t="s">
        <v>777</v>
      </c>
      <c r="L177" s="10"/>
      <c r="M177" s="10" t="s">
        <v>770</v>
      </c>
      <c r="N177" s="30" t="str">
        <f>HYPERLINK("https://twitter.com/DaniloMedina/statuses/1629743784","https://twitter.com/DaniloMedina/statuses/1629743784")</f>
        <v>https://twitter.com/DaniloMedina/statuses/1629743784</v>
      </c>
      <c r="O177" s="27" t="s">
        <v>5792</v>
      </c>
      <c r="P177" s="80">
        <v>1573</v>
      </c>
      <c r="Q177" s="80">
        <v>128</v>
      </c>
      <c r="R177" s="27" t="s">
        <v>2994</v>
      </c>
      <c r="S177" s="30" t="str">
        <f>HYPERLINK("https://twitter.com/DaniloMedina/lists","https://twitter.com/DaniloMedina/lists")</f>
        <v>https://twitter.com/DaniloMedina/lists</v>
      </c>
      <c r="T177" s="10">
        <v>1</v>
      </c>
      <c r="U177" s="10" t="s">
        <v>771</v>
      </c>
      <c r="V177" s="10" t="s">
        <v>771</v>
      </c>
      <c r="W177" s="10"/>
      <c r="X177" s="27" t="s">
        <v>585</v>
      </c>
      <c r="Y177" s="27" t="s">
        <v>2462</v>
      </c>
      <c r="Z177" s="80">
        <v>6739</v>
      </c>
      <c r="AA177" s="27">
        <v>7788</v>
      </c>
      <c r="AB177" s="80">
        <v>514951</v>
      </c>
      <c r="AC177" s="27">
        <v>2</v>
      </c>
      <c r="AD177" s="27" t="s">
        <v>3602</v>
      </c>
      <c r="AE177" s="27">
        <v>35485571</v>
      </c>
      <c r="AF177" s="27" t="s">
        <v>2463</v>
      </c>
      <c r="AG177" s="27" t="s">
        <v>2464</v>
      </c>
      <c r="AH177" s="79">
        <v>2.6293406164650799</v>
      </c>
      <c r="AI177" s="83">
        <v>2.0615779345734402</v>
      </c>
      <c r="AJ177" s="80">
        <v>70.994755817764698</v>
      </c>
      <c r="AK177" s="80">
        <v>19.4667322189446</v>
      </c>
      <c r="AL177" s="27">
        <v>165</v>
      </c>
      <c r="AM177" s="97">
        <f t="shared" si="2"/>
        <v>5.1562499999999997E-2</v>
      </c>
      <c r="AN177" s="27" t="s">
        <v>585</v>
      </c>
      <c r="AO177" s="27">
        <v>2</v>
      </c>
      <c r="AP177" s="27">
        <v>30</v>
      </c>
      <c r="AQ177" s="27">
        <v>2</v>
      </c>
      <c r="AR177" s="27">
        <f>SUM(AO177:AQ177)</f>
        <v>34</v>
      </c>
      <c r="AS177" s="27" t="s">
        <v>6557</v>
      </c>
      <c r="AT177" s="27" t="s">
        <v>6696</v>
      </c>
      <c r="AU177" s="84" t="s">
        <v>4688</v>
      </c>
      <c r="AV177" s="77"/>
      <c r="AW177" s="77"/>
      <c r="AX177" s="77"/>
      <c r="AY177" s="77"/>
      <c r="AZ177" s="77"/>
      <c r="BA177" s="77"/>
      <c r="BB177" s="77"/>
      <c r="BC177" s="77"/>
      <c r="BD177" s="77"/>
      <c r="BE177" s="77"/>
      <c r="BF177" s="77"/>
      <c r="BG177" s="77"/>
      <c r="BH177" s="77"/>
      <c r="BI177" s="77"/>
      <c r="BJ177" s="77"/>
      <c r="BK177" s="77"/>
      <c r="BL177" s="77"/>
      <c r="BM177" s="75"/>
      <c r="BN177" s="77"/>
      <c r="BO177" s="77"/>
      <c r="BP177" s="77"/>
      <c r="BQ177" s="77"/>
      <c r="BR177" s="77"/>
      <c r="BS177" s="77"/>
      <c r="BT177" s="77"/>
      <c r="BU177" s="77"/>
      <c r="BV177" s="77"/>
      <c r="BW177" s="77"/>
      <c r="BX177" s="77"/>
      <c r="BY177" s="77"/>
      <c r="BZ177" s="77"/>
      <c r="CA177" s="77"/>
      <c r="CB177" s="77"/>
      <c r="CC177" s="77"/>
      <c r="CD177" s="77"/>
      <c r="CE177" s="77"/>
      <c r="CF177" s="77"/>
      <c r="CG177" s="77"/>
      <c r="CH177" s="77"/>
      <c r="CI177" s="77"/>
      <c r="CJ177" s="77"/>
      <c r="CK177" s="77"/>
      <c r="CL177" s="77"/>
      <c r="CM177" s="77"/>
      <c r="CN177" s="77"/>
      <c r="CO177" s="77"/>
      <c r="CP177" s="77"/>
      <c r="CQ177" s="77"/>
      <c r="CR177" s="77"/>
      <c r="CS177" s="77"/>
      <c r="CT177" s="77"/>
      <c r="CU177" s="77"/>
      <c r="CV177" s="77"/>
      <c r="CW177" s="77"/>
      <c r="CX177" s="77"/>
      <c r="CY177" s="77"/>
      <c r="CZ177" s="77"/>
      <c r="DA177" s="77"/>
      <c r="DB177" s="77"/>
      <c r="DC177" s="77"/>
      <c r="DD177" s="77"/>
      <c r="DE177" s="77"/>
      <c r="DF177" s="77"/>
      <c r="DG177" s="77"/>
      <c r="DH177" s="77"/>
      <c r="DI177" s="77"/>
      <c r="DJ177" s="77"/>
      <c r="DK177" s="77"/>
      <c r="DL177" s="77"/>
      <c r="DM177" s="77"/>
      <c r="DN177" s="77"/>
      <c r="DO177" s="77"/>
      <c r="DP177" s="77"/>
      <c r="DQ177" s="77"/>
      <c r="DR177" s="77"/>
      <c r="DS177" s="77"/>
      <c r="DT177" s="77"/>
      <c r="DU177" s="77"/>
      <c r="DV177" s="77"/>
      <c r="DW177" s="77"/>
      <c r="DX177" s="77"/>
      <c r="DY177" s="77"/>
      <c r="DZ177" s="77"/>
      <c r="EA177" s="77"/>
      <c r="EB177" s="77"/>
      <c r="EC177" s="77"/>
      <c r="ED177" s="77"/>
      <c r="EE177" s="77"/>
      <c r="EF177" s="77"/>
      <c r="EG177" s="77"/>
      <c r="EH177" s="77"/>
      <c r="EI177" s="77"/>
      <c r="EJ177" s="77"/>
      <c r="EK177" s="77"/>
      <c r="EL177" s="77"/>
      <c r="EM177" s="77"/>
      <c r="EN177" s="77"/>
      <c r="EO177" s="77"/>
      <c r="EQ177" s="77"/>
      <c r="ER177" s="77"/>
      <c r="ES177" s="77"/>
      <c r="ET177" s="77"/>
      <c r="EU177" s="77"/>
      <c r="EV177" s="77"/>
      <c r="EW177" s="77"/>
      <c r="EX177" s="77"/>
      <c r="EY177" s="77"/>
      <c r="EZ177" s="77"/>
      <c r="FA177" s="77"/>
      <c r="FB177" s="77"/>
      <c r="FC177" s="77"/>
      <c r="FD177" s="77"/>
      <c r="FE177" s="77"/>
      <c r="FF177" s="77"/>
      <c r="FG177" s="77"/>
      <c r="FH177" s="77"/>
      <c r="FI177" s="77"/>
      <c r="FJ177" s="77"/>
      <c r="FK177" s="77"/>
      <c r="FL177" s="77"/>
      <c r="FM177" s="77"/>
      <c r="FN177" s="77"/>
      <c r="FO177" s="77"/>
      <c r="FP177" s="77"/>
      <c r="FQ177" s="77"/>
      <c r="FR177" s="77"/>
      <c r="FS177" s="77"/>
      <c r="FT177" s="77"/>
      <c r="FU177" s="77"/>
      <c r="FV177" s="77"/>
      <c r="FW177" s="77"/>
      <c r="FX177" s="77"/>
      <c r="FY177" s="77"/>
      <c r="FZ177" s="77"/>
      <c r="GA177" s="77"/>
      <c r="GB177" s="77"/>
      <c r="GC177" s="77"/>
      <c r="GD177" s="77"/>
      <c r="GE177" s="77"/>
      <c r="GF177" s="77"/>
      <c r="GG177" s="77"/>
      <c r="GH177" s="77"/>
      <c r="GI177" s="77"/>
      <c r="GJ177" s="77"/>
      <c r="GK177" s="77"/>
      <c r="GL177" s="77"/>
      <c r="GM177" s="77"/>
      <c r="GN177" s="77"/>
      <c r="GO177" s="77"/>
      <c r="GP177" s="77"/>
      <c r="GQ177" s="77"/>
      <c r="GR177" s="77"/>
      <c r="GS177" s="77"/>
      <c r="GT177" s="77"/>
      <c r="GU177" s="77"/>
      <c r="GV177" s="77"/>
      <c r="GW177" s="77"/>
      <c r="GX177" s="77"/>
      <c r="GY177" s="77"/>
      <c r="GZ177" s="77"/>
      <c r="HA177" s="77"/>
      <c r="HB177" s="77"/>
      <c r="HC177" s="77"/>
      <c r="HD177" s="77"/>
      <c r="HE177" s="77"/>
      <c r="HF177" s="77"/>
      <c r="HG177" s="77"/>
      <c r="HH177" s="77"/>
      <c r="HI177" s="77"/>
      <c r="HJ177" s="77"/>
      <c r="HK177" s="77"/>
      <c r="HL177" s="77"/>
      <c r="HM177" s="77"/>
      <c r="HN177" s="77"/>
      <c r="HO177" s="77"/>
      <c r="HP177" s="77"/>
      <c r="HQ177" s="77"/>
      <c r="HR177" s="77"/>
      <c r="HS177" s="77"/>
      <c r="HT177" s="77"/>
      <c r="HU177" s="77"/>
      <c r="HV177" s="77"/>
      <c r="HW177" s="77"/>
      <c r="HX177" s="77"/>
      <c r="HY177" s="77"/>
      <c r="HZ177" s="77"/>
      <c r="IA177" s="77"/>
      <c r="IB177" s="77"/>
      <c r="IC177" s="77"/>
      <c r="ID177" s="77"/>
      <c r="IE177" s="77"/>
      <c r="IF177" s="77"/>
      <c r="IG177" s="77"/>
      <c r="IH177" s="77"/>
      <c r="II177" s="77"/>
      <c r="IJ177" s="77"/>
      <c r="IK177" s="77"/>
      <c r="IL177" s="77"/>
      <c r="IM177" s="77"/>
      <c r="IN177" s="77"/>
      <c r="IO177" s="77"/>
      <c r="IP177" s="77"/>
      <c r="IQ177" s="77"/>
      <c r="IR177" s="77"/>
      <c r="IS177" s="77"/>
      <c r="IT177" s="77"/>
      <c r="IU177" s="77"/>
      <c r="IV177" s="77"/>
      <c r="IW177" s="77"/>
      <c r="IX177" s="77"/>
      <c r="IY177" s="77"/>
      <c r="IZ177" s="77"/>
      <c r="JA177" s="77"/>
      <c r="JB177" s="77"/>
      <c r="JC177" s="77"/>
      <c r="JD177" s="77"/>
      <c r="JE177" s="77"/>
      <c r="JF177" s="77"/>
      <c r="JG177" s="77"/>
      <c r="JH177" s="77"/>
      <c r="JI177" s="77"/>
      <c r="JJ177" s="77"/>
      <c r="JK177" s="77"/>
      <c r="JL177" s="77"/>
      <c r="JM177" s="77"/>
      <c r="JN177" s="77"/>
      <c r="JO177" s="77"/>
      <c r="JP177" s="77"/>
      <c r="JQ177" s="77"/>
      <c r="JR177" s="77"/>
      <c r="JS177" s="77"/>
      <c r="JT177" s="77"/>
      <c r="JU177" s="77"/>
      <c r="JV177" s="77"/>
      <c r="JW177" s="77"/>
      <c r="JX177" s="77"/>
      <c r="JY177" s="77"/>
      <c r="JZ177" s="77"/>
      <c r="KA177" s="77"/>
      <c r="KB177" s="77"/>
      <c r="KC177" s="77"/>
      <c r="KD177" s="77"/>
      <c r="KE177" s="77"/>
      <c r="KF177" s="77"/>
      <c r="KG177" s="77"/>
      <c r="KH177" s="77"/>
      <c r="KI177" s="77"/>
      <c r="KJ177" s="77"/>
      <c r="KK177" s="77"/>
      <c r="KL177" s="77"/>
      <c r="KM177" s="77"/>
      <c r="KN177" s="77"/>
      <c r="KO177" s="77"/>
      <c r="KP177" s="77"/>
      <c r="KQ177" s="77"/>
      <c r="KR177" s="77"/>
      <c r="KS177" s="77"/>
      <c r="KT177" s="77"/>
      <c r="KU177" s="77"/>
      <c r="KV177" s="77"/>
      <c r="KW177" s="77"/>
      <c r="KX177" s="77"/>
      <c r="KY177" s="77"/>
      <c r="KZ177" s="77"/>
      <c r="LA177" s="77"/>
      <c r="LB177" s="77"/>
      <c r="LC177" s="77"/>
      <c r="LD177" s="77"/>
      <c r="LE177" s="77"/>
      <c r="LF177" s="77"/>
      <c r="LG177" s="77"/>
      <c r="LH177" s="77"/>
      <c r="LI177" s="77"/>
      <c r="LJ177" s="77"/>
      <c r="LK177" s="77"/>
      <c r="ND177" s="16"/>
    </row>
    <row r="178" spans="1:421" ht="18.600000000000001" customHeight="1" x14ac:dyDescent="0.25">
      <c r="A178" s="119" t="s">
        <v>462</v>
      </c>
      <c r="B178" s="27" t="s">
        <v>2067</v>
      </c>
      <c r="C178" s="27" t="s">
        <v>3791</v>
      </c>
      <c r="D178" s="30" t="str">
        <f>HYPERLINK("https://twitter.com/GvtMonaco","https://twitter.com/GvtMonaco")</f>
        <v>https://twitter.com/GvtMonaco</v>
      </c>
      <c r="E178" s="30" t="str">
        <f>HYPERLINK("http://twiplomacy.com/info/europe/Monaco","http://twiplomacy.com/info/europe/Monaco")</f>
        <v>http://twiplomacy.com/info/europe/Monaco</v>
      </c>
      <c r="F178" s="10" t="s">
        <v>332</v>
      </c>
      <c r="G178" s="10" t="s">
        <v>460</v>
      </c>
      <c r="H178" s="10" t="s">
        <v>788</v>
      </c>
      <c r="I178" s="10" t="s">
        <v>782</v>
      </c>
      <c r="J178" s="27" t="s">
        <v>779</v>
      </c>
      <c r="K178" s="15" t="s">
        <v>777</v>
      </c>
      <c r="L178" s="10" t="s">
        <v>771</v>
      </c>
      <c r="M178" s="10" t="s">
        <v>770</v>
      </c>
      <c r="N178" s="30" t="str">
        <f>HYPERLINK("https://twitter.com/GvtMonaco/statuses/161716389407760384","https://twitter.com/GvtMonaco/statuses/161716389407760384")</f>
        <v>https://twitter.com/GvtMonaco/statuses/161716389407760384</v>
      </c>
      <c r="O178" s="27" t="s">
        <v>5853</v>
      </c>
      <c r="P178" s="80">
        <v>200</v>
      </c>
      <c r="Q178" s="80">
        <v>331</v>
      </c>
      <c r="R178" s="27" t="s">
        <v>2994</v>
      </c>
      <c r="S178" s="10" t="s">
        <v>2068</v>
      </c>
      <c r="T178" s="10" t="s">
        <v>771</v>
      </c>
      <c r="U178" s="10" t="s">
        <v>771</v>
      </c>
      <c r="V178" s="10" t="s">
        <v>771</v>
      </c>
      <c r="W178" s="10"/>
      <c r="X178" s="27" t="s">
        <v>462</v>
      </c>
      <c r="Y178" s="27" t="s">
        <v>2067</v>
      </c>
      <c r="Z178" s="80">
        <v>6637</v>
      </c>
      <c r="AA178" s="27">
        <v>231</v>
      </c>
      <c r="AB178" s="80">
        <v>20566</v>
      </c>
      <c r="AC178" s="27">
        <v>91</v>
      </c>
      <c r="AD178" s="27" t="s">
        <v>3792</v>
      </c>
      <c r="AE178" s="27">
        <v>472167838</v>
      </c>
      <c r="AF178" s="27" t="s">
        <v>3791</v>
      </c>
      <c r="AG178" s="27" t="s">
        <v>460</v>
      </c>
      <c r="AH178" s="79">
        <v>4.2517616912235701</v>
      </c>
      <c r="AI178" s="83">
        <v>3.9234507897934399</v>
      </c>
      <c r="AJ178" s="80">
        <v>4.5540148339245397</v>
      </c>
      <c r="AK178" s="80">
        <v>3.7397613673008698</v>
      </c>
      <c r="AL178" s="27">
        <v>56</v>
      </c>
      <c r="AM178" s="97">
        <f t="shared" si="2"/>
        <v>1.7500000000000002E-2</v>
      </c>
      <c r="AN178" s="27" t="s">
        <v>462</v>
      </c>
      <c r="AO178" s="27">
        <v>10</v>
      </c>
      <c r="AP178" s="27">
        <v>13</v>
      </c>
      <c r="AQ178" s="27">
        <v>6</v>
      </c>
      <c r="AR178" s="27">
        <f>SUM(AO178:AQ178)</f>
        <v>29</v>
      </c>
      <c r="AS178" s="27" t="s">
        <v>6215</v>
      </c>
      <c r="AT178" s="27" t="s">
        <v>6744</v>
      </c>
      <c r="AU178" s="84" t="s">
        <v>4751</v>
      </c>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77"/>
      <c r="BY178" s="77"/>
      <c r="BZ178" s="77"/>
      <c r="CA178" s="77"/>
      <c r="CB178" s="77"/>
      <c r="CC178" s="77"/>
      <c r="CD178" s="77"/>
      <c r="CE178" s="77"/>
      <c r="CF178" s="77"/>
      <c r="CG178" s="77"/>
      <c r="CH178" s="77"/>
      <c r="CI178" s="77"/>
      <c r="CJ178" s="77"/>
      <c r="CK178" s="77"/>
      <c r="CL178" s="77"/>
      <c r="CM178" s="77"/>
      <c r="CN178" s="77"/>
      <c r="CO178" s="77"/>
      <c r="CP178" s="77"/>
      <c r="CQ178" s="77"/>
      <c r="CR178" s="77"/>
      <c r="CS178" s="77"/>
      <c r="CT178" s="77"/>
      <c r="CU178" s="77"/>
      <c r="CV178" s="77"/>
      <c r="CW178" s="77"/>
      <c r="CX178" s="77"/>
      <c r="CY178" s="77"/>
      <c r="CZ178" s="77"/>
      <c r="DA178" s="77"/>
      <c r="DB178" s="77"/>
      <c r="DC178" s="77"/>
      <c r="DD178" s="77"/>
      <c r="DE178" s="77"/>
      <c r="DF178" s="77"/>
      <c r="DG178" s="77"/>
      <c r="DH178" s="77"/>
      <c r="DI178" s="77"/>
      <c r="DJ178" s="77"/>
      <c r="DK178" s="77"/>
      <c r="DL178" s="77"/>
      <c r="DM178" s="77"/>
      <c r="DN178" s="77"/>
      <c r="DO178" s="77"/>
      <c r="DP178" s="77"/>
      <c r="DQ178" s="77"/>
      <c r="DR178" s="77"/>
      <c r="DS178" s="77"/>
      <c r="DT178" s="77"/>
      <c r="DU178" s="77"/>
      <c r="DV178" s="77"/>
      <c r="DW178" s="77"/>
      <c r="DX178" s="77"/>
      <c r="DY178" s="77"/>
      <c r="DZ178" s="77"/>
      <c r="EA178" s="77"/>
      <c r="EB178" s="77"/>
      <c r="EC178" s="77"/>
      <c r="ED178" s="77"/>
      <c r="EE178" s="77"/>
      <c r="EF178" s="77"/>
      <c r="EG178" s="77"/>
      <c r="EH178" s="77"/>
      <c r="EI178" s="77"/>
      <c r="EJ178" s="77"/>
      <c r="EK178" s="77"/>
      <c r="EL178" s="77"/>
      <c r="EP178" s="77"/>
      <c r="EQ178" s="77"/>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77"/>
      <c r="GM178" s="77"/>
      <c r="GN178" s="77"/>
      <c r="GO178" s="77"/>
      <c r="GP178" s="77"/>
      <c r="GQ178" s="77"/>
      <c r="GR178" s="77"/>
      <c r="GS178" s="77"/>
      <c r="GT178" s="77"/>
      <c r="GU178" s="77"/>
      <c r="GV178" s="77"/>
      <c r="GW178" s="77"/>
      <c r="GX178" s="77"/>
      <c r="GY178" s="77"/>
      <c r="GZ178" s="77"/>
      <c r="HA178" s="77"/>
      <c r="HB178" s="77"/>
      <c r="HC178" s="77"/>
      <c r="HD178" s="77"/>
      <c r="HE178" s="77"/>
      <c r="HF178" s="77"/>
      <c r="HG178" s="77"/>
      <c r="HH178" s="77"/>
      <c r="HI178" s="77"/>
      <c r="HJ178" s="77"/>
      <c r="HK178" s="77"/>
      <c r="HL178" s="77"/>
      <c r="HM178" s="77"/>
      <c r="HN178" s="77"/>
      <c r="HO178" s="77"/>
      <c r="HP178" s="77"/>
      <c r="HQ178" s="77"/>
      <c r="HR178" s="77"/>
      <c r="HS178" s="77"/>
      <c r="HT178" s="77"/>
      <c r="HU178" s="77"/>
      <c r="HV178" s="77"/>
      <c r="HW178" s="77"/>
      <c r="HX178" s="77"/>
      <c r="HY178" s="77"/>
      <c r="HZ178" s="77"/>
      <c r="IA178" s="77"/>
      <c r="IB178" s="77"/>
      <c r="IC178" s="77"/>
      <c r="LY178" s="77"/>
      <c r="LZ178" s="77"/>
      <c r="MA178" s="77"/>
      <c r="MB178" s="77"/>
      <c r="MC178" s="77"/>
      <c r="MD178" s="77"/>
      <c r="ME178" s="77"/>
      <c r="MF178" s="77"/>
      <c r="MG178" s="77"/>
      <c r="MH178" s="77"/>
      <c r="MI178" s="77"/>
      <c r="MJ178" s="77"/>
      <c r="MK178" s="77"/>
      <c r="ML178" s="77"/>
      <c r="MM178" s="77"/>
      <c r="MN178" s="77"/>
      <c r="MO178" s="77"/>
      <c r="MP178" s="77"/>
      <c r="MQ178" s="77"/>
      <c r="MR178" s="77"/>
      <c r="MT178" s="16"/>
      <c r="MU178" s="16"/>
      <c r="MV178" s="16"/>
      <c r="MW178" s="16"/>
      <c r="MX178" s="16"/>
      <c r="MY178" s="16"/>
      <c r="MZ178" s="16"/>
      <c r="NA178" s="16"/>
      <c r="NB178" s="16"/>
      <c r="NC178" s="16"/>
    </row>
    <row r="179" spans="1:421" ht="18.600000000000001" customHeight="1" x14ac:dyDescent="0.25">
      <c r="A179" s="119" t="s">
        <v>533</v>
      </c>
      <c r="B179" s="27" t="s">
        <v>2244</v>
      </c>
      <c r="C179" s="27" t="s">
        <v>6455</v>
      </c>
      <c r="D179" s="30" t="str">
        <f>HYPERLINK("https://twitter.com/SweMFA","https://twitter.com/SweMFA")</f>
        <v>https://twitter.com/SweMFA</v>
      </c>
      <c r="E179" s="30" t="str">
        <f>HYPERLINK("http://twiplomacy.com/info/europe/sweden/","http://twiplomacy.com/info/europe/sweden/")</f>
        <v>http://twiplomacy.com/info/europe/sweden/</v>
      </c>
      <c r="F179" s="10" t="s">
        <v>332</v>
      </c>
      <c r="G179" s="10" t="s">
        <v>529</v>
      </c>
      <c r="H179" s="10" t="s">
        <v>795</v>
      </c>
      <c r="I179" s="10" t="s">
        <v>782</v>
      </c>
      <c r="J179" s="27" t="s">
        <v>789</v>
      </c>
      <c r="K179" s="15" t="s">
        <v>777</v>
      </c>
      <c r="L179" s="10" t="s">
        <v>771</v>
      </c>
      <c r="M179" s="10" t="s">
        <v>770</v>
      </c>
      <c r="N179" s="30" t="str">
        <f>HYPERLINK("https://twitter.com/SweMFA/statuses/128491240290390017","https://twitter.com/SweMFA/statuses/128491240290390017")</f>
        <v>https://twitter.com/SweMFA/statuses/128491240290390017</v>
      </c>
      <c r="O179" s="27" t="s">
        <v>6105</v>
      </c>
      <c r="P179" s="80">
        <v>651</v>
      </c>
      <c r="Q179" s="80">
        <v>554</v>
      </c>
      <c r="R179" s="27" t="s">
        <v>2994</v>
      </c>
      <c r="S179" s="30" t="str">
        <f>HYPERLINK("https://twitter.com/SweMFA/lists","https://twitter.com/SweMFA/lists")</f>
        <v>https://twitter.com/SweMFA/lists</v>
      </c>
      <c r="T179" s="10">
        <v>8</v>
      </c>
      <c r="U179" s="10">
        <v>3</v>
      </c>
      <c r="V179" s="30" t="str">
        <f>HYPERLINK("https://twitter.com/SweMFA/swedish-embassies/members","https://twitter.com/SweMFA/swedish-embassies/members")</f>
        <v>https://twitter.com/SweMFA/swedish-embassies/members</v>
      </c>
      <c r="W179" s="10">
        <v>148</v>
      </c>
      <c r="X179" s="27" t="s">
        <v>533</v>
      </c>
      <c r="Y179" s="27" t="s">
        <v>2244</v>
      </c>
      <c r="Z179" s="80">
        <v>6512</v>
      </c>
      <c r="AA179" s="27">
        <v>2534</v>
      </c>
      <c r="AB179" s="80">
        <v>18256</v>
      </c>
      <c r="AC179" s="27">
        <v>854</v>
      </c>
      <c r="AD179" s="27" t="s">
        <v>4505</v>
      </c>
      <c r="AE179" s="27">
        <v>147512019</v>
      </c>
      <c r="AF179" s="27" t="s">
        <v>6455</v>
      </c>
      <c r="AG179" s="27" t="s">
        <v>2245</v>
      </c>
      <c r="AH179" s="79">
        <v>3.00092165898617</v>
      </c>
      <c r="AI179" s="83">
        <v>5.5233160621761703</v>
      </c>
      <c r="AJ179" s="80">
        <v>22.1478641840088</v>
      </c>
      <c r="AK179" s="80">
        <v>11.676889375684601</v>
      </c>
      <c r="AL179" s="27">
        <v>48</v>
      </c>
      <c r="AM179" s="97">
        <f t="shared" si="2"/>
        <v>1.4999999999999999E-2</v>
      </c>
      <c r="AN179" s="27" t="s">
        <v>533</v>
      </c>
      <c r="AO179" s="27">
        <v>288</v>
      </c>
      <c r="AP179" s="27">
        <v>33</v>
      </c>
      <c r="AQ179" s="27">
        <v>83</v>
      </c>
      <c r="AR179" s="27">
        <f>SUM(AO179:AQ179)</f>
        <v>404</v>
      </c>
      <c r="AS179" s="27" t="s">
        <v>6630</v>
      </c>
      <c r="AT179" s="27" t="s">
        <v>6864</v>
      </c>
      <c r="AU179" s="84" t="s">
        <v>6537</v>
      </c>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c r="CU179" s="77"/>
      <c r="CV179" s="77"/>
      <c r="CW179" s="77"/>
      <c r="EQ179" s="77"/>
      <c r="ER179" s="77"/>
      <c r="ES179" s="77"/>
      <c r="ET179" s="77"/>
      <c r="EU179" s="77"/>
      <c r="EV179" s="77"/>
      <c r="EW179" s="77"/>
      <c r="EX179" s="77"/>
      <c r="EY179" s="77"/>
      <c r="EZ179" s="77"/>
      <c r="FA179" s="77"/>
      <c r="FB179" s="77"/>
      <c r="FC179" s="77"/>
      <c r="FD179" s="77"/>
      <c r="FE179" s="77"/>
      <c r="FF179" s="77"/>
      <c r="FG179" s="77"/>
      <c r="FH179" s="77"/>
      <c r="FI179" s="77"/>
      <c r="FJ179" s="77"/>
      <c r="FK179" s="77"/>
      <c r="FL179" s="77"/>
      <c r="FM179" s="77"/>
      <c r="FN179" s="77"/>
      <c r="FO179" s="77"/>
      <c r="FP179" s="77"/>
      <c r="FQ179" s="77"/>
      <c r="FR179" s="77"/>
      <c r="FS179" s="77"/>
      <c r="FT179" s="77"/>
      <c r="FU179" s="77"/>
      <c r="FV179" s="77"/>
      <c r="FW179" s="77"/>
      <c r="FX179" s="77"/>
      <c r="FY179" s="77"/>
      <c r="FZ179" s="77"/>
      <c r="GA179" s="77"/>
      <c r="GB179" s="77"/>
      <c r="GC179" s="77"/>
      <c r="GD179" s="77"/>
      <c r="GE179" s="77"/>
      <c r="GF179" s="77"/>
      <c r="GG179" s="77"/>
      <c r="GH179" s="77"/>
      <c r="GI179" s="77"/>
      <c r="GJ179" s="77"/>
      <c r="GK179" s="77"/>
      <c r="GL179" s="77"/>
      <c r="GM179" s="77"/>
      <c r="GN179" s="77"/>
      <c r="GO179" s="77"/>
      <c r="GP179" s="77"/>
      <c r="GQ179" s="77"/>
      <c r="GR179" s="77"/>
      <c r="GS179" s="77"/>
      <c r="GT179" s="77"/>
      <c r="GU179" s="77"/>
      <c r="GV179" s="77"/>
      <c r="GW179" s="77"/>
      <c r="GX179" s="77"/>
      <c r="GY179" s="77"/>
      <c r="GZ179" s="77"/>
      <c r="HA179" s="77"/>
      <c r="HB179" s="77"/>
      <c r="HC179" s="77"/>
      <c r="HD179" s="77"/>
      <c r="HE179" s="77"/>
      <c r="HF179" s="77"/>
      <c r="HG179" s="77"/>
      <c r="HH179" s="77"/>
      <c r="HI179" s="77"/>
      <c r="HJ179" s="77"/>
      <c r="HK179" s="77"/>
      <c r="HL179" s="77"/>
      <c r="HM179" s="77"/>
      <c r="HN179" s="77"/>
      <c r="HO179" s="77"/>
      <c r="HP179" s="77"/>
      <c r="HQ179" s="77"/>
      <c r="HR179" s="77"/>
      <c r="HS179" s="77"/>
      <c r="HT179" s="77"/>
      <c r="HU179" s="77"/>
      <c r="HV179" s="77"/>
      <c r="HW179" s="77"/>
      <c r="HX179" s="77"/>
      <c r="HY179" s="77"/>
      <c r="HZ179" s="77"/>
      <c r="IA179" s="77"/>
      <c r="IB179" s="77"/>
      <c r="IC179" s="77"/>
      <c r="ID179" s="77"/>
      <c r="IE179" s="77"/>
      <c r="IF179" s="77"/>
      <c r="IG179" s="77"/>
      <c r="IH179" s="77"/>
      <c r="II179" s="77"/>
      <c r="IJ179" s="77"/>
      <c r="IK179" s="77"/>
      <c r="IL179" s="77"/>
      <c r="IM179" s="77"/>
      <c r="IN179" s="77"/>
      <c r="IO179" s="77"/>
      <c r="IP179" s="77"/>
      <c r="IQ179" s="77"/>
      <c r="IR179" s="77"/>
      <c r="IS179" s="77"/>
      <c r="IT179" s="77"/>
      <c r="IU179" s="77"/>
      <c r="IV179" s="77"/>
      <c r="IW179" s="77"/>
      <c r="IX179" s="77"/>
      <c r="IY179" s="77"/>
      <c r="IZ179" s="77"/>
      <c r="JA179" s="77"/>
      <c r="JB179" s="77"/>
      <c r="JC179" s="77"/>
      <c r="JD179" s="77"/>
      <c r="JE179" s="77"/>
      <c r="JF179" s="77"/>
      <c r="JG179" s="77"/>
      <c r="JH179" s="77"/>
      <c r="JI179" s="77"/>
      <c r="JJ179" s="77"/>
      <c r="JK179" s="77"/>
      <c r="JL179" s="77"/>
      <c r="JM179" s="77"/>
      <c r="JN179" s="77"/>
      <c r="JO179" s="77"/>
      <c r="JP179" s="77"/>
      <c r="JQ179" s="77"/>
      <c r="JR179" s="77"/>
      <c r="JS179" s="77"/>
      <c r="JT179" s="77"/>
      <c r="JU179" s="77"/>
      <c r="JV179" s="77"/>
      <c r="JW179" s="77"/>
      <c r="JX179" s="77"/>
      <c r="JY179" s="16"/>
      <c r="JZ179" s="16"/>
      <c r="KA179" s="16"/>
      <c r="KB179" s="16"/>
      <c r="KC179" s="16"/>
      <c r="KD179" s="16"/>
      <c r="KE179" s="16"/>
      <c r="KF179" s="16"/>
      <c r="KG179" s="16"/>
      <c r="KH179" s="16"/>
      <c r="KI179" s="16"/>
      <c r="KJ179" s="16"/>
      <c r="KK179" s="16"/>
      <c r="KL179" s="16"/>
      <c r="KM179" s="16"/>
      <c r="KN179" s="16"/>
      <c r="KO179" s="16"/>
      <c r="KP179" s="16"/>
      <c r="KQ179" s="16"/>
      <c r="KR179" s="16"/>
      <c r="KS179" s="16"/>
      <c r="KT179" s="16"/>
      <c r="KU179" s="16"/>
      <c r="KV179" s="16"/>
      <c r="KW179" s="16"/>
      <c r="KX179" s="16"/>
      <c r="KY179" s="16"/>
      <c r="KZ179" s="16"/>
      <c r="LA179" s="16"/>
      <c r="LB179" s="16"/>
      <c r="LC179" s="16"/>
      <c r="LD179" s="16"/>
      <c r="LE179" s="16"/>
      <c r="LF179" s="16"/>
      <c r="LG179" s="16"/>
      <c r="LH179" s="16"/>
      <c r="LI179" s="16"/>
      <c r="LJ179" s="16"/>
      <c r="LK179" s="16"/>
      <c r="LL179" s="77"/>
      <c r="LM179" s="77"/>
      <c r="LN179" s="77"/>
      <c r="LO179" s="77"/>
      <c r="LP179" s="77"/>
      <c r="LQ179" s="77"/>
      <c r="LR179" s="77"/>
      <c r="LS179" s="77"/>
      <c r="LT179" s="77"/>
      <c r="LU179" s="77"/>
      <c r="LV179" s="77"/>
      <c r="LW179" s="77"/>
      <c r="LX179" s="77"/>
      <c r="MT179" s="77"/>
      <c r="MU179" s="77"/>
      <c r="MV179" s="77"/>
      <c r="MW179" s="77"/>
      <c r="MX179" s="77"/>
      <c r="MY179" s="77"/>
      <c r="MZ179" s="77"/>
      <c r="NA179" s="77"/>
      <c r="NB179" s="77"/>
      <c r="NC179" s="77"/>
    </row>
    <row r="180" spans="1:421" ht="18.600000000000001" customHeight="1" x14ac:dyDescent="0.25">
      <c r="A180" s="119" t="s">
        <v>337</v>
      </c>
      <c r="B180" s="27" t="s">
        <v>1708</v>
      </c>
      <c r="C180" s="27" t="s">
        <v>6395</v>
      </c>
      <c r="D180" s="30" t="str">
        <f>HYPERLINK("https://twitter.com/GovernAndorra","https://twitter.com/GovernAndorra")</f>
        <v>https://twitter.com/GovernAndorra</v>
      </c>
      <c r="E180" s="30" t="str">
        <f>HYPERLINK("http://twiplomacy.com/info/europe/Andorra","http://twiplomacy.com/info/europe/Andorra")</f>
        <v>http://twiplomacy.com/info/europe/Andorra</v>
      </c>
      <c r="F180" s="10" t="s">
        <v>332</v>
      </c>
      <c r="G180" s="10" t="s">
        <v>336</v>
      </c>
      <c r="H180" s="10" t="s">
        <v>788</v>
      </c>
      <c r="I180" s="10" t="s">
        <v>782</v>
      </c>
      <c r="J180" s="27" t="s">
        <v>1710</v>
      </c>
      <c r="K180" s="15" t="s">
        <v>777</v>
      </c>
      <c r="L180" s="10" t="s">
        <v>771</v>
      </c>
      <c r="M180" s="10" t="s">
        <v>771</v>
      </c>
      <c r="N180" s="30" t="str">
        <f>HYPERLINK("https://twitter.com/GovernAndorra/statuses/10387041921","https://twitter.com/GovernAndorra/statuses/10387041921")</f>
        <v>https://twitter.com/GovernAndorra/statuses/10387041921</v>
      </c>
      <c r="O180" s="30" t="str">
        <f>HYPERLINK("https://twitter.com/GovernAndorra/statuses/227463082560086018","https://twitter.com/GovernAndorra/statuses/227463082560086018")</f>
        <v>https://twitter.com/GovernAndorra/statuses/227463082560086018</v>
      </c>
      <c r="P180" s="46">
        <v>73</v>
      </c>
      <c r="Q180" s="46">
        <v>2</v>
      </c>
      <c r="R180" s="27" t="s">
        <v>2995</v>
      </c>
      <c r="S180" s="10" t="s">
        <v>1709</v>
      </c>
      <c r="T180" s="10" t="s">
        <v>771</v>
      </c>
      <c r="U180" s="10" t="s">
        <v>771</v>
      </c>
      <c r="V180" s="10" t="s">
        <v>771</v>
      </c>
      <c r="W180" s="10"/>
      <c r="X180" s="27" t="s">
        <v>337</v>
      </c>
      <c r="Y180" s="27" t="s">
        <v>1708</v>
      </c>
      <c r="Z180" s="80">
        <v>6485</v>
      </c>
      <c r="AA180" s="27">
        <v>2485</v>
      </c>
      <c r="AB180" s="80">
        <v>10914</v>
      </c>
      <c r="AC180" s="27">
        <v>7</v>
      </c>
      <c r="AD180" s="27" t="s">
        <v>3752</v>
      </c>
      <c r="AE180" s="27">
        <v>122452959</v>
      </c>
      <c r="AF180" s="27" t="s">
        <v>6395</v>
      </c>
      <c r="AG180" s="27" t="s">
        <v>336</v>
      </c>
      <c r="AH180" s="79">
        <v>2.8925066904549501</v>
      </c>
      <c r="AI180" s="83">
        <v>2.7598627787307</v>
      </c>
      <c r="AJ180" s="80">
        <v>1.28493062278154</v>
      </c>
      <c r="AK180" s="80">
        <v>0.70538883510809902</v>
      </c>
      <c r="AL180" s="27">
        <v>36</v>
      </c>
      <c r="AM180" s="97">
        <f t="shared" si="2"/>
        <v>1.125E-2</v>
      </c>
      <c r="AN180" s="27" t="s">
        <v>337</v>
      </c>
      <c r="AO180" s="27">
        <v>4</v>
      </c>
      <c r="AP180" s="27">
        <v>7</v>
      </c>
      <c r="AQ180" s="27">
        <v>4</v>
      </c>
      <c r="AR180" s="27">
        <f>SUM(AO180:AQ180)</f>
        <v>15</v>
      </c>
      <c r="AS180" s="27" t="s">
        <v>5150</v>
      </c>
      <c r="AT180" s="27" t="s">
        <v>6737</v>
      </c>
      <c r="AU180" s="84" t="s">
        <v>4739</v>
      </c>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77"/>
      <c r="CU180" s="77"/>
      <c r="CV180" s="77"/>
      <c r="CW180" s="77"/>
      <c r="CX180" s="77"/>
      <c r="CY180" s="77"/>
      <c r="CZ180" s="77"/>
      <c r="DA180" s="77"/>
      <c r="DB180" s="77"/>
      <c r="DC180" s="77"/>
      <c r="DD180" s="77"/>
      <c r="DE180" s="77"/>
      <c r="DF180" s="77"/>
      <c r="DG180" s="77"/>
      <c r="DH180" s="77"/>
      <c r="DI180" s="77"/>
      <c r="DJ180" s="77"/>
      <c r="DK180" s="77"/>
      <c r="DL180" s="77"/>
      <c r="DM180" s="77"/>
      <c r="DN180" s="77"/>
      <c r="DO180" s="77"/>
      <c r="DP180" s="77"/>
      <c r="DQ180" s="77"/>
      <c r="DR180" s="77"/>
      <c r="DS180" s="77"/>
      <c r="DT180" s="77"/>
      <c r="DU180" s="77"/>
      <c r="DV180" s="77"/>
      <c r="DW180" s="77"/>
      <c r="DX180" s="77"/>
      <c r="DY180" s="77"/>
      <c r="DZ180" s="77"/>
      <c r="EA180" s="77"/>
      <c r="EB180" s="77"/>
      <c r="EC180" s="77"/>
      <c r="ED180" s="77"/>
      <c r="EE180" s="77"/>
      <c r="EF180" s="77"/>
      <c r="EG180" s="77"/>
      <c r="EH180" s="77"/>
      <c r="EI180" s="77"/>
      <c r="EJ180" s="77"/>
      <c r="EK180" s="77"/>
      <c r="EL180" s="77"/>
      <c r="EM180" s="77"/>
      <c r="EN180" s="77"/>
      <c r="EO180" s="77"/>
      <c r="EP180" s="77"/>
      <c r="ER180" s="77"/>
      <c r="ES180" s="77"/>
      <c r="ET180" s="77"/>
      <c r="EU180" s="77"/>
      <c r="EV180" s="77"/>
      <c r="EW180" s="77"/>
      <c r="EX180" s="77"/>
      <c r="EY180" s="77"/>
      <c r="EZ180" s="77"/>
      <c r="FA180" s="77"/>
      <c r="FB180" s="77"/>
      <c r="FC180" s="77"/>
      <c r="FD180" s="77"/>
      <c r="FE180" s="77"/>
      <c r="FF180" s="77"/>
      <c r="FG180" s="77"/>
      <c r="FH180" s="77"/>
      <c r="FI180" s="77"/>
      <c r="FJ180" s="77"/>
      <c r="FK180" s="77"/>
      <c r="FL180" s="77"/>
      <c r="FM180" s="77"/>
      <c r="FN180" s="77"/>
      <c r="FO180" s="77"/>
      <c r="FP180" s="77"/>
      <c r="FQ180" s="77"/>
      <c r="FR180" s="77"/>
      <c r="FS180" s="77"/>
      <c r="FT180" s="77"/>
      <c r="FU180" s="77"/>
      <c r="FV180" s="77"/>
      <c r="FW180" s="77"/>
      <c r="FX180" s="77"/>
      <c r="FY180" s="77"/>
      <c r="FZ180" s="77"/>
      <c r="GA180" s="77"/>
      <c r="GB180" s="77"/>
      <c r="GC180" s="77"/>
      <c r="GD180" s="77"/>
      <c r="GE180" s="77"/>
      <c r="GF180" s="77"/>
      <c r="GG180" s="77"/>
      <c r="GH180" s="77"/>
      <c r="GI180" s="77"/>
      <c r="GJ180" s="77"/>
      <c r="GK180" s="77"/>
      <c r="GL180" s="77"/>
      <c r="GM180" s="77"/>
      <c r="GN180" s="77"/>
      <c r="GO180" s="77"/>
      <c r="GP180" s="77"/>
      <c r="GQ180" s="77"/>
      <c r="GR180" s="77"/>
      <c r="GS180" s="77"/>
      <c r="GT180" s="77"/>
      <c r="GU180" s="77"/>
      <c r="GV180" s="77"/>
      <c r="GW180" s="77"/>
      <c r="GX180" s="77"/>
      <c r="GY180" s="77"/>
      <c r="GZ180" s="77"/>
      <c r="HA180" s="77"/>
      <c r="HB180" s="77"/>
      <c r="HC180" s="77"/>
      <c r="HD180" s="77"/>
      <c r="HE180" s="77"/>
      <c r="HF180" s="77"/>
      <c r="HG180" s="77"/>
      <c r="HH180" s="77"/>
      <c r="HI180" s="77"/>
      <c r="HJ180" s="77"/>
      <c r="HK180" s="77"/>
      <c r="HL180" s="77"/>
      <c r="HM180" s="77"/>
      <c r="HN180" s="77"/>
      <c r="HO180" s="77"/>
      <c r="HP180" s="77"/>
      <c r="HQ180" s="77"/>
      <c r="HR180" s="77"/>
      <c r="HS180" s="77"/>
      <c r="HT180" s="77"/>
      <c r="HU180" s="77"/>
      <c r="HV180" s="77"/>
      <c r="HW180" s="77"/>
      <c r="HX180" s="77"/>
      <c r="HY180" s="77"/>
      <c r="HZ180" s="77"/>
      <c r="IA180" s="77"/>
      <c r="IB180" s="77"/>
      <c r="IC180" s="77"/>
      <c r="ID180" s="77"/>
      <c r="IE180" s="77"/>
      <c r="IF180" s="77"/>
      <c r="IG180" s="77"/>
      <c r="IH180" s="77"/>
      <c r="II180" s="77"/>
      <c r="IJ180" s="77"/>
      <c r="IK180" s="77"/>
      <c r="IL180" s="77"/>
      <c r="IM180" s="77"/>
      <c r="IN180" s="77"/>
      <c r="IO180" s="77"/>
      <c r="IP180" s="77"/>
      <c r="IQ180" s="77"/>
      <c r="IR180" s="77"/>
      <c r="IS180" s="77"/>
      <c r="IT180" s="77"/>
      <c r="IU180" s="77"/>
      <c r="IV180" s="77"/>
      <c r="IW180" s="77"/>
      <c r="IX180" s="77"/>
      <c r="IY180" s="77"/>
      <c r="IZ180" s="77"/>
      <c r="JA180" s="77"/>
      <c r="JB180" s="77"/>
      <c r="JC180" s="77"/>
      <c r="JD180" s="77"/>
      <c r="JE180" s="77"/>
      <c r="JF180" s="77"/>
      <c r="JG180" s="77"/>
      <c r="JH180" s="77"/>
      <c r="JI180" s="77"/>
      <c r="JJ180" s="77"/>
      <c r="JK180" s="77"/>
      <c r="JL180" s="77"/>
      <c r="JM180" s="77"/>
      <c r="JN180" s="77"/>
      <c r="JO180" s="77"/>
      <c r="JP180" s="77"/>
      <c r="JQ180" s="77"/>
      <c r="JR180" s="77"/>
      <c r="JS180" s="77"/>
      <c r="JT180" s="77"/>
      <c r="JU180" s="77"/>
      <c r="JV180" s="77"/>
      <c r="JW180" s="77"/>
      <c r="JX180" s="77"/>
      <c r="JY180" s="77"/>
      <c r="JZ180" s="77"/>
      <c r="KA180" s="77"/>
      <c r="KB180" s="77"/>
      <c r="KC180" s="77"/>
      <c r="KD180" s="77"/>
      <c r="KE180" s="77"/>
      <c r="KF180" s="77"/>
      <c r="KG180" s="77"/>
      <c r="KH180" s="77"/>
      <c r="KI180" s="77"/>
      <c r="KJ180" s="77"/>
      <c r="KK180" s="77"/>
      <c r="KL180" s="77"/>
      <c r="LL180" s="77"/>
      <c r="LM180" s="77"/>
      <c r="LN180" s="77"/>
      <c r="LO180" s="77"/>
      <c r="LP180" s="77"/>
      <c r="LQ180" s="77"/>
      <c r="LR180" s="77"/>
      <c r="LS180" s="77"/>
      <c r="LT180" s="77"/>
      <c r="LU180" s="77"/>
      <c r="LV180" s="77"/>
      <c r="LY180" s="77"/>
      <c r="LZ180" s="77"/>
      <c r="MA180" s="77"/>
      <c r="MB180" s="77"/>
      <c r="MC180" s="77"/>
      <c r="MD180" s="77"/>
      <c r="ME180" s="77"/>
      <c r="MF180" s="77"/>
      <c r="MG180" s="77"/>
      <c r="MH180" s="77"/>
      <c r="MI180" s="77"/>
      <c r="MJ180" s="77"/>
      <c r="MK180" s="77"/>
      <c r="ML180" s="77"/>
      <c r="MM180" s="77"/>
      <c r="MN180" s="77"/>
      <c r="MO180" s="77"/>
      <c r="MP180" s="77"/>
      <c r="MQ180" s="77"/>
      <c r="MR180" s="77"/>
    </row>
    <row r="181" spans="1:421" ht="18.600000000000001" customHeight="1" x14ac:dyDescent="0.25">
      <c r="A181" s="119" t="s">
        <v>321</v>
      </c>
      <c r="B181" s="27" t="s">
        <v>1234</v>
      </c>
      <c r="C181" s="27" t="s">
        <v>5580</v>
      </c>
      <c r="D181" s="30" t="str">
        <f>HYPERLINK("https://twitter.com/MOFAUAE","https://twitter.com/MOFAUAE")</f>
        <v>https://twitter.com/MOFAUAE</v>
      </c>
      <c r="E181" s="30" t="str">
        <f>HYPERLINK("http://twiplomacy.com/info/asia/United-Arab-Emirates","http://twiplomacy.com/info/asia/United-Arab-Emirates")</f>
        <v>http://twiplomacy.com/info/asia/United-Arab-Emirates</v>
      </c>
      <c r="F181" s="10" t="s">
        <v>154</v>
      </c>
      <c r="G181" s="10" t="s">
        <v>317</v>
      </c>
      <c r="H181" s="10" t="s">
        <v>795</v>
      </c>
      <c r="I181" s="10" t="s">
        <v>782</v>
      </c>
      <c r="J181" s="27" t="s">
        <v>789</v>
      </c>
      <c r="K181" s="15" t="s">
        <v>777</v>
      </c>
      <c r="L181" s="10" t="s">
        <v>771</v>
      </c>
      <c r="M181" s="10" t="s">
        <v>770</v>
      </c>
      <c r="N181" s="30" t="str">
        <f>HYPERLINK("https://twitter.com/MOFAUAE/statuses/207060001943064576","https://twitter.com/MOFAUAE/statuses/207060001943064576")</f>
        <v>https://twitter.com/MOFAUAE/statuses/207060001943064576</v>
      </c>
      <c r="O181" s="30" t="str">
        <f>HYPERLINK("https://twitter.com/MOFAUAE/statuses/482578577796255744","https://twitter.com/MOFAUAE/statuses/482578577796255744")</f>
        <v>https://twitter.com/MOFAUAE/statuses/482578577796255744</v>
      </c>
      <c r="P181" s="46">
        <v>882</v>
      </c>
      <c r="Q181" s="46">
        <v>71</v>
      </c>
      <c r="R181" s="27" t="s">
        <v>2994</v>
      </c>
      <c r="S181" s="10" t="s">
        <v>1673</v>
      </c>
      <c r="T181" s="10" t="s">
        <v>771</v>
      </c>
      <c r="U181" s="10" t="s">
        <v>771</v>
      </c>
      <c r="V181" s="10" t="s">
        <v>771</v>
      </c>
      <c r="W181" s="10"/>
      <c r="X181" s="27" t="s">
        <v>321</v>
      </c>
      <c r="Y181" s="27" t="s">
        <v>1234</v>
      </c>
      <c r="Z181" s="80">
        <v>6454</v>
      </c>
      <c r="AA181" s="27">
        <v>127</v>
      </c>
      <c r="AB181" s="80">
        <v>311265</v>
      </c>
      <c r="AC181" s="27">
        <v>51</v>
      </c>
      <c r="AD181" s="27" t="s">
        <v>4161</v>
      </c>
      <c r="AE181" s="27">
        <v>524193350</v>
      </c>
      <c r="AF181" s="27" t="s">
        <v>5580</v>
      </c>
      <c r="AG181" s="27" t="s">
        <v>6430</v>
      </c>
      <c r="AH181" s="79">
        <v>4.2741721854304604</v>
      </c>
      <c r="AI181" s="83">
        <v>12.9236947791165</v>
      </c>
      <c r="AJ181" s="80">
        <v>11.705882352941201</v>
      </c>
      <c r="AK181" s="80">
        <v>7.3333333333333304</v>
      </c>
      <c r="AL181" s="27">
        <v>20</v>
      </c>
      <c r="AM181" s="97">
        <f t="shared" si="2"/>
        <v>6.2500000000000003E-3</v>
      </c>
      <c r="AN181" s="27" t="s">
        <v>321</v>
      </c>
      <c r="AO181" s="27">
        <v>19</v>
      </c>
      <c r="AP181" s="27">
        <v>26</v>
      </c>
      <c r="AQ181" s="27">
        <v>11</v>
      </c>
      <c r="AR181" s="27">
        <f>SUM(AO181:AQ181)</f>
        <v>56</v>
      </c>
      <c r="AS181" s="27" t="s">
        <v>5346</v>
      </c>
      <c r="AT181" s="39" t="s">
        <v>6908</v>
      </c>
      <c r="AU181" s="84" t="s">
        <v>4869</v>
      </c>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C181" s="77"/>
      <c r="CD181" s="77"/>
      <c r="CE181" s="77"/>
      <c r="CF181" s="77"/>
      <c r="CG181" s="77"/>
      <c r="CH181" s="77"/>
      <c r="CI181" s="77"/>
      <c r="CJ181" s="77"/>
      <c r="CK181" s="77"/>
      <c r="CL181" s="77"/>
      <c r="CM181" s="77"/>
      <c r="CN181" s="77"/>
      <c r="CO181" s="77"/>
      <c r="CP181" s="77"/>
      <c r="CQ181" s="77"/>
      <c r="CR181" s="77"/>
      <c r="CS181" s="77"/>
      <c r="CT181" s="77"/>
      <c r="CU181" s="77"/>
      <c r="CV181" s="77"/>
      <c r="CW181" s="77"/>
      <c r="CX181" s="77"/>
      <c r="CY181" s="77"/>
      <c r="CZ181" s="77"/>
      <c r="DA181" s="77"/>
      <c r="DB181" s="77"/>
      <c r="DC181" s="77"/>
      <c r="DD181" s="77"/>
      <c r="DE181" s="77"/>
      <c r="DF181" s="77"/>
      <c r="DG181" s="77"/>
      <c r="DH181" s="77"/>
      <c r="DI181" s="77"/>
      <c r="DJ181" s="77"/>
      <c r="DK181" s="77"/>
      <c r="DL181" s="77"/>
      <c r="DM181" s="77"/>
      <c r="DN181" s="77"/>
      <c r="DO181" s="77"/>
      <c r="DP181" s="77"/>
      <c r="DQ181" s="77"/>
      <c r="DR181" s="77"/>
      <c r="DS181" s="77"/>
      <c r="DT181" s="77"/>
      <c r="DU181" s="77"/>
      <c r="DV181" s="77"/>
      <c r="DW181" s="77"/>
      <c r="DX181" s="77"/>
      <c r="DY181" s="77"/>
      <c r="DZ181" s="77"/>
      <c r="EA181" s="77"/>
      <c r="EB181" s="77"/>
      <c r="EC181" s="77"/>
      <c r="ED181" s="77"/>
      <c r="EE181" s="77"/>
      <c r="EF181" s="77"/>
      <c r="EG181" s="77"/>
      <c r="EH181" s="77"/>
      <c r="EI181" s="77"/>
      <c r="EJ181" s="77"/>
      <c r="EK181" s="77"/>
      <c r="EL181" s="77"/>
      <c r="EM181" s="77"/>
      <c r="EN181" s="77"/>
      <c r="EO181" s="77"/>
      <c r="EP181" s="77"/>
      <c r="EQ181" s="77"/>
      <c r="ER181" s="77"/>
      <c r="ES181" s="77"/>
      <c r="ET181" s="77"/>
      <c r="EU181" s="77"/>
      <c r="EV181" s="77"/>
      <c r="EW181" s="77"/>
      <c r="EX181" s="77"/>
      <c r="EY181" s="77"/>
      <c r="EZ181" s="77"/>
      <c r="FA181" s="77"/>
      <c r="FB181" s="77"/>
      <c r="FC181" s="77"/>
      <c r="FD181" s="77"/>
      <c r="FE181" s="77"/>
      <c r="FF181" s="77"/>
      <c r="FG181" s="77"/>
      <c r="FH181" s="77"/>
      <c r="FI181" s="77"/>
      <c r="FJ181" s="77"/>
      <c r="FK181" s="77"/>
      <c r="FL181" s="77"/>
      <c r="FM181" s="77"/>
      <c r="FN181" s="77"/>
      <c r="FO181" s="77"/>
      <c r="FP181" s="77"/>
      <c r="FQ181" s="77"/>
      <c r="FR181" s="77"/>
      <c r="FS181" s="77"/>
      <c r="FT181" s="77"/>
      <c r="FU181" s="77"/>
      <c r="FV181" s="77"/>
      <c r="FW181" s="77"/>
      <c r="FX181" s="77"/>
      <c r="FY181" s="77"/>
      <c r="FZ181" s="77"/>
      <c r="GA181" s="77"/>
      <c r="GB181" s="77"/>
      <c r="GC181" s="77"/>
      <c r="GD181" s="77"/>
      <c r="GE181" s="77"/>
      <c r="GF181" s="77"/>
      <c r="GG181" s="77"/>
      <c r="GH181" s="77"/>
      <c r="GI181" s="77"/>
      <c r="GJ181" s="77"/>
      <c r="GK181" s="77"/>
      <c r="GL181" s="77"/>
      <c r="GM181" s="77"/>
      <c r="GN181" s="77"/>
      <c r="GO181" s="77"/>
      <c r="GP181" s="77"/>
      <c r="GQ181" s="77"/>
      <c r="GR181" s="77"/>
      <c r="GS181" s="77"/>
      <c r="GT181" s="77"/>
      <c r="GU181" s="77"/>
      <c r="GV181" s="77"/>
      <c r="GW181" s="77"/>
      <c r="GX181" s="77"/>
      <c r="GY181" s="77"/>
      <c r="GZ181" s="77"/>
      <c r="HA181" s="77"/>
      <c r="HB181" s="77"/>
      <c r="HC181" s="77"/>
      <c r="HD181" s="77"/>
      <c r="HE181" s="77"/>
      <c r="HF181" s="77"/>
      <c r="HG181" s="77"/>
      <c r="HH181" s="77"/>
      <c r="HI181" s="77"/>
      <c r="HJ181" s="77"/>
      <c r="HK181" s="77"/>
      <c r="HL181" s="77"/>
      <c r="HM181" s="77"/>
      <c r="HN181" s="77"/>
      <c r="HO181" s="77"/>
      <c r="HP181" s="77"/>
      <c r="HQ181" s="77"/>
      <c r="HR181" s="77"/>
      <c r="HS181" s="77"/>
      <c r="HT181" s="77"/>
      <c r="HU181" s="77"/>
      <c r="HV181" s="77"/>
      <c r="HW181" s="77"/>
      <c r="HX181" s="77"/>
      <c r="HY181" s="77"/>
      <c r="HZ181" s="77"/>
      <c r="IA181" s="77"/>
      <c r="IB181" s="77"/>
      <c r="IC181" s="77"/>
      <c r="IF181" s="77"/>
      <c r="IG181" s="77"/>
      <c r="IH181" s="77"/>
      <c r="II181" s="77"/>
      <c r="IJ181" s="77"/>
      <c r="IK181" s="77"/>
      <c r="IL181" s="77"/>
      <c r="IM181" s="77"/>
      <c r="IN181" s="77"/>
      <c r="IO181" s="77"/>
      <c r="IP181" s="77"/>
      <c r="IQ181" s="77"/>
      <c r="IR181" s="77"/>
      <c r="IS181" s="77"/>
      <c r="IT181" s="77"/>
      <c r="IU181" s="77"/>
      <c r="IV181" s="77"/>
      <c r="IW181" s="77"/>
      <c r="IX181" s="77"/>
      <c r="IY181" s="77"/>
      <c r="IZ181" s="77"/>
      <c r="JA181" s="77"/>
      <c r="JB181" s="77"/>
      <c r="JC181" s="77"/>
      <c r="JD181" s="77"/>
      <c r="JE181" s="77"/>
      <c r="JF181" s="77"/>
      <c r="JG181" s="77"/>
      <c r="JH181" s="77"/>
      <c r="JI181" s="77"/>
      <c r="JJ181" s="77"/>
      <c r="JK181" s="77"/>
      <c r="JL181" s="77"/>
      <c r="JM181" s="77"/>
      <c r="JN181" s="77"/>
      <c r="JO181" s="77"/>
      <c r="JP181" s="77"/>
      <c r="JQ181" s="77"/>
      <c r="JR181" s="77"/>
      <c r="JS181" s="77"/>
      <c r="JT181" s="77"/>
      <c r="JU181" s="77"/>
      <c r="JV181" s="77"/>
      <c r="JW181" s="77"/>
      <c r="JX181" s="77"/>
      <c r="JY181" s="77"/>
      <c r="JZ181" s="77"/>
      <c r="KA181" s="77"/>
      <c r="KB181" s="77"/>
      <c r="KC181" s="77"/>
      <c r="KD181" s="77"/>
      <c r="KE181" s="77"/>
      <c r="KF181" s="77"/>
      <c r="KG181" s="77"/>
      <c r="KH181" s="77"/>
      <c r="KI181" s="77"/>
      <c r="KJ181" s="77"/>
      <c r="KK181" s="77"/>
      <c r="KL181" s="77"/>
      <c r="KM181" s="77"/>
      <c r="KN181" s="77"/>
      <c r="KO181" s="77"/>
      <c r="KP181" s="77"/>
      <c r="KQ181" s="77"/>
      <c r="KR181" s="77"/>
      <c r="KS181" s="77"/>
      <c r="KT181" s="77"/>
      <c r="KU181" s="77"/>
      <c r="KV181" s="77"/>
      <c r="KW181" s="77"/>
      <c r="KX181" s="77"/>
      <c r="KY181" s="77"/>
      <c r="KZ181" s="77"/>
      <c r="LA181" s="77"/>
      <c r="LB181" s="77"/>
      <c r="LC181" s="77"/>
      <c r="LD181" s="77"/>
      <c r="LE181" s="77"/>
      <c r="LF181" s="77"/>
      <c r="LG181" s="77"/>
      <c r="LH181" s="77"/>
      <c r="LI181" s="77"/>
      <c r="LJ181" s="77"/>
      <c r="LK181" s="77"/>
    </row>
    <row r="182" spans="1:421" ht="18.600000000000001" customHeight="1" x14ac:dyDescent="0.25">
      <c r="A182" s="119" t="s">
        <v>102</v>
      </c>
      <c r="B182" s="27" t="s">
        <v>4445</v>
      </c>
      <c r="C182" s="27" t="s">
        <v>4446</v>
      </c>
      <c r="D182" s="30" t="str">
        <f>HYPERLINK("https://twitter.com/RwandaMFA","https://twitter.com/RwandaMFA")</f>
        <v>https://twitter.com/RwandaMFA</v>
      </c>
      <c r="E182" s="30" t="str">
        <f>HYPERLINK("http://twiplomacy.com/info/africa/Rwanda","http://twiplomacy.com/info/africa/Rwanda")</f>
        <v>http://twiplomacy.com/info/africa/Rwanda</v>
      </c>
      <c r="F182" s="10" t="s">
        <v>1</v>
      </c>
      <c r="G182" s="10" t="s">
        <v>97</v>
      </c>
      <c r="H182" s="10" t="s">
        <v>795</v>
      </c>
      <c r="I182" s="10" t="s">
        <v>782</v>
      </c>
      <c r="J182" s="27" t="s">
        <v>789</v>
      </c>
      <c r="K182" s="15" t="s">
        <v>777</v>
      </c>
      <c r="L182" s="10" t="s">
        <v>771</v>
      </c>
      <c r="M182" s="10" t="s">
        <v>771</v>
      </c>
      <c r="N182" s="30" t="str">
        <f>HYPERLINK("https://twitter.com/RwandaMFA/statuses/138638748220010496","https://twitter.com/RwandaMFA/statuses/138638748220010496")</f>
        <v>https://twitter.com/RwandaMFA/statuses/138638748220010496</v>
      </c>
      <c r="O182" s="27" t="s">
        <v>6078</v>
      </c>
      <c r="P182" s="80">
        <v>110</v>
      </c>
      <c r="Q182" s="80">
        <v>0</v>
      </c>
      <c r="R182" s="27" t="s">
        <v>2995</v>
      </c>
      <c r="S182" s="12" t="str">
        <f>HYPERLINK("https://twitter.com/RwandaMFA/lists","https://twitter.com/RwandaMFA/lists")</f>
        <v>https://twitter.com/RwandaMFA/lists</v>
      </c>
      <c r="T182" s="10">
        <v>1</v>
      </c>
      <c r="U182" s="10">
        <v>2</v>
      </c>
      <c r="V182" s="12" t="s">
        <v>6888</v>
      </c>
      <c r="W182" s="10">
        <v>15</v>
      </c>
      <c r="X182" s="27" t="s">
        <v>102</v>
      </c>
      <c r="Y182" s="27" t="s">
        <v>4445</v>
      </c>
      <c r="Z182" s="80">
        <v>6424</v>
      </c>
      <c r="AA182" s="27">
        <v>404</v>
      </c>
      <c r="AB182" s="80">
        <v>28779</v>
      </c>
      <c r="AC182" s="27">
        <v>625</v>
      </c>
      <c r="AD182" s="27" t="s">
        <v>4447</v>
      </c>
      <c r="AE182" s="27">
        <v>358059957</v>
      </c>
      <c r="AF182" s="27" t="s">
        <v>4446</v>
      </c>
      <c r="AG182" s="27" t="s">
        <v>1042</v>
      </c>
      <c r="AH182" s="79">
        <v>3.7392316647264301</v>
      </c>
      <c r="AI182" s="83">
        <v>4.2496714848883004</v>
      </c>
      <c r="AJ182" s="80">
        <v>10.248238057948299</v>
      </c>
      <c r="AK182" s="80">
        <v>3.5418950665622599</v>
      </c>
      <c r="AL182" s="27">
        <v>89</v>
      </c>
      <c r="AM182" s="97">
        <f t="shared" si="2"/>
        <v>2.78125E-2</v>
      </c>
      <c r="AN182" s="27" t="s">
        <v>102</v>
      </c>
      <c r="AO182" s="27">
        <v>63</v>
      </c>
      <c r="AP182" s="27">
        <v>25</v>
      </c>
      <c r="AQ182" s="27">
        <v>35</v>
      </c>
      <c r="AR182" s="27">
        <f>SUM(AO182:AQ182)</f>
        <v>123</v>
      </c>
      <c r="AS182" s="27" t="s">
        <v>6623</v>
      </c>
      <c r="AT182" s="27" t="s">
        <v>5481</v>
      </c>
      <c r="AU182" s="84" t="s">
        <v>4944</v>
      </c>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c r="DS182" s="77"/>
      <c r="DT182" s="77"/>
      <c r="DU182" s="77"/>
      <c r="DV182" s="77"/>
      <c r="DW182" s="77"/>
      <c r="DX182" s="77"/>
      <c r="DY182" s="77"/>
      <c r="DZ182" s="77"/>
      <c r="EA182" s="77"/>
      <c r="EB182" s="77"/>
      <c r="EC182" s="77"/>
      <c r="ED182" s="77"/>
      <c r="EE182" s="77"/>
      <c r="EF182" s="77"/>
      <c r="EG182" s="77"/>
      <c r="EH182" s="77"/>
      <c r="EI182" s="77"/>
      <c r="EJ182" s="77"/>
      <c r="EK182" s="77"/>
      <c r="EL182" s="77"/>
      <c r="EM182" s="77"/>
      <c r="EN182" s="77"/>
      <c r="EO182" s="77"/>
      <c r="EP182" s="77"/>
      <c r="EQ182" s="77"/>
      <c r="ER182" s="77"/>
      <c r="ES182" s="77"/>
      <c r="ET182" s="77"/>
      <c r="EU182" s="77"/>
      <c r="EV182" s="77"/>
      <c r="EW182" s="77"/>
      <c r="EX182" s="77"/>
      <c r="EY182" s="77"/>
      <c r="EZ182" s="77"/>
      <c r="FA182" s="77"/>
      <c r="FB182" s="77"/>
      <c r="FC182" s="77"/>
      <c r="FD182" s="77"/>
      <c r="FE182" s="77"/>
      <c r="FF182" s="77"/>
      <c r="FG182" s="77"/>
      <c r="FH182" s="77"/>
      <c r="FI182" s="77"/>
      <c r="FJ182" s="77"/>
      <c r="FK182" s="77"/>
      <c r="FL182" s="77"/>
      <c r="FM182" s="77"/>
      <c r="FN182" s="77"/>
      <c r="FO182" s="77"/>
      <c r="FP182" s="77"/>
      <c r="FQ182" s="77"/>
      <c r="FR182" s="77"/>
      <c r="FS182" s="77"/>
      <c r="FT182" s="77"/>
      <c r="FU182" s="77"/>
      <c r="FV182" s="77"/>
      <c r="FW182" s="77"/>
      <c r="FX182" s="77"/>
      <c r="FY182" s="77"/>
      <c r="FZ182" s="77"/>
      <c r="GA182" s="77"/>
      <c r="GB182" s="77"/>
      <c r="GC182" s="77"/>
      <c r="GD182" s="77"/>
      <c r="GE182" s="77"/>
      <c r="GF182" s="77"/>
      <c r="GG182" s="77"/>
      <c r="GH182" s="77"/>
      <c r="GI182" s="77"/>
      <c r="GJ182" s="77"/>
      <c r="GK182" s="77"/>
      <c r="GL182" s="77"/>
      <c r="GM182" s="77"/>
      <c r="GN182" s="77"/>
      <c r="GO182" s="77"/>
      <c r="GP182" s="77"/>
      <c r="GQ182" s="77"/>
      <c r="GR182" s="77"/>
      <c r="GS182" s="77"/>
      <c r="GT182" s="77"/>
      <c r="GU182" s="77"/>
      <c r="GV182" s="77"/>
      <c r="GW182" s="77"/>
      <c r="GX182" s="77"/>
      <c r="GY182" s="77"/>
      <c r="GZ182" s="77"/>
      <c r="HA182" s="77"/>
      <c r="HB182" s="77"/>
      <c r="HC182" s="77"/>
      <c r="HD182" s="77"/>
      <c r="HE182" s="77"/>
      <c r="HF182" s="77"/>
      <c r="HG182" s="77"/>
      <c r="HH182" s="77"/>
      <c r="HI182" s="77"/>
      <c r="HJ182" s="77"/>
      <c r="HK182" s="77"/>
      <c r="HL182" s="77"/>
      <c r="HM182" s="77"/>
      <c r="HN182" s="77"/>
      <c r="HO182" s="77"/>
      <c r="HP182" s="77"/>
      <c r="HQ182" s="77"/>
      <c r="HR182" s="77"/>
      <c r="HS182" s="77"/>
      <c r="HT182" s="77"/>
      <c r="HU182" s="77"/>
      <c r="HV182" s="77"/>
      <c r="HW182" s="77"/>
      <c r="HX182" s="77"/>
      <c r="HY182" s="77"/>
      <c r="HZ182" s="77"/>
      <c r="IA182" s="77"/>
      <c r="IB182" s="77"/>
      <c r="IC182" s="77"/>
      <c r="IF182" s="77"/>
      <c r="IG182" s="77"/>
      <c r="IH182" s="77"/>
      <c r="II182" s="77"/>
      <c r="IJ182" s="77"/>
      <c r="IK182" s="77"/>
      <c r="IL182" s="77"/>
      <c r="IM182" s="77"/>
      <c r="IN182" s="77"/>
      <c r="IO182" s="77"/>
      <c r="IP182" s="77"/>
      <c r="IQ182" s="77"/>
      <c r="IR182" s="77"/>
      <c r="IS182" s="77"/>
      <c r="IT182" s="77"/>
      <c r="IU182" s="77"/>
      <c r="IV182" s="77"/>
      <c r="IW182" s="77"/>
      <c r="IX182" s="77"/>
      <c r="IY182" s="77"/>
      <c r="IZ182" s="77"/>
      <c r="JA182" s="77"/>
      <c r="JB182" s="77"/>
      <c r="JC182" s="77"/>
      <c r="JD182" s="77"/>
      <c r="JE182" s="77"/>
      <c r="JF182" s="77"/>
      <c r="JG182" s="77"/>
      <c r="JH182" s="77"/>
      <c r="JI182" s="77"/>
      <c r="JJ182" s="77"/>
      <c r="JK182" s="77"/>
      <c r="JL182" s="77"/>
      <c r="JM182" s="77"/>
      <c r="JN182" s="77"/>
      <c r="JO182" s="77"/>
      <c r="JP182" s="77"/>
      <c r="JQ182" s="77"/>
      <c r="JR182" s="77"/>
      <c r="JS182" s="77"/>
      <c r="JT182" s="77"/>
      <c r="JU182" s="77"/>
      <c r="JV182" s="77"/>
      <c r="JW182" s="77"/>
      <c r="JX182" s="77"/>
      <c r="JY182" s="77"/>
      <c r="JZ182" s="77"/>
      <c r="KA182" s="77"/>
      <c r="KB182" s="77"/>
      <c r="KC182" s="77"/>
      <c r="KD182" s="77"/>
      <c r="KE182" s="77"/>
      <c r="KF182" s="77"/>
      <c r="KG182" s="77"/>
      <c r="KH182" s="77"/>
      <c r="KI182" s="77"/>
      <c r="KJ182" s="77"/>
      <c r="KK182" s="77"/>
      <c r="KL182" s="77"/>
      <c r="KM182" s="77"/>
      <c r="KN182" s="77"/>
      <c r="KO182" s="77"/>
      <c r="KP182" s="77"/>
      <c r="KQ182" s="77"/>
      <c r="KR182" s="77"/>
      <c r="KS182" s="77"/>
      <c r="KT182" s="77"/>
      <c r="KU182" s="77"/>
      <c r="KV182" s="77"/>
      <c r="KW182" s="77"/>
      <c r="KX182" s="77"/>
      <c r="KY182" s="77"/>
      <c r="KZ182" s="77"/>
      <c r="LA182" s="77"/>
      <c r="LB182" s="77"/>
      <c r="LC182" s="77"/>
      <c r="LD182" s="77"/>
      <c r="LE182" s="77"/>
      <c r="LF182" s="77"/>
      <c r="LG182" s="77"/>
      <c r="LH182" s="77"/>
      <c r="LI182" s="77"/>
      <c r="LJ182" s="77"/>
      <c r="LK182" s="77"/>
      <c r="LL182" s="77"/>
      <c r="LM182" s="77"/>
      <c r="LN182" s="77"/>
      <c r="LO182" s="77"/>
      <c r="LP182" s="77"/>
      <c r="LQ182" s="77"/>
      <c r="LR182" s="77"/>
      <c r="LS182" s="77"/>
      <c r="LT182" s="77"/>
      <c r="LU182" s="77"/>
      <c r="LV182" s="77"/>
    </row>
    <row r="183" spans="1:421" s="16" customFormat="1" ht="18.600000000000001" customHeight="1" x14ac:dyDescent="0.25">
      <c r="A183" s="119" t="s">
        <v>519</v>
      </c>
      <c r="B183" s="27" t="s">
        <v>2206</v>
      </c>
      <c r="C183" s="27" t="s">
        <v>2207</v>
      </c>
      <c r="D183" s="30" t="str">
        <f>HYPERLINK("https://twitter.com/BorutPahor","https://twitter.com/BorutPahor")</f>
        <v>https://twitter.com/BorutPahor</v>
      </c>
      <c r="E183" s="30" t="str">
        <f>HYPERLINK("http://twiplomacy.com/info/europe/Slovenia","http://twiplomacy.com/info/europe/Slovenia")</f>
        <v>http://twiplomacy.com/info/europe/Slovenia</v>
      </c>
      <c r="F183" s="10" t="s">
        <v>332</v>
      </c>
      <c r="G183" s="10" t="s">
        <v>518</v>
      </c>
      <c r="H183" s="10" t="s">
        <v>772</v>
      </c>
      <c r="I183" s="10" t="s">
        <v>773</v>
      </c>
      <c r="J183" s="27" t="s">
        <v>789</v>
      </c>
      <c r="K183" s="15" t="s">
        <v>777</v>
      </c>
      <c r="L183" s="10"/>
      <c r="M183" s="10" t="s">
        <v>770</v>
      </c>
      <c r="N183" s="30" t="str">
        <f>HYPERLINK("https://twitter.com/BorutPahor/statuses/223732634059149312","https://twitter.com/BorutPahor/statuses/223732634059149312")</f>
        <v>https://twitter.com/BorutPahor/statuses/223732634059149312</v>
      </c>
      <c r="O183" s="27" t="s">
        <v>5713</v>
      </c>
      <c r="P183" s="80">
        <v>48</v>
      </c>
      <c r="Q183" s="80">
        <v>103</v>
      </c>
      <c r="R183" s="27" t="s">
        <v>2994</v>
      </c>
      <c r="S183" s="30" t="str">
        <f>HYPERLINK("https://twitter.com/BorutPahor/lists","https://twitter.com/BorutPahor/lists")</f>
        <v>https://twitter.com/BorutPahor/lists</v>
      </c>
      <c r="T183" s="10" t="s">
        <v>771</v>
      </c>
      <c r="U183" s="10">
        <v>1</v>
      </c>
      <c r="V183" s="10" t="s">
        <v>771</v>
      </c>
      <c r="W183" s="10"/>
      <c r="X183" s="27" t="s">
        <v>519</v>
      </c>
      <c r="Y183" s="27" t="s">
        <v>2206</v>
      </c>
      <c r="Z183" s="80">
        <v>6359</v>
      </c>
      <c r="AA183" s="27">
        <v>669</v>
      </c>
      <c r="AB183" s="80">
        <v>37208</v>
      </c>
      <c r="AC183" s="27">
        <v>437</v>
      </c>
      <c r="AD183" s="27" t="s">
        <v>3521</v>
      </c>
      <c r="AE183" s="27">
        <v>634463033</v>
      </c>
      <c r="AF183" s="27" t="s">
        <v>2207</v>
      </c>
      <c r="AG183" s="27"/>
      <c r="AH183" s="79">
        <v>4.5781137508999299</v>
      </c>
      <c r="AI183" s="83">
        <v>3.6136618141097401</v>
      </c>
      <c r="AJ183" s="80">
        <v>1.4970372952248201</v>
      </c>
      <c r="AK183" s="80">
        <v>3.345765074939</v>
      </c>
      <c r="AL183" s="27">
        <v>124</v>
      </c>
      <c r="AM183" s="97">
        <f t="shared" si="2"/>
        <v>3.875E-2</v>
      </c>
      <c r="AN183" s="27" t="s">
        <v>519</v>
      </c>
      <c r="AO183" s="27">
        <v>28</v>
      </c>
      <c r="AP183" s="27">
        <v>15</v>
      </c>
      <c r="AQ183" s="27">
        <v>17</v>
      </c>
      <c r="AR183" s="27">
        <f>SUM(AO183:AQ183)</f>
        <v>60</v>
      </c>
      <c r="AS183" s="27" t="s">
        <v>6546</v>
      </c>
      <c r="AT183" s="27" t="s">
        <v>6681</v>
      </c>
      <c r="AU183" s="84" t="s">
        <v>6147</v>
      </c>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c r="BZ183" s="77"/>
      <c r="CA183" s="77"/>
      <c r="CB183" s="77"/>
      <c r="CC183" s="77"/>
      <c r="CD183" s="77"/>
      <c r="CE183" s="77"/>
      <c r="CF183" s="77"/>
      <c r="CG183" s="77"/>
      <c r="CH183" s="77"/>
      <c r="CI183" s="77"/>
      <c r="CJ183" s="77"/>
      <c r="CK183" s="77"/>
      <c r="CL183" s="77"/>
      <c r="CM183" s="77"/>
      <c r="CN183" s="77"/>
      <c r="CO183" s="77"/>
      <c r="CP183" s="77"/>
      <c r="CQ183" s="77"/>
      <c r="CR183" s="77"/>
      <c r="CS183" s="77"/>
      <c r="CT183" s="77"/>
      <c r="CU183" s="77"/>
      <c r="CV183" s="77"/>
      <c r="CW183" s="77"/>
      <c r="CX183" s="77"/>
      <c r="CY183" s="77"/>
      <c r="CZ183" s="77"/>
      <c r="DA183" s="77"/>
      <c r="DB183" s="77"/>
      <c r="DC183" s="77"/>
      <c r="DD183" s="77"/>
      <c r="DE183" s="77"/>
      <c r="DF183" s="77"/>
      <c r="DG183" s="77"/>
      <c r="DH183" s="77"/>
      <c r="DI183" s="77"/>
      <c r="DJ183" s="77"/>
      <c r="DK183" s="77"/>
      <c r="DL183" s="77"/>
      <c r="DM183" s="77"/>
      <c r="DN183" s="77"/>
      <c r="DO183" s="77"/>
      <c r="DP183" s="77"/>
      <c r="DQ183" s="77"/>
      <c r="DR183" s="77"/>
      <c r="DS183" s="77"/>
      <c r="DT183" s="77"/>
      <c r="DU183" s="77"/>
      <c r="DV183" s="77"/>
      <c r="DW183" s="77"/>
      <c r="DX183" s="77"/>
      <c r="DY183" s="77"/>
      <c r="DZ183" s="77"/>
      <c r="EA183" s="77"/>
      <c r="EB183" s="77"/>
      <c r="EC183" s="77"/>
      <c r="ED183" s="77"/>
      <c r="EE183" s="77"/>
      <c r="EF183" s="77"/>
      <c r="EG183" s="77"/>
      <c r="EH183" s="77"/>
      <c r="EI183" s="77"/>
      <c r="EJ183" s="77"/>
      <c r="EK183" s="77"/>
      <c r="EL183" s="77"/>
      <c r="EM183" s="77"/>
      <c r="EN183" s="77"/>
      <c r="EO183" s="77"/>
      <c r="EP183" s="77"/>
      <c r="EQ183" s="77"/>
      <c r="ER183" s="77"/>
      <c r="ES183" s="77"/>
      <c r="ET183" s="77"/>
      <c r="EU183" s="77"/>
      <c r="EV183" s="77"/>
      <c r="EW183" s="77"/>
      <c r="EX183" s="77"/>
      <c r="EY183" s="77"/>
      <c r="EZ183" s="77"/>
      <c r="FA183" s="77"/>
      <c r="FB183" s="77"/>
      <c r="FC183" s="77"/>
      <c r="FD183" s="77"/>
      <c r="FE183" s="77"/>
      <c r="FF183" s="77"/>
      <c r="FG183" s="77"/>
      <c r="FH183" s="77"/>
      <c r="FI183" s="77"/>
      <c r="FJ183" s="77"/>
      <c r="FK183" s="77"/>
      <c r="FL183" s="77"/>
      <c r="FM183" s="77"/>
      <c r="FN183" s="77"/>
      <c r="FO183" s="77"/>
      <c r="FP183" s="77"/>
      <c r="FQ183" s="77"/>
      <c r="FR183" s="77"/>
      <c r="FS183" s="77"/>
      <c r="FT183" s="77"/>
      <c r="FU183" s="77"/>
      <c r="FV183" s="77"/>
      <c r="FW183" s="77"/>
      <c r="FX183" s="77"/>
      <c r="FY183" s="77"/>
      <c r="FZ183" s="77"/>
      <c r="GA183" s="77"/>
      <c r="GB183" s="77"/>
      <c r="GC183" s="77"/>
      <c r="GD183" s="77"/>
      <c r="GE183" s="77"/>
      <c r="GF183" s="77"/>
      <c r="GG183" s="77"/>
      <c r="GH183" s="77"/>
      <c r="GI183" s="77"/>
      <c r="GJ183" s="77"/>
      <c r="GK183" s="77"/>
      <c r="GL183" s="77"/>
      <c r="GM183" s="77"/>
      <c r="GN183" s="77"/>
      <c r="GO183" s="77"/>
      <c r="GP183" s="77"/>
      <c r="GQ183" s="77"/>
      <c r="GR183" s="77"/>
      <c r="GS183" s="77"/>
      <c r="GT183" s="77"/>
      <c r="GU183" s="77"/>
      <c r="GV183" s="77"/>
      <c r="GW183" s="77"/>
      <c r="GX183" s="77"/>
      <c r="GY183" s="77"/>
      <c r="GZ183" s="77"/>
      <c r="HA183" s="77"/>
      <c r="HB183" s="77"/>
      <c r="HC183" s="77"/>
      <c r="HD183" s="77"/>
      <c r="HE183" s="77"/>
      <c r="HF183" s="77"/>
      <c r="HG183" s="77"/>
      <c r="HH183" s="77"/>
      <c r="HI183" s="77"/>
      <c r="HJ183" s="77"/>
      <c r="HK183" s="77"/>
      <c r="HL183" s="77"/>
      <c r="HM183" s="77"/>
      <c r="HN183" s="77"/>
      <c r="HO183" s="77"/>
      <c r="HP183" s="77"/>
      <c r="HQ183" s="77"/>
      <c r="HR183" s="77"/>
      <c r="HS183" s="77"/>
      <c r="HT183" s="77"/>
      <c r="HU183" s="77"/>
      <c r="HV183" s="77"/>
      <c r="HW183" s="77"/>
      <c r="HX183" s="77"/>
      <c r="HY183" s="77"/>
      <c r="HZ183" s="77"/>
      <c r="IA183" s="77"/>
      <c r="IB183" s="77"/>
      <c r="IC183" s="77"/>
      <c r="ID183" s="77"/>
      <c r="IE183" s="77"/>
      <c r="IF183" s="77"/>
      <c r="IG183" s="77"/>
      <c r="IH183" s="77"/>
      <c r="II183" s="77"/>
      <c r="IJ183" s="77"/>
      <c r="IK183" s="77"/>
      <c r="IL183" s="77"/>
      <c r="IM183" s="77"/>
      <c r="IN183" s="77"/>
      <c r="IO183" s="77"/>
      <c r="IP183" s="77"/>
      <c r="IQ183" s="77"/>
      <c r="IR183" s="77"/>
      <c r="IS183" s="77"/>
      <c r="IT183" s="77"/>
      <c r="IU183" s="77"/>
      <c r="IV183" s="77"/>
      <c r="IW183" s="77"/>
      <c r="IX183" s="77"/>
      <c r="IY183" s="77"/>
      <c r="IZ183" s="77"/>
      <c r="JA183" s="77"/>
      <c r="JB183" s="77"/>
      <c r="JC183" s="77"/>
      <c r="JD183" s="77"/>
      <c r="JE183" s="77"/>
      <c r="JF183" s="77"/>
      <c r="JG183" s="77"/>
      <c r="JH183" s="77"/>
      <c r="JI183" s="77"/>
      <c r="JJ183" s="77"/>
      <c r="JK183" s="77"/>
      <c r="JL183" s="77"/>
      <c r="JM183" s="77"/>
      <c r="JN183" s="77"/>
      <c r="JO183" s="77"/>
      <c r="JP183" s="77"/>
      <c r="JQ183" s="77"/>
      <c r="JR183" s="77"/>
      <c r="JS183" s="77"/>
      <c r="JT183" s="77"/>
      <c r="JU183" s="77"/>
      <c r="JV183" s="77"/>
      <c r="JW183" s="77"/>
      <c r="JX183" s="77"/>
      <c r="JY183" s="77"/>
      <c r="JZ183" s="77"/>
      <c r="KA183" s="77"/>
      <c r="KB183" s="77"/>
      <c r="KC183" s="77"/>
      <c r="KD183" s="77"/>
      <c r="KE183" s="77"/>
      <c r="KF183" s="77"/>
      <c r="KG183" s="77"/>
      <c r="KH183" s="77"/>
      <c r="KI183" s="77"/>
      <c r="KJ183" s="77"/>
      <c r="KK183" s="77"/>
      <c r="KL183" s="77"/>
      <c r="KM183" s="77"/>
      <c r="KN183" s="77"/>
      <c r="KO183" s="77"/>
      <c r="KP183" s="77"/>
      <c r="KQ183" s="77"/>
      <c r="KR183" s="77"/>
      <c r="KS183" s="77"/>
      <c r="KT183" s="77"/>
      <c r="KU183" s="77"/>
      <c r="KV183" s="77"/>
      <c r="KW183" s="77"/>
      <c r="KX183" s="77"/>
      <c r="KY183" s="77"/>
      <c r="KZ183" s="77"/>
      <c r="LA183" s="77"/>
      <c r="LB183" s="77"/>
      <c r="LC183" s="77"/>
      <c r="LD183" s="77"/>
      <c r="LE183" s="77"/>
      <c r="LF183" s="77"/>
      <c r="LG183" s="77"/>
      <c r="LH183" s="77"/>
      <c r="LI183" s="77"/>
      <c r="LJ183" s="77"/>
      <c r="LK183" s="77"/>
      <c r="LL183" s="77"/>
      <c r="LM183" s="77"/>
      <c r="LN183" s="77"/>
      <c r="LO183" s="77"/>
      <c r="LP183" s="77"/>
      <c r="LQ183" s="77"/>
      <c r="LR183" s="77"/>
      <c r="LS183" s="77"/>
      <c r="LT183" s="77"/>
      <c r="LU183" s="77"/>
      <c r="LV183" s="77"/>
      <c r="LW183" s="77"/>
      <c r="LX183" s="77"/>
      <c r="LY183" s="77"/>
      <c r="LZ183" s="77"/>
      <c r="MA183" s="77"/>
      <c r="MB183" s="77"/>
      <c r="MC183" s="77"/>
      <c r="MD183" s="77"/>
      <c r="ME183" s="77"/>
      <c r="MF183" s="77"/>
      <c r="MG183" s="77"/>
      <c r="MH183" s="77"/>
      <c r="MI183" s="77"/>
      <c r="MJ183" s="77"/>
      <c r="MK183" s="77"/>
      <c r="ML183" s="77"/>
      <c r="MM183" s="77"/>
      <c r="MN183" s="77"/>
      <c r="MO183" s="77"/>
      <c r="MP183" s="77"/>
      <c r="MQ183" s="77"/>
      <c r="MR183" s="77"/>
      <c r="MS183" s="77"/>
      <c r="MT183" s="77"/>
      <c r="MU183" s="77"/>
      <c r="MV183" s="77"/>
      <c r="MW183" s="77"/>
      <c r="MX183" s="77"/>
      <c r="MY183" s="77"/>
      <c r="MZ183" s="77"/>
      <c r="NA183" s="77"/>
      <c r="NB183" s="77"/>
      <c r="NC183" s="77"/>
      <c r="ND183" s="77"/>
      <c r="NE183" s="77"/>
      <c r="NF183" s="77"/>
      <c r="NG183" s="77"/>
      <c r="NH183" s="77"/>
      <c r="NI183" s="77"/>
      <c r="NJ183" s="77"/>
      <c r="NK183" s="77"/>
      <c r="NL183" s="77"/>
      <c r="NM183" s="77"/>
      <c r="NN183" s="77"/>
      <c r="NO183" s="77"/>
      <c r="NP183" s="77"/>
      <c r="NQ183" s="77"/>
      <c r="NR183" s="77"/>
      <c r="NS183" s="77"/>
      <c r="NT183" s="77"/>
      <c r="NU183" s="77"/>
      <c r="NV183" s="77"/>
      <c r="NW183" s="77"/>
      <c r="NX183" s="77"/>
      <c r="NY183" s="77"/>
      <c r="NZ183" s="77"/>
      <c r="OA183" s="77"/>
      <c r="OB183" s="77"/>
      <c r="OC183" s="77"/>
      <c r="OD183" s="77"/>
      <c r="OE183" s="77"/>
      <c r="OF183" s="77"/>
      <c r="OG183" s="77"/>
      <c r="OH183" s="77"/>
      <c r="OI183" s="77"/>
      <c r="OJ183" s="77"/>
      <c r="OK183" s="77"/>
      <c r="OL183" s="77"/>
      <c r="OM183" s="77"/>
      <c r="ON183" s="77"/>
      <c r="OO183" s="77"/>
      <c r="OP183" s="77"/>
      <c r="OQ183" s="77"/>
      <c r="OR183" s="77"/>
      <c r="OS183" s="77"/>
      <c r="OT183" s="77"/>
      <c r="OU183" s="77"/>
      <c r="OV183" s="77"/>
      <c r="OW183" s="77"/>
      <c r="OX183" s="77"/>
      <c r="OY183" s="77"/>
      <c r="OZ183" s="77"/>
      <c r="PA183" s="77"/>
      <c r="PB183" s="77"/>
      <c r="PC183" s="77"/>
      <c r="PD183" s="77"/>
      <c r="PE183" s="77"/>
    </row>
    <row r="184" spans="1:421" ht="18.600000000000001" customHeight="1" x14ac:dyDescent="0.25">
      <c r="A184" s="119" t="s">
        <v>210</v>
      </c>
      <c r="B184" s="27" t="s">
        <v>1353</v>
      </c>
      <c r="C184" s="27" t="s">
        <v>1354</v>
      </c>
      <c r="D184" s="30" t="str">
        <f>HYPERLINK("https://twitter.com/IsraeliPM","https://twitter.com/IsraeliPM")</f>
        <v>https://twitter.com/IsraeliPM</v>
      </c>
      <c r="E184" s="30" t="str">
        <f>HYPERLINK("http://twiplomacy.com/info/asia/Israel","http://twiplomacy.com/info/asia/Israel")</f>
        <v>http://twiplomacy.com/info/asia/Israel</v>
      </c>
      <c r="F184" s="10" t="s">
        <v>154</v>
      </c>
      <c r="G184" s="10" t="s">
        <v>207</v>
      </c>
      <c r="H184" s="10" t="s">
        <v>788</v>
      </c>
      <c r="I184" s="10" t="s">
        <v>782</v>
      </c>
      <c r="J184" s="27" t="s">
        <v>789</v>
      </c>
      <c r="K184" s="15" t="s">
        <v>777</v>
      </c>
      <c r="L184" s="10" t="s">
        <v>771</v>
      </c>
      <c r="M184" s="10" t="s">
        <v>770</v>
      </c>
      <c r="N184" s="30" t="str">
        <f>HYPERLINK("https://twitter.com/IsraeliPM/statuses/20120210779","https://twitter.com/IsraeliPM/statuses/20120210779")</f>
        <v>https://twitter.com/IsraeliPM/statuses/20120210779</v>
      </c>
      <c r="O184" s="27" t="s">
        <v>5882</v>
      </c>
      <c r="P184" s="80">
        <v>2577</v>
      </c>
      <c r="Q184" s="80">
        <v>3080</v>
      </c>
      <c r="R184" s="27" t="s">
        <v>2994</v>
      </c>
      <c r="S184" s="10" t="s">
        <v>1356</v>
      </c>
      <c r="T184" s="10" t="s">
        <v>771</v>
      </c>
      <c r="U184" s="10" t="s">
        <v>771</v>
      </c>
      <c r="V184" s="10" t="s">
        <v>771</v>
      </c>
      <c r="W184" s="10"/>
      <c r="X184" s="27" t="s">
        <v>210</v>
      </c>
      <c r="Y184" s="27" t="s">
        <v>1353</v>
      </c>
      <c r="Z184" s="80">
        <v>6318</v>
      </c>
      <c r="AA184" s="27">
        <v>326</v>
      </c>
      <c r="AB184" s="80">
        <v>310540</v>
      </c>
      <c r="AC184" s="27">
        <v>5</v>
      </c>
      <c r="AD184" s="27" t="s">
        <v>3855</v>
      </c>
      <c r="AE184" s="27">
        <v>141084952</v>
      </c>
      <c r="AF184" s="27" t="s">
        <v>1354</v>
      </c>
      <c r="AG184" s="27" t="s">
        <v>1350</v>
      </c>
      <c r="AH184" s="79">
        <v>2.8888888888888902</v>
      </c>
      <c r="AI184" s="83">
        <v>3.3657262277951898</v>
      </c>
      <c r="AJ184" s="80">
        <v>97.006885758998393</v>
      </c>
      <c r="AK184" s="80">
        <v>65.499843505477301</v>
      </c>
      <c r="AL184" s="27">
        <v>1653</v>
      </c>
      <c r="AM184" s="97">
        <f t="shared" si="2"/>
        <v>0.51656250000000004</v>
      </c>
      <c r="AN184" s="27" t="s">
        <v>210</v>
      </c>
      <c r="AO184" s="27">
        <v>18</v>
      </c>
      <c r="AP184" s="27">
        <v>53</v>
      </c>
      <c r="AQ184" s="27">
        <v>11</v>
      </c>
      <c r="AR184" s="27">
        <f>SUM(AO184:AQ184)</f>
        <v>82</v>
      </c>
      <c r="AS184" s="27" t="s">
        <v>6219</v>
      </c>
      <c r="AT184" s="27" t="s">
        <v>6299</v>
      </c>
      <c r="AU184" s="84" t="s">
        <v>4768</v>
      </c>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c r="CU184" s="77"/>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7"/>
      <c r="DZ184" s="77"/>
      <c r="EA184" s="77"/>
      <c r="EB184" s="77"/>
      <c r="EC184" s="77"/>
      <c r="ED184" s="77"/>
      <c r="EE184" s="77"/>
      <c r="EF184" s="77"/>
      <c r="EG184" s="77"/>
      <c r="EH184" s="77"/>
      <c r="EI184" s="77"/>
      <c r="EJ184" s="77"/>
      <c r="EK184" s="77"/>
      <c r="EL184" s="77"/>
      <c r="EM184" s="77"/>
      <c r="EN184" s="77"/>
      <c r="EO184" s="77"/>
      <c r="EP184" s="77"/>
      <c r="ER184" s="77"/>
      <c r="ES184" s="77"/>
      <c r="ET184" s="77"/>
      <c r="EU184" s="77"/>
      <c r="EV184" s="77"/>
      <c r="EW184" s="77"/>
      <c r="EX184" s="77"/>
      <c r="EY184" s="77"/>
      <c r="EZ184" s="77"/>
      <c r="FA184" s="77"/>
      <c r="FB184" s="77"/>
      <c r="FC184" s="77"/>
      <c r="FD184" s="77"/>
      <c r="FE184" s="77"/>
      <c r="FF184" s="77"/>
      <c r="FG184" s="77"/>
      <c r="FH184" s="77"/>
      <c r="FI184" s="77"/>
      <c r="FJ184" s="77"/>
      <c r="FK184" s="77"/>
      <c r="FL184" s="77"/>
      <c r="FM184" s="77"/>
      <c r="FN184" s="77"/>
      <c r="FO184" s="77"/>
      <c r="FP184" s="77"/>
      <c r="FQ184" s="77"/>
      <c r="FR184" s="77"/>
      <c r="FS184" s="77"/>
      <c r="FT184" s="77"/>
      <c r="FU184" s="77"/>
      <c r="FV184" s="77"/>
      <c r="FW184" s="77"/>
      <c r="FX184" s="77"/>
      <c r="FY184" s="77"/>
      <c r="FZ184" s="77"/>
      <c r="GA184" s="77"/>
      <c r="GB184" s="77"/>
      <c r="GC184" s="77"/>
      <c r="GD184" s="77"/>
      <c r="GE184" s="77"/>
      <c r="GF184" s="77"/>
      <c r="GG184" s="77"/>
      <c r="GH184" s="77"/>
      <c r="GI184" s="77"/>
      <c r="GJ184" s="77"/>
      <c r="GK184" s="77"/>
      <c r="GL184" s="77"/>
      <c r="GM184" s="77"/>
      <c r="GN184" s="77"/>
      <c r="GO184" s="77"/>
      <c r="GP184" s="77"/>
      <c r="GQ184" s="77"/>
      <c r="GR184" s="77"/>
      <c r="GS184" s="77"/>
      <c r="GT184" s="77"/>
      <c r="GU184" s="77"/>
      <c r="GV184" s="77"/>
      <c r="GW184" s="77"/>
      <c r="GX184" s="77"/>
      <c r="GY184" s="77"/>
      <c r="GZ184" s="77"/>
      <c r="HA184" s="77"/>
      <c r="HB184" s="77"/>
      <c r="HC184" s="77"/>
      <c r="HD184" s="77"/>
      <c r="HE184" s="77"/>
      <c r="HF184" s="77"/>
      <c r="HG184" s="77"/>
      <c r="HH184" s="77"/>
      <c r="HI184" s="77"/>
      <c r="HJ184" s="77"/>
      <c r="HK184" s="77"/>
      <c r="HL184" s="77"/>
      <c r="HM184" s="77"/>
      <c r="HN184" s="77"/>
      <c r="HO184" s="77"/>
      <c r="HP184" s="77"/>
      <c r="HQ184" s="77"/>
      <c r="HR184" s="77"/>
      <c r="HS184" s="77"/>
      <c r="HT184" s="77"/>
      <c r="HU184" s="77"/>
      <c r="HV184" s="77"/>
      <c r="HW184" s="77"/>
      <c r="HX184" s="77"/>
      <c r="HY184" s="77"/>
      <c r="HZ184" s="77"/>
      <c r="IA184" s="77"/>
      <c r="IB184" s="77"/>
      <c r="IC184" s="77"/>
      <c r="ID184" s="77"/>
      <c r="IE184" s="77"/>
      <c r="IF184" s="16"/>
      <c r="IG184" s="16"/>
      <c r="IH184" s="16"/>
      <c r="II184" s="16"/>
      <c r="IJ184" s="16"/>
      <c r="IK184" s="16"/>
      <c r="IL184" s="16"/>
      <c r="IM184" s="16"/>
      <c r="IN184" s="16"/>
      <c r="IO184" s="16"/>
      <c r="IP184" s="16"/>
      <c r="IQ184" s="16"/>
      <c r="IR184" s="16"/>
      <c r="IS184" s="16"/>
      <c r="IT184" s="16"/>
      <c r="IU184" s="16"/>
      <c r="IV184" s="16"/>
      <c r="IW184" s="16"/>
      <c r="IX184" s="16"/>
      <c r="IY184" s="16"/>
      <c r="IZ184" s="16"/>
      <c r="JA184" s="16"/>
      <c r="JB184" s="16"/>
      <c r="JC184" s="16"/>
      <c r="JD184" s="16"/>
      <c r="JE184" s="16"/>
      <c r="JF184" s="16"/>
      <c r="JG184" s="16"/>
      <c r="JH184" s="16"/>
      <c r="JI184" s="16"/>
      <c r="JJ184" s="16"/>
      <c r="JK184" s="16"/>
      <c r="JL184" s="16"/>
      <c r="JM184" s="16"/>
      <c r="JN184" s="16"/>
      <c r="JO184" s="16"/>
      <c r="JP184" s="16"/>
      <c r="JQ184" s="16"/>
      <c r="JR184" s="16"/>
      <c r="JS184" s="16"/>
      <c r="JT184" s="16"/>
      <c r="JU184" s="16"/>
      <c r="JV184" s="16"/>
      <c r="JW184" s="16"/>
      <c r="JX184" s="16"/>
      <c r="JY184" s="16"/>
      <c r="JZ184" s="16"/>
      <c r="KA184" s="16"/>
      <c r="KB184" s="16"/>
      <c r="KC184" s="16"/>
      <c r="KD184" s="16"/>
      <c r="KE184" s="16"/>
      <c r="KF184" s="16"/>
      <c r="KG184" s="16"/>
      <c r="KH184" s="16"/>
      <c r="KI184" s="16"/>
      <c r="KJ184" s="16"/>
      <c r="KK184" s="16"/>
      <c r="KL184" s="16"/>
      <c r="KM184" s="77"/>
      <c r="KN184" s="77"/>
      <c r="KO184" s="77"/>
      <c r="KP184" s="77"/>
      <c r="KQ184" s="77"/>
      <c r="KR184" s="77"/>
      <c r="KS184" s="77"/>
      <c r="KT184" s="77"/>
      <c r="KU184" s="77"/>
      <c r="KV184" s="77"/>
      <c r="KW184" s="77"/>
      <c r="KX184" s="77"/>
      <c r="KY184" s="77"/>
      <c r="KZ184" s="77"/>
      <c r="LA184" s="77"/>
      <c r="LB184" s="77"/>
      <c r="LC184" s="77"/>
      <c r="LD184" s="77"/>
      <c r="LE184" s="77"/>
      <c r="LF184" s="77"/>
      <c r="LG184" s="77"/>
      <c r="LH184" s="77"/>
      <c r="LI184" s="77"/>
      <c r="LJ184" s="77"/>
      <c r="LK184" s="77"/>
      <c r="LL184" s="77"/>
      <c r="LM184" s="77"/>
      <c r="LN184" s="77"/>
      <c r="LO184" s="77"/>
      <c r="LP184" s="77"/>
      <c r="LQ184" s="77"/>
      <c r="LR184" s="77"/>
      <c r="LS184" s="77"/>
      <c r="LT184" s="77"/>
      <c r="LU184" s="77"/>
      <c r="LV184" s="77"/>
      <c r="LW184" s="77"/>
      <c r="LX184" s="77"/>
    </row>
    <row r="185" spans="1:421" ht="18.600000000000001" customHeight="1" x14ac:dyDescent="0.25">
      <c r="A185" s="119" t="s">
        <v>67</v>
      </c>
      <c r="B185" s="27" t="s">
        <v>947</v>
      </c>
      <c r="C185" s="27" t="s">
        <v>947</v>
      </c>
      <c r="D185" s="30" t="str">
        <f>HYPERLINK("https://twitter.com/StateHouseKenya","https://twitter.com/StateHouseKenya")</f>
        <v>https://twitter.com/StateHouseKenya</v>
      </c>
      <c r="E185" s="30" t="str">
        <f>HYPERLINK("http://twiplomacy.com/info/africa/Kenya","http://twiplomacy.com/info/africa/Kenya")</f>
        <v>http://twiplomacy.com/info/africa/Kenya</v>
      </c>
      <c r="F185" s="10" t="s">
        <v>1</v>
      </c>
      <c r="G185" s="10" t="s">
        <v>65</v>
      </c>
      <c r="H185" s="10" t="s">
        <v>781</v>
      </c>
      <c r="I185" s="10" t="s">
        <v>782</v>
      </c>
      <c r="J185" s="27" t="s">
        <v>789</v>
      </c>
      <c r="K185" s="15" t="s">
        <v>777</v>
      </c>
      <c r="L185" s="10" t="s">
        <v>771</v>
      </c>
      <c r="M185" s="10" t="s">
        <v>770</v>
      </c>
      <c r="N185" s="30" t="str">
        <f>HYPERLINK("https://twitter.com/StateHouseKenya/statuses/321667817818693632","https://twitter.com/StateHouseKenya/statuses/321667817818693632")</f>
        <v>https://twitter.com/StateHouseKenya/statuses/321667817818693632</v>
      </c>
      <c r="O185" s="27" t="s">
        <v>6101</v>
      </c>
      <c r="P185" s="80">
        <v>396</v>
      </c>
      <c r="Q185" s="80">
        <v>205</v>
      </c>
      <c r="R185" s="27" t="s">
        <v>2994</v>
      </c>
      <c r="S185" s="10" t="s">
        <v>948</v>
      </c>
      <c r="T185" s="10" t="s">
        <v>771</v>
      </c>
      <c r="U185" s="10" t="s">
        <v>771</v>
      </c>
      <c r="V185" s="10" t="s">
        <v>771</v>
      </c>
      <c r="W185" s="10"/>
      <c r="X185" s="27" t="s">
        <v>67</v>
      </c>
      <c r="Y185" s="27" t="s">
        <v>947</v>
      </c>
      <c r="Z185" s="80">
        <v>6282</v>
      </c>
      <c r="AA185" s="27">
        <v>176</v>
      </c>
      <c r="AB185" s="80">
        <v>321895</v>
      </c>
      <c r="AC185" s="27">
        <v>63</v>
      </c>
      <c r="AD185" s="27" t="s">
        <v>4489</v>
      </c>
      <c r="AE185" s="27">
        <v>364830542</v>
      </c>
      <c r="AF185" s="27" t="s">
        <v>947</v>
      </c>
      <c r="AG185" s="27" t="s">
        <v>852</v>
      </c>
      <c r="AH185" s="79">
        <v>3.6801405975395398</v>
      </c>
      <c r="AI185" s="83">
        <v>7.7614457831325296</v>
      </c>
      <c r="AJ185" s="80">
        <v>39.596363636363598</v>
      </c>
      <c r="AK185" s="80">
        <v>16.0593939393939</v>
      </c>
      <c r="AL185" s="27">
        <v>157</v>
      </c>
      <c r="AM185" s="97">
        <f t="shared" si="2"/>
        <v>4.9062500000000002E-2</v>
      </c>
      <c r="AN185" s="27" t="s">
        <v>67</v>
      </c>
      <c r="AO185" s="27">
        <v>10</v>
      </c>
      <c r="AP185" s="27">
        <v>15</v>
      </c>
      <c r="AQ185" s="27">
        <v>4</v>
      </c>
      <c r="AR185" s="27">
        <f>SUM(AO185:AQ185)</f>
        <v>29</v>
      </c>
      <c r="AS185" s="27" t="s">
        <v>5503</v>
      </c>
      <c r="AT185" s="27" t="s">
        <v>6346</v>
      </c>
      <c r="AU185" s="84" t="s">
        <v>4958</v>
      </c>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c r="BZ185" s="77"/>
      <c r="CA185" s="77"/>
      <c r="CB185" s="77"/>
      <c r="CC185" s="77"/>
      <c r="CD185" s="77"/>
      <c r="CE185" s="77"/>
      <c r="CF185" s="77"/>
      <c r="CG185" s="77"/>
      <c r="CH185" s="77"/>
      <c r="CI185" s="77"/>
      <c r="CJ185" s="77"/>
      <c r="CK185" s="77"/>
      <c r="CL185" s="77"/>
      <c r="CM185" s="77"/>
      <c r="CN185" s="77"/>
      <c r="CO185" s="77"/>
      <c r="CP185" s="77"/>
      <c r="CQ185" s="77"/>
      <c r="CR185" s="77"/>
      <c r="CS185" s="77"/>
      <c r="CT185" s="77"/>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c r="DS185" s="77"/>
      <c r="DT185" s="77"/>
      <c r="DU185" s="77"/>
      <c r="DV185" s="77"/>
      <c r="DW185" s="77"/>
      <c r="DX185" s="77"/>
      <c r="DY185" s="77"/>
      <c r="DZ185" s="77"/>
      <c r="EA185" s="77"/>
      <c r="EB185" s="77"/>
      <c r="EC185" s="77"/>
      <c r="ED185" s="77"/>
      <c r="EE185" s="77"/>
      <c r="EF185" s="77"/>
      <c r="EG185" s="77"/>
      <c r="EH185" s="77"/>
      <c r="EI185" s="77"/>
      <c r="EJ185" s="77"/>
      <c r="EK185" s="77"/>
      <c r="EL185" s="77"/>
      <c r="EM185" s="77"/>
      <c r="EN185" s="77"/>
      <c r="EO185" s="77"/>
      <c r="EP185" s="77"/>
      <c r="EQ185" s="77"/>
      <c r="ER185" s="77"/>
      <c r="ES185" s="77"/>
      <c r="ET185" s="77"/>
      <c r="EU185" s="77"/>
      <c r="EV185" s="77"/>
      <c r="EW185" s="77"/>
      <c r="EX185" s="77"/>
      <c r="EY185" s="77"/>
      <c r="EZ185" s="77"/>
      <c r="FA185" s="77"/>
      <c r="FB185" s="77"/>
      <c r="FC185" s="77"/>
      <c r="FD185" s="77"/>
      <c r="FE185" s="77"/>
      <c r="FF185" s="77"/>
      <c r="FG185" s="77"/>
      <c r="FH185" s="77"/>
      <c r="FI185" s="77"/>
      <c r="FJ185" s="77"/>
      <c r="FK185" s="77"/>
      <c r="FL185" s="77"/>
      <c r="FM185" s="77"/>
      <c r="FN185" s="77"/>
      <c r="FO185" s="77"/>
      <c r="FP185" s="77"/>
      <c r="FQ185" s="77"/>
      <c r="FR185" s="77"/>
      <c r="FS185" s="77"/>
      <c r="FT185" s="77"/>
      <c r="FU185" s="77"/>
      <c r="FV185" s="77"/>
      <c r="FW185" s="77"/>
      <c r="FX185" s="77"/>
      <c r="FY185" s="77"/>
      <c r="FZ185" s="77"/>
      <c r="GA185" s="77"/>
      <c r="GB185" s="77"/>
      <c r="GC185" s="77"/>
      <c r="GD185" s="77"/>
      <c r="GE185" s="77"/>
      <c r="GF185" s="77"/>
      <c r="GG185" s="77"/>
      <c r="GH185" s="77"/>
      <c r="GI185" s="77"/>
      <c r="GJ185" s="77"/>
      <c r="GK185" s="77"/>
      <c r="GL185" s="77"/>
      <c r="GM185" s="77"/>
      <c r="GN185" s="77"/>
      <c r="GO185" s="77"/>
      <c r="GP185" s="77"/>
      <c r="GQ185" s="77"/>
      <c r="GR185" s="77"/>
      <c r="GS185" s="77"/>
      <c r="GT185" s="77"/>
      <c r="GU185" s="77"/>
      <c r="GV185" s="77"/>
      <c r="GW185" s="77"/>
      <c r="GX185" s="77"/>
      <c r="GY185" s="77"/>
      <c r="GZ185" s="77"/>
      <c r="HA185" s="77"/>
      <c r="HB185" s="77"/>
      <c r="HC185" s="77"/>
      <c r="HD185" s="77"/>
      <c r="HE185" s="77"/>
      <c r="HF185" s="77"/>
      <c r="HG185" s="77"/>
      <c r="HH185" s="77"/>
      <c r="HI185" s="77"/>
      <c r="HJ185" s="77"/>
      <c r="HK185" s="77"/>
      <c r="HL185" s="77"/>
      <c r="HM185" s="77"/>
      <c r="HN185" s="77"/>
      <c r="HO185" s="77"/>
      <c r="HP185" s="77"/>
      <c r="HQ185" s="77"/>
      <c r="HR185" s="77"/>
      <c r="HS185" s="77"/>
      <c r="HT185" s="77"/>
      <c r="HU185" s="77"/>
      <c r="HV185" s="77"/>
      <c r="HW185" s="77"/>
      <c r="HX185" s="77"/>
      <c r="HY185" s="77"/>
      <c r="HZ185" s="77"/>
      <c r="IA185" s="77"/>
      <c r="IB185" s="77"/>
      <c r="IC185" s="77"/>
      <c r="ID185" s="77"/>
      <c r="IE185" s="77"/>
      <c r="IF185" s="77"/>
      <c r="IG185" s="77"/>
      <c r="IH185" s="77"/>
      <c r="II185" s="77"/>
      <c r="IJ185" s="77"/>
      <c r="IK185" s="77"/>
      <c r="IL185" s="77"/>
      <c r="IM185" s="77"/>
      <c r="IN185" s="77"/>
      <c r="IO185" s="77"/>
      <c r="IP185" s="77"/>
      <c r="IQ185" s="77"/>
      <c r="IR185" s="77"/>
      <c r="IS185" s="77"/>
      <c r="IT185" s="77"/>
      <c r="IU185" s="77"/>
      <c r="IV185" s="77"/>
      <c r="IW185" s="77"/>
      <c r="IX185" s="77"/>
      <c r="IY185" s="77"/>
      <c r="IZ185" s="77"/>
      <c r="JA185" s="77"/>
      <c r="JB185" s="77"/>
      <c r="JC185" s="77"/>
      <c r="JD185" s="77"/>
      <c r="JE185" s="77"/>
      <c r="JF185" s="77"/>
      <c r="JG185" s="77"/>
      <c r="JH185" s="77"/>
      <c r="JI185" s="77"/>
      <c r="JJ185" s="77"/>
      <c r="JK185" s="77"/>
      <c r="JL185" s="77"/>
      <c r="JM185" s="77"/>
      <c r="JN185" s="77"/>
      <c r="JO185" s="77"/>
      <c r="JP185" s="77"/>
      <c r="JQ185" s="77"/>
      <c r="JR185" s="77"/>
      <c r="JS185" s="77"/>
      <c r="JT185" s="77"/>
      <c r="JU185" s="77"/>
      <c r="JV185" s="77"/>
      <c r="JW185" s="77"/>
      <c r="JX185" s="77"/>
      <c r="JY185" s="77"/>
      <c r="JZ185" s="77"/>
      <c r="KA185" s="77"/>
      <c r="KB185" s="77"/>
      <c r="KC185" s="77"/>
      <c r="KD185" s="77"/>
      <c r="KE185" s="77"/>
      <c r="KF185" s="77"/>
      <c r="KG185" s="77"/>
      <c r="KH185" s="77"/>
      <c r="KI185" s="77"/>
      <c r="KJ185" s="77"/>
      <c r="KK185" s="77"/>
      <c r="KL185" s="77"/>
      <c r="KM185" s="77"/>
      <c r="KN185" s="77"/>
      <c r="KO185" s="77"/>
      <c r="KP185" s="77"/>
      <c r="KQ185" s="77"/>
      <c r="KR185" s="77"/>
      <c r="KS185" s="77"/>
      <c r="KT185" s="77"/>
      <c r="KU185" s="77"/>
      <c r="KV185" s="77"/>
      <c r="KW185" s="77"/>
      <c r="KX185" s="77"/>
      <c r="KY185" s="77"/>
      <c r="KZ185" s="77"/>
      <c r="LA185" s="77"/>
      <c r="LB185" s="77"/>
      <c r="LC185" s="77"/>
      <c r="LD185" s="77"/>
      <c r="LE185" s="77"/>
      <c r="LF185" s="77"/>
      <c r="LG185" s="77"/>
      <c r="LH185" s="77"/>
      <c r="LI185" s="77"/>
      <c r="LJ185" s="77"/>
      <c r="LK185" s="77"/>
    </row>
    <row r="186" spans="1:421" ht="18.600000000000001" customHeight="1" x14ac:dyDescent="0.25">
      <c r="A186" s="119" t="s">
        <v>527</v>
      </c>
      <c r="B186" s="27" t="s">
        <v>2235</v>
      </c>
      <c r="C186" s="27" t="s">
        <v>2236</v>
      </c>
      <c r="D186" s="30" t="str">
        <f>HYPERLINK("https://twitter.com/MAECgob","https://twitter.com/MAECgob")</f>
        <v>https://twitter.com/MAECgob</v>
      </c>
      <c r="E186" s="30" t="str">
        <f>HYPERLINK("http://twiplomacy.com/info/europe/Spain","http://twiplomacy.com/info/europe/Spain")</f>
        <v>http://twiplomacy.com/info/europe/Spain</v>
      </c>
      <c r="F186" s="10" t="s">
        <v>332</v>
      </c>
      <c r="G186" s="10" t="s">
        <v>522</v>
      </c>
      <c r="H186" s="10" t="s">
        <v>795</v>
      </c>
      <c r="I186" s="10" t="s">
        <v>782</v>
      </c>
      <c r="J186" s="27" t="s">
        <v>2226</v>
      </c>
      <c r="K186" s="15" t="s">
        <v>777</v>
      </c>
      <c r="L186" s="10" t="s">
        <v>771</v>
      </c>
      <c r="M186" s="10" t="s">
        <v>770</v>
      </c>
      <c r="N186" s="30" t="str">
        <f>HYPERLINK("https://twitter.com/MAECgob/statuses/324191679198412802","https://twitter.com/MAECgob/statuses/324191679198412802")</f>
        <v>https://twitter.com/MAECgob/statuses/324191679198412802</v>
      </c>
      <c r="O186" s="27" t="s">
        <v>5915</v>
      </c>
      <c r="P186" s="80">
        <v>7147</v>
      </c>
      <c r="Q186" s="80">
        <v>1873</v>
      </c>
      <c r="R186" s="27" t="s">
        <v>2994</v>
      </c>
      <c r="S186" s="30" t="str">
        <f>HYPERLINK("https://twitter.com/MAECgob/lists","https://twitter.com/MAECgob/lists")</f>
        <v>https://twitter.com/MAECgob/lists</v>
      </c>
      <c r="T186" s="10">
        <v>9</v>
      </c>
      <c r="U186" s="10">
        <v>2</v>
      </c>
      <c r="V186" s="30" t="s">
        <v>6880</v>
      </c>
      <c r="W186" s="10">
        <v>121</v>
      </c>
      <c r="X186" s="27" t="s">
        <v>527</v>
      </c>
      <c r="Y186" s="27" t="s">
        <v>2235</v>
      </c>
      <c r="Z186" s="80">
        <v>6275</v>
      </c>
      <c r="AA186" s="27">
        <v>1149</v>
      </c>
      <c r="AB186" s="80">
        <v>102090</v>
      </c>
      <c r="AC186" s="27">
        <v>948</v>
      </c>
      <c r="AD186" s="27" t="s">
        <v>4000</v>
      </c>
      <c r="AE186" s="27">
        <v>522128259</v>
      </c>
      <c r="AF186" s="27" t="s">
        <v>2236</v>
      </c>
      <c r="AG186" s="27" t="s">
        <v>2225</v>
      </c>
      <c r="AH186" s="79">
        <v>4.1501322751322798</v>
      </c>
      <c r="AI186" s="83">
        <v>6.3833992094861696</v>
      </c>
      <c r="AJ186" s="80">
        <v>21.2427690848743</v>
      </c>
      <c r="AK186" s="80">
        <v>9.3157894736842106</v>
      </c>
      <c r="AL186" s="27">
        <v>67</v>
      </c>
      <c r="AM186" s="97">
        <f t="shared" si="2"/>
        <v>2.0937500000000001E-2</v>
      </c>
      <c r="AN186" s="27" t="s">
        <v>527</v>
      </c>
      <c r="AO186" s="27">
        <v>74</v>
      </c>
      <c r="AP186" s="27">
        <v>9</v>
      </c>
      <c r="AQ186" s="27">
        <v>61</v>
      </c>
      <c r="AR186" s="27">
        <f>SUM(AO186:AQ186)</f>
        <v>144</v>
      </c>
      <c r="AS186" s="27" t="s">
        <v>6583</v>
      </c>
      <c r="AT186" s="27" t="s">
        <v>6777</v>
      </c>
      <c r="AU186" s="84" t="s">
        <v>6166</v>
      </c>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c r="BZ186" s="77"/>
      <c r="CA186" s="77"/>
      <c r="CB186" s="77"/>
      <c r="CC186" s="77"/>
      <c r="CD186" s="77"/>
      <c r="CE186" s="77"/>
      <c r="CF186" s="77"/>
      <c r="CG186" s="77"/>
      <c r="CH186" s="77"/>
      <c r="CI186" s="77"/>
      <c r="CJ186" s="77"/>
      <c r="CK186" s="77"/>
      <c r="CL186" s="77"/>
      <c r="CM186" s="77"/>
      <c r="CN186" s="77"/>
      <c r="CO186" s="77"/>
      <c r="CP186" s="77"/>
      <c r="CQ186" s="77"/>
      <c r="CR186" s="77"/>
      <c r="CS186" s="77"/>
      <c r="CT186" s="77"/>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c r="DS186" s="77"/>
      <c r="DT186" s="77"/>
      <c r="DU186" s="77"/>
      <c r="DV186" s="77"/>
      <c r="DW186" s="77"/>
      <c r="DX186" s="77"/>
      <c r="DY186" s="77"/>
      <c r="DZ186" s="77"/>
      <c r="EA186" s="77"/>
      <c r="EB186" s="77"/>
      <c r="EC186" s="77"/>
      <c r="ED186" s="77"/>
      <c r="EE186" s="77"/>
      <c r="EF186" s="77"/>
      <c r="EG186" s="77"/>
      <c r="EH186" s="77"/>
      <c r="EI186" s="77"/>
      <c r="EJ186" s="77"/>
      <c r="EK186" s="77"/>
      <c r="EL186" s="77"/>
      <c r="EM186" s="77"/>
      <c r="EN186" s="77"/>
      <c r="EO186" s="77"/>
      <c r="EP186" s="77"/>
      <c r="EQ186" s="77"/>
      <c r="ER186" s="77"/>
      <c r="ES186" s="77"/>
      <c r="ET186" s="77"/>
      <c r="EU186" s="77"/>
      <c r="EV186" s="77"/>
      <c r="EW186" s="77"/>
      <c r="EX186" s="77"/>
      <c r="EY186" s="77"/>
      <c r="EZ186" s="77"/>
      <c r="FA186" s="77"/>
      <c r="FB186" s="77"/>
      <c r="FC186" s="77"/>
      <c r="FD186" s="77"/>
      <c r="FE186" s="77"/>
      <c r="FF186" s="77"/>
      <c r="FG186" s="77"/>
      <c r="FH186" s="77"/>
      <c r="FI186" s="77"/>
      <c r="FJ186" s="77"/>
      <c r="FK186" s="77"/>
      <c r="FL186" s="77"/>
      <c r="FM186" s="77"/>
      <c r="FN186" s="77"/>
      <c r="FO186" s="77"/>
      <c r="FP186" s="77"/>
      <c r="FQ186" s="77"/>
      <c r="FR186" s="77"/>
      <c r="FS186" s="77"/>
      <c r="FT186" s="77"/>
      <c r="FU186" s="77"/>
      <c r="FV186" s="77"/>
      <c r="FW186" s="77"/>
      <c r="FX186" s="77"/>
      <c r="FY186" s="77"/>
      <c r="FZ186" s="77"/>
      <c r="GA186" s="77"/>
      <c r="GB186" s="77"/>
      <c r="GC186" s="77"/>
      <c r="GD186" s="77"/>
      <c r="GE186" s="77"/>
      <c r="GF186" s="77"/>
      <c r="GG186" s="77"/>
      <c r="GH186" s="77"/>
      <c r="GI186" s="77"/>
      <c r="GJ186" s="77"/>
      <c r="GK186" s="77"/>
      <c r="GL186" s="77"/>
      <c r="GM186" s="77"/>
      <c r="GN186" s="77"/>
      <c r="GO186" s="77"/>
      <c r="GP186" s="77"/>
      <c r="GQ186" s="77"/>
      <c r="GR186" s="77"/>
      <c r="GS186" s="77"/>
      <c r="GT186" s="77"/>
      <c r="GU186" s="77"/>
      <c r="GV186" s="77"/>
      <c r="GW186" s="77"/>
      <c r="GX186" s="77"/>
      <c r="GY186" s="77"/>
      <c r="GZ186" s="77"/>
      <c r="HA186" s="77"/>
      <c r="HB186" s="77"/>
      <c r="HC186" s="77"/>
      <c r="HD186" s="77"/>
      <c r="HE186" s="77"/>
      <c r="HF186" s="77"/>
      <c r="HG186" s="77"/>
      <c r="HH186" s="77"/>
      <c r="HI186" s="77"/>
      <c r="HJ186" s="77"/>
      <c r="HK186" s="77"/>
      <c r="ID186" s="77"/>
      <c r="IE186" s="77"/>
      <c r="IF186" s="77"/>
      <c r="IG186" s="77"/>
      <c r="IH186" s="77"/>
      <c r="II186" s="77"/>
      <c r="IJ186" s="77"/>
      <c r="IK186" s="77"/>
      <c r="IL186" s="77"/>
      <c r="IM186" s="77"/>
      <c r="IN186" s="77"/>
      <c r="IO186" s="77"/>
      <c r="IP186" s="77"/>
      <c r="IQ186" s="77"/>
      <c r="IR186" s="77"/>
      <c r="IS186" s="77"/>
      <c r="IT186" s="77"/>
      <c r="IU186" s="77"/>
      <c r="IV186" s="77"/>
      <c r="IW186" s="77"/>
      <c r="IX186" s="77"/>
      <c r="IY186" s="77"/>
      <c r="IZ186" s="77"/>
      <c r="JA186" s="77"/>
      <c r="JB186" s="77"/>
      <c r="JC186" s="77"/>
      <c r="JD186" s="77"/>
      <c r="JE186" s="77"/>
      <c r="JF186" s="77"/>
      <c r="JG186" s="77"/>
      <c r="JH186" s="77"/>
      <c r="JI186" s="77"/>
      <c r="JJ186" s="77"/>
      <c r="JK186" s="77"/>
      <c r="JL186" s="77"/>
      <c r="JM186" s="77"/>
      <c r="JN186" s="77"/>
      <c r="JO186" s="77"/>
      <c r="JP186" s="77"/>
      <c r="JQ186" s="77"/>
      <c r="JR186" s="77"/>
      <c r="JS186" s="77"/>
      <c r="JT186" s="77"/>
      <c r="JU186" s="77"/>
      <c r="JV186" s="77"/>
      <c r="JW186" s="77"/>
      <c r="JX186" s="77"/>
      <c r="LL186" s="77"/>
      <c r="LM186" s="77"/>
      <c r="LN186" s="77"/>
      <c r="LO186" s="77"/>
      <c r="LP186" s="77"/>
      <c r="LQ186" s="77"/>
      <c r="LR186" s="77"/>
      <c r="LS186" s="77"/>
      <c r="LT186" s="77"/>
      <c r="LU186" s="77"/>
      <c r="LV186" s="77"/>
    </row>
    <row r="187" spans="1:421" ht="18.600000000000001" customHeight="1" x14ac:dyDescent="0.25">
      <c r="A187" s="119" t="s">
        <v>165</v>
      </c>
      <c r="B187" s="27" t="s">
        <v>1222</v>
      </c>
      <c r="C187" s="27" t="s">
        <v>1223</v>
      </c>
      <c r="D187" s="30" t="str">
        <f>HYPERLINK("https://twitter.com/AzerbaijanMFA","https://twitter.com/AzerbaijanMFA")</f>
        <v>https://twitter.com/AzerbaijanMFA</v>
      </c>
      <c r="E187" s="30" t="str">
        <f>HYPERLINK("http://twiplomacy.com/info/asia/Azerbaijan","http://twiplomacy.com/info/asia/Azerbaijan")</f>
        <v>http://twiplomacy.com/info/asia/Azerbaijan</v>
      </c>
      <c r="F187" s="10" t="s">
        <v>154</v>
      </c>
      <c r="G187" s="10" t="s">
        <v>162</v>
      </c>
      <c r="H187" s="10" t="s">
        <v>795</v>
      </c>
      <c r="I187" s="10" t="s">
        <v>782</v>
      </c>
      <c r="J187" s="27" t="s">
        <v>789</v>
      </c>
      <c r="K187" s="15" t="s">
        <v>777</v>
      </c>
      <c r="L187" s="10" t="s">
        <v>771</v>
      </c>
      <c r="M187" s="10" t="s">
        <v>770</v>
      </c>
      <c r="N187" s="30" t="str">
        <f>HYPERLINK("https://twitter.com/AzerbaijanMFA/statuses/157882476612681728","https://twitter.com/AzerbaijanMFA/statuses/157882476612681728")</f>
        <v>https://twitter.com/AzerbaijanMFA/statuses/157882476612681728</v>
      </c>
      <c r="O187" s="27" t="s">
        <v>5694</v>
      </c>
      <c r="P187" s="80">
        <v>94</v>
      </c>
      <c r="Q187" s="80">
        <v>68</v>
      </c>
      <c r="R187" s="27" t="s">
        <v>2995</v>
      </c>
      <c r="S187" s="10" t="s">
        <v>1224</v>
      </c>
      <c r="T187" s="10" t="s">
        <v>771</v>
      </c>
      <c r="U187" s="10" t="s">
        <v>771</v>
      </c>
      <c r="V187" s="10" t="s">
        <v>771</v>
      </c>
      <c r="W187" s="10"/>
      <c r="X187" s="27" t="s">
        <v>165</v>
      </c>
      <c r="Y187" s="27" t="s">
        <v>1222</v>
      </c>
      <c r="Z187" s="80">
        <v>6193</v>
      </c>
      <c r="AA187" s="27">
        <v>168</v>
      </c>
      <c r="AB187" s="80">
        <v>12132</v>
      </c>
      <c r="AC187" s="27">
        <v>0</v>
      </c>
      <c r="AD187" s="27" t="s">
        <v>3492</v>
      </c>
      <c r="AE187" s="27">
        <v>461005402</v>
      </c>
      <c r="AF187" s="27" t="s">
        <v>1223</v>
      </c>
      <c r="AG187" s="27"/>
      <c r="AH187" s="79">
        <v>3.9370629370629402</v>
      </c>
      <c r="AI187" s="83">
        <v>4.4221311475409797</v>
      </c>
      <c r="AJ187" s="80">
        <v>3.9347826086956501</v>
      </c>
      <c r="AK187" s="80">
        <v>2.1677018633540399</v>
      </c>
      <c r="AL187" s="96">
        <v>12</v>
      </c>
      <c r="AM187" s="97">
        <f t="shared" si="2"/>
        <v>3.7499999999999999E-3</v>
      </c>
      <c r="AN187" s="27" t="s">
        <v>165</v>
      </c>
      <c r="AO187" s="27">
        <v>24</v>
      </c>
      <c r="AP187" s="27">
        <v>35</v>
      </c>
      <c r="AQ187" s="27">
        <v>32</v>
      </c>
      <c r="AR187" s="27">
        <f>SUM(AO187:AQ187)</f>
        <v>91</v>
      </c>
      <c r="AS187" s="27" t="s">
        <v>5602</v>
      </c>
      <c r="AT187" s="27" t="s">
        <v>5026</v>
      </c>
      <c r="AU187" s="84" t="s">
        <v>4652</v>
      </c>
      <c r="AV187" s="16"/>
      <c r="AW187" s="16"/>
      <c r="AX187" s="16"/>
      <c r="AY187" s="16"/>
      <c r="AZ187" s="16"/>
      <c r="BA187" s="16"/>
      <c r="BB187" s="16"/>
      <c r="BC187" s="16"/>
      <c r="BD187" s="16"/>
      <c r="BE187" s="16"/>
      <c r="BF187" s="16"/>
      <c r="BG187" s="16"/>
      <c r="BH187" s="16"/>
      <c r="BI187" s="16"/>
      <c r="BJ187" s="16"/>
      <c r="BK187" s="16"/>
      <c r="BL187" s="16"/>
      <c r="BM187" s="16"/>
      <c r="BN187" s="77"/>
      <c r="BO187" s="77"/>
      <c r="BP187" s="77"/>
      <c r="BQ187" s="75"/>
      <c r="BR187" s="75"/>
      <c r="BS187" s="75"/>
      <c r="BT187" s="75"/>
      <c r="BU187" s="75"/>
      <c r="BV187" s="75"/>
      <c r="BW187" s="75"/>
      <c r="BX187" s="75"/>
      <c r="BY187" s="75"/>
      <c r="BZ187" s="75"/>
      <c r="CA187" s="75"/>
      <c r="CB187" s="75"/>
      <c r="CC187" s="77"/>
      <c r="CD187" s="77"/>
      <c r="CE187" s="77"/>
      <c r="CF187" s="77"/>
      <c r="CG187" s="77"/>
      <c r="CH187" s="77"/>
      <c r="CI187" s="77"/>
      <c r="CJ187" s="77"/>
      <c r="CK187" s="77"/>
      <c r="CL187" s="77"/>
      <c r="CM187" s="77"/>
      <c r="CN187" s="77"/>
      <c r="CO187" s="77"/>
      <c r="CP187" s="77"/>
      <c r="CQ187" s="77"/>
      <c r="CR187" s="77"/>
      <c r="CS187" s="77"/>
      <c r="CT187" s="77"/>
      <c r="CU187" s="77"/>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7"/>
      <c r="DZ187" s="77"/>
      <c r="EA187" s="77"/>
      <c r="EB187" s="77"/>
      <c r="EC187" s="77"/>
      <c r="ED187" s="77"/>
      <c r="EE187" s="77"/>
      <c r="EF187" s="77"/>
      <c r="EG187" s="77"/>
      <c r="EH187" s="77"/>
      <c r="EI187" s="77"/>
      <c r="EJ187" s="77"/>
      <c r="EK187" s="77"/>
      <c r="EL187" s="77"/>
      <c r="EP187" s="77"/>
      <c r="GL187" s="77"/>
      <c r="GM187" s="77"/>
      <c r="GN187" s="77"/>
      <c r="GO187" s="77"/>
      <c r="GP187" s="77"/>
      <c r="GQ187" s="77"/>
      <c r="GR187" s="77"/>
      <c r="GS187" s="77"/>
      <c r="GT187" s="77"/>
      <c r="GU187" s="77"/>
      <c r="GV187" s="77"/>
      <c r="GW187" s="77"/>
      <c r="GX187" s="77"/>
      <c r="GY187" s="77"/>
      <c r="GZ187" s="77"/>
      <c r="HA187" s="77"/>
      <c r="HB187" s="77"/>
      <c r="HC187" s="77"/>
      <c r="HD187" s="77"/>
      <c r="HE187" s="77"/>
      <c r="HF187" s="77"/>
      <c r="HG187" s="77"/>
      <c r="HH187" s="77"/>
      <c r="HI187" s="77"/>
      <c r="HJ187" s="77"/>
      <c r="HK187" s="77"/>
      <c r="KM187" s="77"/>
      <c r="KN187" s="77"/>
      <c r="KO187" s="77"/>
      <c r="KP187" s="77"/>
      <c r="KQ187" s="77"/>
      <c r="KR187" s="77"/>
      <c r="KS187" s="77"/>
      <c r="KT187" s="77"/>
      <c r="KU187" s="77"/>
      <c r="KV187" s="77"/>
      <c r="KW187" s="77"/>
      <c r="KX187" s="77"/>
      <c r="KY187" s="77"/>
      <c r="KZ187" s="77"/>
      <c r="LA187" s="77"/>
      <c r="LB187" s="77"/>
      <c r="LC187" s="77"/>
      <c r="LD187" s="77"/>
      <c r="LE187" s="77"/>
      <c r="LF187" s="77"/>
      <c r="LG187" s="77"/>
      <c r="LH187" s="77"/>
      <c r="LI187" s="77"/>
      <c r="LJ187" s="77"/>
      <c r="LK187" s="77"/>
      <c r="LY187" s="77"/>
      <c r="LZ187" s="77"/>
      <c r="MA187" s="77"/>
      <c r="MB187" s="77"/>
      <c r="MC187" s="77"/>
      <c r="MD187" s="77"/>
      <c r="ME187" s="77"/>
      <c r="MF187" s="77"/>
      <c r="MG187" s="77"/>
      <c r="MH187" s="77"/>
      <c r="MI187" s="77"/>
      <c r="MJ187" s="77"/>
      <c r="MK187" s="77"/>
      <c r="ML187" s="77"/>
      <c r="MM187" s="77"/>
      <c r="MN187" s="77"/>
      <c r="MO187" s="77"/>
      <c r="MP187" s="77"/>
      <c r="MQ187" s="77"/>
      <c r="MR187" s="77"/>
      <c r="ND187" s="77"/>
    </row>
    <row r="188" spans="1:421" ht="18.600000000000001" customHeight="1" x14ac:dyDescent="0.25">
      <c r="A188" s="119" t="s">
        <v>610</v>
      </c>
      <c r="B188" s="27" t="s">
        <v>4215</v>
      </c>
      <c r="C188" s="27" t="s">
        <v>4216</v>
      </c>
      <c r="D188" s="30" t="str">
        <f>HYPERLINK("https://twitter.com/OPMJamaica","https://twitter.com/OPMJamaica")</f>
        <v>https://twitter.com/OPMJamaica</v>
      </c>
      <c r="E188" s="30" t="str">
        <f>HYPERLINK("http://twiplomacy.com/info/north-america/Jamaica","http://twiplomacy.com/info/north-america/Jamaica")</f>
        <v>http://twiplomacy.com/info/north-america/Jamaica</v>
      </c>
      <c r="F188" s="10" t="s">
        <v>558</v>
      </c>
      <c r="G188" s="10" t="s">
        <v>609</v>
      </c>
      <c r="H188" s="10" t="s">
        <v>788</v>
      </c>
      <c r="I188" s="10" t="s">
        <v>782</v>
      </c>
      <c r="J188" s="27" t="s">
        <v>789</v>
      </c>
      <c r="K188" s="15" t="s">
        <v>777</v>
      </c>
      <c r="L188" s="10" t="s">
        <v>771</v>
      </c>
      <c r="M188" s="10" t="s">
        <v>771</v>
      </c>
      <c r="N188" s="30" t="str">
        <f>HYPERLINK("https://twitter.com/OPMJamaica/statuses/2231873972","https://twitter.com/OPMJamaica/statuses/2231873972")</f>
        <v>https://twitter.com/OPMJamaica/statuses/2231873972</v>
      </c>
      <c r="O188" s="20" t="s">
        <v>2505</v>
      </c>
      <c r="P188" s="46">
        <v>116</v>
      </c>
      <c r="Q188" s="46">
        <v>66</v>
      </c>
      <c r="R188" s="27" t="s">
        <v>2995</v>
      </c>
      <c r="S188" s="10" t="s">
        <v>2506</v>
      </c>
      <c r="T188" s="10" t="s">
        <v>771</v>
      </c>
      <c r="U188" s="10" t="s">
        <v>771</v>
      </c>
      <c r="V188" s="10" t="s">
        <v>771</v>
      </c>
      <c r="W188" s="10"/>
      <c r="X188" s="27" t="s">
        <v>610</v>
      </c>
      <c r="Y188" s="27" t="s">
        <v>4215</v>
      </c>
      <c r="Z188" s="80">
        <v>6141</v>
      </c>
      <c r="AA188" s="27">
        <v>151</v>
      </c>
      <c r="AB188" s="80">
        <v>15634</v>
      </c>
      <c r="AC188" s="27">
        <v>270</v>
      </c>
      <c r="AD188" s="27" t="s">
        <v>4217</v>
      </c>
      <c r="AE188" s="27">
        <v>48574376</v>
      </c>
      <c r="AF188" s="27" t="s">
        <v>4216</v>
      </c>
      <c r="AG188" s="27" t="s">
        <v>609</v>
      </c>
      <c r="AH188" s="79">
        <v>2.4475886807493001</v>
      </c>
      <c r="AI188" s="83">
        <v>2.6639072847682099</v>
      </c>
      <c r="AJ188" s="80">
        <v>1.5309352517985599</v>
      </c>
      <c r="AK188" s="80">
        <v>0.67014388489208598</v>
      </c>
      <c r="AL188" s="27">
        <v>399</v>
      </c>
      <c r="AM188" s="97">
        <f t="shared" si="2"/>
        <v>0.12468750000000001</v>
      </c>
      <c r="AN188" s="27" t="s">
        <v>610</v>
      </c>
      <c r="AO188" s="27">
        <v>3</v>
      </c>
      <c r="AP188" s="27">
        <v>8</v>
      </c>
      <c r="AQ188" s="27">
        <v>0</v>
      </c>
      <c r="AR188" s="27">
        <f>SUM(AO188:AQ188)</f>
        <v>11</v>
      </c>
      <c r="AS188" s="27" t="s">
        <v>5624</v>
      </c>
      <c r="AT188" s="27" t="s">
        <v>5372</v>
      </c>
      <c r="AU188" s="84"/>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77"/>
      <c r="BR188" s="77"/>
      <c r="BS188" s="77"/>
      <c r="BT188" s="77"/>
      <c r="BU188" s="77"/>
      <c r="BV188" s="77"/>
      <c r="BW188" s="77"/>
      <c r="BX188" s="77"/>
      <c r="BY188" s="77"/>
      <c r="BZ188" s="77"/>
      <c r="CA188" s="77"/>
      <c r="CB188" s="77"/>
      <c r="CC188" s="77"/>
      <c r="CD188" s="77"/>
      <c r="CE188" s="77"/>
      <c r="CF188" s="77"/>
      <c r="CG188" s="77"/>
      <c r="CH188" s="77"/>
      <c r="CI188" s="77"/>
      <c r="CJ188" s="77"/>
      <c r="CK188" s="77"/>
      <c r="CL188" s="77"/>
      <c r="CM188" s="77"/>
      <c r="CN188" s="77"/>
      <c r="CO188" s="77"/>
      <c r="CP188" s="77"/>
      <c r="CQ188" s="77"/>
      <c r="CR188" s="77"/>
      <c r="CS188" s="77"/>
      <c r="CT188" s="77"/>
      <c r="CU188" s="77"/>
      <c r="CV188" s="77"/>
      <c r="CW188" s="77"/>
      <c r="CX188" s="77"/>
      <c r="CY188" s="77"/>
      <c r="CZ188" s="77"/>
      <c r="DA188" s="77"/>
      <c r="DB188" s="77"/>
      <c r="DC188" s="77"/>
      <c r="DD188" s="77"/>
      <c r="DE188" s="77"/>
      <c r="DF188" s="77"/>
      <c r="DG188" s="77"/>
      <c r="DH188" s="77"/>
      <c r="DI188" s="77"/>
      <c r="DJ188" s="77"/>
      <c r="DK188" s="77"/>
      <c r="DL188" s="77"/>
      <c r="DM188" s="77"/>
      <c r="DN188" s="77"/>
      <c r="DO188" s="77"/>
      <c r="DP188" s="77"/>
      <c r="DQ188" s="77"/>
      <c r="DR188" s="77"/>
      <c r="DS188" s="77"/>
      <c r="DT188" s="77"/>
      <c r="DU188" s="77"/>
      <c r="DV188" s="77"/>
      <c r="DW188" s="77"/>
      <c r="DX188" s="77"/>
      <c r="DY188" s="77"/>
      <c r="DZ188" s="77"/>
      <c r="EA188" s="77"/>
      <c r="EB188" s="77"/>
      <c r="EC188" s="77"/>
      <c r="ED188" s="77"/>
      <c r="EE188" s="77"/>
      <c r="EF188" s="77"/>
      <c r="EG188" s="77"/>
      <c r="EH188" s="77"/>
      <c r="EI188" s="77"/>
      <c r="EJ188" s="77"/>
      <c r="EK188" s="77"/>
      <c r="EL188" s="77"/>
      <c r="EQ188" s="77"/>
      <c r="ER188" s="77"/>
      <c r="ES188" s="77"/>
      <c r="ET188" s="77"/>
      <c r="EU188" s="77"/>
      <c r="EV188" s="77"/>
      <c r="EW188" s="77"/>
      <c r="EX188" s="77"/>
      <c r="EY188" s="77"/>
      <c r="EZ188" s="77"/>
      <c r="FA188" s="77"/>
      <c r="FB188" s="77"/>
      <c r="FC188" s="77"/>
      <c r="FD188" s="77"/>
      <c r="FE188" s="77"/>
      <c r="FF188" s="77"/>
      <c r="FG188" s="77"/>
      <c r="FH188" s="77"/>
      <c r="FI188" s="77"/>
      <c r="FJ188" s="77"/>
      <c r="FK188" s="77"/>
      <c r="FL188" s="77"/>
      <c r="FM188" s="77"/>
      <c r="FN188" s="77"/>
      <c r="FO188" s="77"/>
      <c r="FP188" s="77"/>
      <c r="FQ188" s="77"/>
      <c r="FR188" s="77"/>
      <c r="FS188" s="77"/>
      <c r="FT188" s="77"/>
      <c r="FU188" s="77"/>
      <c r="FV188" s="77"/>
      <c r="FW188" s="77"/>
      <c r="FX188" s="77"/>
      <c r="FY188" s="77"/>
      <c r="FZ188" s="77"/>
      <c r="GA188" s="77"/>
      <c r="GB188" s="77"/>
      <c r="GC188" s="77"/>
      <c r="GD188" s="77"/>
      <c r="GE188" s="77"/>
      <c r="GF188" s="77"/>
      <c r="GG188" s="77"/>
      <c r="GH188" s="77"/>
      <c r="GI188" s="77"/>
      <c r="GJ188" s="77"/>
      <c r="GK188" s="77"/>
      <c r="GL188" s="77"/>
      <c r="GM188" s="77"/>
      <c r="GN188" s="77"/>
      <c r="GO188" s="77"/>
      <c r="GP188" s="77"/>
      <c r="GQ188" s="77"/>
      <c r="GR188" s="77"/>
      <c r="GS188" s="77"/>
      <c r="GT188" s="77"/>
      <c r="GU188" s="77"/>
      <c r="GV188" s="77"/>
      <c r="GW188" s="77"/>
      <c r="GX188" s="77"/>
      <c r="GY188" s="77"/>
      <c r="GZ188" s="77"/>
      <c r="HA188" s="77"/>
      <c r="HB188" s="77"/>
      <c r="HC188" s="77"/>
      <c r="HD188" s="77"/>
      <c r="HE188" s="77"/>
      <c r="HF188" s="77"/>
      <c r="HG188" s="77"/>
      <c r="HH188" s="77"/>
      <c r="HI188" s="77"/>
      <c r="HJ188" s="77"/>
      <c r="HK188" s="77"/>
      <c r="HL188" s="77"/>
      <c r="HM188" s="77"/>
      <c r="HN188" s="77"/>
      <c r="HO188" s="77"/>
      <c r="HP188" s="77"/>
      <c r="HQ188" s="77"/>
      <c r="HR188" s="77"/>
      <c r="HS188" s="77"/>
      <c r="HT188" s="77"/>
      <c r="HU188" s="77"/>
      <c r="HV188" s="77"/>
      <c r="HW188" s="77"/>
      <c r="HX188" s="77"/>
      <c r="HY188" s="77"/>
      <c r="HZ188" s="77"/>
      <c r="IA188" s="77"/>
      <c r="IB188" s="77"/>
      <c r="IC188" s="77"/>
      <c r="IF188" s="77"/>
      <c r="IG188" s="77"/>
      <c r="IH188" s="77"/>
      <c r="II188" s="77"/>
      <c r="IJ188" s="77"/>
      <c r="IK188" s="77"/>
      <c r="IL188" s="77"/>
      <c r="IM188" s="77"/>
      <c r="IN188" s="77"/>
      <c r="IO188" s="77"/>
      <c r="IP188" s="77"/>
      <c r="IQ188" s="77"/>
      <c r="IR188" s="77"/>
      <c r="IS188" s="77"/>
      <c r="IT188" s="77"/>
      <c r="IU188" s="77"/>
      <c r="IV188" s="77"/>
      <c r="IW188" s="77"/>
      <c r="IX188" s="77"/>
      <c r="IY188" s="77"/>
      <c r="IZ188" s="77"/>
      <c r="JA188" s="77"/>
      <c r="JB188" s="77"/>
      <c r="JC188" s="77"/>
      <c r="JD188" s="77"/>
      <c r="JE188" s="77"/>
      <c r="JF188" s="77"/>
      <c r="JG188" s="77"/>
      <c r="JH188" s="77"/>
      <c r="JI188" s="77"/>
      <c r="JJ188" s="77"/>
      <c r="JK188" s="77"/>
      <c r="JL188" s="77"/>
      <c r="JM188" s="77"/>
      <c r="JN188" s="77"/>
      <c r="JO188" s="77"/>
      <c r="JP188" s="77"/>
      <c r="JQ188" s="77"/>
      <c r="JR188" s="77"/>
      <c r="JS188" s="77"/>
      <c r="JT188" s="77"/>
      <c r="JU188" s="77"/>
      <c r="JV188" s="77"/>
      <c r="JW188" s="77"/>
      <c r="JX188" s="77"/>
      <c r="KM188" s="77"/>
      <c r="KN188" s="77"/>
      <c r="KO188" s="77"/>
      <c r="KP188" s="77"/>
      <c r="KQ188" s="77"/>
      <c r="KR188" s="77"/>
      <c r="KS188" s="77"/>
      <c r="KT188" s="77"/>
      <c r="KU188" s="77"/>
      <c r="KV188" s="77"/>
      <c r="KW188" s="77"/>
      <c r="KX188" s="77"/>
      <c r="KY188" s="77"/>
      <c r="KZ188" s="77"/>
      <c r="LA188" s="77"/>
      <c r="LB188" s="77"/>
      <c r="LC188" s="77"/>
      <c r="LD188" s="77"/>
      <c r="LE188" s="77"/>
      <c r="LF188" s="77"/>
      <c r="LG188" s="77"/>
      <c r="LH188" s="77"/>
      <c r="LI188" s="77"/>
      <c r="LJ188" s="77"/>
      <c r="LK188" s="77"/>
      <c r="LL188" s="77"/>
      <c r="LM188" s="77"/>
      <c r="LN188" s="77"/>
      <c r="LO188" s="77"/>
      <c r="LP188" s="77"/>
      <c r="LQ188" s="77"/>
      <c r="LR188" s="77"/>
      <c r="LS188" s="77"/>
      <c r="LT188" s="77"/>
      <c r="LU188" s="77"/>
      <c r="LV188" s="77"/>
      <c r="LY188" s="77"/>
      <c r="LZ188" s="77"/>
      <c r="MA188" s="77"/>
      <c r="MB188" s="77"/>
      <c r="MC188" s="77"/>
      <c r="MD188" s="77"/>
      <c r="ME188" s="77"/>
      <c r="MF188" s="77"/>
      <c r="MG188" s="77"/>
      <c r="MH188" s="77"/>
      <c r="MI188" s="77"/>
      <c r="MJ188" s="77"/>
      <c r="MK188" s="77"/>
      <c r="ML188" s="77"/>
      <c r="MM188" s="77"/>
      <c r="MN188" s="77"/>
      <c r="MO188" s="77"/>
      <c r="MP188" s="77"/>
      <c r="MQ188" s="77"/>
      <c r="MR188" s="77"/>
      <c r="MS188" s="77"/>
      <c r="MT188" s="16"/>
      <c r="MU188" s="16"/>
      <c r="MV188" s="16"/>
      <c r="MW188" s="16"/>
      <c r="MX188" s="16"/>
      <c r="MY188" s="16"/>
      <c r="MZ188" s="16"/>
      <c r="NA188" s="16"/>
      <c r="NB188" s="16"/>
      <c r="NC188" s="16"/>
    </row>
    <row r="189" spans="1:421" ht="18.600000000000001" customHeight="1" x14ac:dyDescent="0.25">
      <c r="A189" s="119" t="s">
        <v>355</v>
      </c>
      <c r="B189" s="27" t="s">
        <v>1751</v>
      </c>
      <c r="C189" s="27" t="s">
        <v>1752</v>
      </c>
      <c r="D189" s="30" t="str">
        <f>HYPERLINK("https://twitter.com/BgPresidency","https://twitter.com/BgPresidency")</f>
        <v>https://twitter.com/BgPresidency</v>
      </c>
      <c r="E189" s="30" t="str">
        <f>HYPERLINK("http://twiplomacy.com/info/europe/Bulgaria","http://twiplomacy.com/info/europe/Bulgaria")</f>
        <v>http://twiplomacy.com/info/europe/Bulgaria</v>
      </c>
      <c r="F189" s="10" t="s">
        <v>332</v>
      </c>
      <c r="G189" s="10" t="s">
        <v>353</v>
      </c>
      <c r="H189" s="10" t="s">
        <v>781</v>
      </c>
      <c r="I189" s="10" t="s">
        <v>782</v>
      </c>
      <c r="J189" s="27" t="s">
        <v>789</v>
      </c>
      <c r="K189" s="10" t="s">
        <v>777</v>
      </c>
      <c r="L189" s="10" t="s">
        <v>771</v>
      </c>
      <c r="M189" s="10" t="s">
        <v>770</v>
      </c>
      <c r="N189" s="30" t="str">
        <f>HYPERLINK("https://twitter.com/BgPresidency/statuses/233163621495099392","https://twitter.com/BgPresidency/statuses/233163621495099392")</f>
        <v>https://twitter.com/BgPresidency/statuses/233163621495099392</v>
      </c>
      <c r="O189" s="27" t="s">
        <v>5709</v>
      </c>
      <c r="P189" s="80">
        <v>27</v>
      </c>
      <c r="Q189" s="80">
        <v>15</v>
      </c>
      <c r="R189" s="27" t="s">
        <v>2995</v>
      </c>
      <c r="S189" s="12" t="s">
        <v>1753</v>
      </c>
      <c r="T189" s="10" t="s">
        <v>771</v>
      </c>
      <c r="U189" s="10" t="s">
        <v>771</v>
      </c>
      <c r="V189" s="10" t="s">
        <v>771</v>
      </c>
      <c r="W189" s="10"/>
      <c r="X189" s="27" t="s">
        <v>355</v>
      </c>
      <c r="Y189" s="27" t="s">
        <v>1751</v>
      </c>
      <c r="Z189" s="80">
        <v>6106</v>
      </c>
      <c r="AA189" s="27">
        <v>315</v>
      </c>
      <c r="AB189" s="80">
        <v>14959</v>
      </c>
      <c r="AC189" s="27">
        <v>303</v>
      </c>
      <c r="AD189" s="27" t="s">
        <v>3517</v>
      </c>
      <c r="AE189" s="27">
        <v>737550788</v>
      </c>
      <c r="AF189" s="27" t="s">
        <v>1752</v>
      </c>
      <c r="AG189" s="27" t="s">
        <v>1754</v>
      </c>
      <c r="AH189" s="79">
        <v>4.46744696415508</v>
      </c>
      <c r="AI189" s="83">
        <v>4.6618497109826604</v>
      </c>
      <c r="AJ189" s="80">
        <v>1.57106274007682</v>
      </c>
      <c r="AK189" s="80">
        <v>2.2058258642765698</v>
      </c>
      <c r="AL189" s="27">
        <v>31</v>
      </c>
      <c r="AM189" s="97">
        <f t="shared" si="2"/>
        <v>9.6874999999999999E-3</v>
      </c>
      <c r="AN189" s="27" t="s">
        <v>355</v>
      </c>
      <c r="AO189" s="27">
        <v>51</v>
      </c>
      <c r="AP189" s="27">
        <v>4</v>
      </c>
      <c r="AQ189" s="27">
        <v>23</v>
      </c>
      <c r="AR189" s="27">
        <f>SUM(AO189:AQ189)</f>
        <v>78</v>
      </c>
      <c r="AS189" s="27" t="s">
        <v>5603</v>
      </c>
      <c r="AT189" s="27" t="s">
        <v>5041</v>
      </c>
      <c r="AU189" s="84" t="s">
        <v>6469</v>
      </c>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c r="BZ189" s="77"/>
      <c r="CA189" s="77"/>
      <c r="CB189" s="77"/>
      <c r="CC189" s="77"/>
      <c r="CD189" s="77"/>
      <c r="CE189" s="77"/>
      <c r="CF189" s="77"/>
      <c r="CG189" s="77"/>
      <c r="CH189" s="77"/>
      <c r="CI189" s="77"/>
      <c r="CJ189" s="77"/>
      <c r="CK189" s="77"/>
      <c r="CL189" s="77"/>
      <c r="CM189" s="77"/>
      <c r="CN189" s="77"/>
      <c r="CO189" s="77"/>
      <c r="CP189" s="77"/>
      <c r="CQ189" s="77"/>
      <c r="CR189" s="77"/>
      <c r="CS189" s="77"/>
      <c r="CT189" s="77"/>
      <c r="CU189" s="77"/>
      <c r="CV189" s="77"/>
      <c r="CW189" s="77"/>
      <c r="CX189" s="77"/>
      <c r="CY189" s="77"/>
      <c r="CZ189" s="77"/>
      <c r="DA189" s="77"/>
      <c r="DB189" s="77"/>
      <c r="DC189" s="77"/>
      <c r="DD189" s="77"/>
      <c r="DE189" s="77"/>
      <c r="DF189" s="77"/>
      <c r="DG189" s="77"/>
      <c r="DH189" s="77"/>
      <c r="DI189" s="77"/>
      <c r="DJ189" s="77"/>
      <c r="DK189" s="77"/>
      <c r="DL189" s="77"/>
      <c r="DM189" s="77"/>
      <c r="DN189" s="77"/>
      <c r="DO189" s="77"/>
      <c r="DP189" s="77"/>
      <c r="DQ189" s="77"/>
      <c r="DR189" s="77"/>
      <c r="DS189" s="77"/>
      <c r="DT189" s="77"/>
      <c r="DU189" s="77"/>
      <c r="DV189" s="77"/>
      <c r="DW189" s="77"/>
      <c r="DX189" s="77"/>
      <c r="DY189" s="77"/>
      <c r="DZ189" s="77"/>
      <c r="EA189" s="77"/>
      <c r="EB189" s="77"/>
      <c r="EC189" s="77"/>
      <c r="ED189" s="77"/>
      <c r="EE189" s="77"/>
      <c r="EF189" s="77"/>
      <c r="EG189" s="77"/>
      <c r="EH189" s="77"/>
      <c r="EI189" s="77"/>
      <c r="EJ189" s="77"/>
      <c r="EK189" s="77"/>
      <c r="EL189" s="77"/>
      <c r="EM189" s="77"/>
      <c r="EN189" s="77"/>
      <c r="EO189" s="77"/>
      <c r="EP189" s="77"/>
      <c r="EQ189" s="77"/>
      <c r="ER189" s="77"/>
      <c r="ES189" s="77"/>
      <c r="ET189" s="77"/>
      <c r="EU189" s="77"/>
      <c r="EV189" s="77"/>
      <c r="EW189" s="77"/>
      <c r="EX189" s="77"/>
      <c r="EY189" s="77"/>
      <c r="EZ189" s="77"/>
      <c r="FA189" s="77"/>
      <c r="FB189" s="77"/>
      <c r="FC189" s="77"/>
      <c r="FD189" s="77"/>
      <c r="FE189" s="77"/>
      <c r="FF189" s="77"/>
      <c r="FG189" s="77"/>
      <c r="FH189" s="77"/>
      <c r="FI189" s="77"/>
      <c r="FJ189" s="77"/>
      <c r="FK189" s="77"/>
      <c r="FL189" s="77"/>
      <c r="FM189" s="77"/>
      <c r="FN189" s="77"/>
      <c r="FO189" s="77"/>
      <c r="FP189" s="77"/>
      <c r="FQ189" s="77"/>
      <c r="FR189" s="77"/>
      <c r="FS189" s="77"/>
      <c r="FT189" s="77"/>
      <c r="FU189" s="77"/>
      <c r="FV189" s="77"/>
      <c r="FW189" s="77"/>
      <c r="FX189" s="77"/>
      <c r="FY189" s="77"/>
      <c r="FZ189" s="77"/>
      <c r="GA189" s="77"/>
      <c r="GB189" s="77"/>
      <c r="GC189" s="77"/>
      <c r="GD189" s="77"/>
      <c r="GE189" s="77"/>
      <c r="GF189" s="77"/>
      <c r="GG189" s="77"/>
      <c r="GH189" s="77"/>
      <c r="GI189" s="77"/>
      <c r="GJ189" s="77"/>
      <c r="GK189" s="77"/>
      <c r="GL189" s="77"/>
      <c r="GM189" s="77"/>
      <c r="GN189" s="77"/>
      <c r="GO189" s="77"/>
      <c r="GP189" s="77"/>
      <c r="GQ189" s="77"/>
      <c r="GR189" s="77"/>
      <c r="GS189" s="77"/>
      <c r="GT189" s="77"/>
      <c r="GU189" s="77"/>
      <c r="GV189" s="77"/>
      <c r="GW189" s="77"/>
      <c r="GX189" s="77"/>
      <c r="GY189" s="77"/>
      <c r="GZ189" s="77"/>
      <c r="HA189" s="77"/>
      <c r="HB189" s="77"/>
      <c r="HC189" s="77"/>
      <c r="HD189" s="77"/>
      <c r="HE189" s="77"/>
      <c r="HF189" s="77"/>
      <c r="HG189" s="77"/>
      <c r="HH189" s="77"/>
      <c r="HI189" s="77"/>
      <c r="HJ189" s="77"/>
      <c r="HK189" s="77"/>
      <c r="HL189" s="77"/>
      <c r="HM189" s="77"/>
      <c r="HN189" s="77"/>
      <c r="HO189" s="77"/>
      <c r="HP189" s="77"/>
      <c r="HQ189" s="77"/>
      <c r="HR189" s="77"/>
      <c r="HS189" s="77"/>
      <c r="HT189" s="77"/>
      <c r="HU189" s="77"/>
      <c r="HV189" s="77"/>
      <c r="HW189" s="77"/>
      <c r="HX189" s="77"/>
      <c r="HY189" s="77"/>
      <c r="HZ189" s="77"/>
      <c r="IA189" s="77"/>
      <c r="IB189" s="77"/>
      <c r="IC189" s="77"/>
      <c r="IF189" s="77"/>
      <c r="IG189" s="77"/>
      <c r="IH189" s="77"/>
      <c r="II189" s="77"/>
      <c r="IJ189" s="77"/>
      <c r="IK189" s="77"/>
      <c r="IL189" s="77"/>
      <c r="IM189" s="77"/>
      <c r="IN189" s="77"/>
      <c r="IO189" s="77"/>
      <c r="IP189" s="77"/>
      <c r="IQ189" s="77"/>
      <c r="IR189" s="77"/>
      <c r="IS189" s="77"/>
      <c r="IT189" s="77"/>
      <c r="IU189" s="77"/>
      <c r="IV189" s="77"/>
      <c r="IW189" s="77"/>
      <c r="IX189" s="77"/>
      <c r="IY189" s="77"/>
      <c r="IZ189" s="77"/>
      <c r="JA189" s="77"/>
      <c r="JB189" s="77"/>
      <c r="JC189" s="77"/>
      <c r="JD189" s="77"/>
      <c r="JE189" s="77"/>
      <c r="JF189" s="77"/>
      <c r="JG189" s="77"/>
      <c r="JH189" s="77"/>
      <c r="JI189" s="77"/>
      <c r="JJ189" s="77"/>
      <c r="JK189" s="77"/>
      <c r="JL189" s="77"/>
      <c r="JM189" s="77"/>
      <c r="JN189" s="77"/>
      <c r="JO189" s="77"/>
      <c r="JP189" s="77"/>
      <c r="JQ189" s="77"/>
      <c r="JR189" s="77"/>
      <c r="JS189" s="77"/>
      <c r="JT189" s="77"/>
      <c r="JU189" s="77"/>
      <c r="JV189" s="77"/>
      <c r="JW189" s="77"/>
      <c r="JX189" s="77"/>
      <c r="KM189" s="77"/>
      <c r="KN189" s="77"/>
      <c r="KO189" s="77"/>
      <c r="KP189" s="77"/>
      <c r="KQ189" s="77"/>
      <c r="KR189" s="77"/>
      <c r="KS189" s="77"/>
      <c r="KT189" s="77"/>
      <c r="KU189" s="77"/>
      <c r="KV189" s="77"/>
      <c r="KW189" s="77"/>
      <c r="KX189" s="77"/>
      <c r="KY189" s="77"/>
      <c r="KZ189" s="77"/>
      <c r="LA189" s="77"/>
      <c r="LB189" s="77"/>
      <c r="LC189" s="77"/>
      <c r="LD189" s="77"/>
      <c r="LE189" s="77"/>
      <c r="LF189" s="77"/>
      <c r="LG189" s="77"/>
      <c r="LH189" s="77"/>
      <c r="LI189" s="77"/>
      <c r="LJ189" s="77"/>
      <c r="LK189" s="77"/>
      <c r="LL189" s="77"/>
      <c r="LM189" s="77"/>
      <c r="LN189" s="77"/>
      <c r="LO189" s="77"/>
      <c r="LP189" s="77"/>
      <c r="LQ189" s="77"/>
      <c r="LR189" s="77"/>
      <c r="LS189" s="77"/>
      <c r="LT189" s="77"/>
      <c r="LU189" s="77"/>
      <c r="LV189" s="77"/>
    </row>
    <row r="190" spans="1:421" ht="18.600000000000001" customHeight="1" x14ac:dyDescent="0.25">
      <c r="A190" s="119" t="s">
        <v>161</v>
      </c>
      <c r="B190" s="27" t="s">
        <v>1204</v>
      </c>
      <c r="C190" s="27" t="s">
        <v>4088</v>
      </c>
      <c r="D190" s="30" t="str">
        <f>HYPERLINK("https://twitter.com/MFAofArmenia","https://twitter.com/MFAofArmenia")</f>
        <v>https://twitter.com/MFAofArmenia</v>
      </c>
      <c r="E190" s="30" t="str">
        <f>HYPERLINK("http://twiplomacy.com/info/asia/Armenia","http://twiplomacy.com/info/asia/Armenia")</f>
        <v>http://twiplomacy.com/info/asia/Armenia</v>
      </c>
      <c r="F190" s="10" t="s">
        <v>154</v>
      </c>
      <c r="G190" s="10" t="s">
        <v>159</v>
      </c>
      <c r="H190" s="10" t="s">
        <v>795</v>
      </c>
      <c r="I190" s="10" t="s">
        <v>782</v>
      </c>
      <c r="J190" s="27" t="s">
        <v>789</v>
      </c>
      <c r="K190" s="15" t="s">
        <v>777</v>
      </c>
      <c r="L190" s="10" t="s">
        <v>771</v>
      </c>
      <c r="M190" s="10" t="s">
        <v>771</v>
      </c>
      <c r="N190" s="30" t="str">
        <f>HYPERLINK("https://twitter.com/MFAofArmenia/statuses/182418768885059584","https://twitter.com/MFAofArmenia/statuses/182418768885059584")</f>
        <v>https://twitter.com/MFAofArmenia/statuses/182418768885059584</v>
      </c>
      <c r="O190" s="27" t="s">
        <v>5946</v>
      </c>
      <c r="P190" s="80">
        <v>135</v>
      </c>
      <c r="Q190" s="80">
        <v>45</v>
      </c>
      <c r="R190" s="27" t="s">
        <v>2994</v>
      </c>
      <c r="S190" s="10" t="s">
        <v>1205</v>
      </c>
      <c r="T190" s="10" t="s">
        <v>771</v>
      </c>
      <c r="U190" s="10" t="s">
        <v>771</v>
      </c>
      <c r="V190" s="10" t="s">
        <v>771</v>
      </c>
      <c r="W190" s="10"/>
      <c r="X190" s="27" t="s">
        <v>161</v>
      </c>
      <c r="Y190" s="27" t="s">
        <v>1204</v>
      </c>
      <c r="Z190" s="80">
        <v>6081</v>
      </c>
      <c r="AA190" s="27">
        <v>229</v>
      </c>
      <c r="AB190" s="80">
        <v>6931</v>
      </c>
      <c r="AC190" s="27">
        <v>104</v>
      </c>
      <c r="AD190" s="27" t="s">
        <v>4089</v>
      </c>
      <c r="AE190" s="27">
        <v>532121906</v>
      </c>
      <c r="AF190" s="27" t="s">
        <v>4088</v>
      </c>
      <c r="AG190" s="27" t="s">
        <v>1209</v>
      </c>
      <c r="AH190" s="79">
        <v>4.0459081836327302</v>
      </c>
      <c r="AI190" s="83">
        <v>7.1743929359823397</v>
      </c>
      <c r="AJ190" s="80">
        <v>1.89803350327749</v>
      </c>
      <c r="AK190" s="80">
        <v>0.90786598689002196</v>
      </c>
      <c r="AL190" s="27">
        <v>68</v>
      </c>
      <c r="AM190" s="97">
        <f t="shared" si="2"/>
        <v>2.1250000000000002E-2</v>
      </c>
      <c r="AN190" s="27" t="s">
        <v>161</v>
      </c>
      <c r="AO190" s="27">
        <v>35</v>
      </c>
      <c r="AP190" s="27">
        <v>18</v>
      </c>
      <c r="AQ190" s="27">
        <v>50</v>
      </c>
      <c r="AR190" s="27">
        <f>SUM(AO190:AQ190)</f>
        <v>103</v>
      </c>
      <c r="AS190" s="27" t="s">
        <v>5308</v>
      </c>
      <c r="AT190" s="27" t="s">
        <v>6320</v>
      </c>
      <c r="AU190" s="84" t="s">
        <v>6508</v>
      </c>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c r="BZ190" s="77"/>
      <c r="CA190" s="77"/>
      <c r="CB190" s="77"/>
      <c r="CC190" s="77"/>
      <c r="CD190" s="77"/>
      <c r="CE190" s="77"/>
      <c r="CF190" s="77"/>
      <c r="CG190" s="77"/>
      <c r="CH190" s="77"/>
      <c r="CI190" s="77"/>
      <c r="CJ190" s="77"/>
      <c r="CK190" s="77"/>
      <c r="CL190" s="77"/>
      <c r="CM190" s="77"/>
      <c r="CN190" s="77"/>
      <c r="CO190" s="77"/>
      <c r="CP190" s="77"/>
      <c r="CQ190" s="77"/>
      <c r="CR190" s="77"/>
      <c r="CS190" s="77"/>
      <c r="CT190" s="77"/>
      <c r="CU190" s="77"/>
      <c r="CV190" s="77"/>
      <c r="CW190" s="77"/>
      <c r="CX190" s="77"/>
      <c r="CY190" s="77"/>
      <c r="CZ190" s="77"/>
      <c r="DA190" s="77"/>
      <c r="DB190" s="77"/>
      <c r="DC190" s="77"/>
      <c r="DD190" s="77"/>
      <c r="DE190" s="77"/>
      <c r="DF190" s="77"/>
      <c r="DG190" s="77"/>
      <c r="DH190" s="77"/>
      <c r="DI190" s="77"/>
      <c r="DJ190" s="77"/>
      <c r="DK190" s="77"/>
      <c r="DL190" s="77"/>
      <c r="DM190" s="77"/>
      <c r="DN190" s="77"/>
      <c r="DO190" s="77"/>
      <c r="DP190" s="77"/>
      <c r="DQ190" s="77"/>
      <c r="DR190" s="77"/>
      <c r="DS190" s="77"/>
      <c r="DT190" s="77"/>
      <c r="DU190" s="77"/>
      <c r="DV190" s="77"/>
      <c r="DW190" s="77"/>
      <c r="DX190" s="77"/>
      <c r="DY190" s="77"/>
      <c r="DZ190" s="77"/>
      <c r="EA190" s="77"/>
      <c r="EB190" s="77"/>
      <c r="EC190" s="77"/>
      <c r="ED190" s="77"/>
      <c r="EE190" s="77"/>
      <c r="EF190" s="77"/>
      <c r="EG190" s="77"/>
      <c r="EH190" s="77"/>
      <c r="EI190" s="77"/>
      <c r="EJ190" s="77"/>
      <c r="EK190" s="77"/>
      <c r="EL190" s="77"/>
      <c r="EQ190" s="77"/>
      <c r="ER190" s="77"/>
      <c r="ES190" s="77"/>
      <c r="ET190" s="77"/>
      <c r="EU190" s="77"/>
      <c r="EV190" s="77"/>
      <c r="EW190" s="77"/>
      <c r="EX190" s="77"/>
      <c r="EY190" s="77"/>
      <c r="EZ190" s="77"/>
      <c r="FA190" s="77"/>
      <c r="FB190" s="77"/>
      <c r="FC190" s="77"/>
      <c r="FD190" s="77"/>
      <c r="FE190" s="77"/>
      <c r="FF190" s="77"/>
      <c r="FG190" s="77"/>
      <c r="FH190" s="77"/>
      <c r="FI190" s="77"/>
      <c r="FJ190" s="77"/>
      <c r="FK190" s="77"/>
      <c r="FL190" s="77"/>
      <c r="FM190" s="77"/>
      <c r="FN190" s="77"/>
      <c r="FO190" s="77"/>
      <c r="FP190" s="77"/>
      <c r="FQ190" s="77"/>
      <c r="FR190" s="77"/>
      <c r="FS190" s="77"/>
      <c r="FT190" s="77"/>
      <c r="FU190" s="77"/>
      <c r="FV190" s="77"/>
      <c r="FW190" s="77"/>
      <c r="FX190" s="77"/>
      <c r="FY190" s="77"/>
      <c r="FZ190" s="77"/>
      <c r="GA190" s="77"/>
      <c r="GB190" s="77"/>
      <c r="GC190" s="77"/>
      <c r="GD190" s="77"/>
      <c r="GE190" s="77"/>
      <c r="GF190" s="77"/>
      <c r="GG190" s="77"/>
      <c r="GH190" s="77"/>
      <c r="GI190" s="77"/>
      <c r="GJ190" s="77"/>
      <c r="GK190" s="77"/>
      <c r="GL190" s="77"/>
      <c r="GM190" s="77"/>
      <c r="GN190" s="77"/>
      <c r="GO190" s="77"/>
      <c r="GP190" s="77"/>
      <c r="GQ190" s="77"/>
      <c r="GR190" s="77"/>
      <c r="GS190" s="77"/>
      <c r="GT190" s="77"/>
      <c r="GU190" s="77"/>
      <c r="GV190" s="77"/>
      <c r="GW190" s="77"/>
      <c r="GX190" s="77"/>
      <c r="GY190" s="77"/>
      <c r="GZ190" s="77"/>
      <c r="HA190" s="77"/>
      <c r="HB190" s="77"/>
      <c r="HC190" s="77"/>
      <c r="HD190" s="77"/>
      <c r="HE190" s="77"/>
      <c r="HF190" s="77"/>
      <c r="HG190" s="77"/>
      <c r="HH190" s="77"/>
      <c r="HI190" s="77"/>
      <c r="HJ190" s="77"/>
      <c r="HK190" s="77"/>
      <c r="HL190" s="77"/>
      <c r="HM190" s="77"/>
      <c r="HN190" s="77"/>
      <c r="HO190" s="77"/>
      <c r="HP190" s="77"/>
      <c r="HQ190" s="77"/>
      <c r="HR190" s="77"/>
      <c r="HS190" s="77"/>
      <c r="HT190" s="77"/>
      <c r="HU190" s="77"/>
      <c r="HV190" s="77"/>
      <c r="HW190" s="77"/>
      <c r="HX190" s="77"/>
      <c r="HY190" s="77"/>
      <c r="HZ190" s="77"/>
      <c r="IA190" s="77"/>
      <c r="IB190" s="77"/>
      <c r="IC190" s="77"/>
      <c r="ID190" s="77"/>
      <c r="IE190" s="77"/>
      <c r="IF190" s="16"/>
      <c r="IG190" s="16"/>
      <c r="IH190" s="16"/>
      <c r="II190" s="16"/>
      <c r="IJ190" s="16"/>
      <c r="IK190" s="16"/>
      <c r="IL190" s="16"/>
      <c r="IM190" s="16"/>
      <c r="IN190" s="16"/>
      <c r="IO190" s="16"/>
      <c r="IP190" s="16"/>
      <c r="IQ190" s="16"/>
      <c r="IR190" s="16"/>
      <c r="IS190" s="16"/>
      <c r="IT190" s="16"/>
      <c r="IU190" s="16"/>
      <c r="IV190" s="16"/>
      <c r="IW190" s="16"/>
      <c r="IX190" s="16"/>
      <c r="IY190" s="16"/>
      <c r="IZ190" s="16"/>
      <c r="JA190" s="16"/>
      <c r="JB190" s="16"/>
      <c r="JC190" s="16"/>
      <c r="JD190" s="16"/>
      <c r="JE190" s="16"/>
      <c r="JF190" s="16"/>
      <c r="JG190" s="16"/>
      <c r="JH190" s="16"/>
      <c r="JI190" s="16"/>
      <c r="JJ190" s="16"/>
      <c r="JK190" s="16"/>
      <c r="JL190" s="16"/>
      <c r="JM190" s="16"/>
      <c r="JN190" s="16"/>
      <c r="JO190" s="16"/>
      <c r="JP190" s="16"/>
      <c r="JQ190" s="16"/>
      <c r="JR190" s="16"/>
      <c r="JS190" s="16"/>
      <c r="JT190" s="16"/>
      <c r="JU190" s="16"/>
      <c r="JV190" s="16"/>
      <c r="JW190" s="16"/>
      <c r="JX190" s="16"/>
      <c r="JY190" s="77"/>
      <c r="JZ190" s="77"/>
      <c r="KA190" s="77"/>
      <c r="KB190" s="77"/>
      <c r="KC190" s="77"/>
      <c r="KD190" s="77"/>
      <c r="KE190" s="77"/>
      <c r="KF190" s="77"/>
      <c r="KG190" s="77"/>
      <c r="KH190" s="77"/>
      <c r="KI190" s="77"/>
      <c r="KJ190" s="77"/>
      <c r="KK190" s="77"/>
      <c r="KL190" s="77"/>
      <c r="ND190" s="77"/>
    </row>
    <row r="191" spans="1:421" ht="18.600000000000001" customHeight="1" x14ac:dyDescent="0.25">
      <c r="A191" s="119" t="s">
        <v>478</v>
      </c>
      <c r="B191" s="27" t="s">
        <v>2102</v>
      </c>
      <c r="C191" s="27" t="s">
        <v>6462</v>
      </c>
      <c r="D191" s="30" t="str">
        <f>HYPERLINK("https://twitter.com/Utenriksdept","https://twitter.com/Utenriksdept")</f>
        <v>https://twitter.com/Utenriksdept</v>
      </c>
      <c r="E191" s="30" t="str">
        <f>HYPERLINK("http://twiplomacy.com/info/europe/Norway","http://twiplomacy.com/info/europe/Norway")</f>
        <v>http://twiplomacy.com/info/europe/Norway</v>
      </c>
      <c r="F191" s="10" t="s">
        <v>332</v>
      </c>
      <c r="G191" s="10" t="s">
        <v>473</v>
      </c>
      <c r="H191" s="10" t="s">
        <v>795</v>
      </c>
      <c r="I191" s="10" t="s">
        <v>782</v>
      </c>
      <c r="J191" s="27" t="s">
        <v>789</v>
      </c>
      <c r="K191" s="15" t="s">
        <v>777</v>
      </c>
      <c r="L191" s="10" t="s">
        <v>771</v>
      </c>
      <c r="M191" s="10" t="s">
        <v>770</v>
      </c>
      <c r="N191" s="30" t="str">
        <f>HYPERLINK("https://twitter.com/Utenriksdept/statuses/6428202482","https://twitter.com/Utenriksdept/statuses/6428202482")</f>
        <v>https://twitter.com/Utenriksdept/statuses/6428202482</v>
      </c>
      <c r="O191" s="27" t="s">
        <v>6125</v>
      </c>
      <c r="P191" s="80">
        <v>294</v>
      </c>
      <c r="Q191" s="80">
        <v>122</v>
      </c>
      <c r="R191" s="27" t="s">
        <v>2994</v>
      </c>
      <c r="S191" s="30" t="str">
        <f>HYPERLINK("https://twitter.com/Utenriksdept/lists","https://twitter.com/Utenriksdept/lists")</f>
        <v>https://twitter.com/Utenriksdept/lists</v>
      </c>
      <c r="T191" s="10">
        <v>3</v>
      </c>
      <c r="U191" s="10" t="s">
        <v>771</v>
      </c>
      <c r="V191" s="30" t="s">
        <v>6882</v>
      </c>
      <c r="W191" s="10">
        <v>81</v>
      </c>
      <c r="X191" s="27" t="s">
        <v>478</v>
      </c>
      <c r="Y191" s="27" t="s">
        <v>2102</v>
      </c>
      <c r="Z191" s="80">
        <v>6080</v>
      </c>
      <c r="AA191" s="27">
        <v>564</v>
      </c>
      <c r="AB191" s="80">
        <v>26250</v>
      </c>
      <c r="AC191" s="27">
        <v>320</v>
      </c>
      <c r="AD191" s="27" t="s">
        <v>4572</v>
      </c>
      <c r="AE191" s="27">
        <v>74217252</v>
      </c>
      <c r="AF191" s="27" t="s">
        <v>6462</v>
      </c>
      <c r="AG191" s="27" t="s">
        <v>2092</v>
      </c>
      <c r="AH191" s="79">
        <v>2.5103220478943</v>
      </c>
      <c r="AI191" s="83">
        <v>2.4714946070878301</v>
      </c>
      <c r="AJ191" s="80">
        <v>3.43915703602991</v>
      </c>
      <c r="AK191" s="80">
        <v>1.9007477906186301</v>
      </c>
      <c r="AL191" s="96">
        <v>201</v>
      </c>
      <c r="AM191" s="97">
        <f t="shared" si="2"/>
        <v>6.2812499999999993E-2</v>
      </c>
      <c r="AN191" s="27" t="s">
        <v>478</v>
      </c>
      <c r="AO191" s="27">
        <v>53</v>
      </c>
      <c r="AP191" s="27">
        <v>14</v>
      </c>
      <c r="AQ191" s="27">
        <v>22</v>
      </c>
      <c r="AR191" s="27">
        <f>SUM(AO191:AQ191)</f>
        <v>89</v>
      </c>
      <c r="AS191" s="27" t="s">
        <v>5636</v>
      </c>
      <c r="AT191" s="27" t="s">
        <v>5551</v>
      </c>
      <c r="AU191" s="84" t="s">
        <v>4986</v>
      </c>
      <c r="AV191" s="77"/>
      <c r="AW191" s="77"/>
      <c r="AX191" s="77"/>
      <c r="AY191" s="77"/>
      <c r="AZ191" s="77"/>
      <c r="BA191" s="77"/>
      <c r="BB191" s="77"/>
      <c r="BC191" s="77"/>
      <c r="BD191" s="77"/>
      <c r="BE191" s="77"/>
      <c r="BF191" s="77"/>
      <c r="BG191" s="77"/>
      <c r="BH191" s="77"/>
      <c r="BI191" s="77"/>
      <c r="BJ191" s="77"/>
      <c r="BK191" s="77"/>
      <c r="BL191" s="77"/>
      <c r="BM191" s="77"/>
      <c r="CC191" s="77"/>
      <c r="CD191" s="77"/>
      <c r="CE191" s="77"/>
      <c r="CF191" s="77"/>
      <c r="CG191" s="77"/>
      <c r="CH191" s="77"/>
      <c r="CI191" s="77"/>
      <c r="CJ191" s="77"/>
      <c r="CK191" s="77"/>
      <c r="CL191" s="77"/>
      <c r="CM191" s="77"/>
      <c r="CN191" s="77"/>
      <c r="CO191" s="77"/>
      <c r="CP191" s="77"/>
      <c r="CQ191" s="77"/>
      <c r="CR191" s="77"/>
      <c r="CS191" s="77"/>
      <c r="CT191" s="77"/>
      <c r="CU191" s="77"/>
      <c r="CV191" s="77"/>
      <c r="CW191" s="77"/>
      <c r="CX191" s="77"/>
      <c r="CY191" s="77"/>
      <c r="CZ191" s="77"/>
      <c r="DA191" s="77"/>
      <c r="DB191" s="77"/>
      <c r="DC191" s="77"/>
      <c r="DD191" s="77"/>
      <c r="DE191" s="77"/>
      <c r="DF191" s="77"/>
      <c r="DG191" s="77"/>
      <c r="DH191" s="77"/>
      <c r="DI191" s="77"/>
      <c r="DJ191" s="77"/>
      <c r="DK191" s="77"/>
      <c r="DL191" s="77"/>
      <c r="DM191" s="77"/>
      <c r="DN191" s="77"/>
      <c r="DO191" s="77"/>
      <c r="DP191" s="77"/>
      <c r="DQ191" s="77"/>
      <c r="DR191" s="77"/>
      <c r="DS191" s="77"/>
      <c r="DT191" s="77"/>
      <c r="DU191" s="77"/>
      <c r="DV191" s="77"/>
      <c r="DW191" s="77"/>
      <c r="DX191" s="77"/>
      <c r="DY191" s="77"/>
      <c r="DZ191" s="77"/>
      <c r="EA191" s="77"/>
      <c r="EB191" s="77"/>
      <c r="EC191" s="77"/>
      <c r="ED191" s="77"/>
      <c r="EE191" s="77"/>
      <c r="EF191" s="77"/>
      <c r="EG191" s="77"/>
      <c r="EH191" s="77"/>
      <c r="EI191" s="77"/>
      <c r="EJ191" s="77"/>
      <c r="EK191" s="77"/>
      <c r="EL191" s="77"/>
      <c r="EM191" s="77"/>
      <c r="EN191" s="77"/>
      <c r="EO191" s="77"/>
      <c r="EP191" s="77"/>
      <c r="EQ191" s="77"/>
      <c r="ER191" s="77"/>
      <c r="ES191" s="77"/>
      <c r="ET191" s="77"/>
      <c r="EU191" s="77"/>
      <c r="EV191" s="77"/>
      <c r="EW191" s="77"/>
      <c r="EX191" s="77"/>
      <c r="EY191" s="77"/>
      <c r="EZ191" s="77"/>
      <c r="FA191" s="77"/>
      <c r="FB191" s="77"/>
      <c r="FC191" s="77"/>
      <c r="FD191" s="77"/>
      <c r="FE191" s="77"/>
      <c r="FF191" s="77"/>
      <c r="FG191" s="77"/>
      <c r="FH191" s="77"/>
      <c r="FI191" s="77"/>
      <c r="FJ191" s="77"/>
      <c r="FK191" s="77"/>
      <c r="FL191" s="77"/>
      <c r="FM191" s="77"/>
      <c r="FN191" s="77"/>
      <c r="FO191" s="77"/>
      <c r="FP191" s="77"/>
      <c r="FQ191" s="77"/>
      <c r="FR191" s="77"/>
      <c r="FS191" s="77"/>
      <c r="FT191" s="77"/>
      <c r="FU191" s="77"/>
      <c r="FV191" s="77"/>
      <c r="FW191" s="77"/>
      <c r="FX191" s="77"/>
      <c r="FY191" s="77"/>
      <c r="FZ191" s="77"/>
      <c r="GA191" s="77"/>
      <c r="GB191" s="77"/>
      <c r="GC191" s="77"/>
      <c r="GD191" s="77"/>
      <c r="GE191" s="77"/>
      <c r="GF191" s="77"/>
      <c r="GG191" s="77"/>
      <c r="GH191" s="77"/>
      <c r="GI191" s="77"/>
      <c r="GJ191" s="77"/>
      <c r="GK191" s="77"/>
      <c r="HL191" s="77"/>
      <c r="HM191" s="77"/>
      <c r="HN191" s="77"/>
      <c r="HO191" s="77"/>
      <c r="HP191" s="77"/>
      <c r="HQ191" s="77"/>
      <c r="HR191" s="77"/>
      <c r="HS191" s="77"/>
      <c r="HT191" s="77"/>
      <c r="HU191" s="77"/>
      <c r="HV191" s="77"/>
      <c r="HW191" s="77"/>
      <c r="HX191" s="77"/>
      <c r="HY191" s="77"/>
      <c r="HZ191" s="77"/>
      <c r="IA191" s="77"/>
      <c r="IB191" s="77"/>
      <c r="IC191" s="77"/>
      <c r="IF191" s="77"/>
      <c r="IG191" s="77"/>
      <c r="IH191" s="77"/>
      <c r="II191" s="77"/>
      <c r="IJ191" s="77"/>
      <c r="IK191" s="77"/>
      <c r="IL191" s="77"/>
      <c r="IM191" s="77"/>
      <c r="IN191" s="77"/>
      <c r="IO191" s="77"/>
      <c r="IP191" s="77"/>
      <c r="IQ191" s="77"/>
      <c r="IR191" s="77"/>
      <c r="IS191" s="77"/>
      <c r="IT191" s="77"/>
      <c r="IU191" s="77"/>
      <c r="IV191" s="77"/>
      <c r="IW191" s="77"/>
      <c r="IX191" s="77"/>
      <c r="IY191" s="77"/>
      <c r="IZ191" s="77"/>
      <c r="JA191" s="77"/>
      <c r="JB191" s="77"/>
      <c r="JC191" s="77"/>
      <c r="JD191" s="77"/>
      <c r="JE191" s="77"/>
      <c r="JF191" s="77"/>
      <c r="JG191" s="77"/>
      <c r="JH191" s="77"/>
      <c r="JI191" s="77"/>
      <c r="JJ191" s="77"/>
      <c r="JK191" s="77"/>
      <c r="JL191" s="77"/>
      <c r="JM191" s="77"/>
      <c r="JN191" s="77"/>
      <c r="JO191" s="77"/>
      <c r="JP191" s="77"/>
      <c r="JQ191" s="77"/>
      <c r="JR191" s="77"/>
      <c r="JS191" s="77"/>
      <c r="JT191" s="77"/>
      <c r="JU191" s="77"/>
      <c r="JV191" s="77"/>
      <c r="JW191" s="77"/>
      <c r="JX191" s="77"/>
      <c r="JY191" s="77"/>
      <c r="JZ191" s="77"/>
      <c r="KA191" s="77"/>
      <c r="KB191" s="77"/>
      <c r="KC191" s="77"/>
      <c r="KD191" s="77"/>
      <c r="KE191" s="77"/>
      <c r="KF191" s="77"/>
      <c r="KG191" s="77"/>
      <c r="KH191" s="77"/>
      <c r="KI191" s="77"/>
      <c r="KJ191" s="77"/>
      <c r="KK191" s="77"/>
      <c r="KL191" s="77"/>
      <c r="KM191" s="77"/>
      <c r="KN191" s="77"/>
      <c r="KO191" s="77"/>
      <c r="KP191" s="77"/>
      <c r="KQ191" s="77"/>
      <c r="KR191" s="77"/>
      <c r="KS191" s="77"/>
      <c r="KT191" s="77"/>
      <c r="KU191" s="77"/>
      <c r="KV191" s="77"/>
      <c r="KW191" s="77"/>
      <c r="KX191" s="77"/>
      <c r="KY191" s="77"/>
      <c r="KZ191" s="77"/>
      <c r="LA191" s="77"/>
      <c r="LB191" s="77"/>
      <c r="LC191" s="77"/>
      <c r="LD191" s="77"/>
      <c r="LE191" s="77"/>
      <c r="LF191" s="77"/>
      <c r="LG191" s="77"/>
      <c r="LH191" s="77"/>
      <c r="LI191" s="77"/>
      <c r="LJ191" s="77"/>
      <c r="LK191" s="77"/>
      <c r="LL191" s="77"/>
      <c r="LM191" s="77"/>
      <c r="LN191" s="77"/>
      <c r="LO191" s="77"/>
      <c r="LP191" s="77"/>
      <c r="LQ191" s="77"/>
      <c r="LR191" s="77"/>
      <c r="LS191" s="77"/>
      <c r="LT191" s="77"/>
      <c r="LU191" s="77"/>
      <c r="LV191" s="77"/>
      <c r="ND191" s="16"/>
    </row>
    <row r="192" spans="1:421" ht="18.600000000000001" customHeight="1" x14ac:dyDescent="0.25">
      <c r="A192" s="119" t="s">
        <v>2210</v>
      </c>
      <c r="B192" s="27" t="s">
        <v>2211</v>
      </c>
      <c r="C192" s="27" t="s">
        <v>2212</v>
      </c>
      <c r="D192" s="30" t="str">
        <f>HYPERLINK("https://twitter.com/vladaRS","https://twitter.com/vladaRS")</f>
        <v>https://twitter.com/vladaRS</v>
      </c>
      <c r="E192" s="30" t="str">
        <f>HYPERLINK("http://twiplomacy.com/info/europe/Slovenia","http://twiplomacy.com/info/europe/Slovenia")</f>
        <v>http://twiplomacy.com/info/europe/Slovenia</v>
      </c>
      <c r="F192" s="10" t="s">
        <v>332</v>
      </c>
      <c r="G192" s="10" t="s">
        <v>518</v>
      </c>
      <c r="H192" s="10" t="s">
        <v>788</v>
      </c>
      <c r="I192" s="10" t="s">
        <v>782</v>
      </c>
      <c r="J192" s="27" t="s">
        <v>789</v>
      </c>
      <c r="K192" s="15" t="s">
        <v>777</v>
      </c>
      <c r="L192" s="10" t="s">
        <v>771</v>
      </c>
      <c r="M192" s="10" t="s">
        <v>771</v>
      </c>
      <c r="N192" s="30" t="str">
        <f>HYPERLINK("https://twitter.com/vladaRS/statuses/2129212668","https://twitter.com/vladaRS/statuses/2129212668")</f>
        <v>https://twitter.com/vladaRS/statuses/2129212668</v>
      </c>
      <c r="O192" s="27" t="s">
        <v>6131</v>
      </c>
      <c r="P192" s="80">
        <v>61</v>
      </c>
      <c r="Q192" s="80">
        <v>13</v>
      </c>
      <c r="R192" s="27" t="s">
        <v>2994</v>
      </c>
      <c r="S192" s="10" t="s">
        <v>2213</v>
      </c>
      <c r="T192" s="10" t="s">
        <v>771</v>
      </c>
      <c r="U192" s="10" t="s">
        <v>771</v>
      </c>
      <c r="V192" s="10" t="s">
        <v>771</v>
      </c>
      <c r="W192" s="10"/>
      <c r="X192" s="27" t="s">
        <v>2210</v>
      </c>
      <c r="Y192" s="27" t="s">
        <v>2211</v>
      </c>
      <c r="Z192" s="80">
        <v>5941</v>
      </c>
      <c r="AA192" s="27">
        <v>10225</v>
      </c>
      <c r="AB192" s="80">
        <v>40958</v>
      </c>
      <c r="AC192" s="27">
        <v>228</v>
      </c>
      <c r="AD192" s="27" t="s">
        <v>4590</v>
      </c>
      <c r="AE192" s="27">
        <v>46612022</v>
      </c>
      <c r="AF192" s="27" t="s">
        <v>2212</v>
      </c>
      <c r="AG192" s="27" t="s">
        <v>2214</v>
      </c>
      <c r="AH192" s="79">
        <v>2.3604928457869598</v>
      </c>
      <c r="AI192" s="83">
        <v>4.5569620253164604</v>
      </c>
      <c r="AJ192" s="80">
        <v>1.32832729155878</v>
      </c>
      <c r="AK192" s="80">
        <v>1.1729673744174001</v>
      </c>
      <c r="AL192" s="96">
        <v>796</v>
      </c>
      <c r="AM192" s="97">
        <f t="shared" si="2"/>
        <v>0.24875</v>
      </c>
      <c r="AN192" s="27" t="s">
        <v>2210</v>
      </c>
      <c r="AO192" s="27">
        <v>23</v>
      </c>
      <c r="AP192" s="27">
        <v>6</v>
      </c>
      <c r="AQ192" s="27">
        <v>19</v>
      </c>
      <c r="AR192" s="27">
        <f>SUM(AO192:AQ192)</f>
        <v>48</v>
      </c>
      <c r="AS192" s="27" t="s">
        <v>5560</v>
      </c>
      <c r="AT192" s="27" t="s">
        <v>5561</v>
      </c>
      <c r="AU192" s="84" t="s">
        <v>4991</v>
      </c>
      <c r="AV192" s="77"/>
      <c r="AW192" s="77"/>
      <c r="AX192" s="77"/>
      <c r="AY192" s="77"/>
      <c r="AZ192" s="77"/>
      <c r="BA192" s="77"/>
      <c r="BB192" s="77"/>
      <c r="BC192" s="77"/>
      <c r="BD192" s="77"/>
      <c r="BE192" s="77"/>
      <c r="BF192" s="77"/>
      <c r="BG192" s="77"/>
      <c r="BH192" s="77"/>
      <c r="BI192" s="77"/>
      <c r="BJ192" s="77"/>
      <c r="BK192" s="77"/>
      <c r="BL192" s="77"/>
      <c r="BM192" s="77"/>
      <c r="BN192" s="77"/>
      <c r="BO192" s="77"/>
      <c r="BP192" s="77"/>
      <c r="BQ192" s="77"/>
      <c r="BR192" s="77"/>
      <c r="BS192" s="77"/>
      <c r="BT192" s="77"/>
      <c r="BU192" s="77"/>
      <c r="BV192" s="77"/>
      <c r="BW192" s="77"/>
      <c r="BX192" s="77"/>
      <c r="BY192" s="77"/>
      <c r="BZ192" s="77"/>
      <c r="CA192" s="77"/>
      <c r="CB192" s="77"/>
      <c r="CK192" s="77"/>
      <c r="CL192" s="77"/>
      <c r="CM192" s="77"/>
      <c r="CN192" s="77"/>
      <c r="CO192" s="77"/>
      <c r="CP192" s="77"/>
      <c r="CQ192" s="77"/>
      <c r="CR192" s="77"/>
      <c r="CS192" s="77"/>
      <c r="CT192" s="77"/>
      <c r="CU192" s="77"/>
      <c r="CV192" s="77"/>
      <c r="CW192" s="77"/>
      <c r="CX192" s="77"/>
      <c r="CY192" s="77"/>
      <c r="CZ192" s="77"/>
      <c r="DA192" s="77"/>
      <c r="DB192" s="77"/>
      <c r="DC192" s="77"/>
      <c r="DD192" s="77"/>
      <c r="DE192" s="77"/>
      <c r="DF192" s="77"/>
      <c r="DG192" s="77"/>
      <c r="DH192" s="77"/>
      <c r="DI192" s="77"/>
      <c r="DJ192" s="77"/>
      <c r="DK192" s="77"/>
      <c r="DL192" s="77"/>
      <c r="DM192" s="77"/>
      <c r="DN192" s="77"/>
      <c r="DO192" s="77"/>
      <c r="DP192" s="77"/>
      <c r="DQ192" s="77"/>
      <c r="DR192" s="77"/>
      <c r="DS192" s="77"/>
      <c r="DT192" s="77"/>
      <c r="DU192" s="77"/>
      <c r="DV192" s="77"/>
      <c r="DW192" s="77"/>
      <c r="DX192" s="77"/>
      <c r="DY192" s="77"/>
      <c r="DZ192" s="77"/>
      <c r="EA192" s="77"/>
      <c r="EB192" s="77"/>
      <c r="EC192" s="77"/>
      <c r="ED192" s="77"/>
      <c r="EE192" s="77"/>
      <c r="EF192" s="77"/>
      <c r="EG192" s="77"/>
      <c r="EH192" s="77"/>
      <c r="EI192" s="77"/>
      <c r="EJ192" s="77"/>
      <c r="EK192" s="77"/>
      <c r="EL192" s="77"/>
      <c r="EM192" s="77"/>
      <c r="EN192" s="77"/>
      <c r="EO192" s="77"/>
      <c r="EP192" s="77"/>
      <c r="EQ192" s="77"/>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77"/>
      <c r="GM192" s="77"/>
      <c r="GN192" s="77"/>
      <c r="GO192" s="77"/>
      <c r="GP192" s="77"/>
      <c r="GQ192" s="77"/>
      <c r="GR192" s="77"/>
      <c r="GS192" s="77"/>
      <c r="GT192" s="77"/>
      <c r="GU192" s="77"/>
      <c r="GV192" s="77"/>
      <c r="GW192" s="77"/>
      <c r="GX192" s="77"/>
      <c r="GY192" s="77"/>
      <c r="GZ192" s="77"/>
      <c r="HA192" s="77"/>
      <c r="HB192" s="77"/>
      <c r="HC192" s="77"/>
      <c r="HD192" s="77"/>
      <c r="HE192" s="77"/>
      <c r="HF192" s="77"/>
      <c r="HG192" s="77"/>
      <c r="HH192" s="77"/>
      <c r="HI192" s="77"/>
      <c r="HJ192" s="77"/>
      <c r="HK192" s="77"/>
      <c r="HL192" s="77"/>
      <c r="HM192" s="77"/>
      <c r="HN192" s="77"/>
      <c r="HO192" s="77"/>
      <c r="HP192" s="77"/>
      <c r="HQ192" s="77"/>
      <c r="HR192" s="77"/>
      <c r="HS192" s="77"/>
      <c r="HT192" s="77"/>
      <c r="HU192" s="77"/>
      <c r="HV192" s="77"/>
      <c r="HW192" s="77"/>
      <c r="HX192" s="77"/>
      <c r="HY192" s="77"/>
      <c r="HZ192" s="77"/>
      <c r="IA192" s="77"/>
      <c r="IB192" s="77"/>
      <c r="IC192" s="77"/>
      <c r="ID192" s="77"/>
      <c r="IE192" s="77"/>
      <c r="IF192" s="77"/>
      <c r="IG192" s="77"/>
      <c r="IH192" s="77"/>
      <c r="II192" s="77"/>
      <c r="IJ192" s="77"/>
      <c r="IK192" s="77"/>
      <c r="IL192" s="77"/>
      <c r="IM192" s="77"/>
      <c r="IN192" s="77"/>
      <c r="IO192" s="77"/>
      <c r="IP192" s="77"/>
      <c r="IQ192" s="77"/>
      <c r="IR192" s="77"/>
      <c r="IS192" s="77"/>
      <c r="IT192" s="77"/>
      <c r="IU192" s="77"/>
      <c r="IV192" s="77"/>
      <c r="IW192" s="77"/>
      <c r="IX192" s="77"/>
      <c r="IY192" s="77"/>
      <c r="IZ192" s="77"/>
      <c r="JA192" s="77"/>
      <c r="JB192" s="77"/>
      <c r="JC192" s="77"/>
      <c r="JD192" s="77"/>
      <c r="JE192" s="77"/>
      <c r="JF192" s="77"/>
      <c r="JG192" s="77"/>
      <c r="JH192" s="77"/>
      <c r="JI192" s="77"/>
      <c r="JJ192" s="77"/>
      <c r="JK192" s="77"/>
      <c r="JL192" s="77"/>
      <c r="JM192" s="77"/>
      <c r="JN192" s="77"/>
      <c r="JO192" s="77"/>
      <c r="JP192" s="77"/>
      <c r="JQ192" s="77"/>
      <c r="JR192" s="77"/>
      <c r="JS192" s="77"/>
      <c r="JT192" s="77"/>
      <c r="JU192" s="77"/>
      <c r="JV192" s="77"/>
      <c r="JW192" s="77"/>
      <c r="JX192" s="77"/>
      <c r="LW192" s="77"/>
      <c r="LX192" s="77"/>
    </row>
    <row r="193" spans="1:421" ht="18.600000000000001" customHeight="1" x14ac:dyDescent="0.25">
      <c r="A193" s="119" t="s">
        <v>498</v>
      </c>
      <c r="B193" s="27" t="s">
        <v>2140</v>
      </c>
      <c r="C193" s="27" t="s">
        <v>2141</v>
      </c>
      <c r="D193" s="30" t="str">
        <f>HYPERLINK("https://twitter.com/KremlinRussia","https://twitter.com/KremlinRussia")</f>
        <v>https://twitter.com/KremlinRussia</v>
      </c>
      <c r="E193" s="30" t="str">
        <f>HYPERLINK("http://twiplomacy.com/info/europe/Russia","http://twiplomacy.com/info/europe/Russia")</f>
        <v>http://twiplomacy.com/info/europe/Russia</v>
      </c>
      <c r="F193" s="10" t="s">
        <v>332</v>
      </c>
      <c r="G193" s="10" t="s">
        <v>496</v>
      </c>
      <c r="H193" s="10" t="s">
        <v>781</v>
      </c>
      <c r="I193" s="10" t="s">
        <v>782</v>
      </c>
      <c r="J193" s="27" t="s">
        <v>789</v>
      </c>
      <c r="K193" s="15" t="s">
        <v>777</v>
      </c>
      <c r="L193" s="10" t="s">
        <v>771</v>
      </c>
      <c r="M193" s="10" t="s">
        <v>771</v>
      </c>
      <c r="N193" s="30" t="str">
        <f>HYPERLINK("https://twitter.com/KremlinRussia/statuses/9172727923478529","https://twitter.com/KremlinRussia/statuses/9172727923478529")</f>
        <v>https://twitter.com/KremlinRussia/statuses/9172727923478529</v>
      </c>
      <c r="O193" s="27" t="s">
        <v>5905</v>
      </c>
      <c r="P193" s="80">
        <v>977</v>
      </c>
      <c r="Q193" s="80">
        <v>1127</v>
      </c>
      <c r="R193" s="27" t="s">
        <v>2994</v>
      </c>
      <c r="S193" s="10" t="s">
        <v>2142</v>
      </c>
      <c r="T193" s="10" t="s">
        <v>771</v>
      </c>
      <c r="U193" s="10" t="s">
        <v>771</v>
      </c>
      <c r="V193" s="10" t="s">
        <v>771</v>
      </c>
      <c r="W193" s="10"/>
      <c r="X193" s="27" t="s">
        <v>498</v>
      </c>
      <c r="Y193" s="27" t="s">
        <v>2140</v>
      </c>
      <c r="Z193" s="80">
        <v>5931</v>
      </c>
      <c r="AA193" s="27">
        <v>32</v>
      </c>
      <c r="AB193" s="80">
        <v>3187828</v>
      </c>
      <c r="AC193" s="27">
        <v>0</v>
      </c>
      <c r="AD193" s="27" t="s">
        <v>3950</v>
      </c>
      <c r="AE193" s="27">
        <v>158650448</v>
      </c>
      <c r="AF193" s="27" t="s">
        <v>2141</v>
      </c>
      <c r="AG193" s="27" t="s">
        <v>2143</v>
      </c>
      <c r="AH193" s="79">
        <v>2.7714953271028002</v>
      </c>
      <c r="AI193" s="83">
        <v>2.9184043517679101</v>
      </c>
      <c r="AJ193" s="80">
        <v>82.696723868954805</v>
      </c>
      <c r="AK193" s="80">
        <v>48.9301092043682</v>
      </c>
      <c r="AL193" s="13">
        <v>0</v>
      </c>
      <c r="AM193" s="97">
        <f t="shared" si="2"/>
        <v>0</v>
      </c>
      <c r="AN193" s="27" t="s">
        <v>498</v>
      </c>
      <c r="AO193" s="27">
        <v>2</v>
      </c>
      <c r="AP193" s="27">
        <v>19</v>
      </c>
      <c r="AQ193" s="27">
        <v>5</v>
      </c>
      <c r="AR193" s="27">
        <f>SUM(AO193:AQ193)</f>
        <v>26</v>
      </c>
      <c r="AS193" s="27" t="s">
        <v>5243</v>
      </c>
      <c r="AT193" s="27" t="s">
        <v>5244</v>
      </c>
      <c r="AU193" s="84" t="s">
        <v>4799</v>
      </c>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c r="BZ193" s="77"/>
      <c r="CA193" s="77"/>
      <c r="CB193" s="77"/>
      <c r="CC193" s="77"/>
      <c r="CD193" s="77"/>
      <c r="CE193" s="77"/>
      <c r="CF193" s="77"/>
      <c r="CG193" s="77"/>
      <c r="CH193" s="77"/>
      <c r="CI193" s="77"/>
      <c r="CJ193" s="77"/>
      <c r="CK193" s="77"/>
      <c r="CL193" s="77"/>
      <c r="CM193" s="77"/>
      <c r="CN193" s="77"/>
      <c r="CO193" s="77"/>
      <c r="CP193" s="77"/>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DX193" s="77"/>
      <c r="DY193" s="77"/>
      <c r="DZ193" s="77"/>
      <c r="EA193" s="77"/>
      <c r="EB193" s="77"/>
      <c r="EC193" s="77"/>
      <c r="ED193" s="77"/>
      <c r="EE193" s="77"/>
      <c r="EF193" s="77"/>
      <c r="EG193" s="77"/>
      <c r="EH193" s="77"/>
      <c r="EI193" s="77"/>
      <c r="EJ193" s="77"/>
      <c r="EK193" s="77"/>
      <c r="EL193" s="77"/>
      <c r="EM193" s="77"/>
      <c r="EN193" s="77"/>
      <c r="EO193" s="77"/>
      <c r="EQ193" s="77"/>
      <c r="ER193" s="77"/>
      <c r="ES193" s="77"/>
      <c r="ET193" s="77"/>
      <c r="EU193" s="77"/>
      <c r="EV193" s="77"/>
      <c r="EW193" s="77"/>
      <c r="EX193" s="77"/>
      <c r="EY193" s="77"/>
      <c r="EZ193" s="77"/>
      <c r="FA193" s="77"/>
      <c r="FB193" s="77"/>
      <c r="FC193" s="77"/>
      <c r="FD193" s="77"/>
      <c r="FE193" s="77"/>
      <c r="FF193" s="77"/>
      <c r="FG193" s="77"/>
      <c r="FH193" s="77"/>
      <c r="FI193" s="77"/>
      <c r="FJ193" s="77"/>
      <c r="FK193" s="77"/>
      <c r="FL193" s="77"/>
      <c r="FM193" s="77"/>
      <c r="FN193" s="77"/>
      <c r="FO193" s="77"/>
      <c r="FP193" s="77"/>
      <c r="FQ193" s="77"/>
      <c r="FR193" s="77"/>
      <c r="FS193" s="77"/>
      <c r="FT193" s="77"/>
      <c r="FU193" s="77"/>
      <c r="FV193" s="77"/>
      <c r="FW193" s="77"/>
      <c r="FX193" s="77"/>
      <c r="FY193" s="77"/>
      <c r="FZ193" s="77"/>
      <c r="GA193" s="77"/>
      <c r="GB193" s="77"/>
      <c r="GC193" s="77"/>
      <c r="GD193" s="77"/>
      <c r="GE193" s="77"/>
      <c r="GF193" s="77"/>
      <c r="GG193" s="77"/>
      <c r="GH193" s="77"/>
      <c r="GI193" s="77"/>
      <c r="GJ193" s="77"/>
      <c r="GK193" s="77"/>
      <c r="GL193" s="77"/>
      <c r="GM193" s="77"/>
      <c r="GN193" s="77"/>
      <c r="GO193" s="77"/>
      <c r="GP193" s="77"/>
      <c r="GQ193" s="77"/>
      <c r="GR193" s="77"/>
      <c r="GS193" s="77"/>
      <c r="GT193" s="77"/>
      <c r="GU193" s="77"/>
      <c r="GV193" s="77"/>
      <c r="GW193" s="77"/>
      <c r="GX193" s="77"/>
      <c r="GY193" s="77"/>
      <c r="GZ193" s="77"/>
      <c r="HA193" s="77"/>
      <c r="HB193" s="77"/>
      <c r="HC193" s="77"/>
      <c r="HD193" s="77"/>
      <c r="HE193" s="77"/>
      <c r="HF193" s="77"/>
      <c r="HG193" s="77"/>
      <c r="HH193" s="77"/>
      <c r="HI193" s="77"/>
      <c r="HJ193" s="77"/>
      <c r="HK193" s="77"/>
      <c r="HL193" s="77"/>
      <c r="HM193" s="77"/>
      <c r="HN193" s="77"/>
      <c r="HO193" s="77"/>
      <c r="HP193" s="77"/>
      <c r="HQ193" s="77"/>
      <c r="HR193" s="77"/>
      <c r="HS193" s="77"/>
      <c r="HT193" s="77"/>
      <c r="HU193" s="77"/>
      <c r="HV193" s="77"/>
      <c r="HW193" s="77"/>
      <c r="HX193" s="77"/>
      <c r="HY193" s="77"/>
      <c r="HZ193" s="77"/>
      <c r="IA193" s="77"/>
      <c r="IB193" s="77"/>
      <c r="IC193" s="77"/>
      <c r="ID193" s="77"/>
      <c r="IE193" s="77"/>
      <c r="IF193" s="77"/>
      <c r="IG193" s="77"/>
      <c r="IH193" s="77"/>
      <c r="II193" s="77"/>
      <c r="IJ193" s="77"/>
      <c r="IK193" s="77"/>
      <c r="IL193" s="77"/>
      <c r="IM193" s="77"/>
      <c r="IN193" s="77"/>
      <c r="IO193" s="77"/>
      <c r="IP193" s="77"/>
      <c r="IQ193" s="77"/>
      <c r="IR193" s="77"/>
      <c r="IS193" s="77"/>
      <c r="IT193" s="77"/>
      <c r="IU193" s="77"/>
      <c r="IV193" s="77"/>
      <c r="IW193" s="77"/>
      <c r="IX193" s="77"/>
      <c r="IY193" s="77"/>
      <c r="IZ193" s="77"/>
      <c r="JA193" s="77"/>
      <c r="JB193" s="77"/>
      <c r="JC193" s="77"/>
      <c r="JD193" s="77"/>
      <c r="JE193" s="77"/>
      <c r="JF193" s="77"/>
      <c r="JG193" s="77"/>
      <c r="JH193" s="77"/>
      <c r="JI193" s="77"/>
      <c r="JJ193" s="77"/>
      <c r="JK193" s="77"/>
      <c r="JL193" s="77"/>
      <c r="JM193" s="77"/>
      <c r="JN193" s="77"/>
      <c r="JO193" s="77"/>
      <c r="JP193" s="77"/>
      <c r="JQ193" s="77"/>
      <c r="JR193" s="77"/>
      <c r="JS193" s="77"/>
      <c r="JT193" s="77"/>
      <c r="JU193" s="77"/>
      <c r="JV193" s="77"/>
      <c r="JW193" s="77"/>
      <c r="JX193" s="77"/>
      <c r="JY193" s="77"/>
      <c r="JZ193" s="77"/>
      <c r="KA193" s="77"/>
      <c r="KB193" s="77"/>
      <c r="KC193" s="77"/>
      <c r="KD193" s="77"/>
      <c r="KE193" s="77"/>
      <c r="KF193" s="77"/>
      <c r="KG193" s="77"/>
      <c r="KH193" s="77"/>
      <c r="KI193" s="77"/>
      <c r="KJ193" s="77"/>
      <c r="KK193" s="77"/>
      <c r="KL193" s="77"/>
      <c r="KM193" s="77"/>
      <c r="KN193" s="77"/>
      <c r="KO193" s="77"/>
      <c r="KP193" s="77"/>
      <c r="KQ193" s="77"/>
      <c r="KR193" s="77"/>
      <c r="KS193" s="77"/>
      <c r="KT193" s="77"/>
      <c r="KU193" s="77"/>
      <c r="KV193" s="77"/>
      <c r="KW193" s="77"/>
      <c r="KX193" s="77"/>
      <c r="KY193" s="77"/>
      <c r="KZ193" s="77"/>
      <c r="LA193" s="77"/>
      <c r="LB193" s="77"/>
      <c r="LC193" s="77"/>
      <c r="LD193" s="77"/>
      <c r="LE193" s="77"/>
      <c r="LF193" s="77"/>
      <c r="LG193" s="77"/>
      <c r="LH193" s="77"/>
      <c r="LI193" s="77"/>
      <c r="LJ193" s="77"/>
      <c r="LK193" s="77"/>
      <c r="LL193" s="77"/>
      <c r="LM193" s="77"/>
      <c r="LN193" s="77"/>
      <c r="LO193" s="77"/>
      <c r="LP193" s="77"/>
      <c r="LQ193" s="77"/>
      <c r="LR193" s="77"/>
      <c r="LS193" s="77"/>
      <c r="LT193" s="77"/>
      <c r="LU193" s="77"/>
      <c r="LV193" s="77"/>
      <c r="LW193" s="77"/>
      <c r="LX193" s="77"/>
      <c r="MT193" s="77"/>
      <c r="MU193" s="77"/>
      <c r="MV193" s="77"/>
      <c r="MW193" s="77"/>
      <c r="MX193" s="77"/>
      <c r="MY193" s="77"/>
      <c r="MZ193" s="77"/>
      <c r="NA193" s="77"/>
      <c r="NB193" s="77"/>
      <c r="NC193" s="77"/>
    </row>
    <row r="194" spans="1:421" ht="18.600000000000001" customHeight="1" x14ac:dyDescent="0.25">
      <c r="A194" s="119" t="s">
        <v>315</v>
      </c>
      <c r="B194" s="27" t="s">
        <v>1660</v>
      </c>
      <c r="C194" s="27" t="s">
        <v>1661</v>
      </c>
      <c r="D194" s="30" t="str">
        <f>HYPERLINK("https://twitter.com/MFAThai","https://twitter.com/MFAThai")</f>
        <v>https://twitter.com/MFAThai</v>
      </c>
      <c r="E194" s="30" t="str">
        <f>HYPERLINK("http://twiplomacy.com/info/asia/Thailand","http://twiplomacy.com/info/asia/Thailand")</f>
        <v>http://twiplomacy.com/info/asia/Thailand</v>
      </c>
      <c r="F194" s="10" t="s">
        <v>154</v>
      </c>
      <c r="G194" s="10" t="s">
        <v>313</v>
      </c>
      <c r="H194" s="10" t="s">
        <v>795</v>
      </c>
      <c r="I194" s="10" t="s">
        <v>782</v>
      </c>
      <c r="J194" s="27" t="s">
        <v>789</v>
      </c>
      <c r="K194" s="15" t="s">
        <v>777</v>
      </c>
      <c r="L194" s="10" t="s">
        <v>771</v>
      </c>
      <c r="M194" s="10" t="s">
        <v>770</v>
      </c>
      <c r="N194" s="30" t="str">
        <f>HYPERLINK("https://twitter.com/MFAThai_PR_TH/statuses/12634350859","https://twitter.com/MFAThai_PR_TH/statuses/12634350859")</f>
        <v>https://twitter.com/MFAThai_PR_TH/statuses/12634350859</v>
      </c>
      <c r="O194" s="27" t="s">
        <v>5950</v>
      </c>
      <c r="P194" s="80">
        <v>1747</v>
      </c>
      <c r="Q194" s="80">
        <v>208</v>
      </c>
      <c r="R194" s="27" t="s">
        <v>2995</v>
      </c>
      <c r="S194" s="12" t="str">
        <f>HYPERLINK("https://twitter.com/MFAThai/lists","https://twitter.com/MFAThai/lists")</f>
        <v>https://twitter.com/MFAThai/lists</v>
      </c>
      <c r="T194" s="10" t="s">
        <v>771</v>
      </c>
      <c r="U194" s="10">
        <v>10</v>
      </c>
      <c r="V194" s="14" t="s">
        <v>771</v>
      </c>
      <c r="W194" s="10"/>
      <c r="X194" s="27" t="s">
        <v>315</v>
      </c>
      <c r="Y194" s="27" t="s">
        <v>1660</v>
      </c>
      <c r="Z194" s="80">
        <v>5835</v>
      </c>
      <c r="AA194" s="27">
        <v>457</v>
      </c>
      <c r="AB194" s="80">
        <v>66353</v>
      </c>
      <c r="AC194" s="27">
        <v>76</v>
      </c>
      <c r="AD194" s="27" t="s">
        <v>4098</v>
      </c>
      <c r="AE194" s="27">
        <v>135808291</v>
      </c>
      <c r="AF194" s="27" t="s">
        <v>1661</v>
      </c>
      <c r="AG194" s="27" t="s">
        <v>1655</v>
      </c>
      <c r="AH194" s="79">
        <v>2.64986376021798</v>
      </c>
      <c r="AI194" s="83">
        <v>3.5522552255225501</v>
      </c>
      <c r="AJ194" s="80">
        <v>17.589465530596399</v>
      </c>
      <c r="AK194" s="80">
        <v>3.3539891556932599</v>
      </c>
      <c r="AL194" s="27">
        <v>311</v>
      </c>
      <c r="AM194" s="97">
        <f t="shared" si="2"/>
        <v>9.7187499999999996E-2</v>
      </c>
      <c r="AN194" s="27" t="s">
        <v>315</v>
      </c>
      <c r="AO194" s="27">
        <v>5</v>
      </c>
      <c r="AP194" s="27">
        <v>11</v>
      </c>
      <c r="AQ194" s="27">
        <v>4</v>
      </c>
      <c r="AR194" s="27">
        <f>SUM(AO194:AQ194)</f>
        <v>20</v>
      </c>
      <c r="AS194" s="27" t="s">
        <v>5312</v>
      </c>
      <c r="AT194" s="27" t="s">
        <v>5313</v>
      </c>
      <c r="AU194" s="84" t="s">
        <v>4849</v>
      </c>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77"/>
      <c r="BR194" s="77"/>
      <c r="BS194" s="77"/>
      <c r="BT194" s="77"/>
      <c r="BU194" s="77"/>
      <c r="BV194" s="77"/>
      <c r="BW194" s="77"/>
      <c r="BX194" s="77"/>
      <c r="BY194" s="77"/>
      <c r="BZ194" s="77"/>
      <c r="CA194" s="77"/>
      <c r="CB194" s="77"/>
      <c r="CC194" s="77"/>
      <c r="CD194" s="77"/>
      <c r="CE194" s="77"/>
      <c r="CF194" s="77"/>
      <c r="CG194" s="77"/>
      <c r="CH194" s="77"/>
      <c r="CI194" s="77"/>
      <c r="CJ194" s="77"/>
      <c r="CK194" s="77"/>
      <c r="CL194" s="77"/>
      <c r="CM194" s="77"/>
      <c r="CN194" s="77"/>
      <c r="CO194" s="77"/>
      <c r="CP194" s="77"/>
      <c r="CQ194" s="77"/>
      <c r="CR194" s="77"/>
      <c r="CS194" s="77"/>
      <c r="CT194" s="77"/>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c r="DS194" s="77"/>
      <c r="DT194" s="77"/>
      <c r="DU194" s="77"/>
      <c r="DV194" s="77"/>
      <c r="DW194" s="77"/>
      <c r="DX194" s="77"/>
      <c r="DY194" s="77"/>
      <c r="DZ194" s="77"/>
      <c r="EA194" s="77"/>
      <c r="EB194" s="77"/>
      <c r="EC194" s="77"/>
      <c r="ED194" s="77"/>
      <c r="EE194" s="77"/>
      <c r="EF194" s="77"/>
      <c r="EG194" s="77"/>
      <c r="EH194" s="77"/>
      <c r="EI194" s="77"/>
      <c r="EJ194" s="77"/>
      <c r="EK194" s="77"/>
      <c r="EL194" s="77"/>
      <c r="EM194" s="77"/>
      <c r="EN194" s="77"/>
      <c r="EO194" s="77"/>
      <c r="EP194" s="77"/>
      <c r="EQ194" s="77"/>
      <c r="ER194" s="77"/>
      <c r="ES194" s="77"/>
      <c r="ET194" s="77"/>
      <c r="EU194" s="77"/>
      <c r="EV194" s="77"/>
      <c r="EW194" s="77"/>
      <c r="EX194" s="77"/>
      <c r="EY194" s="77"/>
      <c r="EZ194" s="77"/>
      <c r="FA194" s="77"/>
      <c r="FB194" s="77"/>
      <c r="FC194" s="77"/>
      <c r="FD194" s="77"/>
      <c r="FE194" s="77"/>
      <c r="FF194" s="77"/>
      <c r="FG194" s="77"/>
      <c r="FH194" s="77"/>
      <c r="FI194" s="77"/>
      <c r="FJ194" s="77"/>
      <c r="FK194" s="77"/>
      <c r="FL194" s="77"/>
      <c r="FM194" s="77"/>
      <c r="FN194" s="77"/>
      <c r="FO194" s="77"/>
      <c r="FP194" s="77"/>
      <c r="FQ194" s="77"/>
      <c r="FR194" s="77"/>
      <c r="FS194" s="77"/>
      <c r="FT194" s="77"/>
      <c r="FU194" s="77"/>
      <c r="FV194" s="77"/>
      <c r="FW194" s="77"/>
      <c r="FX194" s="77"/>
      <c r="FY194" s="77"/>
      <c r="FZ194" s="77"/>
      <c r="GA194" s="77"/>
      <c r="GB194" s="77"/>
      <c r="GC194" s="77"/>
      <c r="GD194" s="77"/>
      <c r="GE194" s="77"/>
      <c r="GF194" s="77"/>
      <c r="GG194" s="77"/>
      <c r="GH194" s="77"/>
      <c r="GI194" s="77"/>
      <c r="GJ194" s="77"/>
      <c r="GK194" s="77"/>
      <c r="GL194" s="77"/>
      <c r="GM194" s="77"/>
      <c r="GN194" s="77"/>
      <c r="GO194" s="77"/>
      <c r="GP194" s="77"/>
      <c r="GQ194" s="77"/>
      <c r="GR194" s="77"/>
      <c r="GS194" s="77"/>
      <c r="GT194" s="77"/>
      <c r="GU194" s="77"/>
      <c r="GV194" s="77"/>
      <c r="GW194" s="77"/>
      <c r="GX194" s="77"/>
      <c r="GY194" s="77"/>
      <c r="GZ194" s="77"/>
      <c r="HA194" s="77"/>
      <c r="HB194" s="77"/>
      <c r="HC194" s="77"/>
      <c r="HD194" s="77"/>
      <c r="HE194" s="77"/>
      <c r="HF194" s="77"/>
      <c r="HG194" s="77"/>
      <c r="HH194" s="77"/>
      <c r="HI194" s="77"/>
      <c r="HJ194" s="77"/>
      <c r="HK194" s="77"/>
      <c r="HL194" s="77"/>
      <c r="HM194" s="77"/>
      <c r="HN194" s="77"/>
      <c r="HO194" s="77"/>
      <c r="HP194" s="77"/>
      <c r="HQ194" s="77"/>
      <c r="HR194" s="77"/>
      <c r="HS194" s="77"/>
      <c r="HT194" s="77"/>
      <c r="HU194" s="77"/>
      <c r="HV194" s="77"/>
      <c r="HW194" s="77"/>
      <c r="HX194" s="77"/>
      <c r="HY194" s="77"/>
      <c r="HZ194" s="77"/>
      <c r="IA194" s="77"/>
      <c r="IB194" s="77"/>
      <c r="IC194" s="77"/>
      <c r="ID194" s="77"/>
      <c r="IE194" s="77"/>
      <c r="IF194" s="77"/>
      <c r="IG194" s="77"/>
      <c r="IH194" s="77"/>
      <c r="II194" s="77"/>
      <c r="IJ194" s="77"/>
      <c r="IK194" s="77"/>
      <c r="IL194" s="77"/>
      <c r="IM194" s="77"/>
      <c r="IN194" s="77"/>
      <c r="IO194" s="77"/>
      <c r="IP194" s="77"/>
      <c r="IQ194" s="77"/>
      <c r="IR194" s="77"/>
      <c r="IS194" s="77"/>
      <c r="IT194" s="77"/>
      <c r="IU194" s="77"/>
      <c r="IV194" s="77"/>
      <c r="IW194" s="77"/>
      <c r="IX194" s="77"/>
      <c r="IY194" s="77"/>
      <c r="IZ194" s="77"/>
      <c r="JA194" s="77"/>
      <c r="JB194" s="77"/>
      <c r="JC194" s="77"/>
      <c r="JD194" s="77"/>
      <c r="JE194" s="77"/>
      <c r="JF194" s="77"/>
      <c r="JG194" s="77"/>
      <c r="JH194" s="77"/>
      <c r="JI194" s="77"/>
      <c r="JJ194" s="77"/>
      <c r="JK194" s="77"/>
      <c r="JL194" s="77"/>
      <c r="JM194" s="77"/>
      <c r="JN194" s="77"/>
      <c r="JO194" s="77"/>
      <c r="JP194" s="77"/>
      <c r="JQ194" s="77"/>
      <c r="JR194" s="77"/>
      <c r="JS194" s="77"/>
      <c r="JT194" s="77"/>
      <c r="JU194" s="77"/>
      <c r="JV194" s="77"/>
      <c r="JW194" s="77"/>
      <c r="JX194" s="77"/>
      <c r="KM194" s="77"/>
      <c r="KN194" s="77"/>
      <c r="KO194" s="77"/>
      <c r="KP194" s="77"/>
      <c r="KQ194" s="77"/>
      <c r="KR194" s="77"/>
      <c r="KS194" s="77"/>
      <c r="KT194" s="77"/>
      <c r="KU194" s="77"/>
      <c r="KV194" s="77"/>
      <c r="KW194" s="77"/>
      <c r="KX194" s="77"/>
      <c r="KY194" s="77"/>
      <c r="KZ194" s="77"/>
      <c r="LA194" s="77"/>
      <c r="LB194" s="77"/>
      <c r="LC194" s="77"/>
      <c r="LD194" s="77"/>
      <c r="LE194" s="77"/>
      <c r="LF194" s="77"/>
      <c r="LG194" s="77"/>
      <c r="LH194" s="77"/>
      <c r="LI194" s="77"/>
      <c r="LJ194" s="77"/>
      <c r="LK194" s="77"/>
      <c r="LL194" s="77"/>
      <c r="LM194" s="77"/>
      <c r="LN194" s="77"/>
      <c r="LO194" s="77"/>
      <c r="LP194" s="77"/>
      <c r="LQ194" s="77"/>
      <c r="LR194" s="77"/>
      <c r="LS194" s="77"/>
      <c r="LT194" s="77"/>
      <c r="LU194" s="77"/>
      <c r="LV194" s="77"/>
      <c r="LY194" s="77"/>
      <c r="LZ194" s="77"/>
      <c r="MA194" s="77"/>
      <c r="MB194" s="77"/>
      <c r="MC194" s="77"/>
      <c r="MD194" s="77"/>
      <c r="ME194" s="77"/>
      <c r="MF194" s="77"/>
      <c r="MG194" s="77"/>
      <c r="MH194" s="77"/>
      <c r="MI194" s="77"/>
      <c r="MJ194" s="77"/>
      <c r="MK194" s="77"/>
      <c r="ML194" s="77"/>
      <c r="MM194" s="77"/>
      <c r="MN194" s="77"/>
      <c r="MO194" s="77"/>
      <c r="MP194" s="77"/>
      <c r="MQ194" s="77"/>
      <c r="MR194" s="77"/>
      <c r="MS194" s="77"/>
      <c r="MT194" s="77"/>
      <c r="MU194" s="77"/>
      <c r="MV194" s="77"/>
      <c r="MW194" s="77"/>
      <c r="MX194" s="77"/>
      <c r="MY194" s="77"/>
      <c r="MZ194" s="77"/>
      <c r="NA194" s="77"/>
      <c r="NB194" s="77"/>
      <c r="NC194" s="77"/>
      <c r="ND194" s="16"/>
    </row>
    <row r="195" spans="1:421" ht="18.600000000000001" customHeight="1" x14ac:dyDescent="0.25">
      <c r="A195" s="119" t="s">
        <v>120</v>
      </c>
      <c r="B195" s="27" t="s">
        <v>120</v>
      </c>
      <c r="C195" s="27" t="s">
        <v>1099</v>
      </c>
      <c r="D195" s="30" t="str">
        <f>HYPERLINK("https://twitter.com/PresidencyZA","https://twitter.com/PresidencyZA")</f>
        <v>https://twitter.com/PresidencyZA</v>
      </c>
      <c r="E195" s="30" t="str">
        <f>HYPERLINK("http://twiplomacy.com/info/africa/South-Africa","http://twiplomacy.com/info/africa/South-Africa")</f>
        <v>http://twiplomacy.com/info/africa/South-Africa</v>
      </c>
      <c r="F195" s="10" t="s">
        <v>1</v>
      </c>
      <c r="G195" s="10" t="s">
        <v>118</v>
      </c>
      <c r="H195" s="10" t="s">
        <v>781</v>
      </c>
      <c r="I195" s="10" t="s">
        <v>782</v>
      </c>
      <c r="J195" s="27" t="s">
        <v>789</v>
      </c>
      <c r="K195" s="15" t="s">
        <v>777</v>
      </c>
      <c r="L195" s="10" t="s">
        <v>771</v>
      </c>
      <c r="M195" s="10" t="s">
        <v>770</v>
      </c>
      <c r="N195" s="30" t="str">
        <f>HYPERLINK("https://twitter.com/PresidencyZA/statuses/1834243686","https://twitter.com/PresidencyZA/statuses/1834243686")</f>
        <v>https://twitter.com/PresidencyZA/statuses/1834243686</v>
      </c>
      <c r="O195" s="27" t="s">
        <v>1100</v>
      </c>
      <c r="P195" s="80">
        <v>1621</v>
      </c>
      <c r="Q195" s="80">
        <v>37</v>
      </c>
      <c r="R195" s="27" t="s">
        <v>2994</v>
      </c>
      <c r="S195" s="10" t="s">
        <v>1101</v>
      </c>
      <c r="T195" s="10" t="s">
        <v>771</v>
      </c>
      <c r="U195" s="10" t="s">
        <v>771</v>
      </c>
      <c r="V195" s="10" t="s">
        <v>771</v>
      </c>
      <c r="W195" s="10"/>
      <c r="X195" s="27" t="s">
        <v>120</v>
      </c>
      <c r="Y195" s="27" t="s">
        <v>120</v>
      </c>
      <c r="Z195" s="80">
        <v>5829</v>
      </c>
      <c r="AA195" s="27">
        <v>29</v>
      </c>
      <c r="AB195" s="80">
        <v>678249</v>
      </c>
      <c r="AC195" s="27">
        <v>1</v>
      </c>
      <c r="AD195" s="27" t="s">
        <v>4347</v>
      </c>
      <c r="AE195" s="27">
        <v>40839292</v>
      </c>
      <c r="AF195" s="27" t="s">
        <v>1099</v>
      </c>
      <c r="AG195" s="27" t="s">
        <v>1098</v>
      </c>
      <c r="AH195" s="79">
        <v>2.2939787485242</v>
      </c>
      <c r="AI195" s="83">
        <v>2.8218694885361599</v>
      </c>
      <c r="AJ195" s="80">
        <v>15.9777275661717</v>
      </c>
      <c r="AK195" s="80">
        <v>7.21207230471272</v>
      </c>
      <c r="AL195" s="27">
        <v>16</v>
      </c>
      <c r="AM195" s="97">
        <f t="shared" ref="AM195:AM258" si="3">SUM(AL195/3200)</f>
        <v>5.0000000000000001E-3</v>
      </c>
      <c r="AN195" s="27" t="s">
        <v>120</v>
      </c>
      <c r="AO195" s="27">
        <v>0</v>
      </c>
      <c r="AP195" s="27">
        <v>40</v>
      </c>
      <c r="AQ195" s="27">
        <v>3</v>
      </c>
      <c r="AR195" s="27">
        <f>SUM(AO195:AQ195)</f>
        <v>43</v>
      </c>
      <c r="AS195" s="27"/>
      <c r="AT195" s="27" t="s">
        <v>5434</v>
      </c>
      <c r="AU195" s="84" t="s">
        <v>4918</v>
      </c>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77"/>
      <c r="BR195" s="77"/>
      <c r="BS195" s="77"/>
      <c r="BT195" s="77"/>
      <c r="BU195" s="77"/>
      <c r="BV195" s="77"/>
      <c r="BW195" s="77"/>
      <c r="BX195" s="77"/>
      <c r="BY195" s="77"/>
      <c r="BZ195" s="77"/>
      <c r="CA195" s="77"/>
      <c r="CB195" s="77"/>
      <c r="CC195" s="77"/>
      <c r="CD195" s="77"/>
      <c r="CE195" s="77"/>
      <c r="CF195" s="77"/>
      <c r="CG195" s="77"/>
      <c r="CH195" s="77"/>
      <c r="CI195" s="77"/>
      <c r="CJ195" s="77"/>
      <c r="CK195" s="77"/>
      <c r="CL195" s="77"/>
      <c r="CM195" s="77"/>
      <c r="CN195" s="77"/>
      <c r="CO195" s="77"/>
      <c r="CP195" s="77"/>
      <c r="CQ195" s="77"/>
      <c r="CR195" s="77"/>
      <c r="CS195" s="77"/>
      <c r="CT195" s="77"/>
      <c r="CU195" s="77"/>
      <c r="CV195" s="77"/>
      <c r="CW195" s="77"/>
      <c r="CX195" s="77"/>
      <c r="CY195" s="77"/>
      <c r="CZ195" s="77"/>
      <c r="DA195" s="77"/>
      <c r="DB195" s="77"/>
      <c r="DC195" s="77"/>
      <c r="DD195" s="77"/>
      <c r="DE195" s="77"/>
      <c r="DF195" s="77"/>
      <c r="DG195" s="77"/>
      <c r="DH195" s="77"/>
      <c r="DI195" s="77"/>
      <c r="DJ195" s="77"/>
      <c r="DK195" s="77"/>
      <c r="DL195" s="77"/>
      <c r="DM195" s="77"/>
      <c r="DN195" s="77"/>
      <c r="DO195" s="77"/>
      <c r="DP195" s="77"/>
      <c r="DQ195" s="77"/>
      <c r="DR195" s="77"/>
      <c r="DS195" s="77"/>
      <c r="DT195" s="77"/>
      <c r="DU195" s="77"/>
      <c r="DV195" s="77"/>
      <c r="DW195" s="77"/>
      <c r="DX195" s="77"/>
      <c r="DY195" s="77"/>
      <c r="DZ195" s="77"/>
      <c r="EA195" s="77"/>
      <c r="EB195" s="77"/>
      <c r="EC195" s="77"/>
      <c r="ED195" s="77"/>
      <c r="EE195" s="77"/>
      <c r="EF195" s="77"/>
      <c r="EG195" s="77"/>
      <c r="EH195" s="77"/>
      <c r="EI195" s="77"/>
      <c r="EJ195" s="77"/>
      <c r="EK195" s="77"/>
      <c r="EL195" s="77"/>
      <c r="EP195" s="77"/>
      <c r="EQ195" s="77"/>
      <c r="GL195" s="77"/>
      <c r="GM195" s="77"/>
      <c r="GN195" s="77"/>
      <c r="GO195" s="77"/>
      <c r="GP195" s="77"/>
      <c r="GQ195" s="77"/>
      <c r="GR195" s="77"/>
      <c r="GS195" s="77"/>
      <c r="GT195" s="77"/>
      <c r="GU195" s="77"/>
      <c r="GV195" s="77"/>
      <c r="GW195" s="77"/>
      <c r="GX195" s="77"/>
      <c r="GY195" s="77"/>
      <c r="GZ195" s="77"/>
      <c r="HA195" s="77"/>
      <c r="HB195" s="77"/>
      <c r="HC195" s="77"/>
      <c r="HD195" s="77"/>
      <c r="HE195" s="77"/>
      <c r="HF195" s="77"/>
      <c r="HG195" s="77"/>
      <c r="HH195" s="77"/>
      <c r="HI195" s="77"/>
      <c r="HJ195" s="77"/>
      <c r="HK195" s="77"/>
      <c r="ID195" s="77"/>
      <c r="IE195" s="77"/>
      <c r="LL195" s="77"/>
      <c r="LM195" s="77"/>
      <c r="LN195" s="77"/>
      <c r="LO195" s="77"/>
      <c r="LP195" s="77"/>
      <c r="LQ195" s="77"/>
      <c r="LR195" s="77"/>
      <c r="LS195" s="77"/>
      <c r="LT195" s="77"/>
      <c r="LU195" s="77"/>
      <c r="LV195" s="77"/>
      <c r="LW195" s="77"/>
      <c r="LX195" s="77"/>
      <c r="LY195" s="77"/>
      <c r="LZ195" s="77"/>
      <c r="MA195" s="77"/>
      <c r="MB195" s="77"/>
      <c r="MC195" s="77"/>
      <c r="MD195" s="77"/>
      <c r="ME195" s="77"/>
      <c r="MF195" s="77"/>
      <c r="MG195" s="77"/>
      <c r="MH195" s="77"/>
      <c r="MI195" s="77"/>
      <c r="MJ195" s="77"/>
      <c r="MK195" s="77"/>
      <c r="ML195" s="77"/>
      <c r="MM195" s="77"/>
      <c r="MN195" s="77"/>
      <c r="MO195" s="77"/>
      <c r="MP195" s="77"/>
      <c r="MQ195" s="77"/>
      <c r="MR195" s="77"/>
    </row>
    <row r="196" spans="1:421" ht="18.600000000000001" customHeight="1" x14ac:dyDescent="0.25">
      <c r="A196" s="119" t="s">
        <v>727</v>
      </c>
      <c r="B196" s="27" t="s">
        <v>1851</v>
      </c>
      <c r="C196" s="27" t="s">
        <v>6386</v>
      </c>
      <c r="D196" s="30" t="str">
        <f>HYPERLINK("https://twitter.com/FedericaMog","https://twitter.com/FedericaMog")</f>
        <v>https://twitter.com/FedericaMog</v>
      </c>
      <c r="E196" s="30" t="str">
        <f>HYPERLINK("http://twiplomacy.com/info/europe/Italy","http://twiplomacy.com/info/europe/Italy")</f>
        <v>http://twiplomacy.com/info/europe/Italy</v>
      </c>
      <c r="F196" s="10" t="s">
        <v>332</v>
      </c>
      <c r="G196" s="10" t="s">
        <v>1837</v>
      </c>
      <c r="H196" s="10" t="s">
        <v>860</v>
      </c>
      <c r="I196" s="10" t="s">
        <v>773</v>
      </c>
      <c r="J196" s="27" t="s">
        <v>1852</v>
      </c>
      <c r="K196" s="15" t="s">
        <v>777</v>
      </c>
      <c r="L196" s="10" t="s">
        <v>1020</v>
      </c>
      <c r="M196" s="10" t="s">
        <v>770</v>
      </c>
      <c r="N196" s="30" t="str">
        <f>HYPERLINK("https://twitter.com/FedericaMog/statuses/156837127638876160","https://twitter.com/FedericaMog/statuses/156837127638876160")</f>
        <v>https://twitter.com/FedericaMog/statuses/156837127638876160</v>
      </c>
      <c r="O196" s="27" t="s">
        <v>5754</v>
      </c>
      <c r="P196" s="80">
        <v>3304</v>
      </c>
      <c r="Q196" s="80">
        <v>3966</v>
      </c>
      <c r="R196" s="27" t="s">
        <v>2994</v>
      </c>
      <c r="S196" s="30" t="str">
        <f>HYPERLINK("https://twitter.com/FedericaMog/lists","https://twitter.com/FedericaMog/lists")</f>
        <v>https://twitter.com/FedericaMog/lists</v>
      </c>
      <c r="T196" s="10" t="s">
        <v>771</v>
      </c>
      <c r="U196" s="10" t="s">
        <v>771</v>
      </c>
      <c r="V196" s="10" t="s">
        <v>771</v>
      </c>
      <c r="W196" s="10"/>
      <c r="X196" s="27" t="s">
        <v>727</v>
      </c>
      <c r="Y196" s="27" t="s">
        <v>1851</v>
      </c>
      <c r="Z196" s="80">
        <v>5809</v>
      </c>
      <c r="AA196" s="27">
        <v>7499</v>
      </c>
      <c r="AB196" s="80">
        <v>225208</v>
      </c>
      <c r="AC196" s="27">
        <v>686</v>
      </c>
      <c r="AD196" s="27" t="s">
        <v>3674</v>
      </c>
      <c r="AE196" s="27">
        <v>460163041</v>
      </c>
      <c r="AF196" s="27" t="s">
        <v>6386</v>
      </c>
      <c r="AG196" s="27"/>
      <c r="AH196" s="79">
        <v>3.6905972045743298</v>
      </c>
      <c r="AI196" s="83">
        <v>2.6925647451963202</v>
      </c>
      <c r="AJ196" s="80">
        <v>38.7337249143417</v>
      </c>
      <c r="AK196" s="80">
        <v>36.986294664708801</v>
      </c>
      <c r="AL196" s="27">
        <v>436</v>
      </c>
      <c r="AM196" s="97">
        <f t="shared" si="3"/>
        <v>0.13625000000000001</v>
      </c>
      <c r="AN196" s="27" t="s">
        <v>727</v>
      </c>
      <c r="AO196" s="27">
        <v>13</v>
      </c>
      <c r="AP196" s="27">
        <v>112</v>
      </c>
      <c r="AQ196" s="27">
        <v>34</v>
      </c>
      <c r="AR196" s="27">
        <f>SUM(AO196:AQ196)</f>
        <v>159</v>
      </c>
      <c r="AS196" s="27" t="s">
        <v>6563</v>
      </c>
      <c r="AT196" s="27" t="s">
        <v>6718</v>
      </c>
      <c r="AU196" s="84" t="s">
        <v>6482</v>
      </c>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7"/>
      <c r="BY196" s="77"/>
      <c r="BZ196" s="77"/>
      <c r="CA196" s="77"/>
      <c r="CB196" s="77"/>
      <c r="CC196" s="77"/>
      <c r="CD196" s="77"/>
      <c r="CE196" s="77"/>
      <c r="CF196" s="77"/>
      <c r="CG196" s="77"/>
      <c r="CH196" s="77"/>
      <c r="CI196" s="77"/>
      <c r="CJ196" s="77"/>
      <c r="CK196" s="77"/>
      <c r="CL196" s="77"/>
      <c r="CM196" s="77"/>
      <c r="CN196" s="77"/>
      <c r="CO196" s="77"/>
      <c r="CP196" s="77"/>
      <c r="CQ196" s="77"/>
      <c r="CR196" s="77"/>
      <c r="CS196" s="77"/>
      <c r="CT196" s="77"/>
      <c r="CU196" s="77"/>
      <c r="CV196" s="77"/>
      <c r="CW196" s="77"/>
      <c r="CX196" s="77"/>
      <c r="CY196" s="77"/>
      <c r="CZ196" s="77"/>
      <c r="DA196" s="77"/>
      <c r="DB196" s="77"/>
      <c r="DC196" s="77"/>
      <c r="DD196" s="77"/>
      <c r="DE196" s="77"/>
      <c r="DF196" s="77"/>
      <c r="DG196" s="77"/>
      <c r="DH196" s="77"/>
      <c r="DI196" s="77"/>
      <c r="DJ196" s="77"/>
      <c r="DK196" s="77"/>
      <c r="DL196" s="77"/>
      <c r="DM196" s="77"/>
      <c r="DN196" s="77"/>
      <c r="DO196" s="77"/>
      <c r="DP196" s="77"/>
      <c r="DQ196" s="77"/>
      <c r="DR196" s="77"/>
      <c r="DS196" s="77"/>
      <c r="DT196" s="77"/>
      <c r="DU196" s="77"/>
      <c r="DV196" s="77"/>
      <c r="DW196" s="77"/>
      <c r="DX196" s="77"/>
      <c r="DY196" s="77"/>
      <c r="DZ196" s="77"/>
      <c r="EA196" s="77"/>
      <c r="EB196" s="77"/>
      <c r="EC196" s="77"/>
      <c r="ED196" s="77"/>
      <c r="EE196" s="77"/>
      <c r="EF196" s="77"/>
      <c r="EG196" s="77"/>
      <c r="EH196" s="77"/>
      <c r="EI196" s="77"/>
      <c r="EJ196" s="77"/>
      <c r="EK196" s="77"/>
      <c r="EL196" s="77"/>
      <c r="EM196" s="77"/>
      <c r="EN196" s="77"/>
      <c r="EO196" s="77"/>
      <c r="EP196" s="77"/>
      <c r="ER196" s="77"/>
      <c r="ES196" s="77"/>
      <c r="ET196" s="77"/>
      <c r="EU196" s="77"/>
      <c r="EV196" s="77"/>
      <c r="EW196" s="77"/>
      <c r="EX196" s="77"/>
      <c r="EY196" s="77"/>
      <c r="EZ196" s="77"/>
      <c r="FA196" s="77"/>
      <c r="FB196" s="77"/>
      <c r="FC196" s="77"/>
      <c r="FD196" s="77"/>
      <c r="FE196" s="77"/>
      <c r="FF196" s="77"/>
      <c r="FG196" s="77"/>
      <c r="FH196" s="77"/>
      <c r="FI196" s="77"/>
      <c r="FJ196" s="77"/>
      <c r="FK196" s="77"/>
      <c r="FL196" s="77"/>
      <c r="FM196" s="77"/>
      <c r="FN196" s="77"/>
      <c r="FO196" s="77"/>
      <c r="FP196" s="77"/>
      <c r="FQ196" s="77"/>
      <c r="FR196" s="77"/>
      <c r="FS196" s="77"/>
      <c r="FT196" s="77"/>
      <c r="FU196" s="77"/>
      <c r="FV196" s="77"/>
      <c r="FW196" s="77"/>
      <c r="FX196" s="77"/>
      <c r="FY196" s="77"/>
      <c r="FZ196" s="77"/>
      <c r="GA196" s="77"/>
      <c r="GB196" s="77"/>
      <c r="GC196" s="77"/>
      <c r="GD196" s="77"/>
      <c r="GE196" s="77"/>
      <c r="GF196" s="77"/>
      <c r="GG196" s="77"/>
      <c r="GH196" s="77"/>
      <c r="GI196" s="77"/>
      <c r="GJ196" s="77"/>
      <c r="GK196" s="77"/>
      <c r="HL196" s="77"/>
      <c r="HM196" s="77"/>
      <c r="HN196" s="77"/>
      <c r="HO196" s="77"/>
      <c r="HP196" s="77"/>
      <c r="HQ196" s="77"/>
      <c r="HR196" s="77"/>
      <c r="HS196" s="77"/>
      <c r="HT196" s="77"/>
      <c r="HU196" s="77"/>
      <c r="HV196" s="77"/>
      <c r="HW196" s="77"/>
      <c r="HX196" s="77"/>
      <c r="HY196" s="77"/>
      <c r="HZ196" s="77"/>
      <c r="IA196" s="77"/>
      <c r="IB196" s="77"/>
      <c r="IC196" s="77"/>
      <c r="IF196" s="77"/>
      <c r="IG196" s="77"/>
      <c r="IH196" s="77"/>
      <c r="II196" s="77"/>
      <c r="IJ196" s="77"/>
      <c r="IK196" s="77"/>
      <c r="IL196" s="77"/>
      <c r="IM196" s="77"/>
      <c r="IN196" s="77"/>
      <c r="IO196" s="77"/>
      <c r="IP196" s="77"/>
      <c r="IQ196" s="77"/>
      <c r="IR196" s="77"/>
      <c r="IS196" s="77"/>
      <c r="IT196" s="77"/>
      <c r="IU196" s="77"/>
      <c r="IV196" s="77"/>
      <c r="IW196" s="77"/>
      <c r="IX196" s="77"/>
      <c r="IY196" s="77"/>
      <c r="IZ196" s="77"/>
      <c r="JA196" s="77"/>
      <c r="JB196" s="77"/>
      <c r="JC196" s="77"/>
      <c r="JD196" s="77"/>
      <c r="JE196" s="77"/>
      <c r="JF196" s="77"/>
      <c r="JG196" s="77"/>
      <c r="JH196" s="77"/>
      <c r="JI196" s="77"/>
      <c r="JJ196" s="77"/>
      <c r="JK196" s="77"/>
      <c r="JL196" s="77"/>
      <c r="JM196" s="77"/>
      <c r="JN196" s="77"/>
      <c r="JO196" s="77"/>
      <c r="JP196" s="77"/>
      <c r="JQ196" s="77"/>
      <c r="JR196" s="77"/>
      <c r="JS196" s="77"/>
      <c r="JT196" s="77"/>
      <c r="JU196" s="77"/>
      <c r="JV196" s="77"/>
      <c r="JW196" s="77"/>
      <c r="JX196" s="77"/>
      <c r="JY196" s="77"/>
      <c r="JZ196" s="77"/>
      <c r="KA196" s="77"/>
      <c r="KB196" s="77"/>
      <c r="KC196" s="77"/>
      <c r="KD196" s="77"/>
      <c r="KE196" s="77"/>
      <c r="KF196" s="77"/>
      <c r="KG196" s="77"/>
      <c r="KH196" s="77"/>
      <c r="KI196" s="77"/>
      <c r="KJ196" s="77"/>
      <c r="KK196" s="77"/>
      <c r="KL196" s="77"/>
      <c r="KM196" s="77"/>
      <c r="KN196" s="77"/>
      <c r="KO196" s="77"/>
      <c r="KP196" s="77"/>
      <c r="KQ196" s="77"/>
      <c r="KR196" s="77"/>
      <c r="KS196" s="77"/>
      <c r="KT196" s="77"/>
      <c r="KU196" s="77"/>
      <c r="KV196" s="77"/>
      <c r="KW196" s="77"/>
      <c r="KX196" s="77"/>
      <c r="KY196" s="77"/>
      <c r="KZ196" s="77"/>
      <c r="LA196" s="77"/>
      <c r="LB196" s="77"/>
      <c r="LC196" s="77"/>
      <c r="LD196" s="77"/>
      <c r="LE196" s="77"/>
      <c r="LF196" s="77"/>
      <c r="LG196" s="77"/>
      <c r="LH196" s="77"/>
      <c r="LI196" s="77"/>
      <c r="LJ196" s="77"/>
      <c r="LK196" s="77"/>
      <c r="LL196" s="77"/>
      <c r="LM196" s="77"/>
      <c r="LN196" s="77"/>
      <c r="LO196" s="77"/>
      <c r="LP196" s="77"/>
      <c r="LQ196" s="77"/>
      <c r="LR196" s="77"/>
      <c r="LS196" s="77"/>
      <c r="LT196" s="77"/>
      <c r="LU196" s="77"/>
      <c r="LV196" s="77"/>
      <c r="LY196" s="77"/>
      <c r="LZ196" s="77"/>
      <c r="MA196" s="77"/>
      <c r="MB196" s="77"/>
      <c r="MC196" s="77"/>
      <c r="MD196" s="77"/>
      <c r="ME196" s="77"/>
      <c r="MF196" s="77"/>
      <c r="MG196" s="77"/>
      <c r="MH196" s="77"/>
      <c r="MI196" s="77"/>
      <c r="MJ196" s="77"/>
      <c r="MK196" s="77"/>
      <c r="ML196" s="77"/>
      <c r="MM196" s="77"/>
      <c r="MN196" s="77"/>
      <c r="MO196" s="77"/>
      <c r="MP196" s="77"/>
      <c r="MQ196" s="77"/>
      <c r="MR196" s="77"/>
      <c r="ND196" s="77"/>
    </row>
    <row r="197" spans="1:421" ht="18.600000000000001" customHeight="1" x14ac:dyDescent="0.25">
      <c r="A197" s="119" t="s">
        <v>526</v>
      </c>
      <c r="B197" s="27" t="s">
        <v>3828</v>
      </c>
      <c r="C197" s="27" t="s">
        <v>3829</v>
      </c>
      <c r="D197" s="34" t="s">
        <v>2232</v>
      </c>
      <c r="E197" s="34" t="s">
        <v>2231</v>
      </c>
      <c r="F197" s="38" t="s">
        <v>332</v>
      </c>
      <c r="G197" s="38" t="s">
        <v>522</v>
      </c>
      <c r="H197" s="38" t="s">
        <v>860</v>
      </c>
      <c r="I197" s="38" t="s">
        <v>773</v>
      </c>
      <c r="J197" s="27" t="s">
        <v>2226</v>
      </c>
      <c r="K197" s="15" t="s">
        <v>777</v>
      </c>
      <c r="L197" s="10"/>
      <c r="M197" s="42" t="s">
        <v>770</v>
      </c>
      <c r="N197" s="34" t="s">
        <v>2233</v>
      </c>
      <c r="O197" s="27" t="s">
        <v>5870</v>
      </c>
      <c r="P197" s="80">
        <v>78</v>
      </c>
      <c r="Q197" s="80">
        <v>0</v>
      </c>
      <c r="R197" s="27" t="s">
        <v>2995</v>
      </c>
      <c r="S197" s="19" t="s">
        <v>2234</v>
      </c>
      <c r="T197" s="10" t="s">
        <v>771</v>
      </c>
      <c r="U197" s="10" t="s">
        <v>771</v>
      </c>
      <c r="V197" s="10" t="s">
        <v>771</v>
      </c>
      <c r="W197" s="38"/>
      <c r="X197" s="27" t="s">
        <v>526</v>
      </c>
      <c r="Y197" s="27" t="s">
        <v>3828</v>
      </c>
      <c r="Z197" s="80">
        <v>5783</v>
      </c>
      <c r="AA197" s="27">
        <v>1310</v>
      </c>
      <c r="AB197" s="80">
        <v>2190</v>
      </c>
      <c r="AC197" s="27">
        <v>89</v>
      </c>
      <c r="AD197" s="27" t="s">
        <v>3830</v>
      </c>
      <c r="AE197" s="27">
        <v>3151015931</v>
      </c>
      <c r="AF197" s="27" t="s">
        <v>3829</v>
      </c>
      <c r="AG197" s="27" t="s">
        <v>2225</v>
      </c>
      <c r="AH197" s="79">
        <v>14.868894601542401</v>
      </c>
      <c r="AI197" s="83">
        <v>16.004950495049499</v>
      </c>
      <c r="AJ197" s="80">
        <v>2.2737642585551301</v>
      </c>
      <c r="AK197" s="80">
        <v>1.88919065725149</v>
      </c>
      <c r="AL197" s="27">
        <v>51</v>
      </c>
      <c r="AM197" s="97">
        <f t="shared" si="3"/>
        <v>1.59375E-2</v>
      </c>
      <c r="AN197" s="27" t="s">
        <v>526</v>
      </c>
      <c r="AO197" s="27">
        <v>64</v>
      </c>
      <c r="AP197" s="27">
        <v>3</v>
      </c>
      <c r="AQ197" s="27">
        <v>11</v>
      </c>
      <c r="AR197" s="27">
        <f>SUM(AO197:AQ197)</f>
        <v>78</v>
      </c>
      <c r="AS197" s="27" t="s">
        <v>6570</v>
      </c>
      <c r="AT197" s="27" t="s">
        <v>5190</v>
      </c>
      <c r="AU197" s="84" t="s">
        <v>4760</v>
      </c>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77"/>
      <c r="BR197" s="77"/>
      <c r="BS197" s="77"/>
      <c r="BT197" s="77"/>
      <c r="BU197" s="77"/>
      <c r="BV197" s="77"/>
      <c r="BW197" s="77"/>
      <c r="BX197" s="77"/>
      <c r="BY197" s="77"/>
      <c r="BZ197" s="77"/>
      <c r="CA197" s="77"/>
      <c r="CB197" s="77"/>
      <c r="CC197" s="77"/>
      <c r="CD197" s="77"/>
      <c r="CE197" s="77"/>
      <c r="CF197" s="77"/>
      <c r="CG197" s="77"/>
      <c r="CH197" s="77"/>
      <c r="CI197" s="77"/>
      <c r="CJ197" s="77"/>
      <c r="CK197" s="77"/>
      <c r="CL197" s="77"/>
      <c r="CM197" s="77"/>
      <c r="CN197" s="77"/>
      <c r="CO197" s="77"/>
      <c r="CP197" s="77"/>
      <c r="CQ197" s="77"/>
      <c r="CR197" s="77"/>
      <c r="CS197" s="77"/>
      <c r="CT197" s="77"/>
      <c r="CU197" s="77"/>
      <c r="CV197" s="77"/>
      <c r="CW197" s="77"/>
      <c r="CX197" s="77"/>
      <c r="CY197" s="77"/>
      <c r="CZ197" s="77"/>
      <c r="DA197" s="77"/>
      <c r="DB197" s="77"/>
      <c r="DC197" s="77"/>
      <c r="DD197" s="77"/>
      <c r="DE197" s="77"/>
      <c r="DF197" s="77"/>
      <c r="DG197" s="77"/>
      <c r="DH197" s="77"/>
      <c r="DI197" s="77"/>
      <c r="DJ197" s="77"/>
      <c r="DK197" s="77"/>
      <c r="DL197" s="77"/>
      <c r="DM197" s="77"/>
      <c r="DN197" s="77"/>
      <c r="DO197" s="77"/>
      <c r="DP197" s="77"/>
      <c r="DQ197" s="77"/>
      <c r="DR197" s="77"/>
      <c r="DS197" s="77"/>
      <c r="DT197" s="77"/>
      <c r="DU197" s="77"/>
      <c r="DV197" s="77"/>
      <c r="DW197" s="77"/>
      <c r="DX197" s="77"/>
      <c r="DY197" s="77"/>
      <c r="DZ197" s="77"/>
      <c r="EA197" s="77"/>
      <c r="EB197" s="77"/>
      <c r="EC197" s="77"/>
      <c r="ED197" s="77"/>
      <c r="EE197" s="77"/>
      <c r="EF197" s="77"/>
      <c r="EG197" s="77"/>
      <c r="EH197" s="77"/>
      <c r="EI197" s="77"/>
      <c r="EJ197" s="77"/>
      <c r="EK197" s="77"/>
      <c r="EL197" s="77"/>
      <c r="EP197" s="77"/>
      <c r="EQ197" s="77"/>
      <c r="ER197" s="77"/>
      <c r="ES197" s="77"/>
      <c r="ET197" s="77"/>
      <c r="EU197" s="77"/>
      <c r="EV197" s="77"/>
      <c r="EW197" s="77"/>
      <c r="EX197" s="77"/>
      <c r="EY197" s="77"/>
      <c r="EZ197" s="77"/>
      <c r="FA197" s="77"/>
      <c r="FB197" s="77"/>
      <c r="FC197" s="77"/>
      <c r="FD197" s="77"/>
      <c r="FE197" s="77"/>
      <c r="FF197" s="77"/>
      <c r="FG197" s="77"/>
      <c r="FH197" s="77"/>
      <c r="FI197" s="77"/>
      <c r="FJ197" s="77"/>
      <c r="FK197" s="77"/>
      <c r="FL197" s="77"/>
      <c r="FM197" s="77"/>
      <c r="FN197" s="77"/>
      <c r="FO197" s="77"/>
      <c r="FP197" s="77"/>
      <c r="FQ197" s="77"/>
      <c r="FR197" s="77"/>
      <c r="FS197" s="77"/>
      <c r="FT197" s="77"/>
      <c r="FU197" s="77"/>
      <c r="FV197" s="77"/>
      <c r="FW197" s="77"/>
      <c r="FX197" s="77"/>
      <c r="FY197" s="77"/>
      <c r="FZ197" s="77"/>
      <c r="GA197" s="77"/>
      <c r="GB197" s="77"/>
      <c r="GC197" s="77"/>
      <c r="GD197" s="77"/>
      <c r="GE197" s="77"/>
      <c r="GF197" s="77"/>
      <c r="GG197" s="77"/>
      <c r="GH197" s="77"/>
      <c r="GI197" s="77"/>
      <c r="GJ197" s="77"/>
      <c r="GK197" s="77"/>
      <c r="GL197" s="77"/>
      <c r="GM197" s="77"/>
      <c r="GN197" s="77"/>
      <c r="GO197" s="77"/>
      <c r="GP197" s="77"/>
      <c r="GQ197" s="77"/>
      <c r="GR197" s="77"/>
      <c r="GS197" s="77"/>
      <c r="GT197" s="77"/>
      <c r="GU197" s="77"/>
      <c r="GV197" s="77"/>
      <c r="GW197" s="77"/>
      <c r="GX197" s="77"/>
      <c r="GY197" s="77"/>
      <c r="GZ197" s="77"/>
      <c r="HA197" s="77"/>
      <c r="HB197" s="77"/>
      <c r="HC197" s="77"/>
      <c r="HD197" s="77"/>
      <c r="HE197" s="77"/>
      <c r="HF197" s="77"/>
      <c r="HG197" s="77"/>
      <c r="HH197" s="77"/>
      <c r="HI197" s="77"/>
      <c r="HJ197" s="77"/>
      <c r="HK197" s="77"/>
      <c r="HL197" s="77"/>
      <c r="HM197" s="77"/>
      <c r="HN197" s="77"/>
      <c r="HO197" s="77"/>
      <c r="HP197" s="77"/>
      <c r="HQ197" s="77"/>
      <c r="HR197" s="77"/>
      <c r="HS197" s="77"/>
      <c r="HT197" s="77"/>
      <c r="HU197" s="77"/>
      <c r="HV197" s="77"/>
      <c r="HW197" s="77"/>
      <c r="HX197" s="77"/>
      <c r="HY197" s="77"/>
      <c r="HZ197" s="77"/>
      <c r="IA197" s="77"/>
      <c r="IB197" s="77"/>
      <c r="IC197" s="77"/>
      <c r="ID197" s="77"/>
      <c r="IE197" s="77"/>
      <c r="JY197" s="77"/>
      <c r="JZ197" s="77"/>
      <c r="KA197" s="77"/>
      <c r="KB197" s="77"/>
      <c r="KC197" s="77"/>
      <c r="KD197" s="77"/>
      <c r="KE197" s="77"/>
      <c r="KF197" s="77"/>
      <c r="KG197" s="77"/>
      <c r="KH197" s="77"/>
      <c r="KI197" s="77"/>
      <c r="KJ197" s="77"/>
      <c r="KK197" s="77"/>
      <c r="KL197" s="77"/>
      <c r="LW197" s="77"/>
      <c r="LX197" s="77"/>
    </row>
    <row r="198" spans="1:421" ht="18.600000000000001" customHeight="1" x14ac:dyDescent="0.25">
      <c r="A198" s="119" t="s">
        <v>408</v>
      </c>
      <c r="B198" s="27" t="s">
        <v>1930</v>
      </c>
      <c r="C198" s="27" t="s">
        <v>1931</v>
      </c>
      <c r="D198" s="30" t="str">
        <f>HYPERLINK("https://twitter.com/GreeceMFA","https://twitter.com/GreeceMFA")</f>
        <v>https://twitter.com/GreeceMFA</v>
      </c>
      <c r="E198" s="30" t="str">
        <f>HYPERLINK("http://twiplomacy.com/info/europe/Greece","http://twiplomacy.com/info/europe/Greece")</f>
        <v>http://twiplomacy.com/info/europe/Greece</v>
      </c>
      <c r="F198" s="10" t="s">
        <v>332</v>
      </c>
      <c r="G198" s="10" t="s">
        <v>405</v>
      </c>
      <c r="H198" s="10" t="s">
        <v>795</v>
      </c>
      <c r="I198" s="10" t="s">
        <v>782</v>
      </c>
      <c r="J198" s="27" t="s">
        <v>789</v>
      </c>
      <c r="K198" s="15" t="s">
        <v>777</v>
      </c>
      <c r="L198" s="10" t="s">
        <v>771</v>
      </c>
      <c r="M198" s="10" t="s">
        <v>771</v>
      </c>
      <c r="N198" s="30" t="str">
        <f>HYPERLINK("https://twitter.com/GreeceMFA/statuses/12702790754","https://twitter.com/GreeceMFA/statuses/12702790754")</f>
        <v>https://twitter.com/GreeceMFA/statuses/12702790754</v>
      </c>
      <c r="O198" s="27" t="s">
        <v>5846</v>
      </c>
      <c r="P198" s="80">
        <v>327</v>
      </c>
      <c r="Q198" s="80">
        <v>172</v>
      </c>
      <c r="R198" s="27" t="s">
        <v>2994</v>
      </c>
      <c r="S198" s="12" t="s">
        <v>1932</v>
      </c>
      <c r="T198" s="10" t="s">
        <v>771</v>
      </c>
      <c r="U198" s="10" t="s">
        <v>771</v>
      </c>
      <c r="V198" s="10" t="s">
        <v>771</v>
      </c>
      <c r="W198" s="10"/>
      <c r="X198" s="27" t="s">
        <v>408</v>
      </c>
      <c r="Y198" s="27" t="s">
        <v>1930</v>
      </c>
      <c r="Z198" s="80">
        <v>5685</v>
      </c>
      <c r="AA198" s="27">
        <v>302</v>
      </c>
      <c r="AB198" s="80">
        <v>55736</v>
      </c>
      <c r="AC198" s="27">
        <v>170</v>
      </c>
      <c r="AD198" s="27" t="s">
        <v>3778</v>
      </c>
      <c r="AE198" s="27">
        <v>134812919</v>
      </c>
      <c r="AF198" s="27" t="s">
        <v>1931</v>
      </c>
      <c r="AG198" s="27" t="s">
        <v>1933</v>
      </c>
      <c r="AH198" s="79">
        <v>2.5782312925170099</v>
      </c>
      <c r="AI198" s="83">
        <v>4.0800508259212203</v>
      </c>
      <c r="AJ198" s="80">
        <v>6.3340192043895804</v>
      </c>
      <c r="AK198" s="80">
        <v>5.3192729766803799</v>
      </c>
      <c r="AL198" s="27">
        <v>31</v>
      </c>
      <c r="AM198" s="97">
        <f t="shared" si="3"/>
        <v>9.6874999999999999E-3</v>
      </c>
      <c r="AN198" s="27" t="s">
        <v>408</v>
      </c>
      <c r="AO198" s="27">
        <v>67</v>
      </c>
      <c r="AP198" s="27">
        <v>18</v>
      </c>
      <c r="AQ198" s="27">
        <v>56</v>
      </c>
      <c r="AR198" s="27">
        <f>SUM(AO198:AQ198)</f>
        <v>141</v>
      </c>
      <c r="AS198" s="27" t="s">
        <v>6565</v>
      </c>
      <c r="AT198" s="27" t="s">
        <v>5164</v>
      </c>
      <c r="AU198" s="84" t="s">
        <v>4747</v>
      </c>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c r="BZ198" s="77"/>
      <c r="CA198" s="77"/>
      <c r="CB198" s="77"/>
      <c r="CC198" s="77"/>
      <c r="CD198" s="77"/>
      <c r="CE198" s="77"/>
      <c r="CF198" s="77"/>
      <c r="CG198" s="77"/>
      <c r="CH198" s="77"/>
      <c r="CI198" s="77"/>
      <c r="CJ198" s="77"/>
      <c r="CK198" s="77"/>
      <c r="CL198" s="77"/>
      <c r="CM198" s="77"/>
      <c r="CN198" s="77"/>
      <c r="CO198" s="77"/>
      <c r="CP198" s="77"/>
      <c r="CQ198" s="77"/>
      <c r="CR198" s="77"/>
      <c r="CS198" s="77"/>
      <c r="CT198" s="77"/>
      <c r="CU198" s="77"/>
      <c r="CV198" s="77"/>
      <c r="CW198" s="77"/>
      <c r="CX198" s="77"/>
      <c r="CY198" s="77"/>
      <c r="CZ198" s="77"/>
      <c r="DA198" s="77"/>
      <c r="DB198" s="77"/>
      <c r="DC198" s="77"/>
      <c r="DD198" s="77"/>
      <c r="DE198" s="77"/>
      <c r="DF198" s="77"/>
      <c r="DG198" s="77"/>
      <c r="DH198" s="77"/>
      <c r="DI198" s="77"/>
      <c r="DJ198" s="77"/>
      <c r="DK198" s="77"/>
      <c r="DL198" s="77"/>
      <c r="DM198" s="77"/>
      <c r="DN198" s="77"/>
      <c r="DO198" s="77"/>
      <c r="DP198" s="77"/>
      <c r="DQ198" s="77"/>
      <c r="DR198" s="77"/>
      <c r="DS198" s="77"/>
      <c r="DT198" s="77"/>
      <c r="DU198" s="77"/>
      <c r="DV198" s="77"/>
      <c r="DW198" s="77"/>
      <c r="DX198" s="77"/>
      <c r="DY198" s="77"/>
      <c r="DZ198" s="77"/>
      <c r="EA198" s="77"/>
      <c r="EB198" s="77"/>
      <c r="EC198" s="77"/>
      <c r="ED198" s="77"/>
      <c r="EE198" s="77"/>
      <c r="EF198" s="77"/>
      <c r="EG198" s="77"/>
      <c r="EH198" s="77"/>
      <c r="EI198" s="77"/>
      <c r="EJ198" s="77"/>
      <c r="EK198" s="77"/>
      <c r="EL198" s="77"/>
      <c r="EM198" s="77"/>
      <c r="EN198" s="77"/>
      <c r="EO198" s="77"/>
      <c r="EP198" s="77"/>
      <c r="EQ198" s="77"/>
      <c r="ER198" s="77"/>
      <c r="ES198" s="77"/>
      <c r="ET198" s="77"/>
      <c r="EU198" s="77"/>
      <c r="EV198" s="77"/>
      <c r="EW198" s="77"/>
      <c r="EX198" s="77"/>
      <c r="EY198" s="77"/>
      <c r="EZ198" s="77"/>
      <c r="FA198" s="77"/>
      <c r="FB198" s="77"/>
      <c r="FC198" s="77"/>
      <c r="FD198" s="77"/>
      <c r="FE198" s="77"/>
      <c r="FF198" s="77"/>
      <c r="FG198" s="77"/>
      <c r="FH198" s="77"/>
      <c r="FI198" s="77"/>
      <c r="FJ198" s="77"/>
      <c r="FK198" s="77"/>
      <c r="FL198" s="77"/>
      <c r="FM198" s="77"/>
      <c r="FN198" s="77"/>
      <c r="FO198" s="77"/>
      <c r="FP198" s="77"/>
      <c r="FQ198" s="77"/>
      <c r="FR198" s="77"/>
      <c r="FS198" s="77"/>
      <c r="FT198" s="77"/>
      <c r="FU198" s="77"/>
      <c r="FV198" s="77"/>
      <c r="FW198" s="77"/>
      <c r="FX198" s="77"/>
      <c r="FY198" s="77"/>
      <c r="FZ198" s="77"/>
      <c r="GA198" s="77"/>
      <c r="GB198" s="77"/>
      <c r="GC198" s="77"/>
      <c r="GD198" s="77"/>
      <c r="GE198" s="77"/>
      <c r="GF198" s="77"/>
      <c r="GG198" s="77"/>
      <c r="GH198" s="77"/>
      <c r="GI198" s="77"/>
      <c r="GJ198" s="77"/>
      <c r="GK198" s="77"/>
      <c r="HL198" s="77"/>
      <c r="HM198" s="77"/>
      <c r="HN198" s="77"/>
      <c r="HO198" s="77"/>
      <c r="HP198" s="77"/>
      <c r="HQ198" s="77"/>
      <c r="HR198" s="77"/>
      <c r="HS198" s="77"/>
      <c r="HT198" s="77"/>
      <c r="HU198" s="77"/>
      <c r="HV198" s="77"/>
      <c r="HW198" s="77"/>
      <c r="HX198" s="77"/>
      <c r="HY198" s="77"/>
      <c r="HZ198" s="77"/>
      <c r="IA198" s="77"/>
      <c r="IB198" s="77"/>
      <c r="IC198" s="77"/>
      <c r="ID198" s="77"/>
      <c r="IE198" s="77"/>
      <c r="IF198" s="16"/>
      <c r="IG198" s="16"/>
      <c r="IH198" s="16"/>
      <c r="II198" s="16"/>
      <c r="IJ198" s="16"/>
      <c r="IK198" s="16"/>
      <c r="IL198" s="16"/>
      <c r="IM198" s="16"/>
      <c r="IN198" s="16"/>
      <c r="IO198" s="16"/>
      <c r="IP198" s="16"/>
      <c r="IQ198" s="16"/>
      <c r="IR198" s="16"/>
      <c r="IS198" s="16"/>
      <c r="IT198" s="16"/>
      <c r="IU198" s="16"/>
      <c r="IV198" s="16"/>
      <c r="IW198" s="16"/>
      <c r="IX198" s="16"/>
      <c r="IY198" s="16"/>
      <c r="IZ198" s="16"/>
      <c r="JA198" s="16"/>
      <c r="JB198" s="16"/>
      <c r="JC198" s="16"/>
      <c r="JD198" s="16"/>
      <c r="JE198" s="16"/>
      <c r="JF198" s="16"/>
      <c r="JG198" s="16"/>
      <c r="JH198" s="16"/>
      <c r="JI198" s="16"/>
      <c r="JJ198" s="16"/>
      <c r="JK198" s="16"/>
      <c r="JL198" s="16"/>
      <c r="JM198" s="16"/>
      <c r="JN198" s="16"/>
      <c r="JO198" s="16"/>
      <c r="JP198" s="16"/>
      <c r="JQ198" s="16"/>
      <c r="JR198" s="16"/>
      <c r="JS198" s="16"/>
      <c r="JT198" s="16"/>
      <c r="JU198" s="16"/>
      <c r="JV198" s="16"/>
      <c r="JW198" s="16"/>
      <c r="JX198" s="16"/>
      <c r="JY198" s="77"/>
      <c r="JZ198" s="77"/>
      <c r="KA198" s="77"/>
      <c r="KB198" s="77"/>
      <c r="KC198" s="77"/>
      <c r="KD198" s="77"/>
      <c r="KE198" s="77"/>
      <c r="KF198" s="77"/>
      <c r="KG198" s="77"/>
      <c r="KH198" s="77"/>
      <c r="KI198" s="77"/>
      <c r="KJ198" s="77"/>
      <c r="KK198" s="77"/>
      <c r="KL198" s="77"/>
      <c r="LL198" s="77"/>
      <c r="LM198" s="77"/>
      <c r="LN198" s="77"/>
      <c r="LO198" s="77"/>
      <c r="LP198" s="77"/>
      <c r="LQ198" s="77"/>
      <c r="LR198" s="77"/>
      <c r="LS198" s="77"/>
      <c r="LT198" s="77"/>
      <c r="LU198" s="77"/>
      <c r="LV198" s="77"/>
    </row>
    <row r="199" spans="1:421" ht="18.600000000000001" customHeight="1" x14ac:dyDescent="0.25">
      <c r="A199" s="119" t="s">
        <v>541</v>
      </c>
      <c r="B199" s="27" t="s">
        <v>2295</v>
      </c>
      <c r="C199" s="27" t="s">
        <v>2296</v>
      </c>
      <c r="D199" s="30" t="str">
        <f>HYPERLINK("https://twitter.com/MFATurkey","https://twitter.com/MFATurkey")</f>
        <v>https://twitter.com/MFATurkey</v>
      </c>
      <c r="E199" s="30" t="str">
        <f>HYPERLINK("http://twiplomacy.com/info/europe/Turkey","http://twiplomacy.com/info/europe/Turkey")</f>
        <v>http://twiplomacy.com/info/europe/Turkey</v>
      </c>
      <c r="F199" s="10" t="s">
        <v>332</v>
      </c>
      <c r="G199" s="10" t="s">
        <v>536</v>
      </c>
      <c r="H199" s="10" t="s">
        <v>795</v>
      </c>
      <c r="I199" s="10" t="s">
        <v>782</v>
      </c>
      <c r="J199" s="27" t="s">
        <v>2254</v>
      </c>
      <c r="K199" s="10" t="s">
        <v>777</v>
      </c>
      <c r="L199" s="10" t="s">
        <v>771</v>
      </c>
      <c r="M199" s="10" t="s">
        <v>770</v>
      </c>
      <c r="N199" s="30" t="str">
        <f>HYPERLINK("https://twitter.com/MFATurkey/statuses/124129581883068416","https://twitter.com/MFATurkey/statuses/124129581883068416")</f>
        <v>https://twitter.com/MFATurkey/statuses/124129581883068416</v>
      </c>
      <c r="O199" s="27" t="s">
        <v>5952</v>
      </c>
      <c r="P199" s="80">
        <v>135</v>
      </c>
      <c r="Q199" s="80">
        <v>56</v>
      </c>
      <c r="R199" s="27" t="s">
        <v>2994</v>
      </c>
      <c r="S199" s="10" t="s">
        <v>2297</v>
      </c>
      <c r="T199" s="10" t="s">
        <v>771</v>
      </c>
      <c r="U199" s="10" t="s">
        <v>771</v>
      </c>
      <c r="V199" s="10" t="s">
        <v>771</v>
      </c>
      <c r="W199" s="10"/>
      <c r="X199" s="27" t="s">
        <v>541</v>
      </c>
      <c r="Y199" s="27" t="s">
        <v>2295</v>
      </c>
      <c r="Z199" s="80">
        <v>5650</v>
      </c>
      <c r="AA199" s="27">
        <v>54</v>
      </c>
      <c r="AB199" s="80">
        <v>40348</v>
      </c>
      <c r="AC199" s="27">
        <v>0</v>
      </c>
      <c r="AD199" s="27" t="s">
        <v>4101</v>
      </c>
      <c r="AE199" s="27">
        <v>389479556</v>
      </c>
      <c r="AF199" s="27" t="s">
        <v>2296</v>
      </c>
      <c r="AG199" s="27"/>
      <c r="AH199" s="79">
        <v>3.3954326923076898</v>
      </c>
      <c r="AI199" s="83">
        <v>2.5703999999999998</v>
      </c>
      <c r="AJ199" s="80">
        <v>8.8805790108564509</v>
      </c>
      <c r="AK199" s="80">
        <v>2.40892641737033</v>
      </c>
      <c r="AL199" s="27">
        <v>19</v>
      </c>
      <c r="AM199" s="97">
        <f t="shared" si="3"/>
        <v>5.9375000000000001E-3</v>
      </c>
      <c r="AN199" s="27" t="s">
        <v>541</v>
      </c>
      <c r="AO199" s="27">
        <v>2</v>
      </c>
      <c r="AP199" s="27">
        <v>63</v>
      </c>
      <c r="AQ199" s="27">
        <v>37</v>
      </c>
      <c r="AR199" s="27">
        <f>SUM(AO199:AQ199)</f>
        <v>102</v>
      </c>
      <c r="AS199" s="27" t="s">
        <v>5317</v>
      </c>
      <c r="AT199" s="27" t="s">
        <v>5318</v>
      </c>
      <c r="AU199" s="84" t="s">
        <v>4851</v>
      </c>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77"/>
      <c r="CD199" s="77"/>
      <c r="CE199" s="77"/>
      <c r="CF199" s="77"/>
      <c r="CG199" s="77"/>
      <c r="CH199" s="77"/>
      <c r="CI199" s="77"/>
      <c r="CJ199" s="77"/>
      <c r="CK199" s="77"/>
      <c r="CL199" s="77"/>
      <c r="CM199" s="77"/>
      <c r="CN199" s="77"/>
      <c r="CO199" s="77"/>
      <c r="CP199" s="77"/>
      <c r="CQ199" s="77"/>
      <c r="CR199" s="77"/>
      <c r="CS199" s="77"/>
      <c r="CT199" s="77"/>
      <c r="CU199" s="77"/>
      <c r="CV199" s="77"/>
      <c r="CW199" s="77"/>
      <c r="CX199" s="77"/>
      <c r="CY199" s="77"/>
      <c r="CZ199" s="77"/>
      <c r="DA199" s="77"/>
      <c r="DB199" s="77"/>
      <c r="DC199" s="77"/>
      <c r="DD199" s="77"/>
      <c r="DE199" s="77"/>
      <c r="DF199" s="77"/>
      <c r="DG199" s="77"/>
      <c r="DH199" s="77"/>
      <c r="DI199" s="77"/>
      <c r="DJ199" s="77"/>
      <c r="DK199" s="77"/>
      <c r="DL199" s="77"/>
      <c r="DM199" s="77"/>
      <c r="DN199" s="77"/>
      <c r="DO199" s="77"/>
      <c r="DP199" s="77"/>
      <c r="DQ199" s="77"/>
      <c r="DR199" s="77"/>
      <c r="DS199" s="77"/>
      <c r="DT199" s="77"/>
      <c r="DU199" s="77"/>
      <c r="DV199" s="77"/>
      <c r="DW199" s="77"/>
      <c r="DX199" s="77"/>
      <c r="DY199" s="77"/>
      <c r="DZ199" s="77"/>
      <c r="EA199" s="77"/>
      <c r="EB199" s="77"/>
      <c r="EC199" s="77"/>
      <c r="ED199" s="77"/>
      <c r="EE199" s="77"/>
      <c r="EF199" s="77"/>
      <c r="EG199" s="77"/>
      <c r="EH199" s="77"/>
      <c r="EI199" s="77"/>
      <c r="EJ199" s="77"/>
      <c r="EK199" s="77"/>
      <c r="EL199" s="77"/>
      <c r="EM199" s="77"/>
      <c r="EN199" s="77"/>
      <c r="EO199" s="77"/>
      <c r="HL199" s="77"/>
      <c r="HM199" s="77"/>
      <c r="HN199" s="77"/>
      <c r="HO199" s="77"/>
      <c r="HP199" s="77"/>
      <c r="HQ199" s="77"/>
      <c r="HR199" s="77"/>
      <c r="HS199" s="77"/>
      <c r="HT199" s="77"/>
      <c r="HU199" s="77"/>
      <c r="HV199" s="77"/>
      <c r="HW199" s="77"/>
      <c r="HX199" s="77"/>
      <c r="HY199" s="77"/>
      <c r="HZ199" s="77"/>
      <c r="IA199" s="77"/>
      <c r="IB199" s="77"/>
      <c r="IC199" s="77"/>
      <c r="ID199" s="77"/>
      <c r="IE199" s="77"/>
      <c r="JY199" s="77"/>
      <c r="JZ199" s="77"/>
      <c r="KA199" s="77"/>
      <c r="KB199" s="77"/>
      <c r="KC199" s="77"/>
      <c r="KD199" s="77"/>
      <c r="KE199" s="77"/>
      <c r="KF199" s="77"/>
      <c r="KG199" s="77"/>
      <c r="KH199" s="77"/>
      <c r="KI199" s="77"/>
      <c r="KJ199" s="77"/>
      <c r="KK199" s="77"/>
      <c r="KL199" s="77"/>
      <c r="KM199" s="77"/>
      <c r="KN199" s="77"/>
      <c r="KO199" s="77"/>
      <c r="KP199" s="77"/>
      <c r="KQ199" s="77"/>
      <c r="KR199" s="77"/>
      <c r="KS199" s="77"/>
      <c r="KT199" s="77"/>
      <c r="KU199" s="77"/>
      <c r="KV199" s="77"/>
      <c r="KW199" s="77"/>
      <c r="KX199" s="77"/>
      <c r="KY199" s="77"/>
      <c r="KZ199" s="77"/>
      <c r="LA199" s="77"/>
      <c r="LB199" s="77"/>
      <c r="LC199" s="77"/>
      <c r="LD199" s="77"/>
      <c r="LE199" s="77"/>
      <c r="LF199" s="77"/>
      <c r="LG199" s="77"/>
      <c r="LH199" s="77"/>
      <c r="LI199" s="77"/>
      <c r="LJ199" s="77"/>
      <c r="LK199" s="77"/>
      <c r="LW199" s="77"/>
      <c r="LX199" s="77"/>
      <c r="LY199" s="77"/>
      <c r="LZ199" s="77"/>
      <c r="MA199" s="77"/>
      <c r="MB199" s="77"/>
      <c r="MC199" s="77"/>
      <c r="MD199" s="77"/>
      <c r="ME199" s="77"/>
      <c r="MF199" s="77"/>
      <c r="MG199" s="77"/>
      <c r="MH199" s="77"/>
      <c r="MI199" s="77"/>
      <c r="MJ199" s="77"/>
      <c r="MK199" s="77"/>
      <c r="ML199" s="77"/>
      <c r="MM199" s="77"/>
      <c r="MN199" s="77"/>
      <c r="MO199" s="77"/>
      <c r="MP199" s="77"/>
      <c r="MQ199" s="77"/>
      <c r="MR199" s="77"/>
    </row>
    <row r="200" spans="1:421" ht="18.600000000000001" customHeight="1" x14ac:dyDescent="0.25">
      <c r="A200" s="119" t="s">
        <v>554</v>
      </c>
      <c r="B200" s="27" t="s">
        <v>2348</v>
      </c>
      <c r="C200" s="27" t="s">
        <v>2349</v>
      </c>
      <c r="D200" s="30" t="str">
        <f>HYPERLINK("https://twitter.com/cabinetofficeuk","https://twitter.com/cabinetofficeuk")</f>
        <v>https://twitter.com/cabinetofficeuk</v>
      </c>
      <c r="E200" s="30" t="str">
        <f>HYPERLINK("http://twiplomacy.com/info/europe/United-Kingdom","http://twiplomacy.com/info/europe/United-Kingdom")</f>
        <v>http://twiplomacy.com/info/europe/United-Kingdom</v>
      </c>
      <c r="F200" s="10" t="s">
        <v>332</v>
      </c>
      <c r="G200" s="10" t="s">
        <v>549</v>
      </c>
      <c r="H200" s="10" t="s">
        <v>788</v>
      </c>
      <c r="I200" s="10" t="s">
        <v>782</v>
      </c>
      <c r="J200" s="27" t="s">
        <v>789</v>
      </c>
      <c r="K200" s="15" t="s">
        <v>777</v>
      </c>
      <c r="L200" s="10" t="s">
        <v>771</v>
      </c>
      <c r="M200" s="10" t="s">
        <v>770</v>
      </c>
      <c r="N200" s="30" t="str">
        <f>HYPERLINK("https://twitter.com/cabinetofficeuk/statuses/13978769256","https://twitter.com/cabinetofficeuk/statuses/13978769256")</f>
        <v>https://twitter.com/cabinetofficeuk/statuses/13978769256</v>
      </c>
      <c r="O200" s="27" t="s">
        <v>5724</v>
      </c>
      <c r="P200" s="80">
        <v>892</v>
      </c>
      <c r="Q200" s="80">
        <v>259</v>
      </c>
      <c r="R200" s="27" t="s">
        <v>2994</v>
      </c>
      <c r="S200" s="30" t="str">
        <f>HYPERLINK("https://twitter.com/cabinetofficeuk/lists","https://twitter.com/cabinetofficeuk/lists")</f>
        <v>https://twitter.com/cabinetofficeuk/lists</v>
      </c>
      <c r="T200" s="10">
        <v>6</v>
      </c>
      <c r="U200" s="10" t="s">
        <v>771</v>
      </c>
      <c r="V200" s="10" t="s">
        <v>771</v>
      </c>
      <c r="W200" s="10"/>
      <c r="X200" s="27" t="s">
        <v>554</v>
      </c>
      <c r="Y200" s="27" t="s">
        <v>2348</v>
      </c>
      <c r="Z200" s="80">
        <v>5591</v>
      </c>
      <c r="AA200" s="27">
        <v>263</v>
      </c>
      <c r="AB200" s="80">
        <v>291555</v>
      </c>
      <c r="AC200" s="27">
        <v>487</v>
      </c>
      <c r="AD200" s="27" t="s">
        <v>3543</v>
      </c>
      <c r="AE200" s="27">
        <v>143478208</v>
      </c>
      <c r="AF200" s="27" t="s">
        <v>2349</v>
      </c>
      <c r="AG200" s="27" t="s">
        <v>549</v>
      </c>
      <c r="AH200" s="79">
        <v>2.5635029802842699</v>
      </c>
      <c r="AI200" s="83">
        <v>4.1186224489795897</v>
      </c>
      <c r="AJ200" s="80">
        <v>24.043962848297198</v>
      </c>
      <c r="AK200" s="80">
        <v>12.0018575851393</v>
      </c>
      <c r="AL200" s="27">
        <v>47</v>
      </c>
      <c r="AM200" s="97">
        <f t="shared" si="3"/>
        <v>1.4687499999999999E-2</v>
      </c>
      <c r="AN200" s="27" t="s">
        <v>554</v>
      </c>
      <c r="AO200" s="27">
        <v>1</v>
      </c>
      <c r="AP200" s="27">
        <v>31</v>
      </c>
      <c r="AQ200" s="27">
        <v>2</v>
      </c>
      <c r="AR200" s="27">
        <f>SUM(AO200:AQ200)</f>
        <v>34</v>
      </c>
      <c r="AS200" s="27" t="s">
        <v>638</v>
      </c>
      <c r="AT200" s="27" t="s">
        <v>6684</v>
      </c>
      <c r="AU200" s="84" t="s">
        <v>4672</v>
      </c>
      <c r="BM200" s="77"/>
      <c r="BN200" s="77"/>
      <c r="BO200" s="77"/>
      <c r="BP200" s="77"/>
      <c r="BQ200" s="76"/>
      <c r="BR200" s="76"/>
      <c r="BS200" s="76"/>
      <c r="BT200" s="76"/>
      <c r="BU200" s="76"/>
      <c r="BV200" s="76"/>
      <c r="BW200" s="76"/>
      <c r="BX200" s="76"/>
      <c r="BY200" s="76"/>
      <c r="BZ200" s="76"/>
      <c r="CA200" s="76"/>
      <c r="CB200" s="76"/>
      <c r="CK200" s="77"/>
      <c r="CL200" s="77"/>
      <c r="CM200" s="77"/>
      <c r="CN200" s="77"/>
      <c r="CO200" s="77"/>
      <c r="CP200" s="77"/>
      <c r="CQ200" s="77"/>
      <c r="CR200" s="77"/>
      <c r="CS200" s="77"/>
      <c r="CT200" s="77"/>
      <c r="CU200" s="77"/>
      <c r="CV200" s="77"/>
      <c r="CW200" s="77"/>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P200" s="77"/>
      <c r="EQ200" s="77"/>
      <c r="ER200" s="77"/>
      <c r="ES200" s="77"/>
      <c r="ET200" s="77"/>
      <c r="EU200" s="77"/>
      <c r="EV200" s="77"/>
      <c r="EW200" s="77"/>
      <c r="EX200" s="77"/>
      <c r="EY200" s="77"/>
      <c r="EZ200" s="77"/>
      <c r="FA200" s="77"/>
      <c r="FB200" s="77"/>
      <c r="FC200" s="77"/>
      <c r="FD200" s="77"/>
      <c r="FE200" s="77"/>
      <c r="FF200" s="77"/>
      <c r="FG200" s="77"/>
      <c r="FH200" s="77"/>
      <c r="FI200" s="77"/>
      <c r="FJ200" s="77"/>
      <c r="FK200" s="77"/>
      <c r="FL200" s="77"/>
      <c r="FM200" s="77"/>
      <c r="FN200" s="77"/>
      <c r="FO200" s="77"/>
      <c r="FP200" s="77"/>
      <c r="FQ200" s="77"/>
      <c r="FR200" s="77"/>
      <c r="FS200" s="77"/>
      <c r="FT200" s="77"/>
      <c r="FU200" s="77"/>
      <c r="FV200" s="77"/>
      <c r="FW200" s="77"/>
      <c r="FX200" s="77"/>
      <c r="FY200" s="77"/>
      <c r="FZ200" s="77"/>
      <c r="GA200" s="77"/>
      <c r="GB200" s="77"/>
      <c r="GC200" s="77"/>
      <c r="GD200" s="77"/>
      <c r="GE200" s="77"/>
      <c r="GF200" s="77"/>
      <c r="GG200" s="77"/>
      <c r="GH200" s="77"/>
      <c r="GI200" s="77"/>
      <c r="GJ200" s="77"/>
      <c r="GK200" s="77"/>
      <c r="GL200" s="77"/>
      <c r="GM200" s="77"/>
      <c r="GN200" s="77"/>
      <c r="GO200" s="77"/>
      <c r="GP200" s="77"/>
      <c r="GQ200" s="77"/>
      <c r="GR200" s="77"/>
      <c r="GS200" s="77"/>
      <c r="GT200" s="77"/>
      <c r="GU200" s="77"/>
      <c r="GV200" s="77"/>
      <c r="GW200" s="77"/>
      <c r="GX200" s="77"/>
      <c r="GY200" s="77"/>
      <c r="GZ200" s="77"/>
      <c r="HA200" s="77"/>
      <c r="HB200" s="77"/>
      <c r="HC200" s="77"/>
      <c r="HD200" s="77"/>
      <c r="HE200" s="77"/>
      <c r="HF200" s="77"/>
      <c r="HG200" s="77"/>
      <c r="HH200" s="77"/>
      <c r="HI200" s="77"/>
      <c r="HJ200" s="77"/>
      <c r="HK200" s="77"/>
      <c r="HL200" s="16"/>
      <c r="HM200" s="16"/>
      <c r="HN200" s="16"/>
      <c r="HO200" s="16"/>
      <c r="HP200" s="16"/>
      <c r="HQ200" s="16"/>
      <c r="HR200" s="16"/>
      <c r="HS200" s="16"/>
      <c r="HT200" s="16"/>
      <c r="HU200" s="16"/>
      <c r="HV200" s="16"/>
      <c r="HW200" s="16"/>
      <c r="HX200" s="16"/>
      <c r="HY200" s="16"/>
      <c r="HZ200" s="16"/>
      <c r="IA200" s="16"/>
      <c r="IB200" s="16"/>
      <c r="IC200" s="16"/>
      <c r="JY200" s="77"/>
      <c r="JZ200" s="77"/>
      <c r="KA200" s="77"/>
      <c r="KB200" s="77"/>
      <c r="KC200" s="77"/>
      <c r="KD200" s="77"/>
      <c r="KE200" s="77"/>
      <c r="KF200" s="77"/>
      <c r="KG200" s="77"/>
      <c r="KH200" s="77"/>
      <c r="KI200" s="77"/>
      <c r="KJ200" s="77"/>
      <c r="KK200" s="77"/>
      <c r="KL200" s="77"/>
      <c r="KM200" s="77"/>
      <c r="KN200" s="77"/>
      <c r="KO200" s="77"/>
      <c r="KP200" s="77"/>
      <c r="KQ200" s="77"/>
      <c r="KR200" s="77"/>
      <c r="KS200" s="77"/>
      <c r="KT200" s="77"/>
      <c r="KU200" s="77"/>
      <c r="KV200" s="77"/>
      <c r="KW200" s="77"/>
      <c r="KX200" s="77"/>
      <c r="KY200" s="77"/>
      <c r="KZ200" s="77"/>
      <c r="LA200" s="77"/>
      <c r="LB200" s="77"/>
      <c r="LC200" s="77"/>
      <c r="LD200" s="77"/>
      <c r="LE200" s="77"/>
      <c r="LF200" s="77"/>
      <c r="LG200" s="77"/>
      <c r="LH200" s="77"/>
      <c r="LI200" s="77"/>
      <c r="LJ200" s="77"/>
      <c r="LK200" s="77"/>
      <c r="LL200" s="77"/>
      <c r="LM200" s="77"/>
      <c r="LN200" s="77"/>
      <c r="LO200" s="77"/>
      <c r="LP200" s="77"/>
      <c r="LQ200" s="77"/>
      <c r="LR200" s="77"/>
      <c r="LS200" s="77"/>
      <c r="LT200" s="77"/>
      <c r="LU200" s="77"/>
      <c r="LV200" s="77"/>
      <c r="LW200" s="77"/>
      <c r="LX200" s="77"/>
      <c r="LY200" s="77"/>
      <c r="LZ200" s="77"/>
      <c r="MA200" s="77"/>
      <c r="MB200" s="77"/>
      <c r="MC200" s="77"/>
      <c r="MD200" s="77"/>
      <c r="ME200" s="77"/>
      <c r="MF200" s="77"/>
      <c r="MG200" s="77"/>
      <c r="MH200" s="77"/>
      <c r="MI200" s="77"/>
      <c r="MJ200" s="77"/>
      <c r="MK200" s="77"/>
      <c r="ML200" s="77"/>
      <c r="MM200" s="77"/>
      <c r="MN200" s="77"/>
      <c r="MO200" s="77"/>
      <c r="MP200" s="77"/>
      <c r="MQ200" s="77"/>
      <c r="MR200" s="77"/>
    </row>
    <row r="201" spans="1:421" ht="18.600000000000001" customHeight="1" x14ac:dyDescent="0.25">
      <c r="A201" s="119" t="s">
        <v>677</v>
      </c>
      <c r="B201" s="27" t="s">
        <v>2700</v>
      </c>
      <c r="C201" s="27" t="s">
        <v>2701</v>
      </c>
      <c r="D201" s="30" t="str">
        <f>HYPERLINK("https://twitter.com/BrazilGovNews","https://twitter.com/BrazilGovNews")</f>
        <v>https://twitter.com/BrazilGovNews</v>
      </c>
      <c r="E201" s="30" t="str">
        <f>HYPERLINK("http://twiplomacy.com/info/south-america/Brazil","http://twiplomacy.com/info/south-america/Brazil")</f>
        <v>http://twiplomacy.com/info/south-america/Brazil</v>
      </c>
      <c r="F201" s="10" t="s">
        <v>668</v>
      </c>
      <c r="G201" s="10" t="s">
        <v>673</v>
      </c>
      <c r="H201" s="10" t="s">
        <v>788</v>
      </c>
      <c r="I201" s="10" t="s">
        <v>782</v>
      </c>
      <c r="J201" s="27" t="s">
        <v>789</v>
      </c>
      <c r="K201" s="10" t="s">
        <v>777</v>
      </c>
      <c r="L201" s="10" t="s">
        <v>771</v>
      </c>
      <c r="M201" s="10" t="s">
        <v>770</v>
      </c>
      <c r="N201" s="30" t="str">
        <f>HYPERLINK("https://twitter.com/BrazilGovNews/statuses/11249827079","https://twitter.com/BrazilGovNews/statuses/11249827079")</f>
        <v>https://twitter.com/BrazilGovNews/statuses/11249827079</v>
      </c>
      <c r="O201" s="27" t="s">
        <v>5717</v>
      </c>
      <c r="P201" s="80">
        <v>267</v>
      </c>
      <c r="Q201" s="80">
        <v>305</v>
      </c>
      <c r="R201" s="27" t="s">
        <v>2994</v>
      </c>
      <c r="S201" s="30" t="str">
        <f>HYPERLINK("https://twitter.com/BrazilGovNews/lists","https://twitter.com/BrazilGovNews/lists")</f>
        <v>https://twitter.com/BrazilGovNews/lists</v>
      </c>
      <c r="T201" s="10" t="s">
        <v>771</v>
      </c>
      <c r="U201" s="10" t="s">
        <v>771</v>
      </c>
      <c r="V201" s="10" t="s">
        <v>771</v>
      </c>
      <c r="W201" s="10"/>
      <c r="X201" s="27" t="s">
        <v>677</v>
      </c>
      <c r="Y201" s="27" t="s">
        <v>2700</v>
      </c>
      <c r="Z201" s="80">
        <v>5564</v>
      </c>
      <c r="AA201" s="27">
        <v>110</v>
      </c>
      <c r="AB201" s="80">
        <v>31905</v>
      </c>
      <c r="AC201" s="27">
        <v>6</v>
      </c>
      <c r="AD201" s="27" t="s">
        <v>3525</v>
      </c>
      <c r="AE201" s="27">
        <v>126397246</v>
      </c>
      <c r="AF201" s="27" t="s">
        <v>2701</v>
      </c>
      <c r="AG201" s="27" t="s">
        <v>2702</v>
      </c>
      <c r="AH201" s="79">
        <v>2.49506726457399</v>
      </c>
      <c r="AI201" s="83">
        <v>3.84898929845422</v>
      </c>
      <c r="AJ201" s="80">
        <v>3.9150973507820002</v>
      </c>
      <c r="AK201" s="80">
        <v>2.8104053622725802</v>
      </c>
      <c r="AL201" s="27">
        <v>51</v>
      </c>
      <c r="AM201" s="97">
        <f t="shared" si="3"/>
        <v>1.59375E-2</v>
      </c>
      <c r="AN201" s="27" t="s">
        <v>677</v>
      </c>
      <c r="AO201" s="27">
        <v>0</v>
      </c>
      <c r="AP201" s="27">
        <v>9</v>
      </c>
      <c r="AQ201" s="27">
        <v>4</v>
      </c>
      <c r="AR201" s="27">
        <f>SUM(AO201:AQ201)</f>
        <v>13</v>
      </c>
      <c r="AS201" s="27"/>
      <c r="AT201" s="27" t="s">
        <v>5046</v>
      </c>
      <c r="AU201" s="84" t="s">
        <v>4665</v>
      </c>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c r="BZ201" s="77"/>
      <c r="CA201" s="77"/>
      <c r="CB201" s="77"/>
      <c r="CC201" s="77"/>
      <c r="CD201" s="77"/>
      <c r="CE201" s="77"/>
      <c r="CF201" s="77"/>
      <c r="CG201" s="77"/>
      <c r="CH201" s="77"/>
      <c r="CI201" s="77"/>
      <c r="CJ201" s="77"/>
      <c r="CK201" s="77"/>
      <c r="CL201" s="77"/>
      <c r="CM201" s="77"/>
      <c r="CN201" s="77"/>
      <c r="CO201" s="77"/>
      <c r="CP201" s="77"/>
      <c r="CQ201" s="77"/>
      <c r="CR201" s="77"/>
      <c r="CS201" s="77"/>
      <c r="CT201" s="77"/>
      <c r="CU201" s="77"/>
      <c r="CV201" s="77"/>
      <c r="CW201" s="77"/>
      <c r="CX201" s="77"/>
      <c r="CY201" s="77"/>
      <c r="CZ201" s="77"/>
      <c r="DA201" s="77"/>
      <c r="DB201" s="77"/>
      <c r="DC201" s="77"/>
      <c r="DD201" s="77"/>
      <c r="DE201" s="77"/>
      <c r="DF201" s="77"/>
      <c r="DG201" s="77"/>
      <c r="DH201" s="77"/>
      <c r="DI201" s="77"/>
      <c r="DJ201" s="77"/>
      <c r="DK201" s="77"/>
      <c r="DL201" s="77"/>
      <c r="DM201" s="77"/>
      <c r="DN201" s="77"/>
      <c r="DO201" s="77"/>
      <c r="DP201" s="77"/>
      <c r="DQ201" s="77"/>
      <c r="DR201" s="77"/>
      <c r="DS201" s="77"/>
      <c r="DT201" s="77"/>
      <c r="DU201" s="77"/>
      <c r="DV201" s="77"/>
      <c r="DW201" s="77"/>
      <c r="DX201" s="77"/>
      <c r="DY201" s="77"/>
      <c r="DZ201" s="77"/>
      <c r="EA201" s="77"/>
      <c r="EB201" s="77"/>
      <c r="EC201" s="77"/>
      <c r="ED201" s="77"/>
      <c r="EE201" s="77"/>
      <c r="EF201" s="77"/>
      <c r="EG201" s="77"/>
      <c r="EH201" s="77"/>
      <c r="EI201" s="77"/>
      <c r="EJ201" s="77"/>
      <c r="EK201" s="77"/>
      <c r="EL201" s="77"/>
      <c r="EM201" s="77"/>
      <c r="EN201" s="77"/>
      <c r="EO201" s="77"/>
      <c r="EP201" s="77"/>
      <c r="EQ201" s="77"/>
      <c r="GL201" s="77"/>
      <c r="GM201" s="77"/>
      <c r="GN201" s="77"/>
      <c r="GO201" s="77"/>
      <c r="GP201" s="77"/>
      <c r="GQ201" s="77"/>
      <c r="GR201" s="77"/>
      <c r="GS201" s="77"/>
      <c r="GT201" s="77"/>
      <c r="GU201" s="77"/>
      <c r="GV201" s="77"/>
      <c r="GW201" s="77"/>
      <c r="GX201" s="77"/>
      <c r="GY201" s="77"/>
      <c r="GZ201" s="77"/>
      <c r="HA201" s="77"/>
      <c r="HB201" s="77"/>
      <c r="HC201" s="77"/>
      <c r="HD201" s="77"/>
      <c r="HE201" s="77"/>
      <c r="HF201" s="77"/>
      <c r="HG201" s="77"/>
      <c r="HH201" s="77"/>
      <c r="HI201" s="77"/>
      <c r="HJ201" s="77"/>
      <c r="HK201" s="77"/>
      <c r="HL201" s="77"/>
      <c r="HM201" s="77"/>
      <c r="HN201" s="77"/>
      <c r="HO201" s="77"/>
      <c r="HP201" s="77"/>
      <c r="HQ201" s="77"/>
      <c r="HR201" s="77"/>
      <c r="HS201" s="77"/>
      <c r="HT201" s="77"/>
      <c r="HU201" s="77"/>
      <c r="HV201" s="77"/>
      <c r="HW201" s="77"/>
      <c r="HX201" s="77"/>
      <c r="HY201" s="77"/>
      <c r="HZ201" s="77"/>
      <c r="IA201" s="77"/>
      <c r="IB201" s="77"/>
      <c r="IC201" s="77"/>
      <c r="ID201" s="77"/>
      <c r="IE201" s="77"/>
      <c r="IF201" s="77"/>
      <c r="IG201" s="77"/>
      <c r="IH201" s="77"/>
      <c r="II201" s="77"/>
      <c r="IJ201" s="77"/>
      <c r="IK201" s="77"/>
      <c r="IL201" s="77"/>
      <c r="IM201" s="77"/>
      <c r="IN201" s="77"/>
      <c r="IO201" s="77"/>
      <c r="IP201" s="77"/>
      <c r="IQ201" s="77"/>
      <c r="IR201" s="77"/>
      <c r="IS201" s="77"/>
      <c r="IT201" s="77"/>
      <c r="IU201" s="77"/>
      <c r="IV201" s="77"/>
      <c r="IW201" s="77"/>
      <c r="IX201" s="77"/>
      <c r="IY201" s="77"/>
      <c r="IZ201" s="77"/>
      <c r="JA201" s="77"/>
      <c r="JB201" s="77"/>
      <c r="JC201" s="77"/>
      <c r="JD201" s="77"/>
      <c r="JE201" s="77"/>
      <c r="JF201" s="77"/>
      <c r="JG201" s="77"/>
      <c r="JH201" s="77"/>
      <c r="JI201" s="77"/>
      <c r="JJ201" s="77"/>
      <c r="JK201" s="77"/>
      <c r="JL201" s="77"/>
      <c r="JM201" s="77"/>
      <c r="JN201" s="77"/>
      <c r="JO201" s="77"/>
      <c r="JP201" s="77"/>
      <c r="JQ201" s="77"/>
      <c r="JR201" s="77"/>
      <c r="JS201" s="77"/>
      <c r="JT201" s="77"/>
      <c r="JU201" s="77"/>
      <c r="JV201" s="77"/>
      <c r="JW201" s="77"/>
      <c r="JX201" s="77"/>
      <c r="KM201" s="77"/>
      <c r="KN201" s="77"/>
      <c r="KO201" s="77"/>
      <c r="KP201" s="77"/>
      <c r="KQ201" s="77"/>
      <c r="KR201" s="77"/>
      <c r="KS201" s="77"/>
      <c r="KT201" s="77"/>
      <c r="KU201" s="77"/>
      <c r="KV201" s="77"/>
      <c r="KW201" s="77"/>
      <c r="KX201" s="77"/>
      <c r="KY201" s="77"/>
      <c r="KZ201" s="77"/>
      <c r="LA201" s="77"/>
      <c r="LB201" s="77"/>
      <c r="LC201" s="77"/>
      <c r="LD201" s="77"/>
      <c r="LE201" s="77"/>
      <c r="LF201" s="77"/>
      <c r="LG201" s="77"/>
      <c r="LH201" s="77"/>
      <c r="LI201" s="77"/>
      <c r="LJ201" s="77"/>
      <c r="LK201" s="77"/>
    </row>
    <row r="202" spans="1:421" ht="18.600000000000001" customHeight="1" x14ac:dyDescent="0.25">
      <c r="A202" s="119" t="s">
        <v>66</v>
      </c>
      <c r="B202" s="27" t="s">
        <v>942</v>
      </c>
      <c r="C202" s="27" t="s">
        <v>943</v>
      </c>
      <c r="D202" s="30" t="str">
        <f>HYPERLINK("https://twitter.com/Ukenyatta","https://twitter.com/Ukenyatta")</f>
        <v>https://twitter.com/Ukenyatta</v>
      </c>
      <c r="E202" s="30" t="str">
        <f>HYPERLINK("http://twiplomacy.com/info/africa/Kenya","http://twiplomacy.com/info/africa/Kenya")</f>
        <v>http://twiplomacy.com/info/africa/Kenya</v>
      </c>
      <c r="F202" s="10" t="s">
        <v>1</v>
      </c>
      <c r="G202" s="10" t="s">
        <v>65</v>
      </c>
      <c r="H202" s="10" t="s">
        <v>772</v>
      </c>
      <c r="I202" s="10" t="s">
        <v>773</v>
      </c>
      <c r="J202" s="27" t="s">
        <v>789</v>
      </c>
      <c r="K202" s="15" t="s">
        <v>777</v>
      </c>
      <c r="L202" s="10" t="s">
        <v>771</v>
      </c>
      <c r="M202" s="10" t="s">
        <v>770</v>
      </c>
      <c r="N202" s="30" t="str">
        <f>HYPERLINK("https://twitter.com/UKenyatta/statuses/23998143679","https://twitter.com/UKenyatta/statuses/23998143679")</f>
        <v>https://twitter.com/UKenyatta/statuses/23998143679</v>
      </c>
      <c r="O202" s="27" t="s">
        <v>944</v>
      </c>
      <c r="P202" s="80">
        <v>1399</v>
      </c>
      <c r="Q202" s="80">
        <v>714</v>
      </c>
      <c r="R202" s="27" t="s">
        <v>2994</v>
      </c>
      <c r="S202" s="10" t="s">
        <v>945</v>
      </c>
      <c r="T202" s="10" t="s">
        <v>771</v>
      </c>
      <c r="U202" s="10" t="s">
        <v>771</v>
      </c>
      <c r="V202" s="10" t="s">
        <v>771</v>
      </c>
      <c r="W202" s="10"/>
      <c r="X202" s="27" t="s">
        <v>66</v>
      </c>
      <c r="Y202" s="27" t="s">
        <v>942</v>
      </c>
      <c r="Z202" s="80">
        <v>5508</v>
      </c>
      <c r="AA202" s="27">
        <v>27</v>
      </c>
      <c r="AB202" s="80">
        <v>1444730</v>
      </c>
      <c r="AC202" s="27">
        <v>50</v>
      </c>
      <c r="AD202" s="27" t="s">
        <v>4553</v>
      </c>
      <c r="AE202" s="27">
        <v>183165874</v>
      </c>
      <c r="AF202" s="27" t="s">
        <v>943</v>
      </c>
      <c r="AG202" s="27" t="s">
        <v>946</v>
      </c>
      <c r="AH202" s="79">
        <v>2.6531791907514499</v>
      </c>
      <c r="AI202" s="83">
        <v>4.0086526576019796</v>
      </c>
      <c r="AJ202" s="80">
        <v>69.332280701754399</v>
      </c>
      <c r="AK202" s="80">
        <v>69.999298245614</v>
      </c>
      <c r="AL202" s="96">
        <v>30</v>
      </c>
      <c r="AM202" s="97">
        <f t="shared" si="3"/>
        <v>9.3749999999999997E-3</v>
      </c>
      <c r="AN202" s="27" t="s">
        <v>66</v>
      </c>
      <c r="AO202" s="27">
        <v>10</v>
      </c>
      <c r="AP202" s="27">
        <v>52</v>
      </c>
      <c r="AQ202" s="27">
        <v>5</v>
      </c>
      <c r="AR202" s="27">
        <f>SUM(AO202:AQ202)</f>
        <v>67</v>
      </c>
      <c r="AS202" s="27" t="s">
        <v>6261</v>
      </c>
      <c r="AT202" s="27" t="s">
        <v>6352</v>
      </c>
      <c r="AU202" s="84" t="s">
        <v>6189</v>
      </c>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c r="BZ202" s="77"/>
      <c r="CA202" s="77"/>
      <c r="CB202" s="77"/>
      <c r="CC202" s="77"/>
      <c r="CD202" s="77"/>
      <c r="CE202" s="77"/>
      <c r="CF202" s="77"/>
      <c r="CG202" s="77"/>
      <c r="CH202" s="77"/>
      <c r="CI202" s="77"/>
      <c r="CJ202" s="77"/>
      <c r="CK202" s="77"/>
      <c r="CL202" s="77"/>
      <c r="CM202" s="77"/>
      <c r="CN202" s="77"/>
      <c r="CO202" s="77"/>
      <c r="CP202" s="77"/>
      <c r="CQ202" s="77"/>
      <c r="CR202" s="77"/>
      <c r="CS202" s="77"/>
      <c r="CT202" s="77"/>
      <c r="CU202" s="77"/>
      <c r="CV202" s="77"/>
      <c r="CW202" s="77"/>
      <c r="CX202" s="77"/>
      <c r="CY202" s="77"/>
      <c r="CZ202" s="77"/>
      <c r="DA202" s="77"/>
      <c r="DB202" s="77"/>
      <c r="DC202" s="77"/>
      <c r="DD202" s="77"/>
      <c r="DE202" s="77"/>
      <c r="DF202" s="77"/>
      <c r="DG202" s="77"/>
      <c r="DH202" s="77"/>
      <c r="DI202" s="77"/>
      <c r="DJ202" s="77"/>
      <c r="DK202" s="77"/>
      <c r="DL202" s="77"/>
      <c r="DM202" s="77"/>
      <c r="DN202" s="77"/>
      <c r="DO202" s="77"/>
      <c r="DP202" s="77"/>
      <c r="DQ202" s="77"/>
      <c r="DR202" s="77"/>
      <c r="DS202" s="77"/>
      <c r="DT202" s="77"/>
      <c r="DU202" s="77"/>
      <c r="DV202" s="77"/>
      <c r="DW202" s="77"/>
      <c r="DX202" s="77"/>
      <c r="DY202" s="77"/>
      <c r="DZ202" s="77"/>
      <c r="EA202" s="77"/>
      <c r="EB202" s="77"/>
      <c r="EC202" s="77"/>
      <c r="ED202" s="77"/>
      <c r="EE202" s="77"/>
      <c r="EF202" s="77"/>
      <c r="EG202" s="77"/>
      <c r="EH202" s="77"/>
      <c r="EI202" s="77"/>
      <c r="EJ202" s="77"/>
      <c r="EK202" s="77"/>
      <c r="EL202" s="77"/>
      <c r="EM202" s="77"/>
      <c r="EN202" s="77"/>
      <c r="EO202" s="77"/>
      <c r="EP202" s="77"/>
      <c r="EQ202" s="77"/>
      <c r="GL202" s="77"/>
      <c r="GM202" s="77"/>
      <c r="GN202" s="77"/>
      <c r="GO202" s="77"/>
      <c r="GP202" s="77"/>
      <c r="GQ202" s="77"/>
      <c r="GR202" s="77"/>
      <c r="GS202" s="77"/>
      <c r="GT202" s="77"/>
      <c r="GU202" s="77"/>
      <c r="GV202" s="77"/>
      <c r="GW202" s="77"/>
      <c r="GX202" s="77"/>
      <c r="GY202" s="77"/>
      <c r="GZ202" s="77"/>
      <c r="HA202" s="77"/>
      <c r="HB202" s="77"/>
      <c r="HC202" s="77"/>
      <c r="HD202" s="77"/>
      <c r="HE202" s="77"/>
      <c r="HF202" s="77"/>
      <c r="HG202" s="77"/>
      <c r="HH202" s="77"/>
      <c r="HI202" s="77"/>
      <c r="HJ202" s="77"/>
      <c r="HK202" s="77"/>
      <c r="HL202" s="77"/>
      <c r="HM202" s="77"/>
      <c r="HN202" s="77"/>
      <c r="HO202" s="77"/>
      <c r="HP202" s="77"/>
      <c r="HQ202" s="77"/>
      <c r="HR202" s="77"/>
      <c r="HS202" s="77"/>
      <c r="HT202" s="77"/>
      <c r="HU202" s="77"/>
      <c r="HV202" s="77"/>
      <c r="HW202" s="77"/>
      <c r="HX202" s="77"/>
      <c r="HY202" s="77"/>
      <c r="HZ202" s="77"/>
      <c r="IA202" s="77"/>
      <c r="IB202" s="77"/>
      <c r="IC202" s="77"/>
      <c r="ID202" s="16"/>
      <c r="IE202" s="16"/>
      <c r="IF202" s="77"/>
      <c r="IG202" s="77"/>
      <c r="IH202" s="77"/>
      <c r="II202" s="77"/>
      <c r="IJ202" s="77"/>
      <c r="IK202" s="77"/>
      <c r="IL202" s="77"/>
      <c r="IM202" s="77"/>
      <c r="IN202" s="77"/>
      <c r="IO202" s="77"/>
      <c r="IP202" s="77"/>
      <c r="IQ202" s="77"/>
      <c r="IR202" s="77"/>
      <c r="IS202" s="77"/>
      <c r="IT202" s="77"/>
      <c r="IU202" s="77"/>
      <c r="IV202" s="77"/>
      <c r="IW202" s="77"/>
      <c r="IX202" s="77"/>
      <c r="IY202" s="77"/>
      <c r="IZ202" s="77"/>
      <c r="JA202" s="77"/>
      <c r="JB202" s="77"/>
      <c r="JC202" s="77"/>
      <c r="JD202" s="77"/>
      <c r="JE202" s="77"/>
      <c r="JF202" s="77"/>
      <c r="JG202" s="77"/>
      <c r="JH202" s="77"/>
      <c r="JI202" s="77"/>
      <c r="JJ202" s="77"/>
      <c r="JK202" s="77"/>
      <c r="JL202" s="77"/>
      <c r="JM202" s="77"/>
      <c r="JN202" s="77"/>
      <c r="JO202" s="77"/>
      <c r="JP202" s="77"/>
      <c r="JQ202" s="77"/>
      <c r="JR202" s="77"/>
      <c r="JS202" s="77"/>
      <c r="JT202" s="77"/>
      <c r="JU202" s="77"/>
      <c r="JV202" s="77"/>
      <c r="JW202" s="77"/>
      <c r="JX202" s="77"/>
      <c r="JY202" s="77"/>
      <c r="JZ202" s="77"/>
      <c r="KA202" s="77"/>
      <c r="KB202" s="77"/>
      <c r="KC202" s="77"/>
      <c r="KD202" s="77"/>
      <c r="KE202" s="77"/>
      <c r="KF202" s="77"/>
      <c r="KG202" s="77"/>
      <c r="KH202" s="77"/>
      <c r="KI202" s="77"/>
      <c r="KJ202" s="77"/>
      <c r="KK202" s="77"/>
      <c r="KL202" s="77"/>
      <c r="KM202" s="77"/>
      <c r="KN202" s="77"/>
      <c r="KO202" s="77"/>
      <c r="KP202" s="77"/>
      <c r="KQ202" s="77"/>
      <c r="KR202" s="77"/>
      <c r="KS202" s="77"/>
      <c r="KT202" s="77"/>
      <c r="KU202" s="77"/>
      <c r="KV202" s="77"/>
      <c r="KW202" s="77"/>
      <c r="KX202" s="77"/>
      <c r="KY202" s="77"/>
      <c r="KZ202" s="77"/>
      <c r="LA202" s="77"/>
      <c r="LB202" s="77"/>
      <c r="LC202" s="77"/>
      <c r="LD202" s="77"/>
      <c r="LE202" s="77"/>
      <c r="LF202" s="77"/>
      <c r="LG202" s="77"/>
      <c r="LH202" s="77"/>
      <c r="LI202" s="77"/>
      <c r="LJ202" s="77"/>
      <c r="LK202" s="77"/>
      <c r="LW202" s="77"/>
      <c r="LX202" s="77"/>
      <c r="LY202" s="77"/>
      <c r="LZ202" s="77"/>
      <c r="MA202" s="77"/>
      <c r="MB202" s="77"/>
      <c r="MC202" s="77"/>
      <c r="MD202" s="77"/>
      <c r="ME202" s="77"/>
      <c r="MF202" s="77"/>
      <c r="MG202" s="77"/>
      <c r="MH202" s="77"/>
      <c r="MI202" s="77"/>
      <c r="MJ202" s="77"/>
      <c r="MK202" s="77"/>
      <c r="ML202" s="77"/>
      <c r="MM202" s="77"/>
      <c r="MN202" s="77"/>
      <c r="MO202" s="77"/>
      <c r="MP202" s="77"/>
      <c r="MQ202" s="77"/>
      <c r="MR202" s="77"/>
    </row>
    <row r="203" spans="1:421" ht="18.600000000000001" customHeight="1" x14ac:dyDescent="0.25">
      <c r="A203" s="119" t="s">
        <v>3312</v>
      </c>
      <c r="B203" s="27" t="s">
        <v>3826</v>
      </c>
      <c r="C203" s="27" t="s">
        <v>6400</v>
      </c>
      <c r="D203" s="30" t="s">
        <v>5566</v>
      </c>
      <c r="E203" s="30" t="str">
        <f>HYPERLINK("http://twiplomacy.com/info/asia/Bahrain","http://twiplomacy.com/info/asia/Bahrain")</f>
        <v>http://twiplomacy.com/info/asia/Bahrain</v>
      </c>
      <c r="F203" s="10" t="s">
        <v>154</v>
      </c>
      <c r="G203" s="10" t="s">
        <v>167</v>
      </c>
      <c r="H203" s="10" t="s">
        <v>788</v>
      </c>
      <c r="I203" s="10" t="s">
        <v>782</v>
      </c>
      <c r="J203" s="27" t="s">
        <v>789</v>
      </c>
      <c r="K203" s="15" t="s">
        <v>777</v>
      </c>
      <c r="L203" s="10" t="s">
        <v>771</v>
      </c>
      <c r="M203" s="10" t="s">
        <v>770</v>
      </c>
      <c r="N203" s="30" t="str">
        <f>HYPERLINK("https://twitter.com/iGABahrain/statuses/4907313499","https://twitter.com/iGABahrain/statuses/4907313499")</f>
        <v>https://twitter.com/iGABahrain/statuses/4907313499</v>
      </c>
      <c r="O203" s="30" t="str">
        <f>HYPERLINK("https://twitter.com/iGABahrain/statuses/86329192865742849","https://twitter.com/iGABahrain/statuses/86329192865742849")</f>
        <v>https://twitter.com/iGABahrain/statuses/86329192865742849</v>
      </c>
      <c r="P203" s="46">
        <v>114</v>
      </c>
      <c r="Q203" s="46">
        <v>0</v>
      </c>
      <c r="R203" s="27" t="s">
        <v>2994</v>
      </c>
      <c r="S203" s="10" t="s">
        <v>3313</v>
      </c>
      <c r="T203" s="10" t="s">
        <v>771</v>
      </c>
      <c r="U203" s="10" t="s">
        <v>771</v>
      </c>
      <c r="V203" s="10" t="s">
        <v>771</v>
      </c>
      <c r="W203" s="10"/>
      <c r="X203" s="27" t="s">
        <v>3312</v>
      </c>
      <c r="Y203" s="27" t="s">
        <v>3826</v>
      </c>
      <c r="Z203" s="80">
        <v>5498</v>
      </c>
      <c r="AA203" s="27">
        <v>181</v>
      </c>
      <c r="AB203" s="80">
        <v>22562</v>
      </c>
      <c r="AC203" s="27">
        <v>478</v>
      </c>
      <c r="AD203" s="27" t="s">
        <v>3827</v>
      </c>
      <c r="AE203" s="27">
        <v>82787948</v>
      </c>
      <c r="AF203" s="27" t="s">
        <v>6400</v>
      </c>
      <c r="AG203" s="27" t="s">
        <v>167</v>
      </c>
      <c r="AH203" s="79">
        <v>2.3004184100418401</v>
      </c>
      <c r="AI203" s="83">
        <v>3.3336787564766799</v>
      </c>
      <c r="AJ203" s="80">
        <v>2.40675580577058</v>
      </c>
      <c r="AK203" s="80">
        <v>0.72343420126671398</v>
      </c>
      <c r="AL203" s="27">
        <v>328</v>
      </c>
      <c r="AM203" s="97">
        <f t="shared" si="3"/>
        <v>0.10249999999999999</v>
      </c>
      <c r="AN203" s="27" t="s">
        <v>3312</v>
      </c>
      <c r="AO203" s="27">
        <v>4</v>
      </c>
      <c r="AP203" s="27">
        <v>2</v>
      </c>
      <c r="AQ203" s="27">
        <v>3</v>
      </c>
      <c r="AR203" s="27">
        <f>SUM(AO203:AQ203)</f>
        <v>9</v>
      </c>
      <c r="AS203" s="27" t="s">
        <v>5188</v>
      </c>
      <c r="AT203" s="27" t="s">
        <v>5189</v>
      </c>
      <c r="AU203" s="84" t="s">
        <v>4759</v>
      </c>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77"/>
      <c r="CD203" s="77"/>
      <c r="CE203" s="77"/>
      <c r="CF203" s="77"/>
      <c r="CG203" s="77"/>
      <c r="CH203" s="77"/>
      <c r="CI203" s="77"/>
      <c r="CJ203" s="77"/>
      <c r="CK203" s="77"/>
      <c r="CL203" s="77"/>
      <c r="CM203" s="77"/>
      <c r="CN203" s="77"/>
      <c r="CO203" s="77"/>
      <c r="CP203" s="77"/>
      <c r="CQ203" s="77"/>
      <c r="CR203" s="77"/>
      <c r="CS203" s="77"/>
      <c r="CT203" s="77"/>
      <c r="CU203" s="77"/>
      <c r="CV203" s="77"/>
      <c r="CW203" s="77"/>
      <c r="CX203" s="77"/>
      <c r="CY203" s="77"/>
      <c r="CZ203" s="77"/>
      <c r="DA203" s="77"/>
      <c r="DB203" s="77"/>
      <c r="DC203" s="77"/>
      <c r="DD203" s="77"/>
      <c r="DE203" s="77"/>
      <c r="DF203" s="77"/>
      <c r="DG203" s="77"/>
      <c r="DH203" s="77"/>
      <c r="DI203" s="77"/>
      <c r="DJ203" s="77"/>
      <c r="DK203" s="77"/>
      <c r="DL203" s="77"/>
      <c r="DM203" s="77"/>
      <c r="DN203" s="77"/>
      <c r="DO203" s="77"/>
      <c r="DP203" s="77"/>
      <c r="DQ203" s="77"/>
      <c r="DR203" s="77"/>
      <c r="DS203" s="77"/>
      <c r="DT203" s="77"/>
      <c r="DU203" s="77"/>
      <c r="DV203" s="77"/>
      <c r="DW203" s="77"/>
      <c r="DX203" s="77"/>
      <c r="DY203" s="77"/>
      <c r="DZ203" s="77"/>
      <c r="EA203" s="77"/>
      <c r="EB203" s="77"/>
      <c r="EC203" s="77"/>
      <c r="ED203" s="77"/>
      <c r="EE203" s="77"/>
      <c r="EF203" s="77"/>
      <c r="EG203" s="77"/>
      <c r="EH203" s="77"/>
      <c r="EI203" s="77"/>
      <c r="EJ203" s="77"/>
      <c r="EK203" s="77"/>
      <c r="EL203" s="77"/>
      <c r="EM203" s="77"/>
      <c r="EN203" s="77"/>
      <c r="EO203" s="77"/>
      <c r="EP203" s="77"/>
      <c r="EQ203" s="77"/>
      <c r="ER203" s="77"/>
      <c r="ES203" s="77"/>
      <c r="ET203" s="77"/>
      <c r="EU203" s="77"/>
      <c r="EV203" s="77"/>
      <c r="EW203" s="77"/>
      <c r="EX203" s="77"/>
      <c r="EY203" s="77"/>
      <c r="EZ203" s="77"/>
      <c r="FA203" s="77"/>
      <c r="FB203" s="77"/>
      <c r="FC203" s="77"/>
      <c r="FD203" s="77"/>
      <c r="FE203" s="77"/>
      <c r="FF203" s="77"/>
      <c r="FG203" s="77"/>
      <c r="FH203" s="77"/>
      <c r="FI203" s="77"/>
      <c r="FJ203" s="77"/>
      <c r="FK203" s="77"/>
      <c r="FL203" s="77"/>
      <c r="FM203" s="77"/>
      <c r="FN203" s="77"/>
      <c r="FO203" s="77"/>
      <c r="FP203" s="77"/>
      <c r="FQ203" s="77"/>
      <c r="FR203" s="77"/>
      <c r="FS203" s="77"/>
      <c r="FT203" s="77"/>
      <c r="FU203" s="77"/>
      <c r="FV203" s="77"/>
      <c r="FW203" s="77"/>
      <c r="FX203" s="77"/>
      <c r="FY203" s="77"/>
      <c r="FZ203" s="77"/>
      <c r="GA203" s="77"/>
      <c r="GB203" s="77"/>
      <c r="GC203" s="77"/>
      <c r="GD203" s="77"/>
      <c r="GE203" s="77"/>
      <c r="GF203" s="77"/>
      <c r="GG203" s="77"/>
      <c r="GH203" s="77"/>
      <c r="GI203" s="77"/>
      <c r="GJ203" s="77"/>
      <c r="GK203" s="77"/>
      <c r="GL203" s="77"/>
      <c r="GM203" s="77"/>
      <c r="GN203" s="77"/>
      <c r="GO203" s="77"/>
      <c r="GP203" s="77"/>
      <c r="GQ203" s="77"/>
      <c r="GR203" s="77"/>
      <c r="GS203" s="77"/>
      <c r="GT203" s="77"/>
      <c r="GU203" s="77"/>
      <c r="GV203" s="77"/>
      <c r="GW203" s="77"/>
      <c r="GX203" s="77"/>
      <c r="GY203" s="77"/>
      <c r="GZ203" s="77"/>
      <c r="HA203" s="77"/>
      <c r="HB203" s="77"/>
      <c r="HC203" s="77"/>
      <c r="HD203" s="77"/>
      <c r="HE203" s="77"/>
      <c r="HF203" s="77"/>
      <c r="HG203" s="77"/>
      <c r="HH203" s="77"/>
      <c r="HI203" s="77"/>
      <c r="HJ203" s="77"/>
      <c r="HK203" s="77"/>
      <c r="HL203" s="77"/>
      <c r="HM203" s="77"/>
      <c r="HN203" s="77"/>
      <c r="HO203" s="77"/>
      <c r="HP203" s="77"/>
      <c r="HQ203" s="77"/>
      <c r="HR203" s="77"/>
      <c r="HS203" s="77"/>
      <c r="HT203" s="77"/>
      <c r="HU203" s="77"/>
      <c r="HV203" s="77"/>
      <c r="HW203" s="77"/>
      <c r="HX203" s="77"/>
      <c r="HY203" s="77"/>
      <c r="HZ203" s="77"/>
      <c r="IA203" s="77"/>
      <c r="IB203" s="77"/>
      <c r="IC203" s="77"/>
      <c r="ID203" s="77"/>
      <c r="IE203" s="77"/>
      <c r="IF203" s="77"/>
      <c r="IG203" s="77"/>
      <c r="IH203" s="77"/>
      <c r="II203" s="77"/>
      <c r="IJ203" s="77"/>
      <c r="IK203" s="77"/>
      <c r="IL203" s="77"/>
      <c r="IM203" s="77"/>
      <c r="IN203" s="77"/>
      <c r="IO203" s="77"/>
      <c r="IP203" s="77"/>
      <c r="IQ203" s="77"/>
      <c r="IR203" s="77"/>
      <c r="IS203" s="77"/>
      <c r="IT203" s="77"/>
      <c r="IU203" s="77"/>
      <c r="IV203" s="77"/>
      <c r="IW203" s="77"/>
      <c r="IX203" s="77"/>
      <c r="IY203" s="77"/>
      <c r="IZ203" s="77"/>
      <c r="JA203" s="77"/>
      <c r="JB203" s="77"/>
      <c r="JC203" s="77"/>
      <c r="JD203" s="77"/>
      <c r="JE203" s="77"/>
      <c r="JF203" s="77"/>
      <c r="JG203" s="77"/>
      <c r="JH203" s="77"/>
      <c r="JI203" s="77"/>
      <c r="JJ203" s="77"/>
      <c r="JK203" s="77"/>
      <c r="JL203" s="77"/>
      <c r="JM203" s="77"/>
      <c r="JN203" s="77"/>
      <c r="JO203" s="77"/>
      <c r="JP203" s="77"/>
      <c r="JQ203" s="77"/>
      <c r="JR203" s="77"/>
      <c r="JS203" s="77"/>
      <c r="JT203" s="77"/>
      <c r="JU203" s="77"/>
      <c r="JV203" s="77"/>
      <c r="JW203" s="77"/>
      <c r="JX203" s="77"/>
      <c r="JY203" s="77"/>
      <c r="JZ203" s="77"/>
      <c r="KA203" s="77"/>
      <c r="KB203" s="77"/>
      <c r="KC203" s="77"/>
      <c r="KD203" s="77"/>
      <c r="KE203" s="77"/>
      <c r="KF203" s="77"/>
      <c r="KG203" s="77"/>
      <c r="KH203" s="77"/>
      <c r="KI203" s="77"/>
      <c r="KJ203" s="77"/>
      <c r="KK203" s="77"/>
      <c r="KL203" s="77"/>
      <c r="LL203" s="77"/>
      <c r="LM203" s="77"/>
      <c r="LN203" s="77"/>
      <c r="LO203" s="77"/>
      <c r="LP203" s="77"/>
      <c r="LQ203" s="77"/>
      <c r="LR203" s="77"/>
      <c r="LS203" s="77"/>
      <c r="LT203" s="77"/>
      <c r="LU203" s="77"/>
      <c r="LV203" s="77"/>
      <c r="LY203" s="77"/>
      <c r="LZ203" s="77"/>
      <c r="MA203" s="77"/>
      <c r="MB203" s="77"/>
      <c r="MC203" s="77"/>
      <c r="MD203" s="77"/>
      <c r="ME203" s="77"/>
      <c r="MF203" s="77"/>
      <c r="MG203" s="77"/>
      <c r="MH203" s="77"/>
      <c r="MI203" s="77"/>
      <c r="MJ203" s="77"/>
      <c r="MK203" s="77"/>
      <c r="ML203" s="77"/>
      <c r="MM203" s="77"/>
      <c r="MN203" s="77"/>
      <c r="MO203" s="77"/>
      <c r="MP203" s="77"/>
      <c r="MQ203" s="77"/>
      <c r="MR203" s="77"/>
      <c r="MT203" s="77"/>
      <c r="MU203" s="77"/>
      <c r="MV203" s="77"/>
      <c r="MW203" s="77"/>
      <c r="MX203" s="77"/>
      <c r="MY203" s="77"/>
      <c r="MZ203" s="77"/>
      <c r="NA203" s="77"/>
      <c r="NB203" s="77"/>
      <c r="NC203" s="77"/>
    </row>
    <row r="204" spans="1:421" ht="18.600000000000001" customHeight="1" x14ac:dyDescent="0.25">
      <c r="A204" s="119" t="s">
        <v>255</v>
      </c>
      <c r="B204" s="27" t="s">
        <v>1501</v>
      </c>
      <c r="C204" s="27" t="s">
        <v>1502</v>
      </c>
      <c r="D204" s="30" t="str">
        <f>HYPERLINK("https://twitter.com/PurevsurenL","https://twitter.com/PurevsurenL")</f>
        <v>https://twitter.com/PurevsurenL</v>
      </c>
      <c r="E204" s="30" t="str">
        <f>HYPERLINK("http://twiplomacy.com/info/asia/Mongolia","http://twiplomacy.com/info/asia/Mongolia")</f>
        <v>http://twiplomacy.com/info/asia/Mongolia</v>
      </c>
      <c r="F204" s="10" t="s">
        <v>154</v>
      </c>
      <c r="G204" s="10" t="s">
        <v>252</v>
      </c>
      <c r="H204" s="10" t="s">
        <v>860</v>
      </c>
      <c r="I204" s="10" t="s">
        <v>773</v>
      </c>
      <c r="J204" s="27" t="s">
        <v>789</v>
      </c>
      <c r="K204" s="15" t="s">
        <v>777</v>
      </c>
      <c r="L204" s="10" t="s">
        <v>771</v>
      </c>
      <c r="M204" s="10" t="s">
        <v>771</v>
      </c>
      <c r="N204" s="30" t="str">
        <f>HYPERLINK("https://twitter.com/PurevsurenL/status/252947469015601152","https://twitter.com/PurevsurenL/status/252947469015601152")</f>
        <v>https://twitter.com/PurevsurenL/status/252947469015601152</v>
      </c>
      <c r="O204" s="27" t="s">
        <v>6059</v>
      </c>
      <c r="P204" s="80">
        <v>280</v>
      </c>
      <c r="Q204" s="80">
        <v>223</v>
      </c>
      <c r="R204" s="27" t="s">
        <v>2995</v>
      </c>
      <c r="S204" s="30" t="str">
        <f>HYPERLINK("https://twitter.com/PurevsurenL/lists","https://twitter.com/PurevsurenL/lists")</f>
        <v>https://twitter.com/PurevsurenL/lists</v>
      </c>
      <c r="T204" s="10">
        <v>2</v>
      </c>
      <c r="U204" s="10" t="s">
        <v>771</v>
      </c>
      <c r="V204" s="10" t="s">
        <v>771</v>
      </c>
      <c r="W204" s="10"/>
      <c r="X204" s="27" t="s">
        <v>255</v>
      </c>
      <c r="Y204" s="27" t="s">
        <v>1501</v>
      </c>
      <c r="Z204" s="80">
        <v>5417</v>
      </c>
      <c r="AA204" s="27">
        <v>228</v>
      </c>
      <c r="AB204" s="80">
        <v>6536</v>
      </c>
      <c r="AC204" s="27">
        <v>185</v>
      </c>
      <c r="AD204" s="27" t="s">
        <v>4394</v>
      </c>
      <c r="AE204" s="27">
        <v>602657202</v>
      </c>
      <c r="AF204" s="27" t="s">
        <v>1502</v>
      </c>
      <c r="AG204" s="27"/>
      <c r="AH204" s="79">
        <v>3.8040730337078701</v>
      </c>
      <c r="AI204" s="83">
        <v>5.9797047970479698</v>
      </c>
      <c r="AJ204" s="80">
        <v>5.7092469018112499</v>
      </c>
      <c r="AK204" s="80">
        <v>3.5691134413727399</v>
      </c>
      <c r="AL204" s="27">
        <v>111</v>
      </c>
      <c r="AM204" s="97">
        <f t="shared" si="3"/>
        <v>3.4687500000000003E-2</v>
      </c>
      <c r="AN204" s="27" t="s">
        <v>255</v>
      </c>
      <c r="AO204" s="27">
        <v>3</v>
      </c>
      <c r="AP204" s="27">
        <v>10</v>
      </c>
      <c r="AQ204" s="27">
        <v>6</v>
      </c>
      <c r="AR204" s="27">
        <f>SUM(AO204:AQ204)</f>
        <v>19</v>
      </c>
      <c r="AS204" s="27" t="s">
        <v>5458</v>
      </c>
      <c r="AT204" s="27" t="s">
        <v>6335</v>
      </c>
      <c r="AU204" s="84" t="s">
        <v>6182</v>
      </c>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c r="BZ204" s="77"/>
      <c r="CA204" s="77"/>
      <c r="CB204" s="77"/>
      <c r="CC204" s="77"/>
      <c r="CD204" s="77"/>
      <c r="CE204" s="77"/>
      <c r="CF204" s="77"/>
      <c r="CG204" s="77"/>
      <c r="CH204" s="77"/>
      <c r="CI204" s="77"/>
      <c r="CJ204" s="77"/>
      <c r="CK204" s="77"/>
      <c r="CL204" s="77"/>
      <c r="CM204" s="77"/>
      <c r="CN204" s="77"/>
      <c r="CO204" s="77"/>
      <c r="CP204" s="77"/>
      <c r="CQ204" s="77"/>
      <c r="CR204" s="77"/>
      <c r="CS204" s="77"/>
      <c r="CT204" s="77"/>
      <c r="CU204" s="77"/>
      <c r="CV204" s="77"/>
      <c r="CW204" s="77"/>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77"/>
      <c r="EN204" s="77"/>
      <c r="EO204" s="77"/>
      <c r="EP204" s="77"/>
      <c r="EQ204" s="77"/>
      <c r="ER204" s="77"/>
      <c r="ES204" s="77"/>
      <c r="ET204" s="77"/>
      <c r="EU204" s="77"/>
      <c r="EV204" s="77"/>
      <c r="EW204" s="77"/>
      <c r="EX204" s="77"/>
      <c r="EY204" s="77"/>
      <c r="EZ204" s="77"/>
      <c r="FA204" s="77"/>
      <c r="FB204" s="77"/>
      <c r="FC204" s="77"/>
      <c r="FD204" s="77"/>
      <c r="FE204" s="77"/>
      <c r="FF204" s="77"/>
      <c r="FG204" s="77"/>
      <c r="FH204" s="77"/>
      <c r="FI204" s="77"/>
      <c r="FJ204" s="77"/>
      <c r="FK204" s="77"/>
      <c r="FL204" s="77"/>
      <c r="FM204" s="77"/>
      <c r="FN204" s="77"/>
      <c r="FO204" s="77"/>
      <c r="FP204" s="77"/>
      <c r="FQ204" s="77"/>
      <c r="FR204" s="77"/>
      <c r="FS204" s="77"/>
      <c r="FT204" s="77"/>
      <c r="FU204" s="77"/>
      <c r="FV204" s="77"/>
      <c r="FW204" s="77"/>
      <c r="FX204" s="77"/>
      <c r="FY204" s="77"/>
      <c r="FZ204" s="77"/>
      <c r="GA204" s="77"/>
      <c r="GB204" s="77"/>
      <c r="GC204" s="77"/>
      <c r="GD204" s="77"/>
      <c r="GE204" s="77"/>
      <c r="GF204" s="77"/>
      <c r="GG204" s="77"/>
      <c r="GH204" s="77"/>
      <c r="GI204" s="77"/>
      <c r="GJ204" s="77"/>
      <c r="GK204" s="77"/>
      <c r="GL204" s="77"/>
      <c r="GM204" s="77"/>
      <c r="GN204" s="77"/>
      <c r="GO204" s="77"/>
      <c r="GP204" s="77"/>
      <c r="GQ204" s="77"/>
      <c r="GR204" s="77"/>
      <c r="GS204" s="77"/>
      <c r="GT204" s="77"/>
      <c r="GU204" s="77"/>
      <c r="GV204" s="77"/>
      <c r="GW204" s="77"/>
      <c r="GX204" s="77"/>
      <c r="GY204" s="77"/>
      <c r="GZ204" s="77"/>
      <c r="HA204" s="77"/>
      <c r="HB204" s="77"/>
      <c r="HC204" s="77"/>
      <c r="HD204" s="77"/>
      <c r="HE204" s="77"/>
      <c r="HF204" s="77"/>
      <c r="HG204" s="77"/>
      <c r="HH204" s="77"/>
      <c r="HI204" s="77"/>
      <c r="HJ204" s="77"/>
      <c r="HK204" s="77"/>
      <c r="HL204" s="77"/>
      <c r="HM204" s="77"/>
      <c r="HN204" s="77"/>
      <c r="HO204" s="77"/>
      <c r="HP204" s="77"/>
      <c r="HQ204" s="77"/>
      <c r="HR204" s="77"/>
      <c r="HS204" s="77"/>
      <c r="HT204" s="77"/>
      <c r="HU204" s="77"/>
      <c r="HV204" s="77"/>
      <c r="HW204" s="77"/>
      <c r="HX204" s="77"/>
      <c r="HY204" s="77"/>
      <c r="HZ204" s="77"/>
      <c r="IA204" s="77"/>
      <c r="IB204" s="77"/>
      <c r="IC204" s="77"/>
      <c r="ID204" s="77"/>
      <c r="IE204" s="77"/>
      <c r="JY204" s="77"/>
      <c r="JZ204" s="77"/>
      <c r="KA204" s="77"/>
      <c r="KB204" s="77"/>
      <c r="KC204" s="77"/>
      <c r="KD204" s="77"/>
      <c r="KE204" s="77"/>
      <c r="KF204" s="77"/>
      <c r="KG204" s="77"/>
      <c r="KH204" s="77"/>
      <c r="KI204" s="77"/>
      <c r="KJ204" s="77"/>
      <c r="KK204" s="77"/>
      <c r="KL204" s="77"/>
      <c r="KM204" s="77"/>
      <c r="KN204" s="77"/>
      <c r="KO204" s="77"/>
      <c r="KP204" s="77"/>
      <c r="KQ204" s="77"/>
      <c r="KR204" s="77"/>
      <c r="KS204" s="77"/>
      <c r="KT204" s="77"/>
      <c r="KU204" s="77"/>
      <c r="KV204" s="77"/>
      <c r="KW204" s="77"/>
      <c r="KX204" s="77"/>
      <c r="KY204" s="77"/>
      <c r="KZ204" s="77"/>
      <c r="LA204" s="77"/>
      <c r="LB204" s="77"/>
      <c r="LC204" s="77"/>
      <c r="LD204" s="77"/>
      <c r="LE204" s="77"/>
      <c r="LF204" s="77"/>
      <c r="LG204" s="77"/>
      <c r="LH204" s="77"/>
      <c r="LI204" s="77"/>
      <c r="LJ204" s="77"/>
      <c r="LK204" s="77"/>
      <c r="LL204" s="16"/>
      <c r="LM204" s="16"/>
      <c r="LN204" s="16"/>
      <c r="LO204" s="16"/>
      <c r="LP204" s="16"/>
      <c r="LQ204" s="16"/>
      <c r="LR204" s="16"/>
      <c r="LS204" s="16"/>
      <c r="LT204" s="16"/>
      <c r="LU204" s="16"/>
      <c r="LV204" s="16"/>
      <c r="LW204" s="77"/>
      <c r="LX204" s="77"/>
      <c r="NE204" s="16"/>
      <c r="NF204" s="16"/>
      <c r="NG204" s="16"/>
      <c r="NH204" s="16"/>
      <c r="NI204" s="16"/>
      <c r="NJ204" s="16"/>
      <c r="NK204" s="16"/>
      <c r="NL204" s="16"/>
      <c r="NM204" s="16"/>
      <c r="NN204" s="16"/>
      <c r="NO204" s="16"/>
      <c r="NP204" s="16"/>
      <c r="NQ204" s="16"/>
      <c r="NR204" s="16"/>
      <c r="NS204" s="16"/>
      <c r="NT204" s="16"/>
      <c r="NU204" s="16"/>
      <c r="NV204" s="16"/>
      <c r="NW204" s="16"/>
      <c r="NX204" s="16"/>
      <c r="NY204" s="16"/>
      <c r="NZ204" s="16"/>
      <c r="OA204" s="16"/>
      <c r="OB204" s="16"/>
      <c r="OC204" s="16"/>
      <c r="OD204" s="16"/>
      <c r="OE204" s="16"/>
      <c r="OF204" s="16"/>
      <c r="OG204" s="16"/>
      <c r="OH204" s="16"/>
      <c r="OI204" s="16"/>
      <c r="OJ204" s="16"/>
      <c r="OK204" s="16"/>
      <c r="OL204" s="16"/>
      <c r="OM204" s="16"/>
      <c r="ON204" s="16"/>
      <c r="OO204" s="16"/>
      <c r="OP204" s="16"/>
      <c r="OQ204" s="16"/>
      <c r="OR204" s="16"/>
      <c r="OS204" s="16"/>
      <c r="OT204" s="16"/>
      <c r="OU204" s="16"/>
      <c r="OV204" s="16"/>
      <c r="OW204" s="16"/>
      <c r="OX204" s="16"/>
      <c r="OY204" s="16"/>
      <c r="OZ204" s="16"/>
      <c r="PA204" s="16"/>
      <c r="PB204" s="16"/>
      <c r="PC204" s="16"/>
      <c r="PD204" s="16"/>
      <c r="PE204" s="16"/>
    </row>
    <row r="205" spans="1:421" ht="18.600000000000001" customHeight="1" x14ac:dyDescent="0.25">
      <c r="A205" s="119" t="s">
        <v>427</v>
      </c>
      <c r="B205" s="27" t="s">
        <v>1975</v>
      </c>
      <c r="C205" s="27" t="s">
        <v>6435</v>
      </c>
      <c r="D205" s="30" t="str">
        <f>HYPERLINK("https://twitter.com/PaoloGentiloni","https://twitter.com/PaoloGentiloni")</f>
        <v>https://twitter.com/PaoloGentiloni</v>
      </c>
      <c r="E205" s="30" t="str">
        <f>HYPERLINK("http://twiplomacy.com/info/europe/Italy","http://twiplomacy.com/info/europe/Italy")</f>
        <v>http://twiplomacy.com/info/europe/Italy</v>
      </c>
      <c r="F205" s="10" t="s">
        <v>332</v>
      </c>
      <c r="G205" s="10" t="s">
        <v>424</v>
      </c>
      <c r="H205" s="10" t="s">
        <v>860</v>
      </c>
      <c r="I205" s="10" t="s">
        <v>773</v>
      </c>
      <c r="J205" s="27" t="s">
        <v>1852</v>
      </c>
      <c r="K205" s="15" t="s">
        <v>777</v>
      </c>
      <c r="L205" s="10" t="s">
        <v>771</v>
      </c>
      <c r="M205" s="10" t="s">
        <v>771</v>
      </c>
      <c r="N205" s="72" t="str">
        <f>HYPERLINK("https://twitter.com/PaoloGentiloni/status/133550946553827328","https://twitter.com/PaoloGentiloni/status/133550946553827328")</f>
        <v>https://twitter.com/PaoloGentiloni/status/133550946553827328</v>
      </c>
      <c r="O205" s="27" t="s">
        <v>6004</v>
      </c>
      <c r="P205" s="80">
        <v>1089</v>
      </c>
      <c r="Q205" s="80">
        <v>1155</v>
      </c>
      <c r="R205" s="27" t="s">
        <v>2994</v>
      </c>
      <c r="S205" s="30" t="str">
        <f>HYPERLINK("https://twitter.com/PaoloGentiloni/lists","https://twitter.com/PaoloGentiloni/lists")</f>
        <v>https://twitter.com/PaoloGentiloni/lists</v>
      </c>
      <c r="T205" s="10" t="s">
        <v>771</v>
      </c>
      <c r="U205" s="10" t="s">
        <v>771</v>
      </c>
      <c r="V205" s="10" t="s">
        <v>771</v>
      </c>
      <c r="W205" s="10"/>
      <c r="X205" s="27" t="s">
        <v>427</v>
      </c>
      <c r="Y205" s="27" t="s">
        <v>1975</v>
      </c>
      <c r="Z205" s="80">
        <v>5261</v>
      </c>
      <c r="AA205" s="27">
        <v>537</v>
      </c>
      <c r="AB205" s="80">
        <v>87916</v>
      </c>
      <c r="AC205" s="27">
        <v>56</v>
      </c>
      <c r="AD205" s="27" t="s">
        <v>4233</v>
      </c>
      <c r="AE205" s="27">
        <v>406869976</v>
      </c>
      <c r="AF205" s="27" t="s">
        <v>6435</v>
      </c>
      <c r="AG205" s="27"/>
      <c r="AH205" s="79">
        <v>3.2118437118437102</v>
      </c>
      <c r="AI205" s="83">
        <v>2.23291492329149</v>
      </c>
      <c r="AJ205" s="80">
        <v>12.2388193202147</v>
      </c>
      <c r="AK205" s="80">
        <v>7.5702146690518797</v>
      </c>
      <c r="AL205" s="27">
        <v>869</v>
      </c>
      <c r="AM205" s="97">
        <f t="shared" si="3"/>
        <v>0.27156249999999998</v>
      </c>
      <c r="AN205" s="27" t="s">
        <v>427</v>
      </c>
      <c r="AO205" s="27">
        <v>8</v>
      </c>
      <c r="AP205" s="27">
        <v>47</v>
      </c>
      <c r="AQ205" s="27">
        <v>13</v>
      </c>
      <c r="AR205" s="27">
        <f>SUM(AO205:AQ205)</f>
        <v>68</v>
      </c>
      <c r="AS205" s="27" t="s">
        <v>5382</v>
      </c>
      <c r="AT205" s="27" t="s">
        <v>6812</v>
      </c>
      <c r="AU205" s="84" t="s">
        <v>4886</v>
      </c>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c r="BZ205" s="77"/>
      <c r="CA205" s="77"/>
      <c r="CB205" s="77"/>
      <c r="CX205" s="77"/>
      <c r="CY205" s="77"/>
      <c r="CZ205" s="77"/>
      <c r="DA205" s="77"/>
      <c r="DB205" s="77"/>
      <c r="DC205" s="77"/>
      <c r="DD205" s="77"/>
      <c r="DE205" s="77"/>
      <c r="DF205" s="77"/>
      <c r="DG205" s="77"/>
      <c r="DH205" s="77"/>
      <c r="DI205" s="77"/>
      <c r="DJ205" s="77"/>
      <c r="DK205" s="77"/>
      <c r="DL205" s="77"/>
      <c r="DM205" s="77"/>
      <c r="DN205" s="77"/>
      <c r="DO205" s="77"/>
      <c r="DP205" s="77"/>
      <c r="DQ205" s="77"/>
      <c r="DR205" s="77"/>
      <c r="DS205" s="77"/>
      <c r="DT205" s="77"/>
      <c r="DU205" s="77"/>
      <c r="DV205" s="77"/>
      <c r="DW205" s="77"/>
      <c r="DX205" s="77"/>
      <c r="DY205" s="77"/>
      <c r="DZ205" s="77"/>
      <c r="EA205" s="77"/>
      <c r="EB205" s="77"/>
      <c r="EC205" s="77"/>
      <c r="ED205" s="77"/>
      <c r="EE205" s="77"/>
      <c r="EF205" s="77"/>
      <c r="EG205" s="77"/>
      <c r="EH205" s="77"/>
      <c r="EI205" s="77"/>
      <c r="EJ205" s="77"/>
      <c r="EK205" s="77"/>
      <c r="EL205" s="77"/>
      <c r="EM205" s="77"/>
      <c r="EN205" s="77"/>
      <c r="EO205" s="77"/>
      <c r="EP205" s="77"/>
      <c r="EQ205" s="77"/>
      <c r="ER205" s="77"/>
      <c r="ES205" s="77"/>
      <c r="ET205" s="77"/>
      <c r="EU205" s="77"/>
      <c r="EV205" s="77"/>
      <c r="EW205" s="77"/>
      <c r="EX205" s="77"/>
      <c r="EY205" s="77"/>
      <c r="EZ205" s="77"/>
      <c r="FA205" s="77"/>
      <c r="FB205" s="77"/>
      <c r="FC205" s="77"/>
      <c r="FD205" s="77"/>
      <c r="FE205" s="77"/>
      <c r="FF205" s="77"/>
      <c r="FG205" s="77"/>
      <c r="FH205" s="77"/>
      <c r="FI205" s="77"/>
      <c r="FJ205" s="77"/>
      <c r="FK205" s="77"/>
      <c r="FL205" s="77"/>
      <c r="FM205" s="77"/>
      <c r="FN205" s="77"/>
      <c r="FO205" s="77"/>
      <c r="FP205" s="77"/>
      <c r="FQ205" s="77"/>
      <c r="FR205" s="77"/>
      <c r="FS205" s="77"/>
      <c r="FT205" s="77"/>
      <c r="FU205" s="77"/>
      <c r="FV205" s="77"/>
      <c r="FW205" s="77"/>
      <c r="FX205" s="77"/>
      <c r="FY205" s="77"/>
      <c r="FZ205" s="77"/>
      <c r="GA205" s="77"/>
      <c r="GB205" s="77"/>
      <c r="GC205" s="77"/>
      <c r="GD205" s="77"/>
      <c r="GE205" s="77"/>
      <c r="GF205" s="77"/>
      <c r="GG205" s="77"/>
      <c r="GH205" s="77"/>
      <c r="GI205" s="77"/>
      <c r="GJ205" s="77"/>
      <c r="GK205" s="77"/>
      <c r="GL205" s="77"/>
      <c r="GM205" s="77"/>
      <c r="GN205" s="77"/>
      <c r="GO205" s="77"/>
      <c r="GP205" s="77"/>
      <c r="GQ205" s="77"/>
      <c r="GR205" s="77"/>
      <c r="GS205" s="77"/>
      <c r="GT205" s="77"/>
      <c r="GU205" s="77"/>
      <c r="GV205" s="77"/>
      <c r="GW205" s="77"/>
      <c r="GX205" s="77"/>
      <c r="GY205" s="77"/>
      <c r="GZ205" s="77"/>
      <c r="HA205" s="77"/>
      <c r="HB205" s="77"/>
      <c r="HC205" s="77"/>
      <c r="HD205" s="77"/>
      <c r="HE205" s="77"/>
      <c r="HF205" s="77"/>
      <c r="HG205" s="77"/>
      <c r="HH205" s="77"/>
      <c r="HI205" s="77"/>
      <c r="HJ205" s="77"/>
      <c r="HK205" s="77"/>
      <c r="HL205" s="77"/>
      <c r="HM205" s="77"/>
      <c r="HN205" s="77"/>
      <c r="HO205" s="77"/>
      <c r="HP205" s="77"/>
      <c r="HQ205" s="77"/>
      <c r="HR205" s="77"/>
      <c r="HS205" s="77"/>
      <c r="HT205" s="77"/>
      <c r="HU205" s="77"/>
      <c r="HV205" s="77"/>
      <c r="HW205" s="77"/>
      <c r="HX205" s="77"/>
      <c r="HY205" s="77"/>
      <c r="HZ205" s="77"/>
      <c r="IA205" s="77"/>
      <c r="IB205" s="77"/>
      <c r="IC205" s="77"/>
      <c r="IF205" s="77"/>
      <c r="IG205" s="77"/>
      <c r="IH205" s="77"/>
      <c r="II205" s="77"/>
      <c r="IJ205" s="77"/>
      <c r="IK205" s="77"/>
      <c r="IL205" s="77"/>
      <c r="IM205" s="77"/>
      <c r="IN205" s="77"/>
      <c r="IO205" s="77"/>
      <c r="IP205" s="77"/>
      <c r="IQ205" s="77"/>
      <c r="IR205" s="77"/>
      <c r="IS205" s="77"/>
      <c r="IT205" s="77"/>
      <c r="IU205" s="77"/>
      <c r="IV205" s="77"/>
      <c r="IW205" s="77"/>
      <c r="IX205" s="77"/>
      <c r="IY205" s="77"/>
      <c r="IZ205" s="77"/>
      <c r="JA205" s="77"/>
      <c r="JB205" s="77"/>
      <c r="JC205" s="77"/>
      <c r="JD205" s="77"/>
      <c r="JE205" s="77"/>
      <c r="JF205" s="77"/>
      <c r="JG205" s="77"/>
      <c r="JH205" s="77"/>
      <c r="JI205" s="77"/>
      <c r="JJ205" s="77"/>
      <c r="JK205" s="77"/>
      <c r="JL205" s="77"/>
      <c r="JM205" s="77"/>
      <c r="JN205" s="77"/>
      <c r="JO205" s="77"/>
      <c r="JP205" s="77"/>
      <c r="JQ205" s="77"/>
      <c r="JR205" s="77"/>
      <c r="JS205" s="77"/>
      <c r="JT205" s="77"/>
      <c r="JU205" s="77"/>
      <c r="JV205" s="77"/>
      <c r="JW205" s="77"/>
      <c r="JX205" s="77"/>
      <c r="JY205" s="77"/>
      <c r="JZ205" s="77"/>
      <c r="KA205" s="77"/>
      <c r="KB205" s="77"/>
      <c r="KC205" s="77"/>
      <c r="KD205" s="77"/>
      <c r="KE205" s="77"/>
      <c r="KF205" s="77"/>
      <c r="KG205" s="77"/>
      <c r="KH205" s="77"/>
      <c r="KI205" s="77"/>
      <c r="KJ205" s="77"/>
      <c r="KK205" s="77"/>
      <c r="KL205" s="77"/>
      <c r="LL205" s="77"/>
      <c r="LM205" s="77"/>
      <c r="LN205" s="77"/>
      <c r="LO205" s="77"/>
      <c r="LP205" s="77"/>
      <c r="LQ205" s="77"/>
      <c r="LR205" s="77"/>
      <c r="LS205" s="77"/>
      <c r="LT205" s="77"/>
      <c r="LU205" s="77"/>
      <c r="LV205" s="77"/>
      <c r="LW205" s="77"/>
      <c r="LX205" s="77"/>
      <c r="LY205" s="77"/>
      <c r="LZ205" s="77"/>
      <c r="MA205" s="77"/>
      <c r="MB205" s="77"/>
      <c r="MC205" s="77"/>
      <c r="MD205" s="77"/>
      <c r="ME205" s="77"/>
      <c r="MF205" s="77"/>
      <c r="MG205" s="77"/>
      <c r="MH205" s="77"/>
      <c r="MI205" s="77"/>
      <c r="MJ205" s="77"/>
      <c r="MK205" s="77"/>
      <c r="ML205" s="77"/>
      <c r="MM205" s="77"/>
      <c r="MN205" s="77"/>
      <c r="MO205" s="77"/>
      <c r="MP205" s="77"/>
      <c r="MQ205" s="77"/>
      <c r="MR205" s="77"/>
    </row>
    <row r="206" spans="1:421" ht="18.600000000000001" customHeight="1" x14ac:dyDescent="0.25">
      <c r="A206" s="119" t="s">
        <v>3281</v>
      </c>
      <c r="B206" s="27" t="s">
        <v>4328</v>
      </c>
      <c r="C206" s="27" t="s">
        <v>4329</v>
      </c>
      <c r="D206" s="30" t="s">
        <v>3280</v>
      </c>
      <c r="E206" s="30" t="str">
        <f>HYPERLINK("http://twiplomacy.com/info/south-america/Chile","http://twiplomacy.com/info/south-america/Chile")</f>
        <v>http://twiplomacy.com/info/south-america/Chile</v>
      </c>
      <c r="F206" s="10" t="s">
        <v>668</v>
      </c>
      <c r="G206" s="10" t="s">
        <v>678</v>
      </c>
      <c r="H206" s="10" t="s">
        <v>772</v>
      </c>
      <c r="I206" s="10" t="s">
        <v>773</v>
      </c>
      <c r="J206" s="27" t="s">
        <v>2226</v>
      </c>
      <c r="K206" s="15" t="s">
        <v>777</v>
      </c>
      <c r="L206" s="10" t="s">
        <v>771</v>
      </c>
      <c r="M206" s="10" t="s">
        <v>770</v>
      </c>
      <c r="N206" s="13" t="s">
        <v>3290</v>
      </c>
      <c r="O206" s="27" t="s">
        <v>3295</v>
      </c>
      <c r="P206" s="80">
        <v>865</v>
      </c>
      <c r="Q206" s="80">
        <v>3020</v>
      </c>
      <c r="R206" s="27" t="s">
        <v>2994</v>
      </c>
      <c r="S206" s="19" t="s">
        <v>3284</v>
      </c>
      <c r="T206" s="10" t="s">
        <v>771</v>
      </c>
      <c r="U206" s="10" t="s">
        <v>771</v>
      </c>
      <c r="V206" s="10" t="s">
        <v>771</v>
      </c>
      <c r="W206" s="13"/>
      <c r="X206" s="27" t="s">
        <v>3281</v>
      </c>
      <c r="Y206" s="27" t="s">
        <v>4328</v>
      </c>
      <c r="Z206" s="80">
        <v>5069</v>
      </c>
      <c r="AA206" s="27">
        <v>9599</v>
      </c>
      <c r="AB206" s="80">
        <v>80926</v>
      </c>
      <c r="AC206" s="27">
        <v>3776</v>
      </c>
      <c r="AD206" s="27" t="s">
        <v>4330</v>
      </c>
      <c r="AE206" s="27">
        <v>1300716044</v>
      </c>
      <c r="AF206" s="27" t="s">
        <v>4329</v>
      </c>
      <c r="AG206" s="27" t="s">
        <v>678</v>
      </c>
      <c r="AH206" s="79">
        <v>4.4739629302736104</v>
      </c>
      <c r="AI206" s="83">
        <v>14.0054945054945</v>
      </c>
      <c r="AJ206" s="80">
        <v>24.9564411492122</v>
      </c>
      <c r="AK206" s="80">
        <v>17.268303985171499</v>
      </c>
      <c r="AL206" s="27">
        <v>192</v>
      </c>
      <c r="AM206" s="97">
        <f t="shared" si="3"/>
        <v>0.06</v>
      </c>
      <c r="AN206" s="27" t="s">
        <v>3281</v>
      </c>
      <c r="AO206" s="27">
        <v>24</v>
      </c>
      <c r="AP206" s="27">
        <v>20</v>
      </c>
      <c r="AQ206" s="27">
        <v>6</v>
      </c>
      <c r="AR206" s="27">
        <f>SUM(AO206:AQ206)</f>
        <v>50</v>
      </c>
      <c r="AS206" s="27" t="s">
        <v>6660</v>
      </c>
      <c r="AT206" s="27" t="s">
        <v>6833</v>
      </c>
      <c r="AU206" s="84" t="s">
        <v>6530</v>
      </c>
      <c r="BM206" s="71"/>
      <c r="BN206" s="77"/>
      <c r="BO206" s="77"/>
      <c r="BP206" s="77"/>
      <c r="BQ206" s="71"/>
      <c r="BR206" s="71"/>
      <c r="BS206" s="71"/>
      <c r="BT206" s="71"/>
      <c r="BU206" s="71"/>
      <c r="BV206" s="71"/>
      <c r="BW206" s="71"/>
      <c r="BX206" s="71"/>
      <c r="BY206" s="71"/>
      <c r="BZ206" s="71"/>
      <c r="CA206" s="71"/>
      <c r="CB206" s="71"/>
      <c r="EM206" s="77"/>
      <c r="EN206" s="77"/>
      <c r="EO206" s="77"/>
      <c r="EP206" s="77"/>
      <c r="EQ206" s="77"/>
      <c r="ER206" s="77"/>
      <c r="ES206" s="77"/>
      <c r="ET206" s="77"/>
      <c r="EU206" s="77"/>
      <c r="EV206" s="77"/>
      <c r="EW206" s="77"/>
      <c r="EX206" s="77"/>
      <c r="EY206" s="77"/>
      <c r="EZ206" s="77"/>
      <c r="FA206" s="77"/>
      <c r="FB206" s="77"/>
      <c r="FC206" s="77"/>
      <c r="FD206" s="77"/>
      <c r="FE206" s="77"/>
      <c r="FF206" s="77"/>
      <c r="FG206" s="77"/>
      <c r="FH206" s="77"/>
      <c r="FI206" s="77"/>
      <c r="FJ206" s="77"/>
      <c r="FK206" s="77"/>
      <c r="FL206" s="77"/>
      <c r="FM206" s="77"/>
      <c r="FN206" s="77"/>
      <c r="FO206" s="77"/>
      <c r="FP206" s="77"/>
      <c r="FQ206" s="77"/>
      <c r="FR206" s="77"/>
      <c r="FS206" s="77"/>
      <c r="FT206" s="77"/>
      <c r="FU206" s="77"/>
      <c r="FV206" s="77"/>
      <c r="FW206" s="77"/>
      <c r="FX206" s="77"/>
      <c r="FY206" s="77"/>
      <c r="FZ206" s="77"/>
      <c r="GA206" s="77"/>
      <c r="GB206" s="77"/>
      <c r="GC206" s="77"/>
      <c r="GD206" s="77"/>
      <c r="GE206" s="77"/>
      <c r="GF206" s="77"/>
      <c r="GG206" s="77"/>
      <c r="GH206" s="77"/>
      <c r="GI206" s="77"/>
      <c r="GJ206" s="77"/>
      <c r="GK206" s="77"/>
      <c r="GL206" s="77"/>
      <c r="GM206" s="77"/>
      <c r="GN206" s="77"/>
      <c r="GO206" s="77"/>
      <c r="GP206" s="77"/>
      <c r="GQ206" s="77"/>
      <c r="GR206" s="77"/>
      <c r="GS206" s="77"/>
      <c r="GT206" s="77"/>
      <c r="GU206" s="77"/>
      <c r="GV206" s="77"/>
      <c r="GW206" s="77"/>
      <c r="GX206" s="77"/>
      <c r="GY206" s="77"/>
      <c r="GZ206" s="77"/>
      <c r="HA206" s="77"/>
      <c r="HB206" s="77"/>
      <c r="HC206" s="77"/>
      <c r="HD206" s="77"/>
      <c r="HE206" s="77"/>
      <c r="HF206" s="77"/>
      <c r="HG206" s="77"/>
      <c r="HH206" s="77"/>
      <c r="HI206" s="77"/>
      <c r="HJ206" s="77"/>
      <c r="HK206" s="77"/>
      <c r="HL206" s="77"/>
      <c r="HM206" s="77"/>
      <c r="HN206" s="77"/>
      <c r="HO206" s="77"/>
      <c r="HP206" s="77"/>
      <c r="HQ206" s="77"/>
      <c r="HR206" s="77"/>
      <c r="HS206" s="77"/>
      <c r="HT206" s="77"/>
      <c r="HU206" s="77"/>
      <c r="HV206" s="77"/>
      <c r="HW206" s="77"/>
      <c r="HX206" s="77"/>
      <c r="HY206" s="77"/>
      <c r="HZ206" s="77"/>
      <c r="IA206" s="77"/>
      <c r="IB206" s="77"/>
      <c r="IC206" s="77"/>
      <c r="ID206" s="77"/>
      <c r="IE206" s="77"/>
      <c r="IF206" s="77"/>
      <c r="IG206" s="77"/>
      <c r="IH206" s="77"/>
      <c r="II206" s="77"/>
      <c r="IJ206" s="77"/>
      <c r="IK206" s="77"/>
      <c r="IL206" s="77"/>
      <c r="IM206" s="77"/>
      <c r="IN206" s="77"/>
      <c r="IO206" s="77"/>
      <c r="IP206" s="77"/>
      <c r="IQ206" s="77"/>
      <c r="IR206" s="77"/>
      <c r="IS206" s="77"/>
      <c r="IT206" s="77"/>
      <c r="IU206" s="77"/>
      <c r="IV206" s="77"/>
      <c r="IW206" s="77"/>
      <c r="IX206" s="77"/>
      <c r="IY206" s="77"/>
      <c r="IZ206" s="77"/>
      <c r="JA206" s="77"/>
      <c r="JB206" s="77"/>
      <c r="JC206" s="77"/>
      <c r="JD206" s="77"/>
      <c r="JE206" s="77"/>
      <c r="JF206" s="77"/>
      <c r="JG206" s="77"/>
      <c r="JH206" s="77"/>
      <c r="JI206" s="77"/>
      <c r="JJ206" s="77"/>
      <c r="JK206" s="77"/>
      <c r="JL206" s="77"/>
      <c r="JM206" s="77"/>
      <c r="JN206" s="77"/>
      <c r="JO206" s="77"/>
      <c r="JP206" s="77"/>
      <c r="JQ206" s="77"/>
      <c r="JR206" s="77"/>
      <c r="JS206" s="77"/>
      <c r="JT206" s="77"/>
      <c r="JU206" s="77"/>
      <c r="JV206" s="77"/>
      <c r="JW206" s="77"/>
      <c r="JX206" s="77"/>
      <c r="JY206" s="77"/>
      <c r="JZ206" s="77"/>
      <c r="KA206" s="77"/>
      <c r="KB206" s="77"/>
      <c r="KC206" s="77"/>
      <c r="KD206" s="77"/>
      <c r="KE206" s="77"/>
      <c r="KF206" s="77"/>
      <c r="KG206" s="77"/>
      <c r="KH206" s="77"/>
      <c r="KI206" s="77"/>
      <c r="KJ206" s="77"/>
      <c r="KK206" s="77"/>
      <c r="KL206" s="77"/>
      <c r="KM206" s="77"/>
      <c r="KN206" s="77"/>
      <c r="KO206" s="77"/>
      <c r="KP206" s="77"/>
      <c r="KQ206" s="77"/>
      <c r="KR206" s="77"/>
      <c r="KS206" s="77"/>
      <c r="KT206" s="77"/>
      <c r="KU206" s="77"/>
      <c r="KV206" s="77"/>
      <c r="KW206" s="77"/>
      <c r="KX206" s="77"/>
      <c r="KY206" s="77"/>
      <c r="KZ206" s="77"/>
      <c r="LA206" s="77"/>
      <c r="LB206" s="77"/>
      <c r="LC206" s="77"/>
      <c r="LD206" s="77"/>
      <c r="LE206" s="77"/>
      <c r="LF206" s="77"/>
      <c r="LG206" s="77"/>
      <c r="LH206" s="77"/>
      <c r="LI206" s="77"/>
      <c r="LJ206" s="77"/>
      <c r="LK206" s="77"/>
      <c r="LL206" s="77"/>
      <c r="LM206" s="77"/>
      <c r="LN206" s="77"/>
      <c r="LO206" s="77"/>
      <c r="LP206" s="77"/>
      <c r="LQ206" s="77"/>
      <c r="LR206" s="77"/>
      <c r="LS206" s="77"/>
      <c r="LT206" s="77"/>
      <c r="LU206" s="77"/>
      <c r="LV206" s="77"/>
      <c r="LW206" s="77"/>
      <c r="LX206" s="77"/>
      <c r="LY206" s="77"/>
      <c r="LZ206" s="77"/>
      <c r="MA206" s="77"/>
      <c r="MB206" s="77"/>
      <c r="MC206" s="77"/>
      <c r="MD206" s="77"/>
      <c r="ME206" s="77"/>
      <c r="MF206" s="77"/>
      <c r="MG206" s="77"/>
      <c r="MH206" s="77"/>
      <c r="MI206" s="77"/>
      <c r="MJ206" s="77"/>
      <c r="MK206" s="77"/>
      <c r="ML206" s="77"/>
      <c r="MM206" s="77"/>
      <c r="MN206" s="77"/>
      <c r="MO206" s="77"/>
      <c r="MP206" s="77"/>
      <c r="MQ206" s="77"/>
      <c r="MR206" s="77"/>
    </row>
    <row r="207" spans="1:421" ht="18.600000000000001" customHeight="1" x14ac:dyDescent="0.25">
      <c r="A207" s="119" t="s">
        <v>475</v>
      </c>
      <c r="B207" s="27" t="s">
        <v>2093</v>
      </c>
      <c r="C207" s="27" t="s">
        <v>6385</v>
      </c>
      <c r="D207" s="30" t="str">
        <f>HYPERLINK("https://twitter.com/erna_solberg","https://twitter.com/erna_solberg")</f>
        <v>https://twitter.com/erna_solberg</v>
      </c>
      <c r="E207" s="30" t="str">
        <f>HYPERLINK("http://twiplomacy.com/info/europe/Norway","http://twiplomacy.com/info/europe/Norway")</f>
        <v>http://twiplomacy.com/info/europe/Norway</v>
      </c>
      <c r="F207" s="10" t="s">
        <v>332</v>
      </c>
      <c r="G207" s="10" t="s">
        <v>473</v>
      </c>
      <c r="H207" s="10" t="s">
        <v>776</v>
      </c>
      <c r="I207" s="10" t="s">
        <v>773</v>
      </c>
      <c r="J207" s="27" t="s">
        <v>789</v>
      </c>
      <c r="K207" s="15" t="s">
        <v>777</v>
      </c>
      <c r="L207" s="10" t="s">
        <v>770</v>
      </c>
      <c r="M207" s="10" t="s">
        <v>771</v>
      </c>
      <c r="N207" s="30" t="str">
        <f>HYPERLINK("https://twitter.com/erna_solberg/statuses/932742196","https://twitter.com/erna_solberg/statuses/932742196")</f>
        <v>https://twitter.com/erna_solberg/statuses/932742196</v>
      </c>
      <c r="O207" s="27" t="s">
        <v>5746</v>
      </c>
      <c r="P207" s="80">
        <v>706</v>
      </c>
      <c r="Q207" s="80">
        <v>1012</v>
      </c>
      <c r="R207" s="27" t="s">
        <v>2994</v>
      </c>
      <c r="S207" s="10" t="s">
        <v>2094</v>
      </c>
      <c r="T207" s="10" t="s">
        <v>771</v>
      </c>
      <c r="U207" s="10" t="s">
        <v>771</v>
      </c>
      <c r="V207" s="10" t="s">
        <v>771</v>
      </c>
      <c r="W207" s="10"/>
      <c r="X207" s="27" t="s">
        <v>475</v>
      </c>
      <c r="Y207" s="27" t="s">
        <v>2093</v>
      </c>
      <c r="Z207" s="80">
        <v>5055</v>
      </c>
      <c r="AA207" s="27">
        <v>1525</v>
      </c>
      <c r="AB207" s="80">
        <v>189994</v>
      </c>
      <c r="AC207" s="27">
        <v>67</v>
      </c>
      <c r="AD207" s="27" t="s">
        <v>3659</v>
      </c>
      <c r="AE207" s="27">
        <v>16432083</v>
      </c>
      <c r="AF207" s="27" t="s">
        <v>6385</v>
      </c>
      <c r="AG207" s="27" t="s">
        <v>2095</v>
      </c>
      <c r="AH207" s="79">
        <v>1.8203743700504</v>
      </c>
      <c r="AI207" s="83">
        <v>2.1716016150740201</v>
      </c>
      <c r="AJ207" s="80">
        <v>6.6582914572864302</v>
      </c>
      <c r="AK207" s="80">
        <v>14.2924623115578</v>
      </c>
      <c r="AL207" s="27">
        <v>2225</v>
      </c>
      <c r="AM207" s="97">
        <f t="shared" si="3"/>
        <v>0.6953125</v>
      </c>
      <c r="AN207" s="27" t="s">
        <v>475</v>
      </c>
      <c r="AO207" s="27">
        <v>4</v>
      </c>
      <c r="AP207" s="27">
        <v>23</v>
      </c>
      <c r="AQ207" s="27">
        <v>5</v>
      </c>
      <c r="AR207" s="27">
        <f>SUM(AO207:AQ207)</f>
        <v>32</v>
      </c>
      <c r="AS207" s="27" t="s">
        <v>5107</v>
      </c>
      <c r="AT207" s="27" t="s">
        <v>6286</v>
      </c>
      <c r="AU207" s="84" t="s">
        <v>4709</v>
      </c>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c r="BZ207" s="77"/>
      <c r="CA207" s="77"/>
      <c r="CB207" s="77"/>
      <c r="CC207" s="16"/>
      <c r="CD207" s="16"/>
      <c r="CE207" s="16"/>
      <c r="CF207" s="16"/>
      <c r="CG207" s="16"/>
      <c r="CH207" s="16"/>
      <c r="CI207" s="16"/>
      <c r="CJ207" s="16"/>
      <c r="CK207" s="77"/>
      <c r="CL207" s="77"/>
      <c r="CM207" s="77"/>
      <c r="CN207" s="77"/>
      <c r="CO207" s="77"/>
      <c r="CP207" s="77"/>
      <c r="CQ207" s="77"/>
      <c r="CR207" s="77"/>
      <c r="CS207" s="77"/>
      <c r="CT207" s="77"/>
      <c r="CU207" s="77"/>
      <c r="CV207" s="77"/>
      <c r="CW207" s="77"/>
      <c r="CX207" s="77"/>
      <c r="CY207" s="77"/>
      <c r="CZ207" s="77"/>
      <c r="DA207" s="77"/>
      <c r="DB207" s="77"/>
      <c r="DC207" s="77"/>
      <c r="DD207" s="77"/>
      <c r="DE207" s="77"/>
      <c r="DF207" s="77"/>
      <c r="DG207" s="77"/>
      <c r="DH207" s="77"/>
      <c r="DI207" s="77"/>
      <c r="DJ207" s="77"/>
      <c r="DK207" s="77"/>
      <c r="DL207" s="77"/>
      <c r="DM207" s="77"/>
      <c r="DN207" s="77"/>
      <c r="DO207" s="77"/>
      <c r="DP207" s="77"/>
      <c r="DQ207" s="77"/>
      <c r="DR207" s="77"/>
      <c r="DS207" s="77"/>
      <c r="DT207" s="77"/>
      <c r="DU207" s="77"/>
      <c r="DV207" s="77"/>
      <c r="DW207" s="77"/>
      <c r="DX207" s="77"/>
      <c r="DY207" s="77"/>
      <c r="DZ207" s="77"/>
      <c r="EA207" s="77"/>
      <c r="EB207" s="77"/>
      <c r="EC207" s="77"/>
      <c r="ED207" s="77"/>
      <c r="EE207" s="77"/>
      <c r="EF207" s="77"/>
      <c r="EG207" s="77"/>
      <c r="EH207" s="77"/>
      <c r="EI207" s="77"/>
      <c r="EJ207" s="77"/>
      <c r="EK207" s="77"/>
      <c r="EL207" s="77"/>
      <c r="EM207" s="77"/>
      <c r="EN207" s="77"/>
      <c r="EO207" s="77"/>
      <c r="EP207" s="77"/>
      <c r="EQ207" s="77"/>
      <c r="ER207" s="77"/>
      <c r="ES207" s="77"/>
      <c r="ET207" s="77"/>
      <c r="EU207" s="77"/>
      <c r="EV207" s="77"/>
      <c r="EW207" s="77"/>
      <c r="EX207" s="77"/>
      <c r="EY207" s="77"/>
      <c r="EZ207" s="77"/>
      <c r="FA207" s="77"/>
      <c r="FB207" s="77"/>
      <c r="FC207" s="77"/>
      <c r="FD207" s="77"/>
      <c r="FE207" s="77"/>
      <c r="FF207" s="77"/>
      <c r="FG207" s="77"/>
      <c r="FH207" s="77"/>
      <c r="FI207" s="77"/>
      <c r="FJ207" s="77"/>
      <c r="FK207" s="77"/>
      <c r="FL207" s="77"/>
      <c r="FM207" s="77"/>
      <c r="FN207" s="77"/>
      <c r="FO207" s="77"/>
      <c r="FP207" s="77"/>
      <c r="FQ207" s="77"/>
      <c r="FR207" s="77"/>
      <c r="FS207" s="77"/>
      <c r="FT207" s="77"/>
      <c r="FU207" s="77"/>
      <c r="FV207" s="77"/>
      <c r="FW207" s="77"/>
      <c r="FX207" s="77"/>
      <c r="FY207" s="77"/>
      <c r="FZ207" s="77"/>
      <c r="GA207" s="77"/>
      <c r="GB207" s="77"/>
      <c r="GC207" s="77"/>
      <c r="GD207" s="77"/>
      <c r="GE207" s="77"/>
      <c r="GF207" s="77"/>
      <c r="GG207" s="77"/>
      <c r="GH207" s="77"/>
      <c r="GI207" s="77"/>
      <c r="GJ207" s="77"/>
      <c r="GK207" s="77"/>
      <c r="GL207" s="77"/>
      <c r="GM207" s="77"/>
      <c r="GN207" s="77"/>
      <c r="GO207" s="77"/>
      <c r="GP207" s="77"/>
      <c r="GQ207" s="77"/>
      <c r="GR207" s="77"/>
      <c r="GS207" s="77"/>
      <c r="GT207" s="77"/>
      <c r="GU207" s="77"/>
      <c r="GV207" s="77"/>
      <c r="GW207" s="77"/>
      <c r="GX207" s="77"/>
      <c r="GY207" s="77"/>
      <c r="GZ207" s="77"/>
      <c r="HA207" s="77"/>
      <c r="HB207" s="77"/>
      <c r="HC207" s="77"/>
      <c r="HD207" s="77"/>
      <c r="HE207" s="77"/>
      <c r="HF207" s="77"/>
      <c r="HG207" s="77"/>
      <c r="HH207" s="77"/>
      <c r="HI207" s="77"/>
      <c r="HJ207" s="77"/>
      <c r="HK207" s="77"/>
      <c r="HL207" s="77"/>
      <c r="HM207" s="77"/>
      <c r="HN207" s="77"/>
      <c r="HO207" s="77"/>
      <c r="HP207" s="77"/>
      <c r="HQ207" s="77"/>
      <c r="HR207" s="77"/>
      <c r="HS207" s="77"/>
      <c r="HT207" s="77"/>
      <c r="HU207" s="77"/>
      <c r="HV207" s="77"/>
      <c r="HW207" s="77"/>
      <c r="HX207" s="77"/>
      <c r="HY207" s="77"/>
      <c r="HZ207" s="77"/>
      <c r="IA207" s="77"/>
      <c r="IB207" s="77"/>
      <c r="IC207" s="77"/>
      <c r="ID207" s="16"/>
      <c r="IE207" s="16"/>
      <c r="JY207" s="77"/>
      <c r="JZ207" s="77"/>
      <c r="KA207" s="77"/>
      <c r="KB207" s="77"/>
      <c r="KC207" s="77"/>
      <c r="KD207" s="77"/>
      <c r="KE207" s="77"/>
      <c r="KF207" s="77"/>
      <c r="KG207" s="77"/>
      <c r="KH207" s="77"/>
      <c r="KI207" s="77"/>
      <c r="KJ207" s="77"/>
      <c r="KK207" s="77"/>
      <c r="KL207" s="77"/>
      <c r="LL207" s="77"/>
      <c r="LM207" s="77"/>
      <c r="LN207" s="77"/>
      <c r="LO207" s="77"/>
      <c r="LP207" s="77"/>
      <c r="LQ207" s="77"/>
      <c r="LR207" s="77"/>
      <c r="LS207" s="77"/>
      <c r="LT207" s="77"/>
      <c r="LU207" s="77"/>
      <c r="LV207" s="77"/>
      <c r="LW207" s="77"/>
      <c r="LX207" s="77"/>
      <c r="LY207" s="77"/>
      <c r="LZ207" s="77"/>
      <c r="MA207" s="77"/>
      <c r="MB207" s="77"/>
      <c r="MC207" s="77"/>
      <c r="MD207" s="77"/>
      <c r="ME207" s="77"/>
      <c r="MF207" s="77"/>
      <c r="MG207" s="77"/>
      <c r="MH207" s="77"/>
      <c r="MI207" s="77"/>
      <c r="MJ207" s="77"/>
      <c r="MK207" s="77"/>
      <c r="ML207" s="77"/>
      <c r="MM207" s="77"/>
      <c r="MN207" s="77"/>
      <c r="MO207" s="77"/>
      <c r="MP207" s="77"/>
      <c r="MQ207" s="77"/>
      <c r="MR207" s="77"/>
    </row>
    <row r="208" spans="1:421" ht="18.600000000000001" customHeight="1" x14ac:dyDescent="0.25">
      <c r="A208" s="119" t="s">
        <v>700</v>
      </c>
      <c r="B208" s="27" t="s">
        <v>700</v>
      </c>
      <c r="C208" s="27" t="s">
        <v>2755</v>
      </c>
      <c r="D208" s="30" t="str">
        <f>HYPERLINK("https://twitter.com/PrensaHC","https://twitter.com/PrensaHC")</f>
        <v>https://twitter.com/PrensaHC</v>
      </c>
      <c r="E208" s="30" t="str">
        <f>HYPERLINK("http://twiplomacy.com/info/south-america/Paraguay","http://twiplomacy.com/info/south-america/Paraguay")</f>
        <v>http://twiplomacy.com/info/south-america/Paraguay</v>
      </c>
      <c r="F208" s="10" t="s">
        <v>668</v>
      </c>
      <c r="G208" s="10" t="s">
        <v>696</v>
      </c>
      <c r="H208" s="10" t="s">
        <v>781</v>
      </c>
      <c r="I208" s="10" t="s">
        <v>782</v>
      </c>
      <c r="J208" s="27" t="s">
        <v>2226</v>
      </c>
      <c r="K208" s="10" t="s">
        <v>2756</v>
      </c>
      <c r="L208" s="10" t="s">
        <v>771</v>
      </c>
      <c r="M208" s="10" t="s">
        <v>770</v>
      </c>
      <c r="N208" s="30" t="str">
        <f>HYPERLINK("https://twitter.com/PrensaHC/statuses/208200350560288768","https://twitter.com/PrensaHC/statuses/208200350560288768")</f>
        <v>https://twitter.com/PrensaHC/statuses/208200350560288768</v>
      </c>
      <c r="O208" s="27" t="s">
        <v>2757</v>
      </c>
      <c r="P208" s="80">
        <v>234</v>
      </c>
      <c r="Q208" s="80">
        <v>22</v>
      </c>
      <c r="R208" s="27" t="s">
        <v>2995</v>
      </c>
      <c r="S208" s="10" t="s">
        <v>2758</v>
      </c>
      <c r="T208" s="10" t="s">
        <v>771</v>
      </c>
      <c r="U208" s="10" t="s">
        <v>771</v>
      </c>
      <c r="V208" s="10" t="s">
        <v>771</v>
      </c>
      <c r="W208" s="10"/>
      <c r="X208" s="27" t="s">
        <v>700</v>
      </c>
      <c r="Y208" s="27" t="s">
        <v>700</v>
      </c>
      <c r="Z208" s="80">
        <v>5040</v>
      </c>
      <c r="AA208" s="27">
        <v>536</v>
      </c>
      <c r="AB208" s="80">
        <v>16635</v>
      </c>
      <c r="AC208" s="27">
        <v>203</v>
      </c>
      <c r="AD208" s="27" t="s">
        <v>4303</v>
      </c>
      <c r="AE208" s="27">
        <v>594051718</v>
      </c>
      <c r="AF208" s="27" t="s">
        <v>2755</v>
      </c>
      <c r="AG208" s="27" t="s">
        <v>2754</v>
      </c>
      <c r="AH208" s="79">
        <v>3.5170969993021601</v>
      </c>
      <c r="AI208" s="83">
        <v>9.3392330383480804</v>
      </c>
      <c r="AJ208" s="80">
        <v>8.8558014755197796</v>
      </c>
      <c r="AK208" s="80">
        <v>1.0422535211267601</v>
      </c>
      <c r="AL208" s="27">
        <v>358</v>
      </c>
      <c r="AM208" s="97">
        <f t="shared" si="3"/>
        <v>0.111875</v>
      </c>
      <c r="AN208" s="27" t="s">
        <v>700</v>
      </c>
      <c r="AO208" s="27">
        <v>6</v>
      </c>
      <c r="AP208" s="27">
        <v>3</v>
      </c>
      <c r="AQ208" s="27">
        <v>1</v>
      </c>
      <c r="AR208" s="27">
        <f>SUM(AO208:AQ208)</f>
        <v>10</v>
      </c>
      <c r="AS208" s="27" t="s">
        <v>6611</v>
      </c>
      <c r="AT208" s="27" t="s">
        <v>5047</v>
      </c>
      <c r="AU208" s="84" t="s">
        <v>697</v>
      </c>
      <c r="AV208" s="77"/>
      <c r="AW208" s="77"/>
      <c r="AX208" s="77"/>
      <c r="AY208" s="77"/>
      <c r="AZ208" s="77"/>
      <c r="BA208" s="77"/>
      <c r="BB208" s="77"/>
      <c r="BC208" s="77"/>
      <c r="BD208" s="77"/>
      <c r="BE208" s="77"/>
      <c r="BF208" s="77"/>
      <c r="BG208" s="77"/>
      <c r="BH208" s="77"/>
      <c r="BI208" s="77"/>
      <c r="BJ208" s="77"/>
      <c r="BK208" s="77"/>
      <c r="BL208" s="77"/>
      <c r="BM208" s="77"/>
      <c r="BQ208" s="77"/>
      <c r="BR208" s="77"/>
      <c r="BS208" s="77"/>
      <c r="BT208" s="77"/>
      <c r="BU208" s="77"/>
      <c r="BV208" s="77"/>
      <c r="BW208" s="77"/>
      <c r="BX208" s="77"/>
      <c r="BY208" s="77"/>
      <c r="BZ208" s="77"/>
      <c r="CA208" s="77"/>
      <c r="CB208" s="77"/>
      <c r="CC208" s="77"/>
      <c r="CD208" s="77"/>
      <c r="CE208" s="77"/>
      <c r="CF208" s="77"/>
      <c r="CG208" s="77"/>
      <c r="CH208" s="77"/>
      <c r="CI208" s="77"/>
      <c r="CJ208" s="77"/>
      <c r="CK208" s="77"/>
      <c r="CL208" s="77"/>
      <c r="CM208" s="77"/>
      <c r="CN208" s="77"/>
      <c r="CO208" s="77"/>
      <c r="CP208" s="77"/>
      <c r="CQ208" s="77"/>
      <c r="CR208" s="77"/>
      <c r="CS208" s="77"/>
      <c r="CT208" s="77"/>
      <c r="CU208" s="77"/>
      <c r="CV208" s="77"/>
      <c r="CW208" s="77"/>
      <c r="EM208" s="77"/>
      <c r="EN208" s="77"/>
      <c r="EO208" s="77"/>
      <c r="EP208" s="77"/>
      <c r="EQ208" s="77"/>
      <c r="ER208" s="77"/>
      <c r="ES208" s="77"/>
      <c r="ET208" s="77"/>
      <c r="EU208" s="77"/>
      <c r="EV208" s="77"/>
      <c r="EW208" s="77"/>
      <c r="EX208" s="77"/>
      <c r="EY208" s="77"/>
      <c r="EZ208" s="77"/>
      <c r="FA208" s="77"/>
      <c r="FB208" s="77"/>
      <c r="FC208" s="77"/>
      <c r="FD208" s="77"/>
      <c r="FE208" s="77"/>
      <c r="FF208" s="77"/>
      <c r="FG208" s="77"/>
      <c r="FH208" s="77"/>
      <c r="FI208" s="77"/>
      <c r="FJ208" s="77"/>
      <c r="FK208" s="77"/>
      <c r="FL208" s="77"/>
      <c r="FM208" s="77"/>
      <c r="FN208" s="77"/>
      <c r="FO208" s="77"/>
      <c r="FP208" s="77"/>
      <c r="FQ208" s="77"/>
      <c r="FR208" s="77"/>
      <c r="FS208" s="77"/>
      <c r="FT208" s="77"/>
      <c r="FU208" s="77"/>
      <c r="FV208" s="77"/>
      <c r="FW208" s="77"/>
      <c r="FX208" s="77"/>
      <c r="FY208" s="77"/>
      <c r="FZ208" s="77"/>
      <c r="GA208" s="77"/>
      <c r="GB208" s="77"/>
      <c r="GC208" s="77"/>
      <c r="GD208" s="77"/>
      <c r="GE208" s="77"/>
      <c r="GF208" s="77"/>
      <c r="GG208" s="77"/>
      <c r="GH208" s="77"/>
      <c r="GI208" s="77"/>
      <c r="GJ208" s="77"/>
      <c r="GK208" s="77"/>
      <c r="HL208" s="16"/>
      <c r="HM208" s="16"/>
      <c r="HN208" s="16"/>
      <c r="HO208" s="16"/>
      <c r="HP208" s="16"/>
      <c r="HQ208" s="16"/>
      <c r="HR208" s="16"/>
      <c r="HS208" s="16"/>
      <c r="HT208" s="16"/>
      <c r="HU208" s="16"/>
      <c r="HV208" s="16"/>
      <c r="HW208" s="16"/>
      <c r="HX208" s="16"/>
      <c r="HY208" s="16"/>
      <c r="HZ208" s="16"/>
      <c r="IA208" s="16"/>
      <c r="IB208" s="16"/>
      <c r="IC208" s="16"/>
      <c r="ID208" s="77"/>
      <c r="IE208" s="77"/>
      <c r="JY208" s="77"/>
      <c r="JZ208" s="77"/>
      <c r="KA208" s="77"/>
      <c r="KB208" s="77"/>
      <c r="KC208" s="77"/>
      <c r="KD208" s="77"/>
      <c r="KE208" s="77"/>
      <c r="KF208" s="77"/>
      <c r="KG208" s="77"/>
      <c r="KH208" s="77"/>
      <c r="KI208" s="77"/>
      <c r="KJ208" s="77"/>
      <c r="KK208" s="77"/>
      <c r="KL208" s="77"/>
      <c r="KM208" s="77"/>
      <c r="KN208" s="77"/>
      <c r="KO208" s="77"/>
      <c r="KP208" s="77"/>
      <c r="KQ208" s="77"/>
      <c r="KR208" s="77"/>
      <c r="KS208" s="77"/>
      <c r="KT208" s="77"/>
      <c r="KU208" s="77"/>
      <c r="KV208" s="77"/>
      <c r="KW208" s="77"/>
      <c r="KX208" s="77"/>
      <c r="KY208" s="77"/>
      <c r="KZ208" s="77"/>
      <c r="LA208" s="77"/>
      <c r="LB208" s="77"/>
      <c r="LC208" s="77"/>
      <c r="LD208" s="77"/>
      <c r="LE208" s="77"/>
      <c r="LF208" s="77"/>
      <c r="LG208" s="77"/>
      <c r="LH208" s="77"/>
      <c r="LI208" s="77"/>
      <c r="LJ208" s="77"/>
      <c r="LK208" s="77"/>
      <c r="LW208" s="77"/>
      <c r="LX208" s="77"/>
    </row>
    <row r="209" spans="1:368" ht="18.600000000000001" customHeight="1" x14ac:dyDescent="0.25">
      <c r="A209" s="119" t="s">
        <v>333</v>
      </c>
      <c r="B209" s="27" t="s">
        <v>1696</v>
      </c>
      <c r="C209" s="27" t="s">
        <v>1697</v>
      </c>
      <c r="D209" s="30" t="str">
        <f>HYPERLINK("https://twitter.com/ediramaal","https://twitter.com/ediramaal")</f>
        <v>https://twitter.com/ediramaal</v>
      </c>
      <c r="E209" s="30" t="str">
        <f>HYPERLINK("http://twiplomacy.com/info/europe/Albania","http://twiplomacy.com/info/europe/Albania")</f>
        <v>http://twiplomacy.com/info/europe/Albania</v>
      </c>
      <c r="F209" s="10" t="s">
        <v>332</v>
      </c>
      <c r="G209" s="10" t="s">
        <v>331</v>
      </c>
      <c r="H209" s="10" t="s">
        <v>776</v>
      </c>
      <c r="I209" s="10" t="s">
        <v>773</v>
      </c>
      <c r="J209" s="27" t="s">
        <v>789</v>
      </c>
      <c r="K209" s="15" t="s">
        <v>777</v>
      </c>
      <c r="L209" s="10"/>
      <c r="M209" s="10" t="s">
        <v>770</v>
      </c>
      <c r="N209" s="30" t="str">
        <f>HYPERLINK("https://twitter.com/ediramaal/statuses/113009866662100992","https://twitter.com/ediramaal/statuses/113009866662100992")</f>
        <v>https://twitter.com/ediramaal/statuses/113009866662100992</v>
      </c>
      <c r="O209" s="27" t="s">
        <v>5812</v>
      </c>
      <c r="P209" s="80">
        <v>759</v>
      </c>
      <c r="Q209" s="80">
        <v>1116</v>
      </c>
      <c r="R209" s="27" t="s">
        <v>2994</v>
      </c>
      <c r="S209" s="10" t="s">
        <v>1698</v>
      </c>
      <c r="T209" s="10" t="s">
        <v>771</v>
      </c>
      <c r="U209" s="10" t="s">
        <v>771</v>
      </c>
      <c r="V209" s="10" t="s">
        <v>771</v>
      </c>
      <c r="W209" s="10"/>
      <c r="X209" s="27" t="s">
        <v>333</v>
      </c>
      <c r="Y209" s="27" t="s">
        <v>1696</v>
      </c>
      <c r="Z209" s="80">
        <v>5019</v>
      </c>
      <c r="AA209" s="27">
        <v>285</v>
      </c>
      <c r="AB209" s="80">
        <v>224719</v>
      </c>
      <c r="AC209" s="27">
        <v>11</v>
      </c>
      <c r="AD209" s="27" t="s">
        <v>3638</v>
      </c>
      <c r="AE209" s="27">
        <v>273410176</v>
      </c>
      <c r="AF209" s="27" t="s">
        <v>1697</v>
      </c>
      <c r="AG209" s="27" t="s">
        <v>1699</v>
      </c>
      <c r="AH209" s="79">
        <v>2.69548872180451</v>
      </c>
      <c r="AI209" s="83">
        <v>2.5714285714285698</v>
      </c>
      <c r="AJ209" s="80">
        <v>11.801833568406201</v>
      </c>
      <c r="AK209" s="80">
        <v>38.6815937940762</v>
      </c>
      <c r="AL209" s="27">
        <v>1094</v>
      </c>
      <c r="AM209" s="97">
        <f t="shared" si="3"/>
        <v>0.34187499999999998</v>
      </c>
      <c r="AN209" s="27" t="s">
        <v>333</v>
      </c>
      <c r="AO209" s="27">
        <v>12</v>
      </c>
      <c r="AP209" s="27">
        <v>19</v>
      </c>
      <c r="AQ209" s="27">
        <v>4</v>
      </c>
      <c r="AR209" s="27">
        <f>SUM(AO209:AQ209)</f>
        <v>35</v>
      </c>
      <c r="AS209" s="27" t="s">
        <v>5095</v>
      </c>
      <c r="AT209" s="27" t="s">
        <v>5096</v>
      </c>
      <c r="AU209" s="84" t="s">
        <v>4705</v>
      </c>
      <c r="AV209" s="77"/>
      <c r="AW209" s="77"/>
      <c r="AX209" s="77"/>
      <c r="AY209" s="77"/>
      <c r="AZ209" s="77"/>
      <c r="BA209" s="77"/>
      <c r="BB209" s="77"/>
      <c r="BC209" s="77"/>
      <c r="BD209" s="77"/>
      <c r="BE209" s="77"/>
      <c r="BF209" s="77"/>
      <c r="BG209" s="77"/>
      <c r="BH209" s="77"/>
      <c r="BI209" s="77"/>
      <c r="BJ209" s="77"/>
      <c r="BK209" s="77"/>
      <c r="BL209" s="77"/>
      <c r="BM209" s="77"/>
      <c r="BN209" s="77"/>
      <c r="BO209" s="77"/>
      <c r="BP209" s="77"/>
      <c r="CC209" s="77"/>
      <c r="CD209" s="77"/>
      <c r="CE209" s="77"/>
      <c r="CF209" s="77"/>
      <c r="CG209" s="77"/>
      <c r="CH209" s="77"/>
      <c r="CI209" s="77"/>
      <c r="CJ209" s="77"/>
      <c r="CK209" s="77"/>
      <c r="CL209" s="77"/>
      <c r="CM209" s="77"/>
      <c r="CN209" s="77"/>
      <c r="CO209" s="77"/>
      <c r="CP209" s="77"/>
      <c r="CQ209" s="77"/>
      <c r="CR209" s="77"/>
      <c r="CS209" s="77"/>
      <c r="CT209" s="77"/>
      <c r="CU209" s="77"/>
      <c r="CV209" s="77"/>
      <c r="CW209" s="77"/>
      <c r="CX209" s="77"/>
      <c r="CY209" s="77"/>
      <c r="CZ209" s="77"/>
      <c r="DA209" s="77"/>
      <c r="DB209" s="77"/>
      <c r="DC209" s="77"/>
      <c r="DD209" s="77"/>
      <c r="DE209" s="77"/>
      <c r="DF209" s="77"/>
      <c r="DG209" s="77"/>
      <c r="DH209" s="77"/>
      <c r="DI209" s="77"/>
      <c r="DJ209" s="77"/>
      <c r="DK209" s="77"/>
      <c r="DL209" s="77"/>
      <c r="DM209" s="77"/>
      <c r="DN209" s="77"/>
      <c r="DO209" s="77"/>
      <c r="DP209" s="77"/>
      <c r="DQ209" s="77"/>
      <c r="DR209" s="77"/>
      <c r="DS209" s="77"/>
      <c r="DT209" s="77"/>
      <c r="DU209" s="77"/>
      <c r="DV209" s="77"/>
      <c r="DW209" s="77"/>
      <c r="DX209" s="77"/>
      <c r="DY209" s="77"/>
      <c r="DZ209" s="77"/>
      <c r="EA209" s="77"/>
      <c r="EB209" s="77"/>
      <c r="EC209" s="77"/>
      <c r="ED209" s="77"/>
      <c r="EE209" s="77"/>
      <c r="EF209" s="77"/>
      <c r="EG209" s="77"/>
      <c r="EH209" s="77"/>
      <c r="EI209" s="77"/>
      <c r="EJ209" s="77"/>
      <c r="EK209" s="77"/>
      <c r="EL209" s="77"/>
      <c r="EM209" s="77"/>
      <c r="EN209" s="77"/>
      <c r="EO209" s="77"/>
      <c r="EP209" s="77"/>
      <c r="EQ209" s="77"/>
      <c r="GL209" s="77"/>
      <c r="GM209" s="77"/>
      <c r="GN209" s="77"/>
      <c r="GO209" s="77"/>
      <c r="GP209" s="77"/>
      <c r="GQ209" s="77"/>
      <c r="GR209" s="77"/>
      <c r="GS209" s="77"/>
      <c r="GT209" s="77"/>
      <c r="GU209" s="77"/>
      <c r="GV209" s="77"/>
      <c r="GW209" s="77"/>
      <c r="GX209" s="77"/>
      <c r="GY209" s="77"/>
      <c r="GZ209" s="77"/>
      <c r="HA209" s="77"/>
      <c r="HB209" s="77"/>
      <c r="HC209" s="77"/>
      <c r="HD209" s="77"/>
      <c r="HE209" s="77"/>
      <c r="HF209" s="77"/>
      <c r="HG209" s="77"/>
      <c r="HH209" s="77"/>
      <c r="HI209" s="77"/>
      <c r="HJ209" s="77"/>
      <c r="HK209" s="77"/>
      <c r="HL209" s="77"/>
      <c r="HM209" s="77"/>
      <c r="HN209" s="77"/>
      <c r="HO209" s="77"/>
      <c r="HP209" s="77"/>
      <c r="HQ209" s="77"/>
      <c r="HR209" s="77"/>
      <c r="HS209" s="77"/>
      <c r="HT209" s="77"/>
      <c r="HU209" s="77"/>
      <c r="HV209" s="77"/>
      <c r="HW209" s="77"/>
      <c r="HX209" s="77"/>
      <c r="HY209" s="77"/>
      <c r="HZ209" s="77"/>
      <c r="IA209" s="77"/>
      <c r="IB209" s="77"/>
      <c r="IC209" s="77"/>
      <c r="ID209" s="77"/>
      <c r="IE209" s="77"/>
      <c r="JY209" s="77"/>
      <c r="JZ209" s="77"/>
      <c r="KA209" s="77"/>
      <c r="KB209" s="77"/>
      <c r="KC209" s="77"/>
      <c r="KD209" s="77"/>
      <c r="KE209" s="77"/>
      <c r="KF209" s="77"/>
      <c r="KG209" s="77"/>
      <c r="KH209" s="77"/>
      <c r="KI209" s="77"/>
      <c r="KJ209" s="77"/>
      <c r="KK209" s="77"/>
      <c r="KL209" s="77"/>
      <c r="LW209" s="77"/>
      <c r="LX209" s="77"/>
      <c r="LY209" s="77"/>
      <c r="LZ209" s="77"/>
      <c r="MA209" s="77"/>
      <c r="MB209" s="77"/>
      <c r="MC209" s="77"/>
      <c r="MD209" s="77"/>
      <c r="ME209" s="77"/>
      <c r="MF209" s="77"/>
      <c r="MG209" s="77"/>
      <c r="MH209" s="77"/>
      <c r="MI209" s="77"/>
      <c r="MJ209" s="77"/>
      <c r="MK209" s="77"/>
      <c r="ML209" s="77"/>
      <c r="MM209" s="77"/>
      <c r="MN209" s="77"/>
      <c r="MO209" s="77"/>
      <c r="MP209" s="77"/>
      <c r="MQ209" s="77"/>
      <c r="MR209" s="77"/>
      <c r="MS209" s="16"/>
    </row>
    <row r="210" spans="1:368" ht="18.600000000000001" customHeight="1" x14ac:dyDescent="0.25">
      <c r="A210" s="119" t="s">
        <v>513</v>
      </c>
      <c r="B210" s="27" t="s">
        <v>2189</v>
      </c>
      <c r="C210" s="27" t="s">
        <v>2190</v>
      </c>
      <c r="D210" s="30" t="str">
        <f>HYPERLINK("https://twitter.com/vladaOCDrs","https://twitter.com/vladaOCDrs")</f>
        <v>https://twitter.com/vladaOCDrs</v>
      </c>
      <c r="E210" s="30" t="str">
        <f>HYPERLINK("http://twiplomacy.com/info/europe/Serbia","http://twiplomacy.com/info/europe/Serbia")</f>
        <v>http://twiplomacy.com/info/europe/Serbia</v>
      </c>
      <c r="F210" s="10" t="s">
        <v>332</v>
      </c>
      <c r="G210" s="10" t="s">
        <v>506</v>
      </c>
      <c r="H210" s="10" t="s">
        <v>788</v>
      </c>
      <c r="I210" s="10" t="s">
        <v>782</v>
      </c>
      <c r="J210" s="27" t="s">
        <v>789</v>
      </c>
      <c r="K210" s="10" t="s">
        <v>777</v>
      </c>
      <c r="L210" s="10" t="s">
        <v>771</v>
      </c>
      <c r="M210" s="10" t="s">
        <v>770</v>
      </c>
      <c r="N210" s="30" t="str">
        <f>HYPERLINK("https://twitter.com/vladaOCDrs/status/253137853654106113","https://twitter.com/vladaOCDrs/status/253137853654106113")</f>
        <v>https://twitter.com/vladaOCDrs/status/253137853654106113</v>
      </c>
      <c r="O210" s="27" t="s">
        <v>2191</v>
      </c>
      <c r="P210" s="80">
        <v>15</v>
      </c>
      <c r="Q210" s="80">
        <v>15</v>
      </c>
      <c r="R210" s="27" t="s">
        <v>2995</v>
      </c>
      <c r="S210" s="30" t="str">
        <f>HYPERLINK("https://twitter.com/vladaOCDrs/lists","https://twitter.com/vladaOCDrs/lists")</f>
        <v>https://twitter.com/vladaOCDrs/lists</v>
      </c>
      <c r="T210" s="10" t="s">
        <v>771</v>
      </c>
      <c r="U210" s="10">
        <v>2</v>
      </c>
      <c r="V210" s="10" t="s">
        <v>771</v>
      </c>
      <c r="W210" s="10"/>
      <c r="X210" s="27" t="s">
        <v>513</v>
      </c>
      <c r="Y210" s="27" t="s">
        <v>2189</v>
      </c>
      <c r="Z210" s="80">
        <v>5017</v>
      </c>
      <c r="AA210" s="27">
        <v>1889</v>
      </c>
      <c r="AB210" s="80">
        <v>5539</v>
      </c>
      <c r="AC210" s="27">
        <v>1528</v>
      </c>
      <c r="AD210" s="27" t="s">
        <v>4587</v>
      </c>
      <c r="AE210" s="27">
        <v>857883481</v>
      </c>
      <c r="AF210" s="27" t="s">
        <v>2190</v>
      </c>
      <c r="AG210" s="27" t="s">
        <v>506</v>
      </c>
      <c r="AH210" s="79">
        <v>3.8356269113149799</v>
      </c>
      <c r="AI210" s="83">
        <v>3.47516198704104</v>
      </c>
      <c r="AJ210" s="80">
        <v>0.94607268464243799</v>
      </c>
      <c r="AK210" s="80">
        <v>1.1692067213755399</v>
      </c>
      <c r="AL210" s="96">
        <v>193</v>
      </c>
      <c r="AM210" s="97">
        <f t="shared" si="3"/>
        <v>6.0312499999999998E-2</v>
      </c>
      <c r="AN210" s="27" t="s">
        <v>513</v>
      </c>
      <c r="AO210" s="27">
        <v>12</v>
      </c>
      <c r="AP210" s="27">
        <v>0</v>
      </c>
      <c r="AQ210" s="27">
        <v>5</v>
      </c>
      <c r="AR210" s="27">
        <f>SUM(AO210:AQ210)</f>
        <v>17</v>
      </c>
      <c r="AS210" s="27" t="s">
        <v>5558</v>
      </c>
      <c r="AT210" s="27"/>
      <c r="AU210" s="84" t="s">
        <v>4990</v>
      </c>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c r="BZ210" s="77"/>
      <c r="CA210" s="77"/>
      <c r="CB210" s="77"/>
      <c r="CC210" s="77"/>
      <c r="CD210" s="77"/>
      <c r="CE210" s="77"/>
      <c r="CF210" s="77"/>
      <c r="CG210" s="77"/>
      <c r="CH210" s="77"/>
      <c r="CI210" s="77"/>
      <c r="CJ210" s="77"/>
      <c r="CK210" s="77"/>
      <c r="CL210" s="77"/>
      <c r="CM210" s="77"/>
      <c r="CN210" s="77"/>
      <c r="CO210" s="77"/>
      <c r="CP210" s="77"/>
      <c r="CQ210" s="77"/>
      <c r="CR210" s="77"/>
      <c r="CS210" s="77"/>
      <c r="CT210" s="77"/>
      <c r="CU210" s="77"/>
      <c r="CV210" s="77"/>
      <c r="CW210" s="77"/>
      <c r="CX210" s="77"/>
      <c r="CY210" s="77"/>
      <c r="CZ210" s="77"/>
      <c r="DA210" s="77"/>
      <c r="DB210" s="77"/>
      <c r="DC210" s="77"/>
      <c r="DD210" s="77"/>
      <c r="DE210" s="77"/>
      <c r="DF210" s="77"/>
      <c r="DG210" s="77"/>
      <c r="DH210" s="77"/>
      <c r="DI210" s="77"/>
      <c r="DJ210" s="77"/>
      <c r="DK210" s="77"/>
      <c r="DL210" s="77"/>
      <c r="DM210" s="77"/>
      <c r="DN210" s="77"/>
      <c r="DO210" s="77"/>
      <c r="DP210" s="77"/>
      <c r="DQ210" s="77"/>
      <c r="DR210" s="77"/>
      <c r="DS210" s="77"/>
      <c r="DT210" s="77"/>
      <c r="DU210" s="77"/>
      <c r="DV210" s="77"/>
      <c r="DW210" s="77"/>
      <c r="DX210" s="77"/>
      <c r="DY210" s="77"/>
      <c r="DZ210" s="77"/>
      <c r="EA210" s="77"/>
      <c r="EB210" s="77"/>
      <c r="EC210" s="77"/>
      <c r="ED210" s="77"/>
      <c r="EE210" s="77"/>
      <c r="EF210" s="77"/>
      <c r="EG210" s="77"/>
      <c r="EH210" s="77"/>
      <c r="EI210" s="77"/>
      <c r="EJ210" s="77"/>
      <c r="EK210" s="77"/>
      <c r="EL210" s="77"/>
      <c r="EM210" s="77"/>
      <c r="EN210" s="77"/>
      <c r="EO210" s="77"/>
      <c r="EP210" s="77"/>
      <c r="ER210" s="77"/>
      <c r="ES210" s="77"/>
      <c r="ET210" s="77"/>
      <c r="EU210" s="77"/>
      <c r="EV210" s="77"/>
      <c r="EW210" s="77"/>
      <c r="EX210" s="77"/>
      <c r="EY210" s="77"/>
      <c r="EZ210" s="77"/>
      <c r="FA210" s="77"/>
      <c r="FB210" s="77"/>
      <c r="FC210" s="77"/>
      <c r="FD210" s="77"/>
      <c r="FE210" s="77"/>
      <c r="FF210" s="77"/>
      <c r="FG210" s="77"/>
      <c r="FH210" s="77"/>
      <c r="FI210" s="77"/>
      <c r="FJ210" s="77"/>
      <c r="FK210" s="77"/>
      <c r="FL210" s="77"/>
      <c r="FM210" s="77"/>
      <c r="FN210" s="77"/>
      <c r="FO210" s="77"/>
      <c r="FP210" s="77"/>
      <c r="FQ210" s="77"/>
      <c r="FR210" s="77"/>
      <c r="FS210" s="77"/>
      <c r="FT210" s="77"/>
      <c r="FU210" s="77"/>
      <c r="FV210" s="77"/>
      <c r="FW210" s="77"/>
      <c r="FX210" s="77"/>
      <c r="FY210" s="77"/>
      <c r="FZ210" s="77"/>
      <c r="GA210" s="77"/>
      <c r="GB210" s="77"/>
      <c r="GC210" s="77"/>
      <c r="GD210" s="77"/>
      <c r="GE210" s="77"/>
      <c r="GF210" s="77"/>
      <c r="GG210" s="77"/>
      <c r="GH210" s="77"/>
      <c r="GI210" s="77"/>
      <c r="GJ210" s="77"/>
      <c r="GK210" s="77"/>
      <c r="GL210" s="77"/>
      <c r="GM210" s="77"/>
      <c r="GN210" s="77"/>
      <c r="GO210" s="77"/>
      <c r="GP210" s="77"/>
      <c r="GQ210" s="77"/>
      <c r="GR210" s="77"/>
      <c r="GS210" s="77"/>
      <c r="GT210" s="77"/>
      <c r="GU210" s="77"/>
      <c r="GV210" s="77"/>
      <c r="GW210" s="77"/>
      <c r="GX210" s="77"/>
      <c r="GY210" s="77"/>
      <c r="GZ210" s="77"/>
      <c r="HA210" s="77"/>
      <c r="HB210" s="77"/>
      <c r="HC210" s="77"/>
      <c r="HD210" s="77"/>
      <c r="HE210" s="77"/>
      <c r="HF210" s="77"/>
      <c r="HG210" s="77"/>
      <c r="HH210" s="77"/>
      <c r="HI210" s="77"/>
      <c r="HJ210" s="77"/>
      <c r="HK210" s="77"/>
      <c r="HL210" s="77"/>
      <c r="HM210" s="77"/>
      <c r="HN210" s="77"/>
      <c r="HO210" s="77"/>
      <c r="HP210" s="77"/>
      <c r="HQ210" s="77"/>
      <c r="HR210" s="77"/>
      <c r="HS210" s="77"/>
      <c r="HT210" s="77"/>
      <c r="HU210" s="77"/>
      <c r="HV210" s="77"/>
      <c r="HW210" s="77"/>
      <c r="HX210" s="77"/>
      <c r="HY210" s="77"/>
      <c r="HZ210" s="77"/>
      <c r="IA210" s="77"/>
      <c r="IB210" s="77"/>
      <c r="IC210" s="77"/>
      <c r="ID210" s="77"/>
      <c r="IE210" s="77"/>
      <c r="IF210" s="77"/>
      <c r="IG210" s="77"/>
      <c r="IH210" s="77"/>
      <c r="II210" s="77"/>
      <c r="IJ210" s="77"/>
      <c r="IK210" s="77"/>
      <c r="IL210" s="77"/>
      <c r="IM210" s="77"/>
      <c r="IN210" s="77"/>
      <c r="IO210" s="77"/>
      <c r="IP210" s="77"/>
      <c r="IQ210" s="77"/>
      <c r="IR210" s="77"/>
      <c r="IS210" s="77"/>
      <c r="IT210" s="77"/>
      <c r="IU210" s="77"/>
      <c r="IV210" s="77"/>
      <c r="IW210" s="77"/>
      <c r="IX210" s="77"/>
      <c r="IY210" s="77"/>
      <c r="IZ210" s="77"/>
      <c r="JA210" s="77"/>
      <c r="JB210" s="77"/>
      <c r="JC210" s="77"/>
      <c r="JD210" s="77"/>
      <c r="JE210" s="77"/>
      <c r="JF210" s="77"/>
      <c r="JG210" s="77"/>
      <c r="JH210" s="77"/>
      <c r="JI210" s="77"/>
      <c r="JJ210" s="77"/>
      <c r="JK210" s="77"/>
      <c r="JL210" s="77"/>
      <c r="JM210" s="77"/>
      <c r="JN210" s="77"/>
      <c r="JO210" s="77"/>
      <c r="JP210" s="77"/>
      <c r="JQ210" s="77"/>
      <c r="JR210" s="77"/>
      <c r="JS210" s="77"/>
      <c r="JT210" s="77"/>
      <c r="JU210" s="77"/>
      <c r="JV210" s="77"/>
      <c r="JW210" s="77"/>
      <c r="JX210" s="77"/>
      <c r="JY210" s="77"/>
      <c r="JZ210" s="77"/>
      <c r="KA210" s="77"/>
      <c r="KB210" s="77"/>
      <c r="KC210" s="77"/>
      <c r="KD210" s="77"/>
      <c r="KE210" s="77"/>
      <c r="KF210" s="77"/>
      <c r="KG210" s="77"/>
      <c r="KH210" s="77"/>
      <c r="KI210" s="77"/>
      <c r="KJ210" s="77"/>
      <c r="KK210" s="77"/>
      <c r="KL210" s="77"/>
      <c r="KM210" s="77"/>
      <c r="KN210" s="77"/>
      <c r="KO210" s="77"/>
      <c r="KP210" s="77"/>
      <c r="KQ210" s="77"/>
      <c r="KR210" s="77"/>
      <c r="KS210" s="77"/>
      <c r="KT210" s="77"/>
      <c r="KU210" s="77"/>
      <c r="KV210" s="77"/>
      <c r="KW210" s="77"/>
      <c r="KX210" s="77"/>
      <c r="KY210" s="77"/>
      <c r="KZ210" s="77"/>
      <c r="LA210" s="77"/>
      <c r="LB210" s="77"/>
      <c r="LC210" s="77"/>
      <c r="LD210" s="77"/>
      <c r="LE210" s="77"/>
      <c r="LF210" s="77"/>
      <c r="LG210" s="77"/>
      <c r="LH210" s="77"/>
      <c r="LI210" s="77"/>
      <c r="LJ210" s="77"/>
      <c r="LK210" s="77"/>
      <c r="LW210" s="77"/>
      <c r="LX210" s="77"/>
      <c r="ND210" s="77"/>
    </row>
    <row r="211" spans="1:368" s="56" customFormat="1" ht="18.600000000000001" customHeight="1" x14ac:dyDescent="0.25">
      <c r="A211" s="119" t="s">
        <v>640</v>
      </c>
      <c r="B211" s="27" t="s">
        <v>2587</v>
      </c>
      <c r="C211" s="27" t="s">
        <v>2588</v>
      </c>
      <c r="D211" s="30" t="str">
        <f>HYPERLINK("https://twitter.com/lacasablanca","https://twitter.com/lacasablanca")</f>
        <v>https://twitter.com/lacasablanca</v>
      </c>
      <c r="E211" s="30" t="str">
        <f>HYPERLINK("http://twiplomacy.com/info/north-america/United-States","http://twiplomacy.com/info/north-america/United-States")</f>
        <v>http://twiplomacy.com/info/north-america/United-States</v>
      </c>
      <c r="F211" s="10" t="s">
        <v>558</v>
      </c>
      <c r="G211" s="10" t="s">
        <v>633</v>
      </c>
      <c r="H211" s="10" t="s">
        <v>781</v>
      </c>
      <c r="I211" s="10" t="s">
        <v>782</v>
      </c>
      <c r="J211" s="27" t="s">
        <v>789</v>
      </c>
      <c r="K211" s="15" t="s">
        <v>777</v>
      </c>
      <c r="L211" s="10" t="s">
        <v>771</v>
      </c>
      <c r="M211" s="10" t="s">
        <v>770</v>
      </c>
      <c r="N211" s="30" t="str">
        <f>HYPERLINK("https://twitter.com/lacasablanca/statuses/4843171998","https://twitter.com/lacasablanca/statuses/4843171998")</f>
        <v>https://twitter.com/lacasablanca/statuses/4843171998</v>
      </c>
      <c r="O211" s="27" t="s">
        <v>2589</v>
      </c>
      <c r="P211" s="80">
        <v>843</v>
      </c>
      <c r="Q211" s="80">
        <v>323</v>
      </c>
      <c r="R211" s="27" t="s">
        <v>2994</v>
      </c>
      <c r="S211" s="30" t="str">
        <f>HYPERLINK("https://twitter.com/lacasablanca/lists","https://twitter.com/lacasablanca/lists")</f>
        <v>https://twitter.com/lacasablanca/lists</v>
      </c>
      <c r="T211" s="10" t="s">
        <v>771</v>
      </c>
      <c r="U211" s="10">
        <v>3</v>
      </c>
      <c r="V211" s="10" t="s">
        <v>771</v>
      </c>
      <c r="W211" s="10"/>
      <c r="X211" s="27" t="s">
        <v>640</v>
      </c>
      <c r="Y211" s="27" t="s">
        <v>2587</v>
      </c>
      <c r="Z211" s="80">
        <v>5012</v>
      </c>
      <c r="AA211" s="27">
        <v>184</v>
      </c>
      <c r="AB211" s="80">
        <v>95658</v>
      </c>
      <c r="AC211" s="27">
        <v>9</v>
      </c>
      <c r="AD211" s="27" t="s">
        <v>3965</v>
      </c>
      <c r="AE211" s="27">
        <v>78138151</v>
      </c>
      <c r="AF211" s="27" t="s">
        <v>2588</v>
      </c>
      <c r="AG211" s="27" t="s">
        <v>2590</v>
      </c>
      <c r="AH211" s="79">
        <v>2.0822600747818898</v>
      </c>
      <c r="AI211" s="83">
        <v>4.0123762376237604</v>
      </c>
      <c r="AJ211" s="80">
        <v>22.703594080338299</v>
      </c>
      <c r="AK211" s="80">
        <v>12.968287526427099</v>
      </c>
      <c r="AL211" s="27">
        <v>46</v>
      </c>
      <c r="AM211" s="97">
        <f t="shared" si="3"/>
        <v>1.4375000000000001E-2</v>
      </c>
      <c r="AN211" s="27" t="s">
        <v>640</v>
      </c>
      <c r="AO211" s="27">
        <v>6</v>
      </c>
      <c r="AP211" s="27">
        <v>24</v>
      </c>
      <c r="AQ211" s="27">
        <v>5</v>
      </c>
      <c r="AR211" s="27">
        <f>SUM(AO211:AQ211)</f>
        <v>35</v>
      </c>
      <c r="AS211" s="27" t="s">
        <v>5249</v>
      </c>
      <c r="AT211" s="27" t="s">
        <v>6773</v>
      </c>
      <c r="AU211" s="84" t="s">
        <v>4802</v>
      </c>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c r="BZ211" s="77"/>
      <c r="CA211" s="77"/>
      <c r="CB211" s="77"/>
      <c r="CC211" s="77"/>
      <c r="CD211" s="77"/>
      <c r="CE211" s="77"/>
      <c r="CF211" s="77"/>
      <c r="CG211" s="77"/>
      <c r="CH211" s="77"/>
      <c r="CI211" s="77"/>
      <c r="CJ211" s="77"/>
      <c r="CK211" s="77"/>
      <c r="CL211" s="77"/>
      <c r="CM211" s="77"/>
      <c r="CN211" s="77"/>
      <c r="CO211" s="77"/>
      <c r="CP211" s="77"/>
      <c r="CQ211" s="77"/>
      <c r="CR211" s="77"/>
      <c r="CS211" s="77"/>
      <c r="CT211" s="77"/>
      <c r="CU211" s="77"/>
      <c r="CV211" s="77"/>
      <c r="CW211" s="77"/>
      <c r="CX211" s="77"/>
      <c r="CY211" s="77"/>
      <c r="CZ211" s="77"/>
      <c r="DA211" s="77"/>
      <c r="DB211" s="77"/>
      <c r="DC211" s="77"/>
      <c r="DD211" s="77"/>
      <c r="DE211" s="77"/>
      <c r="DF211" s="77"/>
      <c r="DG211" s="77"/>
      <c r="DH211" s="77"/>
      <c r="DI211" s="77"/>
      <c r="DJ211" s="77"/>
      <c r="DK211" s="77"/>
      <c r="DL211" s="77"/>
      <c r="DM211" s="77"/>
      <c r="DN211" s="77"/>
      <c r="DO211" s="77"/>
      <c r="DP211" s="77"/>
      <c r="DQ211" s="77"/>
      <c r="DR211" s="77"/>
      <c r="DS211" s="77"/>
      <c r="DT211" s="77"/>
      <c r="DU211" s="77"/>
      <c r="DV211" s="77"/>
      <c r="DW211" s="77"/>
      <c r="DX211" s="77"/>
      <c r="DY211" s="77"/>
      <c r="DZ211" s="77"/>
      <c r="EA211" s="77"/>
      <c r="EB211" s="77"/>
      <c r="EC211" s="77"/>
      <c r="ED211" s="77"/>
      <c r="EE211" s="77"/>
      <c r="EF211" s="77"/>
      <c r="EG211" s="77"/>
      <c r="EH211" s="77"/>
      <c r="EI211" s="77"/>
      <c r="EJ211" s="77"/>
      <c r="EK211" s="77"/>
      <c r="EL211" s="77"/>
      <c r="EM211" s="77"/>
      <c r="EN211" s="77"/>
      <c r="EO211" s="77"/>
      <c r="EP211" s="77"/>
      <c r="EQ211" s="77"/>
      <c r="ER211" s="77"/>
      <c r="ES211" s="77"/>
      <c r="ET211" s="77"/>
      <c r="EU211" s="77"/>
      <c r="EV211" s="77"/>
      <c r="EW211" s="77"/>
      <c r="EX211" s="77"/>
      <c r="EY211" s="77"/>
      <c r="EZ211" s="77"/>
      <c r="FA211" s="77"/>
      <c r="FB211" s="77"/>
      <c r="FC211" s="77"/>
      <c r="FD211" s="77"/>
      <c r="FE211" s="77"/>
      <c r="FF211" s="77"/>
      <c r="FG211" s="77"/>
      <c r="FH211" s="77"/>
      <c r="FI211" s="77"/>
      <c r="FJ211" s="77"/>
      <c r="FK211" s="77"/>
      <c r="FL211" s="77"/>
      <c r="FM211" s="77"/>
      <c r="FN211" s="77"/>
      <c r="FO211" s="77"/>
      <c r="FP211" s="77"/>
      <c r="FQ211" s="77"/>
      <c r="FR211" s="77"/>
      <c r="FS211" s="77"/>
      <c r="FT211" s="77"/>
      <c r="FU211" s="77"/>
      <c r="FV211" s="77"/>
      <c r="FW211" s="77"/>
      <c r="FX211" s="77"/>
      <c r="FY211" s="77"/>
      <c r="FZ211" s="77"/>
      <c r="GA211" s="77"/>
      <c r="GB211" s="77"/>
      <c r="GC211" s="77"/>
      <c r="GD211" s="77"/>
      <c r="GE211" s="77"/>
      <c r="GF211" s="77"/>
      <c r="GG211" s="77"/>
      <c r="GH211" s="77"/>
      <c r="GI211" s="77"/>
      <c r="GJ211" s="77"/>
      <c r="GK211" s="77"/>
      <c r="GL211" s="77"/>
      <c r="GM211" s="77"/>
      <c r="GN211" s="77"/>
      <c r="GO211" s="77"/>
      <c r="GP211" s="77"/>
      <c r="GQ211" s="77"/>
      <c r="GR211" s="77"/>
      <c r="GS211" s="77"/>
      <c r="GT211" s="77"/>
      <c r="GU211" s="77"/>
      <c r="GV211" s="77"/>
      <c r="GW211" s="77"/>
      <c r="GX211" s="77"/>
      <c r="GY211" s="77"/>
      <c r="GZ211" s="77"/>
      <c r="HA211" s="77"/>
      <c r="HB211" s="77"/>
      <c r="HC211" s="77"/>
      <c r="HD211" s="77"/>
      <c r="HE211" s="77"/>
      <c r="HF211" s="77"/>
      <c r="HG211" s="77"/>
      <c r="HH211" s="77"/>
      <c r="HI211" s="77"/>
      <c r="HJ211" s="77"/>
      <c r="HK211" s="77"/>
      <c r="HL211" s="77"/>
      <c r="HM211" s="77"/>
      <c r="HN211" s="77"/>
      <c r="HO211" s="77"/>
      <c r="HP211" s="77"/>
      <c r="HQ211" s="77"/>
      <c r="HR211" s="77"/>
      <c r="HS211" s="77"/>
      <c r="HT211" s="77"/>
      <c r="HU211" s="77"/>
      <c r="HV211" s="77"/>
      <c r="HW211" s="77"/>
      <c r="HX211" s="77"/>
      <c r="HY211" s="77"/>
      <c r="HZ211" s="77"/>
      <c r="IA211" s="77"/>
      <c r="IB211" s="77"/>
      <c r="IC211" s="77"/>
      <c r="ID211" s="77"/>
      <c r="IE211" s="77"/>
      <c r="IF211" s="77"/>
      <c r="IG211" s="77"/>
      <c r="IH211" s="77"/>
      <c r="II211" s="77"/>
      <c r="IJ211" s="77"/>
      <c r="IK211" s="77"/>
      <c r="IL211" s="77"/>
      <c r="IM211" s="77"/>
      <c r="IN211" s="77"/>
      <c r="IO211" s="77"/>
      <c r="IP211" s="77"/>
      <c r="IQ211" s="77"/>
      <c r="IR211" s="77"/>
      <c r="IS211" s="77"/>
      <c r="IT211" s="77"/>
      <c r="IU211" s="77"/>
      <c r="IV211" s="77"/>
      <c r="IW211" s="77"/>
      <c r="IX211" s="77"/>
      <c r="IY211" s="77"/>
      <c r="IZ211" s="77"/>
      <c r="JA211" s="77"/>
      <c r="JB211" s="77"/>
      <c r="JC211" s="77"/>
      <c r="JD211" s="77"/>
      <c r="JE211" s="77"/>
      <c r="JF211" s="77"/>
      <c r="JG211" s="77"/>
      <c r="JH211" s="77"/>
      <c r="JI211" s="77"/>
      <c r="JJ211" s="77"/>
      <c r="JK211" s="77"/>
      <c r="JL211" s="77"/>
      <c r="JM211" s="77"/>
      <c r="JN211" s="77"/>
      <c r="JO211" s="77"/>
      <c r="JP211" s="77"/>
      <c r="JQ211" s="77"/>
      <c r="JR211" s="77"/>
      <c r="JS211" s="77"/>
      <c r="JT211" s="77"/>
      <c r="JU211" s="77"/>
      <c r="JV211" s="77"/>
      <c r="JW211" s="77"/>
      <c r="JX211" s="77"/>
      <c r="JY211" s="77"/>
      <c r="JZ211" s="77"/>
      <c r="KA211" s="77"/>
      <c r="KB211" s="77"/>
      <c r="KC211" s="77"/>
      <c r="KD211" s="77"/>
      <c r="KE211" s="77"/>
      <c r="KF211" s="77"/>
      <c r="KG211" s="77"/>
      <c r="KH211" s="77"/>
      <c r="KI211" s="77"/>
      <c r="KJ211" s="77"/>
      <c r="KK211" s="77"/>
      <c r="KL211" s="77"/>
      <c r="LL211" s="77"/>
      <c r="LM211" s="77"/>
      <c r="LN211" s="77"/>
      <c r="LO211" s="77"/>
      <c r="LP211" s="77"/>
      <c r="LQ211" s="77"/>
      <c r="LR211" s="77"/>
      <c r="LS211" s="77"/>
      <c r="LT211" s="77"/>
      <c r="LU211" s="77"/>
      <c r="LV211" s="77"/>
      <c r="LW211" s="77"/>
      <c r="LX211" s="77"/>
      <c r="MT211" s="77"/>
      <c r="MU211" s="77"/>
      <c r="MV211" s="77"/>
      <c r="MW211" s="77"/>
      <c r="MX211" s="77"/>
      <c r="MY211" s="77"/>
      <c r="MZ211" s="77"/>
      <c r="NA211" s="77"/>
      <c r="NB211" s="77"/>
      <c r="NC211" s="77"/>
      <c r="ND211" s="77"/>
    </row>
    <row r="212" spans="1:368" ht="18.600000000000001" customHeight="1" x14ac:dyDescent="0.25">
      <c r="A212" s="119" t="s">
        <v>425</v>
      </c>
      <c r="B212" s="27" t="s">
        <v>1968</v>
      </c>
      <c r="C212" s="27" t="s">
        <v>1969</v>
      </c>
      <c r="D212" s="30" t="str">
        <f>HYPERLINK("https://twitter.com/matteorenzi","https://twitter.com/matteorenzi")</f>
        <v>https://twitter.com/matteorenzi</v>
      </c>
      <c r="E212" s="30" t="str">
        <f>HYPERLINK("http://twiplomacy.com/info/europe/Italy","http://twiplomacy.com/info/europe/Italy")</f>
        <v>http://twiplomacy.com/info/europe/Italy</v>
      </c>
      <c r="F212" s="10" t="s">
        <v>332</v>
      </c>
      <c r="G212" s="10" t="s">
        <v>424</v>
      </c>
      <c r="H212" s="10" t="s">
        <v>776</v>
      </c>
      <c r="I212" s="10" t="s">
        <v>773</v>
      </c>
      <c r="J212" s="27" t="s">
        <v>1852</v>
      </c>
      <c r="K212" s="15" t="s">
        <v>777</v>
      </c>
      <c r="L212" s="10" t="s">
        <v>771</v>
      </c>
      <c r="M212" s="10" t="s">
        <v>770</v>
      </c>
      <c r="N212" s="30" t="str">
        <f>HYPERLINK("https://twitter.com/matteorenzi/statuses/1104303166","https://twitter.com/matteorenzi/statuses/1104303166")</f>
        <v>https://twitter.com/matteorenzi/statuses/1104303166</v>
      </c>
      <c r="O212" s="27" t="s">
        <v>1970</v>
      </c>
      <c r="P212" s="80">
        <v>9412</v>
      </c>
      <c r="Q212" s="80">
        <v>3225</v>
      </c>
      <c r="R212" s="27" t="s">
        <v>2994</v>
      </c>
      <c r="S212" s="10" t="s">
        <v>1971</v>
      </c>
      <c r="T212" s="10" t="s">
        <v>771</v>
      </c>
      <c r="U212" s="10" t="s">
        <v>771</v>
      </c>
      <c r="V212" s="10" t="s">
        <v>771</v>
      </c>
      <c r="W212" s="10"/>
      <c r="X212" s="27" t="s">
        <v>425</v>
      </c>
      <c r="Y212" s="27" t="s">
        <v>1968</v>
      </c>
      <c r="Z212" s="80">
        <v>5004</v>
      </c>
      <c r="AA212" s="27">
        <v>630</v>
      </c>
      <c r="AB212" s="80">
        <v>2375265</v>
      </c>
      <c r="AC212" s="27">
        <v>0</v>
      </c>
      <c r="AD212" s="27" t="s">
        <v>4036</v>
      </c>
      <c r="AE212" s="27">
        <v>18762875</v>
      </c>
      <c r="AF212" s="27" t="s">
        <v>1969</v>
      </c>
      <c r="AG212" s="27" t="s">
        <v>424</v>
      </c>
      <c r="AH212" s="79">
        <v>1.8734556345937901</v>
      </c>
      <c r="AI212" s="83">
        <v>2.10770234986945</v>
      </c>
      <c r="AJ212" s="80">
        <v>196.32797427652699</v>
      </c>
      <c r="AK212" s="80">
        <v>233.440157199</v>
      </c>
      <c r="AL212" s="27">
        <v>1101</v>
      </c>
      <c r="AM212" s="97">
        <f t="shared" si="3"/>
        <v>0.34406249999999999</v>
      </c>
      <c r="AN212" s="27" t="s">
        <v>425</v>
      </c>
      <c r="AO212" s="27">
        <v>2</v>
      </c>
      <c r="AP212" s="27">
        <v>55</v>
      </c>
      <c r="AQ212" s="27">
        <v>2</v>
      </c>
      <c r="AR212" s="27">
        <f>SUM(AO212:AQ212)</f>
        <v>59</v>
      </c>
      <c r="AS212" s="27" t="s">
        <v>5285</v>
      </c>
      <c r="AT212" s="27" t="s">
        <v>6783</v>
      </c>
      <c r="AU212" s="84" t="s">
        <v>4830</v>
      </c>
      <c r="AV212" s="77"/>
      <c r="AW212" s="77"/>
      <c r="AX212" s="77"/>
      <c r="AY212" s="77"/>
      <c r="AZ212" s="77"/>
      <c r="BA212" s="77"/>
      <c r="BB212" s="77"/>
      <c r="BC212" s="77"/>
      <c r="BD212" s="77"/>
      <c r="BE212" s="77"/>
      <c r="BF212" s="77"/>
      <c r="BG212" s="77"/>
      <c r="BH212" s="77"/>
      <c r="BI212" s="77"/>
      <c r="BJ212" s="77"/>
      <c r="BK212" s="77"/>
      <c r="BL212" s="77"/>
      <c r="BM212" s="76"/>
      <c r="BN212" s="76"/>
      <c r="BO212" s="76"/>
      <c r="BP212" s="76"/>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77"/>
      <c r="CU212" s="77"/>
      <c r="CV212" s="77"/>
      <c r="CW212" s="77"/>
      <c r="CX212" s="77"/>
      <c r="CY212" s="77"/>
      <c r="CZ212" s="77"/>
      <c r="DA212" s="77"/>
      <c r="DB212" s="77"/>
      <c r="DC212" s="77"/>
      <c r="DD212" s="77"/>
      <c r="DE212" s="77"/>
      <c r="DF212" s="77"/>
      <c r="DG212" s="77"/>
      <c r="DH212" s="77"/>
      <c r="DI212" s="77"/>
      <c r="DJ212" s="77"/>
      <c r="DK212" s="77"/>
      <c r="DL212" s="77"/>
      <c r="DM212" s="77"/>
      <c r="DN212" s="77"/>
      <c r="DO212" s="77"/>
      <c r="DP212" s="77"/>
      <c r="DQ212" s="77"/>
      <c r="DR212" s="77"/>
      <c r="DS212" s="77"/>
      <c r="DT212" s="77"/>
      <c r="DU212" s="77"/>
      <c r="DV212" s="77"/>
      <c r="DW212" s="77"/>
      <c r="DX212" s="77"/>
      <c r="DY212" s="77"/>
      <c r="DZ212" s="77"/>
      <c r="EA212" s="77"/>
      <c r="EB212" s="77"/>
      <c r="EC212" s="77"/>
      <c r="ED212" s="77"/>
      <c r="EE212" s="77"/>
      <c r="EF212" s="77"/>
      <c r="EG212" s="77"/>
      <c r="EH212" s="77"/>
      <c r="EI212" s="77"/>
      <c r="EJ212" s="77"/>
      <c r="EK212" s="77"/>
      <c r="EL212" s="77"/>
      <c r="EM212" s="77"/>
      <c r="EN212" s="77"/>
      <c r="EO212" s="77"/>
      <c r="EP212" s="77"/>
      <c r="EQ212" s="77"/>
      <c r="GL212" s="77"/>
      <c r="GM212" s="77"/>
      <c r="GN212" s="77"/>
      <c r="GO212" s="77"/>
      <c r="GP212" s="77"/>
      <c r="GQ212" s="77"/>
      <c r="GR212" s="77"/>
      <c r="GS212" s="77"/>
      <c r="GT212" s="77"/>
      <c r="GU212" s="77"/>
      <c r="GV212" s="77"/>
      <c r="GW212" s="77"/>
      <c r="GX212" s="77"/>
      <c r="GY212" s="77"/>
      <c r="GZ212" s="77"/>
      <c r="HA212" s="77"/>
      <c r="HB212" s="77"/>
      <c r="HC212" s="77"/>
      <c r="HD212" s="77"/>
      <c r="HE212" s="77"/>
      <c r="HF212" s="77"/>
      <c r="HG212" s="77"/>
      <c r="HH212" s="77"/>
      <c r="HI212" s="77"/>
      <c r="HJ212" s="77"/>
      <c r="HK212" s="77"/>
      <c r="HL212" s="77"/>
      <c r="HM212" s="77"/>
      <c r="HN212" s="77"/>
      <c r="HO212" s="77"/>
      <c r="HP212" s="77"/>
      <c r="HQ212" s="77"/>
      <c r="HR212" s="77"/>
      <c r="HS212" s="77"/>
      <c r="HT212" s="77"/>
      <c r="HU212" s="77"/>
      <c r="HV212" s="77"/>
      <c r="HW212" s="77"/>
      <c r="HX212" s="77"/>
      <c r="HY212" s="77"/>
      <c r="HZ212" s="77"/>
      <c r="IA212" s="77"/>
      <c r="IB212" s="77"/>
      <c r="IC212" s="77"/>
      <c r="ID212" s="77"/>
      <c r="IE212" s="77"/>
      <c r="JY212" s="77"/>
      <c r="JZ212" s="77"/>
      <c r="KA212" s="77"/>
      <c r="KB212" s="77"/>
      <c r="KC212" s="77"/>
      <c r="KD212" s="77"/>
      <c r="KE212" s="77"/>
      <c r="KF212" s="77"/>
      <c r="KG212" s="77"/>
      <c r="KH212" s="77"/>
      <c r="KI212" s="77"/>
      <c r="KJ212" s="77"/>
      <c r="KK212" s="77"/>
      <c r="KL212" s="77"/>
      <c r="KM212" s="77"/>
      <c r="KN212" s="77"/>
      <c r="KO212" s="77"/>
      <c r="KP212" s="77"/>
      <c r="KQ212" s="77"/>
      <c r="KR212" s="77"/>
      <c r="KS212" s="77"/>
      <c r="KT212" s="77"/>
      <c r="KU212" s="77"/>
      <c r="KV212" s="77"/>
      <c r="KW212" s="77"/>
      <c r="KX212" s="77"/>
      <c r="KY212" s="77"/>
      <c r="KZ212" s="77"/>
      <c r="LA212" s="77"/>
      <c r="LB212" s="77"/>
      <c r="LC212" s="77"/>
      <c r="LD212" s="77"/>
      <c r="LE212" s="77"/>
      <c r="LF212" s="77"/>
      <c r="LG212" s="77"/>
      <c r="LH212" s="77"/>
      <c r="LI212" s="77"/>
      <c r="LJ212" s="77"/>
      <c r="LK212" s="77"/>
      <c r="LL212" s="77"/>
      <c r="LM212" s="77"/>
      <c r="LN212" s="77"/>
      <c r="LO212" s="77"/>
      <c r="LP212" s="77"/>
      <c r="LQ212" s="77"/>
      <c r="LR212" s="77"/>
      <c r="LS212" s="77"/>
      <c r="LT212" s="77"/>
      <c r="LU212" s="77"/>
      <c r="LV212" s="77"/>
    </row>
    <row r="213" spans="1:368" ht="18.600000000000001" customHeight="1" x14ac:dyDescent="0.25">
      <c r="A213" s="119" t="s">
        <v>601</v>
      </c>
      <c r="B213" s="27" t="s">
        <v>2496</v>
      </c>
      <c r="C213" s="27" t="s">
        <v>2497</v>
      </c>
      <c r="D213" s="30" t="str">
        <f>HYPERLINK("https://twitter.com/PrimatureHT","https://twitter.com/PrimatureHT")</f>
        <v>https://twitter.com/PrimatureHT</v>
      </c>
      <c r="E213" s="30" t="str">
        <f>HYPERLINK("http://twiplomacy.com/info/north-america/Haiti","http://twiplomacy.com/info/north-america/Haiti")</f>
        <v>http://twiplomacy.com/info/north-america/Haiti</v>
      </c>
      <c r="F213" s="20" t="s">
        <v>558</v>
      </c>
      <c r="G213" s="10" t="s">
        <v>599</v>
      </c>
      <c r="H213" s="10" t="s">
        <v>788</v>
      </c>
      <c r="I213" s="10" t="s">
        <v>782</v>
      </c>
      <c r="J213" s="27" t="s">
        <v>789</v>
      </c>
      <c r="K213" s="10" t="s">
        <v>777</v>
      </c>
      <c r="L213" s="10" t="s">
        <v>771</v>
      </c>
      <c r="M213" s="10" t="s">
        <v>770</v>
      </c>
      <c r="N213" s="30" t="str">
        <f>HYPERLINK("https://twitter.com/PrimatureHT/status/476764212606164992","https://twitter.com/PrimatureHT/status/476764212606164992")</f>
        <v>https://twitter.com/PrimatureHT/status/476764212606164992</v>
      </c>
      <c r="O213" s="27" t="s">
        <v>6054</v>
      </c>
      <c r="P213" s="80">
        <v>21</v>
      </c>
      <c r="Q213" s="80">
        <v>0</v>
      </c>
      <c r="R213" s="27" t="s">
        <v>2995</v>
      </c>
      <c r="S213" s="30" t="str">
        <f>HYPERLINK("https://twitter.com/PrimatureHT/lists","https://twitter.com/PrimatureHT/lists")</f>
        <v>https://twitter.com/PrimatureHT/lists</v>
      </c>
      <c r="T213" s="10" t="s">
        <v>771</v>
      </c>
      <c r="U213" s="10" t="s">
        <v>771</v>
      </c>
      <c r="V213" s="10" t="s">
        <v>771</v>
      </c>
      <c r="W213" s="10"/>
      <c r="X213" s="27" t="s">
        <v>601</v>
      </c>
      <c r="Y213" s="27" t="s">
        <v>2496</v>
      </c>
      <c r="Z213" s="80">
        <v>5000</v>
      </c>
      <c r="AA213" s="27">
        <v>343</v>
      </c>
      <c r="AB213" s="80">
        <v>9919</v>
      </c>
      <c r="AC213" s="27">
        <v>767</v>
      </c>
      <c r="AD213" s="27" t="s">
        <v>4379</v>
      </c>
      <c r="AE213" s="27">
        <v>2559482497</v>
      </c>
      <c r="AF213" s="27" t="s">
        <v>2497</v>
      </c>
      <c r="AG213" s="27" t="s">
        <v>2495</v>
      </c>
      <c r="AH213" s="79">
        <v>7.2254335260115603</v>
      </c>
      <c r="AI213" s="83">
        <v>5.6886120996441303</v>
      </c>
      <c r="AJ213" s="80">
        <v>3.0833333333333299</v>
      </c>
      <c r="AK213" s="80">
        <v>1.140625</v>
      </c>
      <c r="AL213" s="13">
        <v>0</v>
      </c>
      <c r="AM213" s="97">
        <f t="shared" si="3"/>
        <v>0</v>
      </c>
      <c r="AN213" s="27" t="s">
        <v>601</v>
      </c>
      <c r="AO213" s="27">
        <v>9</v>
      </c>
      <c r="AP213" s="27">
        <v>2</v>
      </c>
      <c r="AQ213" s="27">
        <v>6</v>
      </c>
      <c r="AR213" s="27">
        <f>SUM(AO213:AQ213)</f>
        <v>17</v>
      </c>
      <c r="AS213" s="27" t="s">
        <v>6621</v>
      </c>
      <c r="AT213" s="27" t="s">
        <v>6721</v>
      </c>
      <c r="AU213" s="84" t="s">
        <v>4926</v>
      </c>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c r="BZ213" s="77"/>
      <c r="CA213" s="77"/>
      <c r="CB213" s="77"/>
      <c r="CC213" s="77"/>
      <c r="CD213" s="77"/>
      <c r="CE213" s="77"/>
      <c r="CF213" s="77"/>
      <c r="CG213" s="77"/>
      <c r="CH213" s="77"/>
      <c r="CI213" s="77"/>
      <c r="CJ213" s="77"/>
      <c r="CK213" s="77"/>
      <c r="CL213" s="77"/>
      <c r="CM213" s="77"/>
      <c r="CN213" s="77"/>
      <c r="CO213" s="77"/>
      <c r="CP213" s="77"/>
      <c r="CQ213" s="77"/>
      <c r="CR213" s="77"/>
      <c r="CS213" s="77"/>
      <c r="CT213" s="77"/>
      <c r="CU213" s="77"/>
      <c r="CV213" s="77"/>
      <c r="CW213" s="77"/>
      <c r="CX213" s="77"/>
      <c r="CY213" s="77"/>
      <c r="CZ213" s="77"/>
      <c r="DA213" s="77"/>
      <c r="DB213" s="77"/>
      <c r="DC213" s="77"/>
      <c r="DD213" s="77"/>
      <c r="DE213" s="77"/>
      <c r="DF213" s="77"/>
      <c r="DG213" s="77"/>
      <c r="DH213" s="77"/>
      <c r="DI213" s="77"/>
      <c r="DJ213" s="77"/>
      <c r="DK213" s="77"/>
      <c r="DL213" s="77"/>
      <c r="DM213" s="77"/>
      <c r="DN213" s="77"/>
      <c r="DO213" s="77"/>
      <c r="DP213" s="77"/>
      <c r="DQ213" s="77"/>
      <c r="DR213" s="77"/>
      <c r="DS213" s="77"/>
      <c r="DT213" s="77"/>
      <c r="DU213" s="77"/>
      <c r="DV213" s="77"/>
      <c r="DW213" s="77"/>
      <c r="DX213" s="77"/>
      <c r="DY213" s="77"/>
      <c r="DZ213" s="77"/>
      <c r="EA213" s="77"/>
      <c r="EB213" s="77"/>
      <c r="EC213" s="77"/>
      <c r="ED213" s="77"/>
      <c r="EE213" s="77"/>
      <c r="EF213" s="77"/>
      <c r="EG213" s="77"/>
      <c r="EH213" s="77"/>
      <c r="EI213" s="77"/>
      <c r="EJ213" s="77"/>
      <c r="EK213" s="77"/>
      <c r="EL213" s="77"/>
      <c r="EM213" s="77"/>
      <c r="EN213" s="77"/>
      <c r="EO213" s="77"/>
      <c r="EP213" s="77"/>
      <c r="ER213" s="77"/>
      <c r="ES213" s="77"/>
      <c r="ET213" s="77"/>
      <c r="EU213" s="77"/>
      <c r="EV213" s="77"/>
      <c r="EW213" s="77"/>
      <c r="EX213" s="77"/>
      <c r="EY213" s="77"/>
      <c r="EZ213" s="77"/>
      <c r="FA213" s="77"/>
      <c r="FB213" s="77"/>
      <c r="FC213" s="77"/>
      <c r="FD213" s="77"/>
      <c r="FE213" s="77"/>
      <c r="FF213" s="77"/>
      <c r="FG213" s="77"/>
      <c r="FH213" s="77"/>
      <c r="FI213" s="77"/>
      <c r="FJ213" s="77"/>
      <c r="FK213" s="77"/>
      <c r="FL213" s="77"/>
      <c r="FM213" s="77"/>
      <c r="FN213" s="77"/>
      <c r="FO213" s="77"/>
      <c r="FP213" s="77"/>
      <c r="FQ213" s="77"/>
      <c r="FR213" s="77"/>
      <c r="FS213" s="77"/>
      <c r="FT213" s="77"/>
      <c r="FU213" s="77"/>
      <c r="FV213" s="77"/>
      <c r="FW213" s="77"/>
      <c r="FX213" s="77"/>
      <c r="FY213" s="77"/>
      <c r="FZ213" s="77"/>
      <c r="GA213" s="77"/>
      <c r="GB213" s="77"/>
      <c r="GC213" s="77"/>
      <c r="GD213" s="77"/>
      <c r="GE213" s="77"/>
      <c r="GF213" s="77"/>
      <c r="GG213" s="77"/>
      <c r="GH213" s="77"/>
      <c r="GI213" s="77"/>
      <c r="GJ213" s="77"/>
      <c r="GK213" s="77"/>
      <c r="GL213" s="77"/>
      <c r="GM213" s="77"/>
      <c r="GN213" s="77"/>
      <c r="GO213" s="77"/>
      <c r="GP213" s="77"/>
      <c r="GQ213" s="77"/>
      <c r="GR213" s="77"/>
      <c r="GS213" s="77"/>
      <c r="GT213" s="77"/>
      <c r="GU213" s="77"/>
      <c r="GV213" s="77"/>
      <c r="GW213" s="77"/>
      <c r="GX213" s="77"/>
      <c r="GY213" s="77"/>
      <c r="GZ213" s="77"/>
      <c r="HA213" s="77"/>
      <c r="HB213" s="77"/>
      <c r="HC213" s="77"/>
      <c r="HD213" s="77"/>
      <c r="HE213" s="77"/>
      <c r="HF213" s="77"/>
      <c r="HG213" s="77"/>
      <c r="HH213" s="77"/>
      <c r="HI213" s="77"/>
      <c r="HJ213" s="77"/>
      <c r="HK213" s="77"/>
      <c r="ID213" s="77"/>
      <c r="IE213" s="77"/>
      <c r="KM213" s="77"/>
      <c r="KN213" s="77"/>
      <c r="KO213" s="77"/>
      <c r="KP213" s="77"/>
      <c r="KQ213" s="77"/>
      <c r="KR213" s="77"/>
      <c r="KS213" s="77"/>
      <c r="KT213" s="77"/>
      <c r="KU213" s="77"/>
      <c r="KV213" s="77"/>
      <c r="KW213" s="77"/>
      <c r="KX213" s="77"/>
      <c r="KY213" s="77"/>
      <c r="KZ213" s="77"/>
      <c r="LA213" s="77"/>
      <c r="LB213" s="77"/>
      <c r="LC213" s="77"/>
      <c r="LD213" s="77"/>
      <c r="LE213" s="77"/>
      <c r="LF213" s="77"/>
      <c r="LG213" s="77"/>
      <c r="LH213" s="77"/>
      <c r="LI213" s="77"/>
      <c r="LJ213" s="77"/>
      <c r="LK213" s="77"/>
      <c r="LL213" s="77"/>
      <c r="LM213" s="77"/>
      <c r="LN213" s="77"/>
      <c r="LO213" s="77"/>
      <c r="LP213" s="77"/>
      <c r="LQ213" s="77"/>
      <c r="LR213" s="77"/>
      <c r="LS213" s="77"/>
      <c r="LT213" s="77"/>
      <c r="LU213" s="77"/>
      <c r="LV213" s="77"/>
      <c r="LW213" s="77"/>
      <c r="LX213" s="77"/>
    </row>
    <row r="214" spans="1:368" ht="18.600000000000001" customHeight="1" x14ac:dyDescent="0.25">
      <c r="A214" s="119" t="s">
        <v>295</v>
      </c>
      <c r="B214" s="27" t="s">
        <v>1610</v>
      </c>
      <c r="C214" s="27" t="s">
        <v>6446</v>
      </c>
      <c r="D214" s="30" t="str">
        <f>HYPERLINK("https://twitter.com/PrimeMinisterKR","https://twitter.com/PrimeMinisterKR")</f>
        <v>https://twitter.com/PrimeMinisterKR</v>
      </c>
      <c r="E214" s="30" t="str">
        <f>HYPERLINK("http://twiplomacy.com/info/asia/South-Korea","http://twiplomacy.com/info/asia/South-Korea")</f>
        <v>http://twiplomacy.com/info/asia/South-Korea</v>
      </c>
      <c r="F214" s="10" t="s">
        <v>154</v>
      </c>
      <c r="G214" s="10" t="s">
        <v>292</v>
      </c>
      <c r="H214" s="10" t="s">
        <v>788</v>
      </c>
      <c r="I214" s="10" t="s">
        <v>782</v>
      </c>
      <c r="J214" s="27" t="s">
        <v>1606</v>
      </c>
      <c r="K214" s="15" t="s">
        <v>777</v>
      </c>
      <c r="L214" s="10" t="s">
        <v>771</v>
      </c>
      <c r="M214" s="10" t="s">
        <v>770</v>
      </c>
      <c r="N214" s="30" t="str">
        <f>HYPERLINK("https://twitter.com/PrimeMinisterKR/statuses/11395411574","https://twitter.com/PrimeMinisterKR/statuses/11395411574")</f>
        <v>https://twitter.com/PrimeMinisterKR/statuses/11395411574</v>
      </c>
      <c r="O214" s="27" t="s">
        <v>1611</v>
      </c>
      <c r="P214" s="80">
        <v>161</v>
      </c>
      <c r="Q214" s="80">
        <v>14</v>
      </c>
      <c r="R214" s="27" t="s">
        <v>2994</v>
      </c>
      <c r="S214" s="30" t="str">
        <f>HYPERLINK("https://twitter.com/PrimeMinisterKR/lists","https://twitter.com/PrimeMinisterKR/lists")</f>
        <v>https://twitter.com/PrimeMinisterKR/lists</v>
      </c>
      <c r="T214" s="10">
        <v>1</v>
      </c>
      <c r="U214" s="10" t="s">
        <v>771</v>
      </c>
      <c r="V214" s="30" t="str">
        <f>HYPERLINK("https://twitter.com/PrimeMinisterKR/most-liked/members","https://twitter.com/PrimeMinisterKR/most-liked/members")</f>
        <v>https://twitter.com/PrimeMinisterKR/most-liked/members</v>
      </c>
      <c r="W214" s="10">
        <v>0</v>
      </c>
      <c r="X214" s="27" t="s">
        <v>295</v>
      </c>
      <c r="Y214" s="27" t="s">
        <v>1610</v>
      </c>
      <c r="Z214" s="80">
        <v>4938</v>
      </c>
      <c r="AA214" s="27">
        <v>37475</v>
      </c>
      <c r="AB214" s="80">
        <v>36547</v>
      </c>
      <c r="AC214" s="27">
        <v>17</v>
      </c>
      <c r="AD214" s="27" t="s">
        <v>4390</v>
      </c>
      <c r="AE214" s="27">
        <v>125585413</v>
      </c>
      <c r="AF214" s="27" t="s">
        <v>6446</v>
      </c>
      <c r="AG214" s="27" t="s">
        <v>1609</v>
      </c>
      <c r="AH214" s="79">
        <v>2.2123655913978499</v>
      </c>
      <c r="AI214" s="83">
        <v>1.9214372716199799</v>
      </c>
      <c r="AJ214" s="80">
        <v>5.3581871345029199</v>
      </c>
      <c r="AK214" s="80">
        <v>1.2810672514619901</v>
      </c>
      <c r="AL214" s="27">
        <v>345</v>
      </c>
      <c r="AM214" s="97">
        <f t="shared" si="3"/>
        <v>0.10781250000000001</v>
      </c>
      <c r="AN214" s="27" t="s">
        <v>295</v>
      </c>
      <c r="AO214" s="27">
        <v>2</v>
      </c>
      <c r="AP214" s="27">
        <v>0</v>
      </c>
      <c r="AQ214" s="27">
        <v>9</v>
      </c>
      <c r="AR214" s="27">
        <f>SUM(AO214:AQ214)</f>
        <v>11</v>
      </c>
      <c r="AS214" s="27" t="s">
        <v>5243</v>
      </c>
      <c r="AT214" s="27"/>
      <c r="AU214" s="84" t="s">
        <v>4930</v>
      </c>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77"/>
      <c r="CD214" s="77"/>
      <c r="CE214" s="77"/>
      <c r="CF214" s="77"/>
      <c r="CG214" s="77"/>
      <c r="CH214" s="77"/>
      <c r="CI214" s="77"/>
      <c r="CJ214" s="77"/>
      <c r="CK214" s="77"/>
      <c r="CL214" s="77"/>
      <c r="CM214" s="77"/>
      <c r="CN214" s="77"/>
      <c r="CO214" s="77"/>
      <c r="CP214" s="77"/>
      <c r="CQ214" s="77"/>
      <c r="CR214" s="77"/>
      <c r="CS214" s="77"/>
      <c r="CT214" s="77"/>
      <c r="CU214" s="77"/>
      <c r="CV214" s="77"/>
      <c r="CW214" s="77"/>
      <c r="CX214" s="77"/>
      <c r="CY214" s="77"/>
      <c r="CZ214" s="77"/>
      <c r="DA214" s="77"/>
      <c r="DB214" s="77"/>
      <c r="DC214" s="77"/>
      <c r="DD214" s="77"/>
      <c r="DE214" s="77"/>
      <c r="DF214" s="77"/>
      <c r="DG214" s="77"/>
      <c r="DH214" s="77"/>
      <c r="DI214" s="77"/>
      <c r="DJ214" s="77"/>
      <c r="DK214" s="77"/>
      <c r="DL214" s="77"/>
      <c r="DM214" s="77"/>
      <c r="DN214" s="77"/>
      <c r="DO214" s="77"/>
      <c r="DP214" s="77"/>
      <c r="DQ214" s="77"/>
      <c r="DR214" s="77"/>
      <c r="DS214" s="77"/>
      <c r="DT214" s="77"/>
      <c r="DU214" s="77"/>
      <c r="DV214" s="77"/>
      <c r="DW214" s="77"/>
      <c r="DX214" s="77"/>
      <c r="DY214" s="77"/>
      <c r="DZ214" s="77"/>
      <c r="EA214" s="77"/>
      <c r="EB214" s="77"/>
      <c r="EC214" s="77"/>
      <c r="ED214" s="77"/>
      <c r="EE214" s="77"/>
      <c r="EF214" s="77"/>
      <c r="EG214" s="77"/>
      <c r="EH214" s="77"/>
      <c r="EI214" s="77"/>
      <c r="EJ214" s="77"/>
      <c r="EK214" s="77"/>
      <c r="EL214" s="77"/>
      <c r="EM214" s="77"/>
      <c r="EN214" s="77"/>
      <c r="EO214" s="77"/>
      <c r="EQ214" s="77"/>
      <c r="ER214" s="77"/>
      <c r="ES214" s="77"/>
      <c r="ET214" s="77"/>
      <c r="EU214" s="77"/>
      <c r="EV214" s="77"/>
      <c r="EW214" s="77"/>
      <c r="EX214" s="77"/>
      <c r="EY214" s="77"/>
      <c r="EZ214" s="77"/>
      <c r="FA214" s="77"/>
      <c r="FB214" s="77"/>
      <c r="FC214" s="77"/>
      <c r="FD214" s="77"/>
      <c r="FE214" s="77"/>
      <c r="FF214" s="77"/>
      <c r="FG214" s="77"/>
      <c r="FH214" s="77"/>
      <c r="FI214" s="77"/>
      <c r="FJ214" s="77"/>
      <c r="FK214" s="77"/>
      <c r="FL214" s="77"/>
      <c r="FM214" s="77"/>
      <c r="FN214" s="77"/>
      <c r="FO214" s="77"/>
      <c r="FP214" s="77"/>
      <c r="FQ214" s="77"/>
      <c r="FR214" s="77"/>
      <c r="FS214" s="77"/>
      <c r="FT214" s="77"/>
      <c r="FU214" s="77"/>
      <c r="FV214" s="77"/>
      <c r="FW214" s="77"/>
      <c r="FX214" s="77"/>
      <c r="FY214" s="77"/>
      <c r="FZ214" s="77"/>
      <c r="GA214" s="77"/>
      <c r="GB214" s="77"/>
      <c r="GC214" s="77"/>
      <c r="GD214" s="77"/>
      <c r="GE214" s="77"/>
      <c r="GF214" s="77"/>
      <c r="GG214" s="77"/>
      <c r="GH214" s="77"/>
      <c r="GI214" s="77"/>
      <c r="GJ214" s="77"/>
      <c r="GK214" s="77"/>
      <c r="GL214" s="77"/>
      <c r="GM214" s="77"/>
      <c r="GN214" s="77"/>
      <c r="GO214" s="77"/>
      <c r="GP214" s="77"/>
      <c r="GQ214" s="77"/>
      <c r="GR214" s="77"/>
      <c r="GS214" s="77"/>
      <c r="GT214" s="77"/>
      <c r="GU214" s="77"/>
      <c r="GV214" s="77"/>
      <c r="GW214" s="77"/>
      <c r="GX214" s="77"/>
      <c r="GY214" s="77"/>
      <c r="GZ214" s="77"/>
      <c r="HA214" s="77"/>
      <c r="HB214" s="77"/>
      <c r="HC214" s="77"/>
      <c r="HD214" s="77"/>
      <c r="HE214" s="77"/>
      <c r="HF214" s="77"/>
      <c r="HG214" s="77"/>
      <c r="HH214" s="77"/>
      <c r="HI214" s="77"/>
      <c r="HJ214" s="77"/>
      <c r="HK214" s="77"/>
      <c r="ID214" s="77"/>
      <c r="IE214" s="77"/>
      <c r="IF214" s="77"/>
      <c r="IG214" s="77"/>
      <c r="IH214" s="77"/>
      <c r="II214" s="77"/>
      <c r="IJ214" s="77"/>
      <c r="IK214" s="77"/>
      <c r="IL214" s="77"/>
      <c r="IM214" s="77"/>
      <c r="IN214" s="77"/>
      <c r="IO214" s="77"/>
      <c r="IP214" s="77"/>
      <c r="IQ214" s="77"/>
      <c r="IR214" s="77"/>
      <c r="IS214" s="77"/>
      <c r="IT214" s="77"/>
      <c r="IU214" s="77"/>
      <c r="IV214" s="77"/>
      <c r="IW214" s="77"/>
      <c r="IX214" s="77"/>
      <c r="IY214" s="77"/>
      <c r="IZ214" s="77"/>
      <c r="JA214" s="77"/>
      <c r="JB214" s="77"/>
      <c r="JC214" s="77"/>
      <c r="JD214" s="77"/>
      <c r="JE214" s="77"/>
      <c r="JF214" s="77"/>
      <c r="JG214" s="77"/>
      <c r="JH214" s="77"/>
      <c r="JI214" s="77"/>
      <c r="JJ214" s="77"/>
      <c r="JK214" s="77"/>
      <c r="JL214" s="77"/>
      <c r="JM214" s="77"/>
      <c r="JN214" s="77"/>
      <c r="JO214" s="77"/>
      <c r="JP214" s="77"/>
      <c r="JQ214" s="77"/>
      <c r="JR214" s="77"/>
      <c r="JS214" s="77"/>
      <c r="JT214" s="77"/>
      <c r="JU214" s="77"/>
      <c r="JV214" s="77"/>
      <c r="JW214" s="77"/>
      <c r="JX214" s="77"/>
      <c r="JY214" s="77"/>
      <c r="JZ214" s="77"/>
      <c r="KA214" s="77"/>
      <c r="KB214" s="77"/>
      <c r="KC214" s="77"/>
      <c r="KD214" s="77"/>
      <c r="KE214" s="77"/>
      <c r="KF214" s="77"/>
      <c r="KG214" s="77"/>
      <c r="KH214" s="77"/>
      <c r="KI214" s="77"/>
      <c r="KJ214" s="77"/>
      <c r="KK214" s="77"/>
      <c r="KL214" s="77"/>
      <c r="KM214" s="77"/>
      <c r="KN214" s="77"/>
      <c r="KO214" s="77"/>
      <c r="KP214" s="77"/>
      <c r="KQ214" s="77"/>
      <c r="KR214" s="77"/>
      <c r="KS214" s="77"/>
      <c r="KT214" s="77"/>
      <c r="KU214" s="77"/>
      <c r="KV214" s="77"/>
      <c r="KW214" s="77"/>
      <c r="KX214" s="77"/>
      <c r="KY214" s="77"/>
      <c r="KZ214" s="77"/>
      <c r="LA214" s="77"/>
      <c r="LB214" s="77"/>
      <c r="LC214" s="77"/>
      <c r="LD214" s="77"/>
      <c r="LE214" s="77"/>
      <c r="LF214" s="77"/>
      <c r="LG214" s="77"/>
      <c r="LH214" s="77"/>
      <c r="LI214" s="77"/>
      <c r="LJ214" s="77"/>
      <c r="LK214" s="77"/>
      <c r="LL214" s="77"/>
      <c r="LM214" s="77"/>
      <c r="LN214" s="77"/>
      <c r="LO214" s="77"/>
      <c r="LP214" s="77"/>
      <c r="LQ214" s="77"/>
      <c r="LR214" s="77"/>
      <c r="LS214" s="77"/>
      <c r="LT214" s="77"/>
      <c r="LU214" s="77"/>
      <c r="LV214" s="77"/>
    </row>
    <row r="215" spans="1:368" ht="18.600000000000001" customHeight="1" x14ac:dyDescent="0.25">
      <c r="A215" s="119" t="s">
        <v>68</v>
      </c>
      <c r="B215" s="27" t="s">
        <v>951</v>
      </c>
      <c r="C215" s="27" t="s">
        <v>6369</v>
      </c>
      <c r="D215" s="30" t="str">
        <f>HYPERLINK("https://twitter.com/AMB_A_Mohammed","https://twitter.com/AMB_A_Mohammed")</f>
        <v>https://twitter.com/AMB_A_Mohammed</v>
      </c>
      <c r="E215" s="30" t="str">
        <f>HYPERLINK("http://twiplomacy.com/info/africa/Kenya","http://twiplomacy.com/info/africa/Kenya")</f>
        <v>http://twiplomacy.com/info/africa/Kenya</v>
      </c>
      <c r="F215" s="10" t="s">
        <v>1</v>
      </c>
      <c r="G215" s="10" t="s">
        <v>65</v>
      </c>
      <c r="H215" s="10" t="s">
        <v>860</v>
      </c>
      <c r="I215" s="10" t="s">
        <v>773</v>
      </c>
      <c r="J215" s="27" t="s">
        <v>789</v>
      </c>
      <c r="K215" s="10" t="s">
        <v>777</v>
      </c>
      <c r="L215" s="10" t="s">
        <v>905</v>
      </c>
      <c r="M215" s="10" t="s">
        <v>770</v>
      </c>
      <c r="N215" s="30" t="str">
        <f>HYPERLINK("https://twitter.com/AMB_A_Mohammed/statuses/327384607131578368","https://twitter.com/AMB_A_Mohammed/statuses/327384607131578368")</f>
        <v>https://twitter.com/AMB_A_Mohammed/statuses/327384607131578368</v>
      </c>
      <c r="O215" s="27" t="s">
        <v>5680</v>
      </c>
      <c r="P215" s="80">
        <v>328</v>
      </c>
      <c r="Q215" s="80">
        <v>139</v>
      </c>
      <c r="R215" s="27" t="s">
        <v>2994</v>
      </c>
      <c r="S215" s="10" t="s">
        <v>952</v>
      </c>
      <c r="T215" s="10" t="s">
        <v>771</v>
      </c>
      <c r="U215" s="10" t="s">
        <v>771</v>
      </c>
      <c r="V215" s="10" t="s">
        <v>771</v>
      </c>
      <c r="W215" s="10"/>
      <c r="X215" s="27" t="s">
        <v>68</v>
      </c>
      <c r="Y215" s="27" t="s">
        <v>951</v>
      </c>
      <c r="Z215" s="80">
        <v>4925</v>
      </c>
      <c r="AA215" s="27">
        <v>440</v>
      </c>
      <c r="AB215" s="80">
        <v>239632</v>
      </c>
      <c r="AC215" s="27">
        <v>486</v>
      </c>
      <c r="AD215" s="27" t="s">
        <v>3451</v>
      </c>
      <c r="AE215" s="27">
        <v>1379223859</v>
      </c>
      <c r="AF215" s="27" t="s">
        <v>6369</v>
      </c>
      <c r="AG215" s="27" t="s">
        <v>953</v>
      </c>
      <c r="AH215" s="79">
        <v>4.4650951949229398</v>
      </c>
      <c r="AI215" s="83">
        <v>5.5206896551724096</v>
      </c>
      <c r="AJ215" s="80">
        <v>10.8853390131345</v>
      </c>
      <c r="AK215" s="80">
        <v>8.9467518636847707</v>
      </c>
      <c r="AL215" s="96">
        <v>206</v>
      </c>
      <c r="AM215" s="97">
        <f t="shared" si="3"/>
        <v>6.4375000000000002E-2</v>
      </c>
      <c r="AN215" s="27" t="s">
        <v>68</v>
      </c>
      <c r="AO215" s="27">
        <v>34</v>
      </c>
      <c r="AP215" s="27">
        <v>29</v>
      </c>
      <c r="AQ215" s="27">
        <v>12</v>
      </c>
      <c r="AR215" s="27">
        <f>SUM(AO215:AQ215)</f>
        <v>75</v>
      </c>
      <c r="AS215" s="27" t="s">
        <v>6541</v>
      </c>
      <c r="AT215" s="27" t="s">
        <v>5012</v>
      </c>
      <c r="AU215" s="84" t="s">
        <v>4645</v>
      </c>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c r="BZ215" s="77"/>
      <c r="CA215" s="77"/>
      <c r="CB215" s="77"/>
      <c r="CX215" s="77"/>
      <c r="CY215" s="77"/>
      <c r="CZ215" s="77"/>
      <c r="DA215" s="77"/>
      <c r="DB215" s="77"/>
      <c r="DC215" s="77"/>
      <c r="DD215" s="77"/>
      <c r="DE215" s="77"/>
      <c r="DF215" s="77"/>
      <c r="DG215" s="77"/>
      <c r="DH215" s="77"/>
      <c r="DI215" s="77"/>
      <c r="DJ215" s="77"/>
      <c r="DK215" s="77"/>
      <c r="DL215" s="77"/>
      <c r="DM215" s="77"/>
      <c r="DN215" s="77"/>
      <c r="DO215" s="77"/>
      <c r="DP215" s="77"/>
      <c r="DQ215" s="77"/>
      <c r="DR215" s="77"/>
      <c r="DS215" s="77"/>
      <c r="DT215" s="77"/>
      <c r="DU215" s="77"/>
      <c r="DV215" s="77"/>
      <c r="DW215" s="77"/>
      <c r="DX215" s="77"/>
      <c r="DY215" s="77"/>
      <c r="DZ215" s="77"/>
      <c r="EA215" s="77"/>
      <c r="EB215" s="77"/>
      <c r="EC215" s="77"/>
      <c r="ED215" s="77"/>
      <c r="EE215" s="77"/>
      <c r="EF215" s="77"/>
      <c r="EG215" s="77"/>
      <c r="EH215" s="77"/>
      <c r="EI215" s="77"/>
      <c r="EJ215" s="77"/>
      <c r="EK215" s="77"/>
      <c r="EL215" s="77"/>
      <c r="EM215" s="77"/>
      <c r="EN215" s="77"/>
      <c r="EO215" s="77"/>
      <c r="EQ215" s="77"/>
      <c r="ER215" s="77"/>
      <c r="ES215" s="77"/>
      <c r="ET215" s="77"/>
      <c r="EU215" s="77"/>
      <c r="EV215" s="77"/>
      <c r="EW215" s="77"/>
      <c r="EX215" s="77"/>
      <c r="EY215" s="77"/>
      <c r="EZ215" s="77"/>
      <c r="FA215" s="77"/>
      <c r="FB215" s="77"/>
      <c r="FC215" s="77"/>
      <c r="FD215" s="77"/>
      <c r="FE215" s="77"/>
      <c r="FF215" s="77"/>
      <c r="FG215" s="77"/>
      <c r="FH215" s="77"/>
      <c r="FI215" s="77"/>
      <c r="FJ215" s="77"/>
      <c r="FK215" s="77"/>
      <c r="FL215" s="77"/>
      <c r="FM215" s="77"/>
      <c r="FN215" s="77"/>
      <c r="FO215" s="77"/>
      <c r="FP215" s="77"/>
      <c r="FQ215" s="77"/>
      <c r="FR215" s="77"/>
      <c r="FS215" s="77"/>
      <c r="FT215" s="77"/>
      <c r="FU215" s="77"/>
      <c r="FV215" s="77"/>
      <c r="FW215" s="77"/>
      <c r="FX215" s="77"/>
      <c r="FY215" s="77"/>
      <c r="FZ215" s="77"/>
      <c r="GA215" s="77"/>
      <c r="GB215" s="77"/>
      <c r="GC215" s="77"/>
      <c r="GD215" s="77"/>
      <c r="GE215" s="77"/>
      <c r="GF215" s="77"/>
      <c r="GG215" s="77"/>
      <c r="GH215" s="77"/>
      <c r="GI215" s="77"/>
      <c r="GJ215" s="77"/>
      <c r="GK215" s="77"/>
      <c r="ID215" s="77"/>
      <c r="IE215" s="77"/>
      <c r="IF215" s="77"/>
      <c r="IG215" s="77"/>
      <c r="IH215" s="77"/>
      <c r="II215" s="77"/>
      <c r="IJ215" s="77"/>
      <c r="IK215" s="77"/>
      <c r="IL215" s="77"/>
      <c r="IM215" s="77"/>
      <c r="IN215" s="77"/>
      <c r="IO215" s="77"/>
      <c r="IP215" s="77"/>
      <c r="IQ215" s="77"/>
      <c r="IR215" s="77"/>
      <c r="IS215" s="77"/>
      <c r="IT215" s="77"/>
      <c r="IU215" s="77"/>
      <c r="IV215" s="77"/>
      <c r="IW215" s="77"/>
      <c r="IX215" s="77"/>
      <c r="IY215" s="77"/>
      <c r="IZ215" s="77"/>
      <c r="JA215" s="77"/>
      <c r="JB215" s="77"/>
      <c r="JC215" s="77"/>
      <c r="JD215" s="77"/>
      <c r="JE215" s="77"/>
      <c r="JF215" s="77"/>
      <c r="JG215" s="77"/>
      <c r="JH215" s="77"/>
      <c r="JI215" s="77"/>
      <c r="JJ215" s="77"/>
      <c r="JK215" s="77"/>
      <c r="JL215" s="77"/>
      <c r="JM215" s="77"/>
      <c r="JN215" s="77"/>
      <c r="JO215" s="77"/>
      <c r="JP215" s="77"/>
      <c r="JQ215" s="77"/>
      <c r="JR215" s="77"/>
      <c r="JS215" s="77"/>
      <c r="JT215" s="77"/>
      <c r="JU215" s="77"/>
      <c r="JV215" s="77"/>
      <c r="JW215" s="77"/>
      <c r="JX215" s="77"/>
      <c r="JY215" s="77"/>
      <c r="JZ215" s="77"/>
      <c r="KA215" s="77"/>
      <c r="KB215" s="77"/>
      <c r="KC215" s="77"/>
      <c r="KD215" s="77"/>
      <c r="KE215" s="77"/>
      <c r="KF215" s="77"/>
      <c r="KG215" s="77"/>
      <c r="KH215" s="77"/>
      <c r="KI215" s="77"/>
      <c r="KJ215" s="77"/>
      <c r="KK215" s="77"/>
      <c r="KL215" s="77"/>
      <c r="KM215" s="77"/>
      <c r="KN215" s="77"/>
      <c r="KO215" s="77"/>
      <c r="KP215" s="77"/>
      <c r="KQ215" s="77"/>
      <c r="KR215" s="77"/>
      <c r="KS215" s="77"/>
      <c r="KT215" s="77"/>
      <c r="KU215" s="77"/>
      <c r="KV215" s="77"/>
      <c r="KW215" s="77"/>
      <c r="KX215" s="77"/>
      <c r="KY215" s="77"/>
      <c r="KZ215" s="77"/>
      <c r="LA215" s="77"/>
      <c r="LB215" s="77"/>
      <c r="LC215" s="77"/>
      <c r="LD215" s="77"/>
      <c r="LE215" s="77"/>
      <c r="LF215" s="77"/>
      <c r="LG215" s="77"/>
      <c r="LH215" s="77"/>
      <c r="LI215" s="77"/>
      <c r="LJ215" s="77"/>
      <c r="LK215" s="77"/>
      <c r="LY215" s="77"/>
      <c r="LZ215" s="77"/>
      <c r="MA215" s="77"/>
      <c r="MB215" s="77"/>
      <c r="MC215" s="77"/>
      <c r="MD215" s="77"/>
      <c r="ME215" s="77"/>
      <c r="MF215" s="77"/>
      <c r="MG215" s="77"/>
      <c r="MH215" s="77"/>
      <c r="MI215" s="77"/>
      <c r="MJ215" s="77"/>
      <c r="MK215" s="77"/>
      <c r="ML215" s="77"/>
      <c r="MM215" s="77"/>
      <c r="MN215" s="77"/>
      <c r="MO215" s="77"/>
      <c r="MP215" s="77"/>
      <c r="MQ215" s="77"/>
      <c r="MR215" s="77"/>
    </row>
    <row r="216" spans="1:368" ht="18.600000000000001" customHeight="1" x14ac:dyDescent="0.25">
      <c r="A216" s="119" t="s">
        <v>1475</v>
      </c>
      <c r="B216" s="27" t="s">
        <v>1476</v>
      </c>
      <c r="C216" s="27"/>
      <c r="D216" s="30" t="str">
        <f>HYPERLINK("https://twitter.com/myGovPortal","https://twitter.com/myGovPortal")</f>
        <v>https://twitter.com/myGovPortal</v>
      </c>
      <c r="E216" s="30" t="str">
        <f>HYPERLINK("http://twiplomacy.com/info/asia/Malaysia","http://twiplomacy.com/info/asia/Malaysia")</f>
        <v>http://twiplomacy.com/info/asia/Malaysia</v>
      </c>
      <c r="F216" s="10" t="s">
        <v>154</v>
      </c>
      <c r="G216" s="10" t="s">
        <v>239</v>
      </c>
      <c r="H216" s="10" t="s">
        <v>788</v>
      </c>
      <c r="I216" s="10" t="s">
        <v>782</v>
      </c>
      <c r="J216" s="27" t="s">
        <v>789</v>
      </c>
      <c r="K216" s="15" t="s">
        <v>777</v>
      </c>
      <c r="L216" s="10" t="s">
        <v>771</v>
      </c>
      <c r="M216" s="10" t="s">
        <v>771</v>
      </c>
      <c r="N216" s="30" t="str">
        <f>HYPERLINK("https://twitter.com/myGovPortal/statuses/11729108432","https://twitter.com/myGovPortal/statuses/11729108432")</f>
        <v>https://twitter.com/myGovPortal/statuses/11729108432</v>
      </c>
      <c r="O216" s="12" t="s">
        <v>1477</v>
      </c>
      <c r="P216" s="46">
        <v>62</v>
      </c>
      <c r="Q216" s="46">
        <v>33</v>
      </c>
      <c r="R216" s="27" t="s">
        <v>2995</v>
      </c>
      <c r="S216" s="10" t="s">
        <v>1478</v>
      </c>
      <c r="T216" s="10" t="s">
        <v>771</v>
      </c>
      <c r="U216" s="10" t="s">
        <v>771</v>
      </c>
      <c r="V216" s="10" t="s">
        <v>771</v>
      </c>
      <c r="W216" s="10"/>
      <c r="X216" s="27" t="s">
        <v>1475</v>
      </c>
      <c r="Y216" s="27" t="s">
        <v>1476</v>
      </c>
      <c r="Z216" s="80">
        <v>4924</v>
      </c>
      <c r="AA216" s="27">
        <v>6</v>
      </c>
      <c r="AB216" s="80">
        <v>19902</v>
      </c>
      <c r="AC216" s="27">
        <v>0</v>
      </c>
      <c r="AD216" s="27" t="s">
        <v>4177</v>
      </c>
      <c r="AE216" s="27">
        <v>127177263</v>
      </c>
      <c r="AF216" s="27"/>
      <c r="AG216" s="27"/>
      <c r="AH216" s="79">
        <v>2.21104625056129</v>
      </c>
      <c r="AI216" s="83">
        <v>1.87009237875289</v>
      </c>
      <c r="AJ216" s="80">
        <v>1.10188329731399</v>
      </c>
      <c r="AK216" s="80">
        <v>0.21982093238653899</v>
      </c>
      <c r="AL216" s="27">
        <v>9</v>
      </c>
      <c r="AM216" s="97">
        <f t="shared" si="3"/>
        <v>2.8124999999999999E-3</v>
      </c>
      <c r="AN216" s="27" t="s">
        <v>1475</v>
      </c>
      <c r="AO216" s="27">
        <v>1</v>
      </c>
      <c r="AP216" s="27">
        <v>1</v>
      </c>
      <c r="AQ216" s="27">
        <v>0</v>
      </c>
      <c r="AR216" s="27">
        <f>SUM(AO216:AQ216)</f>
        <v>2</v>
      </c>
      <c r="AS216" s="27" t="s">
        <v>240</v>
      </c>
      <c r="AT216" s="27" t="s">
        <v>360</v>
      </c>
      <c r="AU216" s="84"/>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7"/>
      <c r="BR216" s="77"/>
      <c r="BS216" s="77"/>
      <c r="BT216" s="77"/>
      <c r="BU216" s="77"/>
      <c r="BV216" s="77"/>
      <c r="BW216" s="77"/>
      <c r="BX216" s="77"/>
      <c r="BY216" s="77"/>
      <c r="BZ216" s="77"/>
      <c r="CA216" s="77"/>
      <c r="CB216" s="77"/>
      <c r="CC216" s="77"/>
      <c r="CD216" s="77"/>
      <c r="CE216" s="77"/>
      <c r="CF216" s="77"/>
      <c r="CG216" s="77"/>
      <c r="CH216" s="77"/>
      <c r="CI216" s="77"/>
      <c r="CJ216" s="77"/>
      <c r="CK216" s="77"/>
      <c r="CL216" s="77"/>
      <c r="CM216" s="77"/>
      <c r="CN216" s="77"/>
      <c r="CO216" s="77"/>
      <c r="CP216" s="77"/>
      <c r="CQ216" s="77"/>
      <c r="CR216" s="77"/>
      <c r="CS216" s="77"/>
      <c r="CT216" s="77"/>
      <c r="CU216" s="77"/>
      <c r="CV216" s="77"/>
      <c r="CW216" s="77"/>
      <c r="CX216" s="77"/>
      <c r="CY216" s="77"/>
      <c r="CZ216" s="77"/>
      <c r="DA216" s="77"/>
      <c r="DB216" s="77"/>
      <c r="DC216" s="77"/>
      <c r="DD216" s="77"/>
      <c r="DE216" s="77"/>
      <c r="DF216" s="77"/>
      <c r="DG216" s="77"/>
      <c r="DH216" s="77"/>
      <c r="DI216" s="77"/>
      <c r="DJ216" s="77"/>
      <c r="DK216" s="77"/>
      <c r="DL216" s="77"/>
      <c r="DM216" s="77"/>
      <c r="DN216" s="77"/>
      <c r="DO216" s="77"/>
      <c r="DP216" s="77"/>
      <c r="DQ216" s="77"/>
      <c r="DR216" s="77"/>
      <c r="DS216" s="77"/>
      <c r="DT216" s="77"/>
      <c r="DU216" s="77"/>
      <c r="DV216" s="77"/>
      <c r="DW216" s="77"/>
      <c r="DX216" s="77"/>
      <c r="DY216" s="77"/>
      <c r="DZ216" s="77"/>
      <c r="EA216" s="77"/>
      <c r="EB216" s="77"/>
      <c r="EC216" s="77"/>
      <c r="ED216" s="77"/>
      <c r="EE216" s="77"/>
      <c r="EF216" s="77"/>
      <c r="EG216" s="77"/>
      <c r="EH216" s="77"/>
      <c r="EI216" s="77"/>
      <c r="EJ216" s="77"/>
      <c r="EK216" s="77"/>
      <c r="EL216" s="77"/>
      <c r="EM216" s="77"/>
      <c r="EN216" s="77"/>
      <c r="EO216" s="77"/>
      <c r="EP216" s="77"/>
      <c r="EQ216" s="77"/>
      <c r="ER216" s="77"/>
      <c r="ES216" s="77"/>
      <c r="ET216" s="77"/>
      <c r="EU216" s="77"/>
      <c r="EV216" s="77"/>
      <c r="EW216" s="77"/>
      <c r="EX216" s="77"/>
      <c r="EY216" s="77"/>
      <c r="EZ216" s="77"/>
      <c r="FA216" s="77"/>
      <c r="FB216" s="77"/>
      <c r="FC216" s="77"/>
      <c r="FD216" s="77"/>
      <c r="FE216" s="77"/>
      <c r="FF216" s="77"/>
      <c r="FG216" s="77"/>
      <c r="FH216" s="77"/>
      <c r="FI216" s="77"/>
      <c r="FJ216" s="77"/>
      <c r="FK216" s="77"/>
      <c r="FL216" s="77"/>
      <c r="FM216" s="77"/>
      <c r="FN216" s="77"/>
      <c r="FO216" s="77"/>
      <c r="FP216" s="77"/>
      <c r="FQ216" s="77"/>
      <c r="FR216" s="77"/>
      <c r="FS216" s="77"/>
      <c r="FT216" s="77"/>
      <c r="FU216" s="77"/>
      <c r="FV216" s="77"/>
      <c r="FW216" s="77"/>
      <c r="FX216" s="77"/>
      <c r="FY216" s="77"/>
      <c r="FZ216" s="77"/>
      <c r="GA216" s="77"/>
      <c r="GB216" s="77"/>
      <c r="GC216" s="77"/>
      <c r="GD216" s="77"/>
      <c r="GE216" s="77"/>
      <c r="GF216" s="77"/>
      <c r="GG216" s="77"/>
      <c r="GH216" s="77"/>
      <c r="GI216" s="77"/>
      <c r="GJ216" s="77"/>
      <c r="GK216" s="77"/>
      <c r="HL216" s="77"/>
      <c r="HM216" s="77"/>
      <c r="HN216" s="77"/>
      <c r="HO216" s="77"/>
      <c r="HP216" s="77"/>
      <c r="HQ216" s="77"/>
      <c r="HR216" s="77"/>
      <c r="HS216" s="77"/>
      <c r="HT216" s="77"/>
      <c r="HU216" s="77"/>
      <c r="HV216" s="77"/>
      <c r="HW216" s="77"/>
      <c r="HX216" s="77"/>
      <c r="HY216" s="77"/>
      <c r="HZ216" s="77"/>
      <c r="IA216" s="77"/>
      <c r="IB216" s="77"/>
      <c r="IC216" s="77"/>
      <c r="ID216" s="77"/>
      <c r="IE216" s="77"/>
      <c r="IF216" s="77"/>
      <c r="IG216" s="77"/>
      <c r="IH216" s="77"/>
      <c r="II216" s="77"/>
      <c r="IJ216" s="77"/>
      <c r="IK216" s="77"/>
      <c r="IL216" s="77"/>
      <c r="IM216" s="77"/>
      <c r="IN216" s="77"/>
      <c r="IO216" s="77"/>
      <c r="IP216" s="77"/>
      <c r="IQ216" s="77"/>
      <c r="IR216" s="77"/>
      <c r="IS216" s="77"/>
      <c r="IT216" s="77"/>
      <c r="IU216" s="77"/>
      <c r="IV216" s="77"/>
      <c r="IW216" s="77"/>
      <c r="IX216" s="77"/>
      <c r="IY216" s="77"/>
      <c r="IZ216" s="77"/>
      <c r="JA216" s="77"/>
      <c r="JB216" s="77"/>
      <c r="JC216" s="77"/>
      <c r="JD216" s="77"/>
      <c r="JE216" s="77"/>
      <c r="JF216" s="77"/>
      <c r="JG216" s="77"/>
      <c r="JH216" s="77"/>
      <c r="JI216" s="77"/>
      <c r="JJ216" s="77"/>
      <c r="JK216" s="77"/>
      <c r="JL216" s="77"/>
      <c r="JM216" s="77"/>
      <c r="JN216" s="77"/>
      <c r="JO216" s="77"/>
      <c r="JP216" s="77"/>
      <c r="JQ216" s="77"/>
      <c r="JR216" s="77"/>
      <c r="JS216" s="77"/>
      <c r="JT216" s="77"/>
      <c r="JU216" s="77"/>
      <c r="JV216" s="77"/>
      <c r="JW216" s="77"/>
      <c r="JX216" s="77"/>
      <c r="JY216" s="77"/>
      <c r="JZ216" s="77"/>
      <c r="KA216" s="77"/>
      <c r="KB216" s="77"/>
      <c r="KC216" s="77"/>
      <c r="KD216" s="77"/>
      <c r="KE216" s="77"/>
      <c r="KF216" s="77"/>
      <c r="KG216" s="77"/>
      <c r="KH216" s="77"/>
      <c r="KI216" s="77"/>
      <c r="KJ216" s="77"/>
      <c r="KK216" s="77"/>
      <c r="KL216" s="77"/>
      <c r="KM216" s="77"/>
      <c r="KN216" s="77"/>
      <c r="KO216" s="77"/>
      <c r="KP216" s="77"/>
      <c r="KQ216" s="77"/>
      <c r="KR216" s="77"/>
      <c r="KS216" s="77"/>
      <c r="KT216" s="77"/>
      <c r="KU216" s="77"/>
      <c r="KV216" s="77"/>
      <c r="KW216" s="77"/>
      <c r="KX216" s="77"/>
      <c r="KY216" s="77"/>
      <c r="KZ216" s="77"/>
      <c r="LA216" s="77"/>
      <c r="LB216" s="77"/>
      <c r="LC216" s="77"/>
      <c r="LD216" s="77"/>
      <c r="LE216" s="77"/>
      <c r="LF216" s="77"/>
      <c r="LG216" s="77"/>
      <c r="LH216" s="77"/>
      <c r="LI216" s="77"/>
      <c r="LJ216" s="77"/>
      <c r="LK216" s="77"/>
      <c r="LL216" s="77"/>
      <c r="LM216" s="77"/>
      <c r="LN216" s="77"/>
      <c r="LO216" s="77"/>
      <c r="LP216" s="77"/>
      <c r="LQ216" s="77"/>
      <c r="LR216" s="77"/>
      <c r="LS216" s="77"/>
      <c r="LT216" s="77"/>
      <c r="LU216" s="77"/>
      <c r="LV216" s="77"/>
      <c r="LW216" s="77"/>
      <c r="LX216" s="77"/>
      <c r="LY216" s="77"/>
      <c r="LZ216" s="77"/>
      <c r="MA216" s="77"/>
      <c r="MB216" s="77"/>
      <c r="MC216" s="77"/>
      <c r="MD216" s="77"/>
      <c r="ME216" s="77"/>
      <c r="MF216" s="77"/>
      <c r="MG216" s="77"/>
      <c r="MH216" s="77"/>
      <c r="MI216" s="77"/>
      <c r="MJ216" s="77"/>
      <c r="MK216" s="77"/>
      <c r="ML216" s="77"/>
      <c r="MM216" s="77"/>
      <c r="MN216" s="77"/>
      <c r="MO216" s="77"/>
      <c r="MP216" s="77"/>
      <c r="MQ216" s="77"/>
      <c r="MR216" s="77"/>
    </row>
    <row r="217" spans="1:368" ht="18.600000000000001" customHeight="1" x14ac:dyDescent="0.25">
      <c r="A217" s="119" t="s">
        <v>2580</v>
      </c>
      <c r="B217" s="27" t="s">
        <v>2581</v>
      </c>
      <c r="C217" s="27" t="s">
        <v>6460</v>
      </c>
      <c r="D217" s="30" t="str">
        <f>HYPERLINK("https://twitter.com/USAdarFarsi","https://twitter.com/USAdarFarsi")</f>
        <v>https://twitter.com/USAdarFarsi</v>
      </c>
      <c r="E217" s="30" t="str">
        <f>HYPERLINK("http://twiplomacy.com/info/north-america/United-States","http://twiplomacy.com/info/north-america/United-States")</f>
        <v>http://twiplomacy.com/info/north-america/United-States</v>
      </c>
      <c r="F217" s="10" t="s">
        <v>558</v>
      </c>
      <c r="G217" s="10" t="s">
        <v>633</v>
      </c>
      <c r="H217" s="10" t="s">
        <v>2539</v>
      </c>
      <c r="I217" s="10" t="s">
        <v>782</v>
      </c>
      <c r="J217" s="27" t="s">
        <v>789</v>
      </c>
      <c r="K217" s="15" t="s">
        <v>777</v>
      </c>
      <c r="L217" s="10" t="s">
        <v>771</v>
      </c>
      <c r="M217" s="10" t="s">
        <v>770</v>
      </c>
      <c r="N217" s="30" t="str">
        <f>HYPERLINK("https://twitter.com/USAdarFarsi/statuses/36899553479364608","https://twitter.com/USAdarFarsi/statuses/36899553479364608")</f>
        <v>https://twitter.com/USAdarFarsi/statuses/36899553479364608</v>
      </c>
      <c r="O217" s="27" t="s">
        <v>2582</v>
      </c>
      <c r="P217" s="80">
        <v>88</v>
      </c>
      <c r="Q217" s="80">
        <v>217</v>
      </c>
      <c r="R217" s="27" t="s">
        <v>2994</v>
      </c>
      <c r="S217" s="10" t="s">
        <v>2583</v>
      </c>
      <c r="T217" s="10" t="s">
        <v>771</v>
      </c>
      <c r="U217" s="10" t="s">
        <v>771</v>
      </c>
      <c r="V217" s="10" t="s">
        <v>771</v>
      </c>
      <c r="W217" s="10"/>
      <c r="X217" s="27" t="s">
        <v>2580</v>
      </c>
      <c r="Y217" s="27" t="s">
        <v>2581</v>
      </c>
      <c r="Z217" s="80">
        <v>4874</v>
      </c>
      <c r="AA217" s="27">
        <v>250</v>
      </c>
      <c r="AB217" s="80">
        <v>171851</v>
      </c>
      <c r="AC217" s="27">
        <v>2</v>
      </c>
      <c r="AD217" s="27" t="s">
        <v>4562</v>
      </c>
      <c r="AE217" s="27">
        <v>251633354</v>
      </c>
      <c r="AF217" s="27" t="s">
        <v>6460</v>
      </c>
      <c r="AG217" s="27" t="s">
        <v>6461</v>
      </c>
      <c r="AH217" s="79">
        <v>2.5585301837270298</v>
      </c>
      <c r="AI217" s="83">
        <v>2.3029871977240401</v>
      </c>
      <c r="AJ217" s="80">
        <v>3.4111389236545699</v>
      </c>
      <c r="AK217" s="80">
        <v>12.6370463078849</v>
      </c>
      <c r="AL217" s="96">
        <v>44</v>
      </c>
      <c r="AM217" s="97">
        <f t="shared" si="3"/>
        <v>1.375E-2</v>
      </c>
      <c r="AN217" s="27" t="s">
        <v>2580</v>
      </c>
      <c r="AO217" s="27">
        <v>11</v>
      </c>
      <c r="AP217" s="27">
        <v>4</v>
      </c>
      <c r="AQ217" s="27">
        <v>3</v>
      </c>
      <c r="AR217" s="27">
        <f>SUM(AO217:AQ217)</f>
        <v>18</v>
      </c>
      <c r="AS217" s="27" t="s">
        <v>5544</v>
      </c>
      <c r="AT217" s="27" t="s">
        <v>5545</v>
      </c>
      <c r="AU217" s="84" t="s">
        <v>4981</v>
      </c>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1"/>
      <c r="BR217" s="71"/>
      <c r="BS217" s="71"/>
      <c r="BT217" s="71"/>
      <c r="BU217" s="71"/>
      <c r="BV217" s="71"/>
      <c r="BW217" s="71"/>
      <c r="BX217" s="71"/>
      <c r="BY217" s="71"/>
      <c r="BZ217" s="71"/>
      <c r="CA217" s="71"/>
      <c r="CB217" s="71"/>
      <c r="CX217" s="77"/>
      <c r="CY217" s="77"/>
      <c r="CZ217" s="77"/>
      <c r="DA217" s="77"/>
      <c r="DB217" s="77"/>
      <c r="DC217" s="77"/>
      <c r="DD217" s="77"/>
      <c r="DE217" s="77"/>
      <c r="DF217" s="77"/>
      <c r="DG217" s="77"/>
      <c r="DH217" s="77"/>
      <c r="DI217" s="77"/>
      <c r="DJ217" s="77"/>
      <c r="DK217" s="77"/>
      <c r="DL217" s="77"/>
      <c r="DM217" s="77"/>
      <c r="DN217" s="77"/>
      <c r="DO217" s="77"/>
      <c r="DP217" s="77"/>
      <c r="DQ217" s="77"/>
      <c r="DR217" s="77"/>
      <c r="DS217" s="77"/>
      <c r="DT217" s="77"/>
      <c r="DU217" s="77"/>
      <c r="DV217" s="77"/>
      <c r="DW217" s="77"/>
      <c r="DX217" s="77"/>
      <c r="DY217" s="77"/>
      <c r="DZ217" s="77"/>
      <c r="EA217" s="77"/>
      <c r="EB217" s="77"/>
      <c r="EC217" s="77"/>
      <c r="ED217" s="77"/>
      <c r="EE217" s="77"/>
      <c r="EF217" s="77"/>
      <c r="EG217" s="77"/>
      <c r="EH217" s="77"/>
      <c r="EI217" s="77"/>
      <c r="EJ217" s="77"/>
      <c r="EK217" s="77"/>
      <c r="EL217" s="77"/>
      <c r="EM217" s="77"/>
      <c r="EN217" s="77"/>
      <c r="EO217" s="77"/>
      <c r="EP217" s="77"/>
      <c r="EQ217" s="77"/>
      <c r="ER217" s="77"/>
      <c r="ES217" s="77"/>
      <c r="ET217" s="77"/>
      <c r="EU217" s="77"/>
      <c r="EV217" s="77"/>
      <c r="EW217" s="77"/>
      <c r="EX217" s="77"/>
      <c r="EY217" s="77"/>
      <c r="EZ217" s="77"/>
      <c r="FA217" s="77"/>
      <c r="FB217" s="77"/>
      <c r="FC217" s="77"/>
      <c r="FD217" s="77"/>
      <c r="FE217" s="77"/>
      <c r="FF217" s="77"/>
      <c r="FG217" s="77"/>
      <c r="FH217" s="77"/>
      <c r="FI217" s="77"/>
      <c r="FJ217" s="77"/>
      <c r="FK217" s="77"/>
      <c r="FL217" s="77"/>
      <c r="FM217" s="77"/>
      <c r="FN217" s="77"/>
      <c r="FO217" s="77"/>
      <c r="FP217" s="77"/>
      <c r="FQ217" s="77"/>
      <c r="FR217" s="77"/>
      <c r="FS217" s="77"/>
      <c r="FT217" s="77"/>
      <c r="FU217" s="77"/>
      <c r="FV217" s="77"/>
      <c r="FW217" s="77"/>
      <c r="FX217" s="77"/>
      <c r="FY217" s="77"/>
      <c r="FZ217" s="77"/>
      <c r="GA217" s="77"/>
      <c r="GB217" s="77"/>
      <c r="GC217" s="77"/>
      <c r="GD217" s="77"/>
      <c r="GE217" s="77"/>
      <c r="GF217" s="77"/>
      <c r="GG217" s="77"/>
      <c r="GH217" s="77"/>
      <c r="GI217" s="77"/>
      <c r="GJ217" s="77"/>
      <c r="GK217" s="77"/>
      <c r="GL217" s="77"/>
      <c r="GM217" s="77"/>
      <c r="GN217" s="77"/>
      <c r="GO217" s="77"/>
      <c r="GP217" s="77"/>
      <c r="GQ217" s="77"/>
      <c r="GR217" s="77"/>
      <c r="GS217" s="77"/>
      <c r="GT217" s="77"/>
      <c r="GU217" s="77"/>
      <c r="GV217" s="77"/>
      <c r="GW217" s="77"/>
      <c r="GX217" s="77"/>
      <c r="GY217" s="77"/>
      <c r="GZ217" s="77"/>
      <c r="HA217" s="77"/>
      <c r="HB217" s="77"/>
      <c r="HC217" s="77"/>
      <c r="HD217" s="77"/>
      <c r="HE217" s="77"/>
      <c r="HF217" s="77"/>
      <c r="HG217" s="77"/>
      <c r="HH217" s="77"/>
      <c r="HI217" s="77"/>
      <c r="HJ217" s="77"/>
      <c r="HK217" s="77"/>
      <c r="HL217" s="77"/>
      <c r="HM217" s="77"/>
      <c r="HN217" s="77"/>
      <c r="HO217" s="77"/>
      <c r="HP217" s="77"/>
      <c r="HQ217" s="77"/>
      <c r="HR217" s="77"/>
      <c r="HS217" s="77"/>
      <c r="HT217" s="77"/>
      <c r="HU217" s="77"/>
      <c r="HV217" s="77"/>
      <c r="HW217" s="77"/>
      <c r="HX217" s="77"/>
      <c r="HY217" s="77"/>
      <c r="HZ217" s="77"/>
      <c r="IA217" s="77"/>
      <c r="IB217" s="77"/>
      <c r="IC217" s="77"/>
      <c r="ID217" s="77"/>
      <c r="IE217" s="77"/>
      <c r="IF217" s="77"/>
      <c r="IG217" s="77"/>
      <c r="IH217" s="77"/>
      <c r="II217" s="77"/>
      <c r="IJ217" s="77"/>
      <c r="IK217" s="77"/>
      <c r="IL217" s="77"/>
      <c r="IM217" s="77"/>
      <c r="IN217" s="77"/>
      <c r="IO217" s="77"/>
      <c r="IP217" s="77"/>
      <c r="IQ217" s="77"/>
      <c r="IR217" s="77"/>
      <c r="IS217" s="77"/>
      <c r="IT217" s="77"/>
      <c r="IU217" s="77"/>
      <c r="IV217" s="77"/>
      <c r="IW217" s="77"/>
      <c r="IX217" s="77"/>
      <c r="IY217" s="77"/>
      <c r="IZ217" s="77"/>
      <c r="JA217" s="77"/>
      <c r="JB217" s="77"/>
      <c r="JC217" s="77"/>
      <c r="JD217" s="77"/>
      <c r="JE217" s="77"/>
      <c r="JF217" s="77"/>
      <c r="JG217" s="77"/>
      <c r="JH217" s="77"/>
      <c r="JI217" s="77"/>
      <c r="JJ217" s="77"/>
      <c r="JK217" s="77"/>
      <c r="JL217" s="77"/>
      <c r="JM217" s="77"/>
      <c r="JN217" s="77"/>
      <c r="JO217" s="77"/>
      <c r="JP217" s="77"/>
      <c r="JQ217" s="77"/>
      <c r="JR217" s="77"/>
      <c r="JS217" s="77"/>
      <c r="JT217" s="77"/>
      <c r="JU217" s="77"/>
      <c r="JV217" s="77"/>
      <c r="JW217" s="77"/>
      <c r="JX217" s="77"/>
      <c r="JY217" s="77"/>
      <c r="JZ217" s="77"/>
      <c r="KA217" s="77"/>
      <c r="KB217" s="77"/>
      <c r="KC217" s="77"/>
      <c r="KD217" s="77"/>
      <c r="KE217" s="77"/>
      <c r="KF217" s="77"/>
      <c r="KG217" s="77"/>
      <c r="KH217" s="77"/>
      <c r="KI217" s="77"/>
      <c r="KJ217" s="77"/>
      <c r="KK217" s="77"/>
      <c r="KL217" s="77"/>
      <c r="KM217" s="77"/>
      <c r="KN217" s="77"/>
      <c r="KO217" s="77"/>
      <c r="KP217" s="77"/>
      <c r="KQ217" s="77"/>
      <c r="KR217" s="77"/>
      <c r="KS217" s="77"/>
      <c r="KT217" s="77"/>
      <c r="KU217" s="77"/>
      <c r="KV217" s="77"/>
      <c r="KW217" s="77"/>
      <c r="KX217" s="77"/>
      <c r="KY217" s="77"/>
      <c r="KZ217" s="77"/>
      <c r="LA217" s="77"/>
      <c r="LB217" s="77"/>
      <c r="LC217" s="77"/>
      <c r="LD217" s="77"/>
      <c r="LE217" s="77"/>
      <c r="LF217" s="77"/>
      <c r="LG217" s="77"/>
      <c r="LH217" s="77"/>
      <c r="LI217" s="77"/>
      <c r="LJ217" s="77"/>
      <c r="LK217" s="77"/>
      <c r="LW217" s="77"/>
      <c r="LX217" s="77"/>
      <c r="LY217" s="77"/>
      <c r="LZ217" s="77"/>
      <c r="MA217" s="77"/>
      <c r="MB217" s="77"/>
      <c r="MC217" s="77"/>
      <c r="MD217" s="77"/>
      <c r="ME217" s="77"/>
      <c r="MF217" s="77"/>
      <c r="MG217" s="77"/>
      <c r="MH217" s="77"/>
      <c r="MI217" s="77"/>
      <c r="MJ217" s="77"/>
      <c r="MK217" s="77"/>
      <c r="ML217" s="77"/>
      <c r="MM217" s="77"/>
      <c r="MN217" s="77"/>
      <c r="MO217" s="77"/>
      <c r="MP217" s="77"/>
      <c r="MQ217" s="77"/>
      <c r="MR217" s="77"/>
      <c r="MT217" s="77"/>
      <c r="MU217" s="77"/>
      <c r="MV217" s="77"/>
      <c r="MW217" s="77"/>
      <c r="MX217" s="77"/>
      <c r="MY217" s="77"/>
      <c r="MZ217" s="77"/>
      <c r="NA217" s="77"/>
      <c r="NB217" s="77"/>
      <c r="NC217" s="77"/>
    </row>
    <row r="218" spans="1:368" ht="18.600000000000001" customHeight="1" x14ac:dyDescent="0.25">
      <c r="A218" s="119" t="s">
        <v>606</v>
      </c>
      <c r="B218" s="27" t="s">
        <v>4484</v>
      </c>
      <c r="C218" s="27" t="s">
        <v>4485</v>
      </c>
      <c r="D218" s="30" t="s">
        <v>2503</v>
      </c>
      <c r="E218" s="30" t="str">
        <f>HYPERLINK("http://twiplomacy.com/info/north-america/Honduras","http://twiplomacy.com/info/north-america/Honduras")</f>
        <v>http://twiplomacy.com/info/north-america/Honduras</v>
      </c>
      <c r="F218" s="10" t="s">
        <v>558</v>
      </c>
      <c r="G218" s="10" t="s">
        <v>603</v>
      </c>
      <c r="H218" s="10" t="s">
        <v>795</v>
      </c>
      <c r="I218" s="10" t="s">
        <v>782</v>
      </c>
      <c r="J218" s="27" t="s">
        <v>2226</v>
      </c>
      <c r="K218" s="15" t="s">
        <v>777</v>
      </c>
      <c r="L218" s="10" t="s">
        <v>771</v>
      </c>
      <c r="M218" s="10" t="s">
        <v>770</v>
      </c>
      <c r="N218" s="30" t="str">
        <f>HYPERLINK("https://twitter.com/SRECIHonduras/statuses/99616599119642624","https://twitter.com/SRECIHonduras/statuses/99616599119642624")</f>
        <v>https://twitter.com/SRECIHonduras/statuses/99616599119642624</v>
      </c>
      <c r="O218" s="27" t="s">
        <v>6098</v>
      </c>
      <c r="P218" s="80">
        <v>157</v>
      </c>
      <c r="Q218" s="80">
        <v>3</v>
      </c>
      <c r="R218" s="27" t="s">
        <v>2995</v>
      </c>
      <c r="S218" s="10" t="s">
        <v>2504</v>
      </c>
      <c r="T218" s="10" t="s">
        <v>771</v>
      </c>
      <c r="U218" s="10" t="s">
        <v>771</v>
      </c>
      <c r="V218" s="10" t="s">
        <v>771</v>
      </c>
      <c r="W218" s="10"/>
      <c r="X218" s="27" t="s">
        <v>606</v>
      </c>
      <c r="Y218" s="27" t="s">
        <v>4484</v>
      </c>
      <c r="Z218" s="80">
        <v>4816</v>
      </c>
      <c r="AA218" s="27">
        <v>320</v>
      </c>
      <c r="AB218" s="80">
        <v>2002</v>
      </c>
      <c r="AC218" s="27">
        <v>159</v>
      </c>
      <c r="AD218" s="27" t="s">
        <v>4486</v>
      </c>
      <c r="AE218" s="27">
        <v>229993443</v>
      </c>
      <c r="AF218" s="27" t="s">
        <v>4485</v>
      </c>
      <c r="AG218" s="27" t="s">
        <v>603</v>
      </c>
      <c r="AH218" s="79">
        <v>2.4672801635991801</v>
      </c>
      <c r="AI218" s="83">
        <v>6.72</v>
      </c>
      <c r="AJ218" s="80">
        <v>12.7141823444284</v>
      </c>
      <c r="AK218" s="80">
        <v>1.16425470332851</v>
      </c>
      <c r="AL218" s="27">
        <v>25</v>
      </c>
      <c r="AM218" s="97">
        <f t="shared" si="3"/>
        <v>7.8125E-3</v>
      </c>
      <c r="AN218" s="27" t="s">
        <v>606</v>
      </c>
      <c r="AO218" s="27">
        <v>39</v>
      </c>
      <c r="AP218" s="27">
        <v>18</v>
      </c>
      <c r="AQ218" s="27">
        <v>17</v>
      </c>
      <c r="AR218" s="27">
        <f>SUM(AO218:AQ218)</f>
        <v>74</v>
      </c>
      <c r="AS218" s="27" t="s">
        <v>6625</v>
      </c>
      <c r="AT218" s="27" t="s">
        <v>5499</v>
      </c>
      <c r="AU218" s="84" t="s">
        <v>4955</v>
      </c>
      <c r="AV218" s="77"/>
      <c r="AW218" s="77"/>
      <c r="AX218" s="77"/>
      <c r="AY218" s="77"/>
      <c r="AZ218" s="77"/>
      <c r="BA218" s="77"/>
      <c r="BB218" s="77"/>
      <c r="BC218" s="77"/>
      <c r="BD218" s="77"/>
      <c r="BE218" s="77"/>
      <c r="BF218" s="77"/>
      <c r="BG218" s="77"/>
      <c r="BH218" s="77"/>
      <c r="BI218" s="77"/>
      <c r="BJ218" s="77"/>
      <c r="BK218" s="77"/>
      <c r="BL218" s="77"/>
      <c r="BM218" s="77"/>
      <c r="BN218" s="77"/>
      <c r="BO218" s="77"/>
      <c r="BP218" s="77"/>
      <c r="BQ218" s="77"/>
      <c r="BR218" s="77"/>
      <c r="BS218" s="77"/>
      <c r="BT218" s="77"/>
      <c r="BU218" s="77"/>
      <c r="BV218" s="77"/>
      <c r="BW218" s="77"/>
      <c r="BX218" s="77"/>
      <c r="BY218" s="77"/>
      <c r="BZ218" s="77"/>
      <c r="CA218" s="77"/>
      <c r="CB218" s="77"/>
      <c r="CC218" s="77"/>
      <c r="CD218" s="77"/>
      <c r="CE218" s="77"/>
      <c r="CF218" s="77"/>
      <c r="CG218" s="77"/>
      <c r="CH218" s="77"/>
      <c r="CI218" s="77"/>
      <c r="CJ218" s="77"/>
      <c r="CK218" s="77"/>
      <c r="CL218" s="77"/>
      <c r="CM218" s="77"/>
      <c r="CN218" s="77"/>
      <c r="CO218" s="77"/>
      <c r="CP218" s="77"/>
      <c r="CQ218" s="77"/>
      <c r="CR218" s="77"/>
      <c r="CS218" s="77"/>
      <c r="CT218" s="77"/>
      <c r="CU218" s="77"/>
      <c r="CV218" s="77"/>
      <c r="CW218" s="77"/>
      <c r="EM218" s="77"/>
      <c r="EN218" s="77"/>
      <c r="EO218" s="77"/>
      <c r="EP218" s="77"/>
      <c r="EQ218" s="77"/>
      <c r="GL218" s="77"/>
      <c r="GM218" s="77"/>
      <c r="GN218" s="77"/>
      <c r="GO218" s="77"/>
      <c r="GP218" s="77"/>
      <c r="GQ218" s="77"/>
      <c r="GR218" s="77"/>
      <c r="GS218" s="77"/>
      <c r="GT218" s="77"/>
      <c r="GU218" s="77"/>
      <c r="GV218" s="77"/>
      <c r="GW218" s="77"/>
      <c r="GX218" s="77"/>
      <c r="GY218" s="77"/>
      <c r="GZ218" s="77"/>
      <c r="HA218" s="77"/>
      <c r="HB218" s="77"/>
      <c r="HC218" s="77"/>
      <c r="HD218" s="77"/>
      <c r="HE218" s="77"/>
      <c r="HF218" s="77"/>
      <c r="HG218" s="77"/>
      <c r="HH218" s="77"/>
      <c r="HI218" s="77"/>
      <c r="HJ218" s="77"/>
      <c r="HK218" s="77"/>
      <c r="HL218" s="77"/>
      <c r="HM218" s="77"/>
      <c r="HN218" s="77"/>
      <c r="HO218" s="77"/>
      <c r="HP218" s="77"/>
      <c r="HQ218" s="77"/>
      <c r="HR218" s="77"/>
      <c r="HS218" s="77"/>
      <c r="HT218" s="77"/>
      <c r="HU218" s="77"/>
      <c r="HV218" s="77"/>
      <c r="HW218" s="77"/>
      <c r="HX218" s="77"/>
      <c r="HY218" s="77"/>
      <c r="HZ218" s="77"/>
      <c r="IA218" s="77"/>
      <c r="IB218" s="77"/>
      <c r="IC218" s="77"/>
      <c r="ID218" s="77"/>
      <c r="IE218" s="77"/>
      <c r="IF218" s="77"/>
      <c r="IG218" s="77"/>
      <c r="IH218" s="77"/>
      <c r="II218" s="77"/>
      <c r="IJ218" s="77"/>
      <c r="IK218" s="77"/>
      <c r="IL218" s="77"/>
      <c r="IM218" s="77"/>
      <c r="IN218" s="77"/>
      <c r="IO218" s="77"/>
      <c r="IP218" s="77"/>
      <c r="IQ218" s="77"/>
      <c r="IR218" s="77"/>
      <c r="IS218" s="77"/>
      <c r="IT218" s="77"/>
      <c r="IU218" s="77"/>
      <c r="IV218" s="77"/>
      <c r="IW218" s="77"/>
      <c r="IX218" s="77"/>
      <c r="IY218" s="77"/>
      <c r="IZ218" s="77"/>
      <c r="JA218" s="77"/>
      <c r="JB218" s="77"/>
      <c r="JC218" s="77"/>
      <c r="JD218" s="77"/>
      <c r="JE218" s="77"/>
      <c r="JF218" s="77"/>
      <c r="JG218" s="77"/>
      <c r="JH218" s="77"/>
      <c r="JI218" s="77"/>
      <c r="JJ218" s="77"/>
      <c r="JK218" s="77"/>
      <c r="JL218" s="77"/>
      <c r="JM218" s="77"/>
      <c r="JN218" s="77"/>
      <c r="JO218" s="77"/>
      <c r="JP218" s="77"/>
      <c r="JQ218" s="77"/>
      <c r="JR218" s="77"/>
      <c r="JS218" s="77"/>
      <c r="JT218" s="77"/>
      <c r="JU218" s="77"/>
      <c r="JV218" s="77"/>
      <c r="JW218" s="77"/>
      <c r="JX218" s="77"/>
      <c r="KM218" s="77"/>
      <c r="KN218" s="77"/>
      <c r="KO218" s="77"/>
      <c r="KP218" s="77"/>
      <c r="KQ218" s="77"/>
      <c r="KR218" s="77"/>
      <c r="KS218" s="77"/>
      <c r="KT218" s="77"/>
      <c r="KU218" s="77"/>
      <c r="KV218" s="77"/>
      <c r="KW218" s="77"/>
      <c r="KX218" s="77"/>
      <c r="KY218" s="77"/>
      <c r="KZ218" s="77"/>
      <c r="LA218" s="77"/>
      <c r="LB218" s="77"/>
      <c r="LC218" s="77"/>
      <c r="LD218" s="77"/>
      <c r="LE218" s="77"/>
      <c r="LF218" s="77"/>
      <c r="LG218" s="77"/>
      <c r="LH218" s="77"/>
      <c r="LI218" s="77"/>
      <c r="LJ218" s="77"/>
      <c r="LK218" s="77"/>
      <c r="LW218" s="77"/>
      <c r="LX218" s="77"/>
    </row>
    <row r="219" spans="1:368" ht="18.600000000000001" customHeight="1" x14ac:dyDescent="0.25">
      <c r="A219" s="119" t="s">
        <v>279</v>
      </c>
      <c r="B219" s="27" t="s">
        <v>1578</v>
      </c>
      <c r="C219" s="27" t="s">
        <v>1579</v>
      </c>
      <c r="D219" s="30" t="str">
        <f>HYPERLINK("https://twitter.com/MofaQatar_AR","https://twitter.com/MofaQatar_AR")</f>
        <v>https://twitter.com/MofaQatar_AR</v>
      </c>
      <c r="E219" s="30" t="str">
        <f>HYPERLINK("http://twiplomacy.com/info/asia/Qatar","http://twiplomacy.com/info/asia/Qatar")</f>
        <v>http://twiplomacy.com/info/asia/Qatar</v>
      </c>
      <c r="F219" s="10" t="s">
        <v>154</v>
      </c>
      <c r="G219" s="10" t="s">
        <v>276</v>
      </c>
      <c r="H219" s="10" t="s">
        <v>795</v>
      </c>
      <c r="I219" s="10" t="s">
        <v>782</v>
      </c>
      <c r="J219" s="27" t="s">
        <v>789</v>
      </c>
      <c r="K219" s="15" t="s">
        <v>777</v>
      </c>
      <c r="L219" s="10" t="s">
        <v>771</v>
      </c>
      <c r="M219" s="10" t="s">
        <v>771</v>
      </c>
      <c r="N219" s="30" t="str">
        <f>HYPERLINK("https://twitter.com/MofaQatar_AR/statuses/111705893258788865","https://twitter.com/MofaQatar_AR/statuses/111705893258788865")</f>
        <v>https://twitter.com/MofaQatar_AR/statuses/111705893258788865</v>
      </c>
      <c r="O219" s="27" t="s">
        <v>1580</v>
      </c>
      <c r="P219" s="80">
        <v>1139</v>
      </c>
      <c r="Q219" s="80">
        <v>23</v>
      </c>
      <c r="R219" s="27" t="s">
        <v>2994</v>
      </c>
      <c r="S219" s="10" t="s">
        <v>1581</v>
      </c>
      <c r="T219" s="10" t="s">
        <v>771</v>
      </c>
      <c r="U219" s="10" t="s">
        <v>771</v>
      </c>
      <c r="V219" s="10" t="s">
        <v>771</v>
      </c>
      <c r="W219" s="10"/>
      <c r="X219" s="27" t="s">
        <v>279</v>
      </c>
      <c r="Y219" s="27" t="s">
        <v>1578</v>
      </c>
      <c r="Z219" s="80">
        <v>4784</v>
      </c>
      <c r="AA219" s="27">
        <v>1</v>
      </c>
      <c r="AB219" s="80">
        <v>145089</v>
      </c>
      <c r="AC219" s="27">
        <v>0</v>
      </c>
      <c r="AD219" s="27" t="s">
        <v>4157</v>
      </c>
      <c r="AE219" s="27">
        <v>325268167</v>
      </c>
      <c r="AF219" s="27" t="s">
        <v>1579</v>
      </c>
      <c r="AG219" s="27" t="s">
        <v>276</v>
      </c>
      <c r="AH219" s="79">
        <v>2.7028248587570598</v>
      </c>
      <c r="AI219" s="83">
        <v>4.9132420091324196</v>
      </c>
      <c r="AJ219" s="80">
        <v>8.3139931740614301</v>
      </c>
      <c r="AK219" s="80">
        <v>3.3285758609990701</v>
      </c>
      <c r="AL219" s="27">
        <v>8</v>
      </c>
      <c r="AM219" s="97">
        <f t="shared" si="3"/>
        <v>2.5000000000000001E-3</v>
      </c>
      <c r="AN219" s="27" t="s">
        <v>279</v>
      </c>
      <c r="AO219" s="27">
        <v>0</v>
      </c>
      <c r="AP219" s="27">
        <v>17</v>
      </c>
      <c r="AQ219" s="27">
        <v>1</v>
      </c>
      <c r="AR219" s="27">
        <f>SUM(AO219:AQ219)</f>
        <v>18</v>
      </c>
      <c r="AS219" s="27"/>
      <c r="AT219" s="39" t="s">
        <v>6914</v>
      </c>
      <c r="AU219" s="84" t="s">
        <v>281</v>
      </c>
      <c r="AV219" s="77"/>
      <c r="AW219" s="77"/>
      <c r="AX219" s="77"/>
      <c r="AY219" s="77"/>
      <c r="AZ219" s="77"/>
      <c r="BA219" s="77"/>
      <c r="BB219" s="77"/>
      <c r="BC219" s="77"/>
      <c r="BD219" s="77"/>
      <c r="BE219" s="77"/>
      <c r="BF219" s="77"/>
      <c r="BG219" s="77"/>
      <c r="BH219" s="77"/>
      <c r="BI219" s="77"/>
      <c r="BJ219" s="77"/>
      <c r="BK219" s="77"/>
      <c r="BL219" s="77"/>
      <c r="BM219" s="65"/>
      <c r="BN219" s="70"/>
      <c r="BO219" s="70"/>
      <c r="BP219" s="70"/>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c r="DO219" s="77"/>
      <c r="DP219" s="77"/>
      <c r="DQ219" s="77"/>
      <c r="DR219" s="77"/>
      <c r="DS219" s="77"/>
      <c r="DT219" s="77"/>
      <c r="DU219" s="77"/>
      <c r="DV219" s="77"/>
      <c r="DW219" s="77"/>
      <c r="DX219" s="77"/>
      <c r="DY219" s="77"/>
      <c r="DZ219" s="77"/>
      <c r="EA219" s="77"/>
      <c r="EB219" s="77"/>
      <c r="EC219" s="77"/>
      <c r="ED219" s="77"/>
      <c r="EE219" s="77"/>
      <c r="EF219" s="77"/>
      <c r="EG219" s="77"/>
      <c r="EH219" s="77"/>
      <c r="EI219" s="77"/>
      <c r="EJ219" s="77"/>
      <c r="EK219" s="77"/>
      <c r="EL219" s="77"/>
      <c r="EM219" s="77"/>
      <c r="EN219" s="77"/>
      <c r="EO219" s="77"/>
      <c r="EP219" s="77"/>
      <c r="EQ219" s="77"/>
      <c r="ER219" s="77"/>
      <c r="ES219" s="77"/>
      <c r="ET219" s="77"/>
      <c r="EU219" s="77"/>
      <c r="EV219" s="77"/>
      <c r="EW219" s="77"/>
      <c r="EX219" s="77"/>
      <c r="EY219" s="77"/>
      <c r="EZ219" s="77"/>
      <c r="FA219" s="77"/>
      <c r="FB219" s="77"/>
      <c r="FC219" s="77"/>
      <c r="FD219" s="77"/>
      <c r="FE219" s="77"/>
      <c r="FF219" s="77"/>
      <c r="FG219" s="77"/>
      <c r="FH219" s="77"/>
      <c r="FI219" s="77"/>
      <c r="FJ219" s="77"/>
      <c r="FK219" s="77"/>
      <c r="FL219" s="77"/>
      <c r="FM219" s="77"/>
      <c r="FN219" s="77"/>
      <c r="FO219" s="77"/>
      <c r="FP219" s="77"/>
      <c r="FQ219" s="77"/>
      <c r="FR219" s="77"/>
      <c r="FS219" s="77"/>
      <c r="FT219" s="77"/>
      <c r="FU219" s="77"/>
      <c r="FV219" s="77"/>
      <c r="FW219" s="77"/>
      <c r="FX219" s="77"/>
      <c r="FY219" s="77"/>
      <c r="FZ219" s="77"/>
      <c r="GA219" s="77"/>
      <c r="GB219" s="77"/>
      <c r="GC219" s="77"/>
      <c r="GD219" s="77"/>
      <c r="GE219" s="77"/>
      <c r="GF219" s="77"/>
      <c r="GG219" s="77"/>
      <c r="GH219" s="77"/>
      <c r="GI219" s="77"/>
      <c r="GJ219" s="77"/>
      <c r="GK219" s="77"/>
      <c r="GL219" s="77"/>
      <c r="GM219" s="77"/>
      <c r="GN219" s="77"/>
      <c r="GO219" s="77"/>
      <c r="GP219" s="77"/>
      <c r="GQ219" s="77"/>
      <c r="GR219" s="77"/>
      <c r="GS219" s="77"/>
      <c r="GT219" s="77"/>
      <c r="GU219" s="77"/>
      <c r="GV219" s="77"/>
      <c r="GW219" s="77"/>
      <c r="GX219" s="77"/>
      <c r="GY219" s="77"/>
      <c r="GZ219" s="77"/>
      <c r="HA219" s="77"/>
      <c r="HB219" s="77"/>
      <c r="HC219" s="77"/>
      <c r="HD219" s="77"/>
      <c r="HE219" s="77"/>
      <c r="HF219" s="77"/>
      <c r="HG219" s="77"/>
      <c r="HH219" s="77"/>
      <c r="HI219" s="77"/>
      <c r="HJ219" s="77"/>
      <c r="HK219" s="77"/>
      <c r="HL219" s="77"/>
      <c r="HM219" s="77"/>
      <c r="HN219" s="77"/>
      <c r="HO219" s="77"/>
      <c r="HP219" s="77"/>
      <c r="HQ219" s="77"/>
      <c r="HR219" s="77"/>
      <c r="HS219" s="77"/>
      <c r="HT219" s="77"/>
      <c r="HU219" s="77"/>
      <c r="HV219" s="77"/>
      <c r="HW219" s="77"/>
      <c r="HX219" s="77"/>
      <c r="HY219" s="77"/>
      <c r="HZ219" s="77"/>
      <c r="IA219" s="77"/>
      <c r="IB219" s="77"/>
      <c r="IC219" s="77"/>
      <c r="IF219" s="77"/>
      <c r="IG219" s="77"/>
      <c r="IH219" s="77"/>
      <c r="II219" s="77"/>
      <c r="IJ219" s="77"/>
      <c r="IK219" s="77"/>
      <c r="IL219" s="77"/>
      <c r="IM219" s="77"/>
      <c r="IN219" s="77"/>
      <c r="IO219" s="77"/>
      <c r="IP219" s="77"/>
      <c r="IQ219" s="77"/>
      <c r="IR219" s="77"/>
      <c r="IS219" s="77"/>
      <c r="IT219" s="77"/>
      <c r="IU219" s="77"/>
      <c r="IV219" s="77"/>
      <c r="IW219" s="77"/>
      <c r="IX219" s="77"/>
      <c r="IY219" s="77"/>
      <c r="IZ219" s="77"/>
      <c r="JA219" s="77"/>
      <c r="JB219" s="77"/>
      <c r="JC219" s="77"/>
      <c r="JD219" s="77"/>
      <c r="JE219" s="77"/>
      <c r="JF219" s="77"/>
      <c r="JG219" s="77"/>
      <c r="JH219" s="77"/>
      <c r="JI219" s="77"/>
      <c r="JJ219" s="77"/>
      <c r="JK219" s="77"/>
      <c r="JL219" s="77"/>
      <c r="JM219" s="77"/>
      <c r="JN219" s="77"/>
      <c r="JO219" s="77"/>
      <c r="JP219" s="77"/>
      <c r="JQ219" s="77"/>
      <c r="JR219" s="77"/>
      <c r="JS219" s="77"/>
      <c r="JT219" s="77"/>
      <c r="JU219" s="77"/>
      <c r="JV219" s="77"/>
      <c r="JW219" s="77"/>
      <c r="JX219" s="77"/>
      <c r="JY219" s="77"/>
      <c r="JZ219" s="77"/>
      <c r="KA219" s="77"/>
      <c r="KB219" s="77"/>
      <c r="KC219" s="77"/>
      <c r="KD219" s="77"/>
      <c r="KE219" s="77"/>
      <c r="KF219" s="77"/>
      <c r="KG219" s="77"/>
      <c r="KH219" s="77"/>
      <c r="KI219" s="77"/>
      <c r="KJ219" s="77"/>
      <c r="KK219" s="77"/>
      <c r="KL219" s="77"/>
      <c r="KM219" s="77"/>
      <c r="KN219" s="77"/>
      <c r="KO219" s="77"/>
      <c r="KP219" s="77"/>
      <c r="KQ219" s="77"/>
      <c r="KR219" s="77"/>
      <c r="KS219" s="77"/>
      <c r="KT219" s="77"/>
      <c r="KU219" s="77"/>
      <c r="KV219" s="77"/>
      <c r="KW219" s="77"/>
      <c r="KX219" s="77"/>
      <c r="KY219" s="77"/>
      <c r="KZ219" s="77"/>
      <c r="LA219" s="77"/>
      <c r="LB219" s="77"/>
      <c r="LC219" s="77"/>
      <c r="LD219" s="77"/>
      <c r="LE219" s="77"/>
      <c r="LF219" s="77"/>
      <c r="LG219" s="77"/>
      <c r="LH219" s="77"/>
      <c r="LI219" s="77"/>
      <c r="LJ219" s="77"/>
      <c r="LK219" s="77"/>
      <c r="LY219" s="16"/>
      <c r="LZ219" s="16"/>
      <c r="MA219" s="16"/>
      <c r="MB219" s="16"/>
      <c r="MC219" s="16"/>
      <c r="MD219" s="16"/>
      <c r="ME219" s="16"/>
      <c r="MF219" s="16"/>
      <c r="MG219" s="16"/>
      <c r="MH219" s="16"/>
      <c r="MI219" s="16"/>
      <c r="MJ219" s="16"/>
      <c r="MK219" s="16"/>
      <c r="ML219" s="16"/>
      <c r="MM219" s="16"/>
      <c r="MN219" s="16"/>
      <c r="MO219" s="16"/>
      <c r="MP219" s="16"/>
      <c r="MQ219" s="16"/>
      <c r="MR219" s="16"/>
    </row>
    <row r="220" spans="1:368" ht="18.600000000000001" customHeight="1" x14ac:dyDescent="0.25">
      <c r="A220" s="119" t="s">
        <v>325</v>
      </c>
      <c r="B220" s="27" t="s">
        <v>1686</v>
      </c>
      <c r="C220" s="27" t="s">
        <v>1687</v>
      </c>
      <c r="D220" s="30" t="str">
        <f>HYPERLINK("https://twitter.com/GOVuz","https://twitter.com/GOVuz")</f>
        <v>https://twitter.com/GOVuz</v>
      </c>
      <c r="E220" s="30" t="str">
        <f>HYPERLINK("http://twiplomacy.com/info/asia/Uzbekistan","http://twiplomacy.com/info/asia/Uzbekistan")</f>
        <v>http://twiplomacy.com/info/asia/Uzbekistan</v>
      </c>
      <c r="F220" s="10" t="s">
        <v>154</v>
      </c>
      <c r="G220" s="10" t="s">
        <v>324</v>
      </c>
      <c r="H220" s="10" t="s">
        <v>788</v>
      </c>
      <c r="I220" s="10" t="s">
        <v>782</v>
      </c>
      <c r="J220" s="27" t="s">
        <v>1420</v>
      </c>
      <c r="K220" s="15" t="s">
        <v>777</v>
      </c>
      <c r="L220" s="10" t="s">
        <v>771</v>
      </c>
      <c r="M220" s="10" t="s">
        <v>771</v>
      </c>
      <c r="N220" s="30" t="str">
        <f>HYPERLINK("https://twitter.com/GOVuz/statuses/4322380307","https://twitter.com/GOVuz/statuses/4322380307")</f>
        <v>https://twitter.com/GOVuz/statuses/4322380307</v>
      </c>
      <c r="O220" s="27" t="s">
        <v>5845</v>
      </c>
      <c r="P220" s="80">
        <v>11</v>
      </c>
      <c r="Q220" s="80">
        <v>0</v>
      </c>
      <c r="R220" s="27" t="s">
        <v>2995</v>
      </c>
      <c r="S220" s="10" t="s">
        <v>1688</v>
      </c>
      <c r="T220" s="10" t="s">
        <v>771</v>
      </c>
      <c r="U220" s="10" t="s">
        <v>771</v>
      </c>
      <c r="V220" s="10" t="s">
        <v>771</v>
      </c>
      <c r="W220" s="10"/>
      <c r="X220" s="27" t="s">
        <v>325</v>
      </c>
      <c r="Y220" s="27" t="s">
        <v>1686</v>
      </c>
      <c r="Z220" s="80">
        <v>4762</v>
      </c>
      <c r="AA220" s="27">
        <v>7</v>
      </c>
      <c r="AB220" s="80">
        <v>29234</v>
      </c>
      <c r="AC220" s="27">
        <v>6</v>
      </c>
      <c r="AD220" s="27" t="s">
        <v>3777</v>
      </c>
      <c r="AE220" s="27">
        <v>75402364</v>
      </c>
      <c r="AF220" s="27" t="s">
        <v>1687</v>
      </c>
      <c r="AG220" s="27" t="s">
        <v>1689</v>
      </c>
      <c r="AH220" s="79">
        <v>1.97021100537857</v>
      </c>
      <c r="AI220" s="83">
        <v>1.98464373464373</v>
      </c>
      <c r="AJ220" s="80">
        <v>0.429990686122322</v>
      </c>
      <c r="AK220" s="80">
        <v>0.24805960881713801</v>
      </c>
      <c r="AL220" s="13">
        <v>0</v>
      </c>
      <c r="AM220" s="97">
        <f t="shared" si="3"/>
        <v>0</v>
      </c>
      <c r="AN220" s="27" t="s">
        <v>325</v>
      </c>
      <c r="AO220" s="27">
        <v>1</v>
      </c>
      <c r="AP220" s="27">
        <v>8</v>
      </c>
      <c r="AQ220" s="27">
        <v>2</v>
      </c>
      <c r="AR220" s="27">
        <f>SUM(AO220:AQ220)</f>
        <v>11</v>
      </c>
      <c r="AS220" s="27" t="s">
        <v>497</v>
      </c>
      <c r="AT220" s="27" t="s">
        <v>6295</v>
      </c>
      <c r="AU220" s="84" t="s">
        <v>4746</v>
      </c>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7"/>
      <c r="BZ220" s="77"/>
      <c r="CA220" s="77"/>
      <c r="CB220" s="77"/>
      <c r="CC220" s="77"/>
      <c r="CD220" s="77"/>
      <c r="CE220" s="77"/>
      <c r="CF220" s="77"/>
      <c r="CG220" s="77"/>
      <c r="CH220" s="77"/>
      <c r="CI220" s="77"/>
      <c r="CJ220" s="77"/>
      <c r="CK220" s="77"/>
      <c r="CL220" s="77"/>
      <c r="CM220" s="77"/>
      <c r="CN220" s="77"/>
      <c r="CO220" s="77"/>
      <c r="CP220" s="77"/>
      <c r="CQ220" s="77"/>
      <c r="CR220" s="77"/>
      <c r="CS220" s="77"/>
      <c r="CT220" s="77"/>
      <c r="CU220" s="77"/>
      <c r="CV220" s="77"/>
      <c r="CW220" s="77"/>
      <c r="CX220" s="77"/>
      <c r="CY220" s="77"/>
      <c r="CZ220" s="77"/>
      <c r="DA220" s="77"/>
      <c r="DB220" s="77"/>
      <c r="DC220" s="77"/>
      <c r="DD220" s="77"/>
      <c r="DE220" s="77"/>
      <c r="DF220" s="77"/>
      <c r="DG220" s="77"/>
      <c r="DH220" s="77"/>
      <c r="DI220" s="77"/>
      <c r="DJ220" s="77"/>
      <c r="DK220" s="77"/>
      <c r="DL220" s="77"/>
      <c r="DM220" s="77"/>
      <c r="DN220" s="77"/>
      <c r="DO220" s="77"/>
      <c r="DP220" s="77"/>
      <c r="DQ220" s="77"/>
      <c r="DR220" s="77"/>
      <c r="DS220" s="77"/>
      <c r="DT220" s="77"/>
      <c r="DU220" s="77"/>
      <c r="DV220" s="77"/>
      <c r="DW220" s="77"/>
      <c r="DX220" s="77"/>
      <c r="DY220" s="77"/>
      <c r="DZ220" s="77"/>
      <c r="EA220" s="77"/>
      <c r="EB220" s="77"/>
      <c r="EC220" s="77"/>
      <c r="ED220" s="77"/>
      <c r="EE220" s="77"/>
      <c r="EF220" s="77"/>
      <c r="EG220" s="77"/>
      <c r="EH220" s="77"/>
      <c r="EI220" s="77"/>
      <c r="EJ220" s="77"/>
      <c r="EK220" s="77"/>
      <c r="EL220" s="77"/>
      <c r="EM220" s="77"/>
      <c r="EN220" s="77"/>
      <c r="EO220" s="77"/>
      <c r="EP220" s="77"/>
      <c r="EQ220" s="77"/>
      <c r="ER220" s="77"/>
      <c r="ES220" s="77"/>
      <c r="ET220" s="77"/>
      <c r="EU220" s="77"/>
      <c r="EV220" s="77"/>
      <c r="EW220" s="77"/>
      <c r="EX220" s="77"/>
      <c r="EY220" s="77"/>
      <c r="EZ220" s="77"/>
      <c r="FA220" s="77"/>
      <c r="FB220" s="77"/>
      <c r="FC220" s="77"/>
      <c r="FD220" s="77"/>
      <c r="FE220" s="77"/>
      <c r="FF220" s="77"/>
      <c r="FG220" s="77"/>
      <c r="FH220" s="77"/>
      <c r="FI220" s="77"/>
      <c r="FJ220" s="77"/>
      <c r="FK220" s="77"/>
      <c r="FL220" s="77"/>
      <c r="FM220" s="77"/>
      <c r="FN220" s="77"/>
      <c r="FO220" s="77"/>
      <c r="FP220" s="77"/>
      <c r="FQ220" s="77"/>
      <c r="FR220" s="77"/>
      <c r="FS220" s="77"/>
      <c r="FT220" s="77"/>
      <c r="FU220" s="77"/>
      <c r="FV220" s="77"/>
      <c r="FW220" s="77"/>
      <c r="FX220" s="77"/>
      <c r="FY220" s="77"/>
      <c r="FZ220" s="77"/>
      <c r="GA220" s="77"/>
      <c r="GB220" s="77"/>
      <c r="GC220" s="77"/>
      <c r="GD220" s="77"/>
      <c r="GE220" s="77"/>
      <c r="GF220" s="77"/>
      <c r="GG220" s="77"/>
      <c r="GH220" s="77"/>
      <c r="GI220" s="77"/>
      <c r="GJ220" s="77"/>
      <c r="GK220" s="77"/>
      <c r="GL220" s="77"/>
      <c r="GM220" s="77"/>
      <c r="GN220" s="77"/>
      <c r="GO220" s="77"/>
      <c r="GP220" s="77"/>
      <c r="GQ220" s="77"/>
      <c r="GR220" s="77"/>
      <c r="GS220" s="77"/>
      <c r="GT220" s="77"/>
      <c r="GU220" s="77"/>
      <c r="GV220" s="77"/>
      <c r="GW220" s="77"/>
      <c r="GX220" s="77"/>
      <c r="GY220" s="77"/>
      <c r="GZ220" s="77"/>
      <c r="HA220" s="77"/>
      <c r="HB220" s="77"/>
      <c r="HC220" s="77"/>
      <c r="HD220" s="77"/>
      <c r="HE220" s="77"/>
      <c r="HF220" s="77"/>
      <c r="HG220" s="77"/>
      <c r="HH220" s="77"/>
      <c r="HI220" s="77"/>
      <c r="HJ220" s="77"/>
      <c r="HK220" s="77"/>
      <c r="HL220" s="77"/>
      <c r="HM220" s="77"/>
      <c r="HN220" s="77"/>
      <c r="HO220" s="77"/>
      <c r="HP220" s="77"/>
      <c r="HQ220" s="77"/>
      <c r="HR220" s="77"/>
      <c r="HS220" s="77"/>
      <c r="HT220" s="77"/>
      <c r="HU220" s="77"/>
      <c r="HV220" s="77"/>
      <c r="HW220" s="77"/>
      <c r="HX220" s="77"/>
      <c r="HY220" s="77"/>
      <c r="HZ220" s="77"/>
      <c r="IA220" s="77"/>
      <c r="IB220" s="77"/>
      <c r="IC220" s="77"/>
      <c r="IF220" s="77"/>
      <c r="IG220" s="77"/>
      <c r="IH220" s="77"/>
      <c r="II220" s="77"/>
      <c r="IJ220" s="77"/>
      <c r="IK220" s="77"/>
      <c r="IL220" s="77"/>
      <c r="IM220" s="77"/>
      <c r="IN220" s="77"/>
      <c r="IO220" s="77"/>
      <c r="IP220" s="77"/>
      <c r="IQ220" s="77"/>
      <c r="IR220" s="77"/>
      <c r="IS220" s="77"/>
      <c r="IT220" s="77"/>
      <c r="IU220" s="77"/>
      <c r="IV220" s="77"/>
      <c r="IW220" s="77"/>
      <c r="IX220" s="77"/>
      <c r="IY220" s="77"/>
      <c r="IZ220" s="77"/>
      <c r="JA220" s="77"/>
      <c r="JB220" s="77"/>
      <c r="JC220" s="77"/>
      <c r="JD220" s="77"/>
      <c r="JE220" s="77"/>
      <c r="JF220" s="77"/>
      <c r="JG220" s="77"/>
      <c r="JH220" s="77"/>
      <c r="JI220" s="77"/>
      <c r="JJ220" s="77"/>
      <c r="JK220" s="77"/>
      <c r="JL220" s="77"/>
      <c r="JM220" s="77"/>
      <c r="JN220" s="77"/>
      <c r="JO220" s="77"/>
      <c r="JP220" s="77"/>
      <c r="JQ220" s="77"/>
      <c r="JR220" s="77"/>
      <c r="JS220" s="77"/>
      <c r="JT220" s="77"/>
      <c r="JU220" s="77"/>
      <c r="JV220" s="77"/>
      <c r="JW220" s="77"/>
      <c r="JX220" s="77"/>
      <c r="JY220" s="77"/>
      <c r="JZ220" s="77"/>
      <c r="KA220" s="77"/>
      <c r="KB220" s="77"/>
      <c r="KC220" s="77"/>
      <c r="KD220" s="77"/>
      <c r="KE220" s="77"/>
      <c r="KF220" s="77"/>
      <c r="KG220" s="77"/>
      <c r="KH220" s="77"/>
      <c r="KI220" s="77"/>
      <c r="KJ220" s="77"/>
      <c r="KK220" s="77"/>
      <c r="KL220" s="77"/>
      <c r="KM220" s="77"/>
      <c r="KN220" s="77"/>
      <c r="KO220" s="77"/>
      <c r="KP220" s="77"/>
      <c r="KQ220" s="77"/>
      <c r="KR220" s="77"/>
      <c r="KS220" s="77"/>
      <c r="KT220" s="77"/>
      <c r="KU220" s="77"/>
      <c r="KV220" s="77"/>
      <c r="KW220" s="77"/>
      <c r="KX220" s="77"/>
      <c r="KY220" s="77"/>
      <c r="KZ220" s="77"/>
      <c r="LA220" s="77"/>
      <c r="LB220" s="77"/>
      <c r="LC220" s="77"/>
      <c r="LD220" s="77"/>
      <c r="LE220" s="77"/>
      <c r="LF220" s="77"/>
      <c r="LG220" s="77"/>
      <c r="LH220" s="77"/>
      <c r="LI220" s="77"/>
      <c r="LJ220" s="77"/>
      <c r="LK220" s="77"/>
      <c r="LL220" s="77"/>
      <c r="LM220" s="77"/>
      <c r="LN220" s="77"/>
      <c r="LO220" s="77"/>
      <c r="LP220" s="77"/>
      <c r="LQ220" s="77"/>
      <c r="LR220" s="77"/>
      <c r="LS220" s="77"/>
      <c r="LT220" s="77"/>
      <c r="LU220" s="77"/>
      <c r="LV220" s="77"/>
      <c r="LW220" s="77"/>
      <c r="LX220" s="77"/>
      <c r="MT220" s="77"/>
      <c r="MU220" s="77"/>
      <c r="MV220" s="77"/>
      <c r="MW220" s="77"/>
      <c r="MX220" s="77"/>
      <c r="MY220" s="77"/>
      <c r="MZ220" s="77"/>
      <c r="NA220" s="77"/>
      <c r="NB220" s="77"/>
      <c r="NC220" s="77"/>
    </row>
    <row r="221" spans="1:368" ht="18.600000000000001" customHeight="1" x14ac:dyDescent="0.25">
      <c r="A221" s="119" t="s">
        <v>621</v>
      </c>
      <c r="B221" s="27" t="s">
        <v>2525</v>
      </c>
      <c r="C221" s="27" t="s">
        <v>6376</v>
      </c>
      <c r="D221" s="30" t="str">
        <f>HYPERLINK("https://twitter.com/CancilleriaPA","https://twitter.com/CancilleriaPma")</f>
        <v>https://twitter.com/CancilleriaPma</v>
      </c>
      <c r="E221" s="30" t="str">
        <f>HYPERLINK("http://twiplomacy.com/info/north-america/Panama","http://twiplomacy.com/info/north-america/Panama")</f>
        <v>http://twiplomacy.com/info/north-america/Panama</v>
      </c>
      <c r="F221" s="10" t="s">
        <v>558</v>
      </c>
      <c r="G221" s="10" t="s">
        <v>617</v>
      </c>
      <c r="H221" s="10" t="s">
        <v>795</v>
      </c>
      <c r="I221" s="10" t="s">
        <v>782</v>
      </c>
      <c r="J221" s="27" t="s">
        <v>2226</v>
      </c>
      <c r="K221" s="15" t="s">
        <v>777</v>
      </c>
      <c r="L221" s="10" t="s">
        <v>771</v>
      </c>
      <c r="M221" s="10" t="s">
        <v>770</v>
      </c>
      <c r="N221" s="30" t="str">
        <f>HYPERLINK("https://twitter.com/CancilleriaPma/statuses/435466377357295616","https://twitter.com/CancilleriaPma/statuses/435466377357295616")</f>
        <v>https://twitter.com/CancilleriaPma/statuses/435466377357295616</v>
      </c>
      <c r="O221" s="27" t="s">
        <v>5732</v>
      </c>
      <c r="P221" s="80">
        <v>206</v>
      </c>
      <c r="Q221" s="80">
        <v>80</v>
      </c>
      <c r="R221" s="27" t="s">
        <v>2994</v>
      </c>
      <c r="S221" s="12" t="str">
        <f>HYPERLINK("https://twitter.com/CancilleriaPma/lists","https://twitter.com/CancilleriaPma/lists")</f>
        <v>https://twitter.com/CancilleriaPma/lists</v>
      </c>
      <c r="T221" s="10">
        <v>3</v>
      </c>
      <c r="U221" s="10" t="s">
        <v>771</v>
      </c>
      <c r="V221" s="10" t="s">
        <v>771</v>
      </c>
      <c r="W221" s="10"/>
      <c r="X221" s="27" t="s">
        <v>621</v>
      </c>
      <c r="Y221" s="27" t="s">
        <v>2525</v>
      </c>
      <c r="Z221" s="80">
        <v>4744</v>
      </c>
      <c r="AA221" s="27">
        <v>771</v>
      </c>
      <c r="AB221" s="80">
        <v>15801</v>
      </c>
      <c r="AC221" s="27">
        <v>384</v>
      </c>
      <c r="AD221" s="27" t="s">
        <v>3564</v>
      </c>
      <c r="AE221" s="27">
        <v>2344133317</v>
      </c>
      <c r="AF221" s="27" t="s">
        <v>6376</v>
      </c>
      <c r="AG221" s="27" t="s">
        <v>2527</v>
      </c>
      <c r="AH221" s="79">
        <v>5.8712871287128703</v>
      </c>
      <c r="AI221" s="83">
        <v>8.3084832904884305</v>
      </c>
      <c r="AJ221" s="80">
        <v>9.7475550122249395</v>
      </c>
      <c r="AK221" s="80">
        <v>5.2383863080684598</v>
      </c>
      <c r="AL221" s="27">
        <v>85</v>
      </c>
      <c r="AM221" s="97">
        <f t="shared" si="3"/>
        <v>2.6562499999999999E-2</v>
      </c>
      <c r="AN221" s="27" t="s">
        <v>621</v>
      </c>
      <c r="AO221" s="27">
        <v>80</v>
      </c>
      <c r="AP221" s="27">
        <v>10</v>
      </c>
      <c r="AQ221" s="27">
        <v>33</v>
      </c>
      <c r="AR221" s="27">
        <f>SUM(AO221:AQ221)</f>
        <v>123</v>
      </c>
      <c r="AS221" s="27" t="s">
        <v>6551</v>
      </c>
      <c r="AT221" s="27" t="s">
        <v>6686</v>
      </c>
      <c r="AU221" s="84" t="s">
        <v>6148</v>
      </c>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c r="BZ221" s="77"/>
      <c r="CA221" s="77"/>
      <c r="CB221" s="77"/>
      <c r="CC221" s="77"/>
      <c r="CD221" s="77"/>
      <c r="CE221" s="77"/>
      <c r="CF221" s="77"/>
      <c r="CG221" s="77"/>
      <c r="CH221" s="77"/>
      <c r="CI221" s="77"/>
      <c r="CJ221" s="77"/>
      <c r="CK221" s="77"/>
      <c r="CL221" s="77"/>
      <c r="CM221" s="77"/>
      <c r="CN221" s="77"/>
      <c r="CO221" s="77"/>
      <c r="CP221" s="77"/>
      <c r="CQ221" s="77"/>
      <c r="CR221" s="77"/>
      <c r="CS221" s="77"/>
      <c r="CT221" s="77"/>
      <c r="CU221" s="77"/>
      <c r="CV221" s="77"/>
      <c r="CW221" s="77"/>
      <c r="CX221" s="77"/>
      <c r="CY221" s="77"/>
      <c r="CZ221" s="77"/>
      <c r="DA221" s="77"/>
      <c r="DB221" s="77"/>
      <c r="DC221" s="77"/>
      <c r="DD221" s="77"/>
      <c r="DE221" s="77"/>
      <c r="DF221" s="77"/>
      <c r="DG221" s="77"/>
      <c r="DH221" s="77"/>
      <c r="DI221" s="77"/>
      <c r="DJ221" s="77"/>
      <c r="DK221" s="77"/>
      <c r="DL221" s="77"/>
      <c r="DM221" s="77"/>
      <c r="DN221" s="77"/>
      <c r="DO221" s="77"/>
      <c r="DP221" s="77"/>
      <c r="DQ221" s="77"/>
      <c r="DR221" s="77"/>
      <c r="DS221" s="77"/>
      <c r="DT221" s="77"/>
      <c r="DU221" s="77"/>
      <c r="DV221" s="77"/>
      <c r="DW221" s="77"/>
      <c r="DX221" s="77"/>
      <c r="DY221" s="77"/>
      <c r="DZ221" s="77"/>
      <c r="EA221" s="77"/>
      <c r="EB221" s="77"/>
      <c r="EC221" s="77"/>
      <c r="ED221" s="77"/>
      <c r="EE221" s="77"/>
      <c r="EF221" s="77"/>
      <c r="EG221" s="77"/>
      <c r="EH221" s="77"/>
      <c r="EI221" s="77"/>
      <c r="EJ221" s="77"/>
      <c r="EK221" s="77"/>
      <c r="EL221" s="77"/>
      <c r="EM221" s="77"/>
      <c r="EN221" s="77"/>
      <c r="EO221" s="77"/>
      <c r="EP221" s="77"/>
      <c r="EQ221" s="16"/>
      <c r="ER221" s="77"/>
      <c r="ES221" s="77"/>
      <c r="ET221" s="77"/>
      <c r="EU221" s="77"/>
      <c r="EV221" s="77"/>
      <c r="EW221" s="77"/>
      <c r="EX221" s="77"/>
      <c r="EY221" s="77"/>
      <c r="EZ221" s="77"/>
      <c r="FA221" s="77"/>
      <c r="FB221" s="77"/>
      <c r="FC221" s="77"/>
      <c r="FD221" s="77"/>
      <c r="FE221" s="77"/>
      <c r="FF221" s="77"/>
      <c r="FG221" s="77"/>
      <c r="FH221" s="77"/>
      <c r="FI221" s="77"/>
      <c r="FJ221" s="77"/>
      <c r="FK221" s="77"/>
      <c r="FL221" s="77"/>
      <c r="FM221" s="77"/>
      <c r="FN221" s="77"/>
      <c r="FO221" s="77"/>
      <c r="FP221" s="77"/>
      <c r="FQ221" s="77"/>
      <c r="FR221" s="77"/>
      <c r="FS221" s="77"/>
      <c r="FT221" s="77"/>
      <c r="FU221" s="77"/>
      <c r="FV221" s="77"/>
      <c r="FW221" s="77"/>
      <c r="FX221" s="77"/>
      <c r="FY221" s="77"/>
      <c r="FZ221" s="77"/>
      <c r="GA221" s="77"/>
      <c r="GB221" s="77"/>
      <c r="GC221" s="77"/>
      <c r="GD221" s="77"/>
      <c r="GE221" s="77"/>
      <c r="GF221" s="77"/>
      <c r="GG221" s="77"/>
      <c r="GH221" s="77"/>
      <c r="GI221" s="77"/>
      <c r="GJ221" s="77"/>
      <c r="GK221" s="77"/>
      <c r="GL221" s="77"/>
      <c r="GM221" s="77"/>
      <c r="GN221" s="77"/>
      <c r="GO221" s="77"/>
      <c r="GP221" s="77"/>
      <c r="GQ221" s="77"/>
      <c r="GR221" s="77"/>
      <c r="GS221" s="77"/>
      <c r="GT221" s="77"/>
      <c r="GU221" s="77"/>
      <c r="GV221" s="77"/>
      <c r="GW221" s="77"/>
      <c r="GX221" s="77"/>
      <c r="GY221" s="77"/>
      <c r="GZ221" s="77"/>
      <c r="HA221" s="77"/>
      <c r="HB221" s="77"/>
      <c r="HC221" s="77"/>
      <c r="HD221" s="77"/>
      <c r="HE221" s="77"/>
      <c r="HF221" s="77"/>
      <c r="HG221" s="77"/>
      <c r="HH221" s="77"/>
      <c r="HI221" s="77"/>
      <c r="HJ221" s="77"/>
      <c r="HK221" s="77"/>
      <c r="HL221" s="77"/>
      <c r="HM221" s="77"/>
      <c r="HN221" s="77"/>
      <c r="HO221" s="77"/>
      <c r="HP221" s="77"/>
      <c r="HQ221" s="77"/>
      <c r="HR221" s="77"/>
      <c r="HS221" s="77"/>
      <c r="HT221" s="77"/>
      <c r="HU221" s="77"/>
      <c r="HV221" s="77"/>
      <c r="HW221" s="77"/>
      <c r="HX221" s="77"/>
      <c r="HY221" s="77"/>
      <c r="HZ221" s="77"/>
      <c r="IA221" s="77"/>
      <c r="IB221" s="77"/>
      <c r="IC221" s="77"/>
      <c r="ID221" s="77"/>
      <c r="IE221" s="77"/>
      <c r="KM221" s="77"/>
      <c r="KN221" s="77"/>
      <c r="KO221" s="77"/>
      <c r="KP221" s="77"/>
      <c r="KQ221" s="77"/>
      <c r="KR221" s="77"/>
      <c r="KS221" s="77"/>
      <c r="KT221" s="77"/>
      <c r="KU221" s="77"/>
      <c r="KV221" s="77"/>
      <c r="KW221" s="77"/>
      <c r="KX221" s="77"/>
      <c r="KY221" s="77"/>
      <c r="KZ221" s="77"/>
      <c r="LA221" s="77"/>
      <c r="LB221" s="77"/>
      <c r="LC221" s="77"/>
      <c r="LD221" s="77"/>
      <c r="LE221" s="77"/>
      <c r="LF221" s="77"/>
      <c r="LG221" s="77"/>
      <c r="LH221" s="77"/>
      <c r="LI221" s="77"/>
      <c r="LJ221" s="77"/>
      <c r="LK221" s="77"/>
      <c r="LL221" s="77"/>
      <c r="LM221" s="77"/>
      <c r="LN221" s="77"/>
      <c r="LO221" s="77"/>
      <c r="LP221" s="77"/>
      <c r="LQ221" s="77"/>
      <c r="LR221" s="77"/>
      <c r="LS221" s="77"/>
      <c r="LT221" s="77"/>
      <c r="LU221" s="77"/>
      <c r="LV221" s="77"/>
      <c r="LW221" s="77"/>
      <c r="LX221" s="77"/>
    </row>
    <row r="222" spans="1:368" ht="18.600000000000001" customHeight="1" x14ac:dyDescent="0.25">
      <c r="A222" s="119" t="s">
        <v>1904</v>
      </c>
      <c r="B222" s="27" t="s">
        <v>1905</v>
      </c>
      <c r="C222" s="27" t="s">
        <v>1906</v>
      </c>
      <c r="D222" s="30" t="str">
        <f>HYPERLINK("https://twitter.com/francediplo_ES","https://twitter.com/francediplo_ES")</f>
        <v>https://twitter.com/francediplo_ES</v>
      </c>
      <c r="E222" s="30" t="str">
        <f>HYPERLINK("http://twiplomacy.com/info/europe/France","http://twiplomacy.com/info/europe/France")</f>
        <v>http://twiplomacy.com/info/europe/France</v>
      </c>
      <c r="F222" s="10" t="s">
        <v>332</v>
      </c>
      <c r="G222" s="10" t="s">
        <v>395</v>
      </c>
      <c r="H222" s="10" t="s">
        <v>795</v>
      </c>
      <c r="I222" s="10" t="s">
        <v>782</v>
      </c>
      <c r="J222" s="27" t="s">
        <v>779</v>
      </c>
      <c r="K222" s="15" t="s">
        <v>777</v>
      </c>
      <c r="L222" s="10" t="s">
        <v>771</v>
      </c>
      <c r="M222" s="10" t="s">
        <v>770</v>
      </c>
      <c r="N222" s="30" t="str">
        <f>HYPERLINK("https://twitter.com/francediplo_ES/statuses/304626043896098816","https://twitter.com/francediplo_ES/statuses/304626043896098816")</f>
        <v>https://twitter.com/francediplo_ES/statuses/304626043896098816</v>
      </c>
      <c r="O222" s="27" t="s">
        <v>5777</v>
      </c>
      <c r="P222" s="80">
        <v>378</v>
      </c>
      <c r="Q222" s="80">
        <v>351</v>
      </c>
      <c r="R222" s="27" t="s">
        <v>2994</v>
      </c>
      <c r="S222" s="30" t="str">
        <f>HYPERLINK("https://twitter.com/francediplo_ES/lists","https://twitter.com/francediplo_ES/lists")</f>
        <v>https://twitter.com/francediplo_ES/lists</v>
      </c>
      <c r="T222" s="10">
        <v>1</v>
      </c>
      <c r="U222" s="10">
        <v>2</v>
      </c>
      <c r="V222" s="30" t="str">
        <f>HYPERLINK("https://twitter.com/francediplo_ES/embajadas-y-consulados/members","https://twitter.com/francediplo_ES/embajadas-y-consulados/members")</f>
        <v>https://twitter.com/francediplo_ES/embajadas-y-consulados/members</v>
      </c>
      <c r="W222" s="10">
        <v>19</v>
      </c>
      <c r="X222" s="27" t="s">
        <v>1904</v>
      </c>
      <c r="Y222" s="27" t="s">
        <v>1905</v>
      </c>
      <c r="Z222" s="80">
        <v>4723</v>
      </c>
      <c r="AA222" s="27">
        <v>414</v>
      </c>
      <c r="AB222" s="80">
        <v>4391</v>
      </c>
      <c r="AC222" s="27">
        <v>46</v>
      </c>
      <c r="AD222" s="27" t="s">
        <v>3709</v>
      </c>
      <c r="AE222" s="27">
        <v>1008920664</v>
      </c>
      <c r="AF222" s="27" t="s">
        <v>1906</v>
      </c>
      <c r="AG222" s="27" t="s">
        <v>1907</v>
      </c>
      <c r="AH222" s="79">
        <v>3.8211974110032401</v>
      </c>
      <c r="AI222" s="83">
        <v>3.8896882494004799</v>
      </c>
      <c r="AJ222" s="80">
        <v>2.49435938759065</v>
      </c>
      <c r="AK222" s="80">
        <v>0.98106365834004805</v>
      </c>
      <c r="AL222" s="27">
        <v>8</v>
      </c>
      <c r="AM222" s="97">
        <f t="shared" si="3"/>
        <v>2.5000000000000001E-3</v>
      </c>
      <c r="AN222" s="27" t="s">
        <v>1904</v>
      </c>
      <c r="AO222" s="27">
        <v>24</v>
      </c>
      <c r="AP222" s="27">
        <v>19</v>
      </c>
      <c r="AQ222" s="27">
        <v>14</v>
      </c>
      <c r="AR222" s="27">
        <f>SUM(AO222:AQ222)</f>
        <v>57</v>
      </c>
      <c r="AS222" s="27" t="s">
        <v>5130</v>
      </c>
      <c r="AT222" s="27" t="s">
        <v>6727</v>
      </c>
      <c r="AU222" s="84" t="s">
        <v>4727</v>
      </c>
      <c r="AV222" s="77"/>
      <c r="AW222" s="77"/>
      <c r="AX222" s="77"/>
      <c r="AY222" s="77"/>
      <c r="AZ222" s="77"/>
      <c r="BA222" s="77"/>
      <c r="BB222" s="77"/>
      <c r="BC222" s="77"/>
      <c r="BD222" s="77"/>
      <c r="BE222" s="77"/>
      <c r="BF222" s="77"/>
      <c r="BG222" s="77"/>
      <c r="BH222" s="77"/>
      <c r="BI222" s="77"/>
      <c r="BJ222" s="77"/>
      <c r="BK222" s="77"/>
      <c r="BL222" s="77"/>
      <c r="BM222" s="77"/>
      <c r="BN222" s="16"/>
      <c r="BO222" s="16"/>
      <c r="BP222" s="16"/>
      <c r="BQ222" s="77"/>
      <c r="BR222" s="77"/>
      <c r="BS222" s="77"/>
      <c r="BT222" s="77"/>
      <c r="BU222" s="77"/>
      <c r="BV222" s="77"/>
      <c r="BW222" s="77"/>
      <c r="BX222" s="77"/>
      <c r="BY222" s="77"/>
      <c r="BZ222" s="77"/>
      <c r="CA222" s="77"/>
      <c r="CB222" s="77"/>
      <c r="CK222" s="77"/>
      <c r="CL222" s="77"/>
      <c r="CM222" s="77"/>
      <c r="CN222" s="77"/>
      <c r="CO222" s="77"/>
      <c r="CP222" s="77"/>
      <c r="CQ222" s="77"/>
      <c r="CR222" s="77"/>
      <c r="CS222" s="77"/>
      <c r="CT222" s="77"/>
      <c r="CU222" s="77"/>
      <c r="CV222" s="77"/>
      <c r="CW222" s="77"/>
      <c r="EM222" s="77"/>
      <c r="EN222" s="77"/>
      <c r="EO222" s="77"/>
      <c r="EP222" s="77"/>
      <c r="ER222" s="77"/>
      <c r="ES222" s="77"/>
      <c r="ET222" s="77"/>
      <c r="EU222" s="77"/>
      <c r="EV222" s="77"/>
      <c r="EW222" s="77"/>
      <c r="EX222" s="77"/>
      <c r="EY222" s="77"/>
      <c r="EZ222" s="77"/>
      <c r="FA222" s="77"/>
      <c r="FB222" s="77"/>
      <c r="FC222" s="77"/>
      <c r="FD222" s="77"/>
      <c r="FE222" s="77"/>
      <c r="FF222" s="77"/>
      <c r="FG222" s="77"/>
      <c r="FH222" s="77"/>
      <c r="FI222" s="77"/>
      <c r="FJ222" s="77"/>
      <c r="FK222" s="77"/>
      <c r="FL222" s="77"/>
      <c r="FM222" s="77"/>
      <c r="FN222" s="77"/>
      <c r="FO222" s="77"/>
      <c r="FP222" s="77"/>
      <c r="FQ222" s="77"/>
      <c r="FR222" s="77"/>
      <c r="FS222" s="77"/>
      <c r="FT222" s="77"/>
      <c r="FU222" s="77"/>
      <c r="FV222" s="77"/>
      <c r="FW222" s="77"/>
      <c r="FX222" s="77"/>
      <c r="FY222" s="77"/>
      <c r="FZ222" s="77"/>
      <c r="GA222" s="77"/>
      <c r="GB222" s="77"/>
      <c r="GC222" s="77"/>
      <c r="GD222" s="77"/>
      <c r="GE222" s="77"/>
      <c r="GF222" s="77"/>
      <c r="GG222" s="77"/>
      <c r="GH222" s="77"/>
      <c r="GI222" s="77"/>
      <c r="GJ222" s="77"/>
      <c r="GK222" s="77"/>
      <c r="HL222" s="77"/>
      <c r="HM222" s="77"/>
      <c r="HN222" s="77"/>
      <c r="HO222" s="77"/>
      <c r="HP222" s="77"/>
      <c r="HQ222" s="77"/>
      <c r="HR222" s="77"/>
      <c r="HS222" s="77"/>
      <c r="HT222" s="77"/>
      <c r="HU222" s="77"/>
      <c r="HV222" s="77"/>
      <c r="HW222" s="77"/>
      <c r="HX222" s="77"/>
      <c r="HY222" s="77"/>
      <c r="HZ222" s="77"/>
      <c r="IA222" s="77"/>
      <c r="IB222" s="77"/>
      <c r="IC222" s="77"/>
      <c r="IF222" s="77"/>
      <c r="IG222" s="77"/>
      <c r="IH222" s="77"/>
      <c r="II222" s="77"/>
      <c r="IJ222" s="77"/>
      <c r="IK222" s="77"/>
      <c r="IL222" s="77"/>
      <c r="IM222" s="77"/>
      <c r="IN222" s="77"/>
      <c r="IO222" s="77"/>
      <c r="IP222" s="77"/>
      <c r="IQ222" s="77"/>
      <c r="IR222" s="77"/>
      <c r="IS222" s="77"/>
      <c r="IT222" s="77"/>
      <c r="IU222" s="77"/>
      <c r="IV222" s="77"/>
      <c r="IW222" s="77"/>
      <c r="IX222" s="77"/>
      <c r="IY222" s="77"/>
      <c r="IZ222" s="77"/>
      <c r="JA222" s="77"/>
      <c r="JB222" s="77"/>
      <c r="JC222" s="77"/>
      <c r="JD222" s="77"/>
      <c r="JE222" s="77"/>
      <c r="JF222" s="77"/>
      <c r="JG222" s="77"/>
      <c r="JH222" s="77"/>
      <c r="JI222" s="77"/>
      <c r="JJ222" s="77"/>
      <c r="JK222" s="77"/>
      <c r="JL222" s="77"/>
      <c r="JM222" s="77"/>
      <c r="JN222" s="77"/>
      <c r="JO222" s="77"/>
      <c r="JP222" s="77"/>
      <c r="JQ222" s="77"/>
      <c r="JR222" s="77"/>
      <c r="JS222" s="77"/>
      <c r="JT222" s="77"/>
      <c r="JU222" s="77"/>
      <c r="JV222" s="77"/>
      <c r="JW222" s="77"/>
      <c r="JX222" s="77"/>
      <c r="LL222" s="77"/>
      <c r="LM222" s="77"/>
      <c r="LN222" s="77"/>
      <c r="LO222" s="77"/>
      <c r="LP222" s="77"/>
      <c r="LQ222" s="77"/>
      <c r="LR222" s="77"/>
      <c r="LS222" s="77"/>
      <c r="LT222" s="77"/>
      <c r="LU222" s="77"/>
      <c r="LV222" s="77"/>
    </row>
    <row r="223" spans="1:368" ht="18.600000000000001" customHeight="1" x14ac:dyDescent="0.25">
      <c r="A223" s="119" t="s">
        <v>216</v>
      </c>
      <c r="B223" s="27" t="s">
        <v>1391</v>
      </c>
      <c r="C223" s="27" t="s">
        <v>6427</v>
      </c>
      <c r="D223" s="30" t="str">
        <f>HYPERLINK("https://twitter.com/MofaJapan_en","https://twitter.com/MofaJapan_en")</f>
        <v>https://twitter.com/MofaJapan_en</v>
      </c>
      <c r="E223" s="30" t="str">
        <f>HYPERLINK("http://twiplomacy.com/info/asia/japan/","http://twiplomacy.com/info/asia/japan/")</f>
        <v>http://twiplomacy.com/info/asia/japan/</v>
      </c>
      <c r="F223" s="10" t="s">
        <v>154</v>
      </c>
      <c r="G223" s="10" t="s">
        <v>213</v>
      </c>
      <c r="H223" s="10" t="s">
        <v>795</v>
      </c>
      <c r="I223" s="10" t="s">
        <v>782</v>
      </c>
      <c r="J223" s="27" t="s">
        <v>789</v>
      </c>
      <c r="K223" s="15" t="s">
        <v>777</v>
      </c>
      <c r="L223" s="10" t="s">
        <v>771</v>
      </c>
      <c r="M223" s="10" t="s">
        <v>771</v>
      </c>
      <c r="N223" s="30" t="str">
        <f>HYPERLINK("https://twitter.com/MofaJapan_en/statuses/75720881107763200","https://twitter.com/MofaJapan_en/statuses/75720881107763200")</f>
        <v>https://twitter.com/MofaJapan_en/statuses/75720881107763200</v>
      </c>
      <c r="O223" s="27" t="s">
        <v>5970</v>
      </c>
      <c r="P223" s="80">
        <v>864</v>
      </c>
      <c r="Q223" s="80">
        <v>552</v>
      </c>
      <c r="R223" s="27" t="s">
        <v>2994</v>
      </c>
      <c r="S223" s="10" t="s">
        <v>1392</v>
      </c>
      <c r="T223" s="10" t="s">
        <v>771</v>
      </c>
      <c r="U223" s="10" t="s">
        <v>771</v>
      </c>
      <c r="V223" s="10" t="s">
        <v>771</v>
      </c>
      <c r="W223" s="10"/>
      <c r="X223" s="27" t="s">
        <v>216</v>
      </c>
      <c r="Y223" s="27" t="s">
        <v>1391</v>
      </c>
      <c r="Z223" s="80">
        <v>4688</v>
      </c>
      <c r="AA223" s="27">
        <v>38</v>
      </c>
      <c r="AB223" s="80">
        <v>31555</v>
      </c>
      <c r="AC223" s="27">
        <v>0</v>
      </c>
      <c r="AD223" s="27" t="s">
        <v>4141</v>
      </c>
      <c r="AE223" s="27">
        <v>303735625</v>
      </c>
      <c r="AF223" s="27" t="s">
        <v>6427</v>
      </c>
      <c r="AG223" s="27" t="s">
        <v>1377</v>
      </c>
      <c r="AH223" s="79">
        <v>2.5957918050941302</v>
      </c>
      <c r="AI223" s="83">
        <v>2.75657336726039</v>
      </c>
      <c r="AJ223" s="80">
        <v>4.3334480385409497</v>
      </c>
      <c r="AK223" s="80">
        <v>2.06779077770131</v>
      </c>
      <c r="AL223" s="13">
        <v>0</v>
      </c>
      <c r="AM223" s="97">
        <f t="shared" si="3"/>
        <v>0</v>
      </c>
      <c r="AN223" s="27" t="s">
        <v>216</v>
      </c>
      <c r="AO223" s="27">
        <v>0</v>
      </c>
      <c r="AP223" s="27">
        <v>88</v>
      </c>
      <c r="AQ223" s="27">
        <v>5</v>
      </c>
      <c r="AR223" s="27">
        <f>SUM(AO223:AQ223)</f>
        <v>93</v>
      </c>
      <c r="AS223" s="27"/>
      <c r="AT223" s="27" t="s">
        <v>5620</v>
      </c>
      <c r="AU223" s="84" t="s">
        <v>4863</v>
      </c>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77"/>
      <c r="CM223" s="77"/>
      <c r="CN223" s="77"/>
      <c r="CO223" s="77"/>
      <c r="CP223" s="77"/>
      <c r="CQ223" s="77"/>
      <c r="CR223" s="77"/>
      <c r="CS223" s="77"/>
      <c r="CT223" s="77"/>
      <c r="CU223" s="77"/>
      <c r="CV223" s="77"/>
      <c r="CW223" s="77"/>
      <c r="CX223" s="77"/>
      <c r="CY223" s="77"/>
      <c r="CZ223" s="77"/>
      <c r="DA223" s="77"/>
      <c r="DB223" s="77"/>
      <c r="DC223" s="77"/>
      <c r="DD223" s="77"/>
      <c r="DE223" s="77"/>
      <c r="DF223" s="77"/>
      <c r="DG223" s="77"/>
      <c r="DH223" s="77"/>
      <c r="DI223" s="77"/>
      <c r="DJ223" s="77"/>
      <c r="DK223" s="77"/>
      <c r="DL223" s="77"/>
      <c r="DM223" s="77"/>
      <c r="DN223" s="77"/>
      <c r="DO223" s="77"/>
      <c r="DP223" s="77"/>
      <c r="DQ223" s="77"/>
      <c r="DR223" s="77"/>
      <c r="DS223" s="77"/>
      <c r="DT223" s="77"/>
      <c r="DU223" s="77"/>
      <c r="DV223" s="77"/>
      <c r="DW223" s="77"/>
      <c r="DX223" s="77"/>
      <c r="DY223" s="77"/>
      <c r="DZ223" s="77"/>
      <c r="EA223" s="77"/>
      <c r="EB223" s="77"/>
      <c r="EC223" s="77"/>
      <c r="ED223" s="77"/>
      <c r="EE223" s="77"/>
      <c r="EF223" s="77"/>
      <c r="EG223" s="77"/>
      <c r="EH223" s="77"/>
      <c r="EI223" s="77"/>
      <c r="EJ223" s="77"/>
      <c r="EK223" s="77"/>
      <c r="EL223" s="77"/>
      <c r="EM223" s="77"/>
      <c r="EN223" s="77"/>
      <c r="EO223" s="77"/>
      <c r="EQ223" s="77"/>
      <c r="GL223" s="77"/>
      <c r="GM223" s="77"/>
      <c r="GN223" s="77"/>
      <c r="GO223" s="77"/>
      <c r="GP223" s="77"/>
      <c r="GQ223" s="77"/>
      <c r="GR223" s="77"/>
      <c r="GS223" s="77"/>
      <c r="GT223" s="77"/>
      <c r="GU223" s="77"/>
      <c r="GV223" s="77"/>
      <c r="GW223" s="77"/>
      <c r="GX223" s="77"/>
      <c r="GY223" s="77"/>
      <c r="GZ223" s="77"/>
      <c r="HA223" s="77"/>
      <c r="HB223" s="77"/>
      <c r="HC223" s="77"/>
      <c r="HD223" s="77"/>
      <c r="HE223" s="77"/>
      <c r="HF223" s="77"/>
      <c r="HG223" s="77"/>
      <c r="HH223" s="77"/>
      <c r="HI223" s="77"/>
      <c r="HJ223" s="77"/>
      <c r="HK223" s="77"/>
      <c r="HL223" s="16"/>
      <c r="HM223" s="16"/>
      <c r="HN223" s="16"/>
      <c r="HO223" s="16"/>
      <c r="HP223" s="16"/>
      <c r="HQ223" s="16"/>
      <c r="HR223" s="16"/>
      <c r="HS223" s="16"/>
      <c r="HT223" s="16"/>
      <c r="HU223" s="16"/>
      <c r="HV223" s="16"/>
      <c r="HW223" s="16"/>
      <c r="HX223" s="16"/>
      <c r="HY223" s="16"/>
      <c r="HZ223" s="16"/>
      <c r="IA223" s="16"/>
      <c r="IB223" s="16"/>
      <c r="IC223" s="16"/>
      <c r="IF223" s="77"/>
      <c r="IG223" s="77"/>
      <c r="IH223" s="77"/>
      <c r="II223" s="77"/>
      <c r="IJ223" s="77"/>
      <c r="IK223" s="77"/>
      <c r="IL223" s="77"/>
      <c r="IM223" s="77"/>
      <c r="IN223" s="77"/>
      <c r="IO223" s="77"/>
      <c r="IP223" s="77"/>
      <c r="IQ223" s="77"/>
      <c r="IR223" s="77"/>
      <c r="IS223" s="77"/>
      <c r="IT223" s="77"/>
      <c r="IU223" s="77"/>
      <c r="IV223" s="77"/>
      <c r="IW223" s="77"/>
      <c r="IX223" s="77"/>
      <c r="IY223" s="77"/>
      <c r="IZ223" s="77"/>
      <c r="JA223" s="77"/>
      <c r="JB223" s="77"/>
      <c r="JC223" s="77"/>
      <c r="JD223" s="77"/>
      <c r="JE223" s="77"/>
      <c r="JF223" s="77"/>
      <c r="JG223" s="77"/>
      <c r="JH223" s="77"/>
      <c r="JI223" s="77"/>
      <c r="JJ223" s="77"/>
      <c r="JK223" s="77"/>
      <c r="JL223" s="77"/>
      <c r="JM223" s="77"/>
      <c r="JN223" s="77"/>
      <c r="JO223" s="77"/>
      <c r="JP223" s="77"/>
      <c r="JQ223" s="77"/>
      <c r="JR223" s="77"/>
      <c r="JS223" s="77"/>
      <c r="JT223" s="77"/>
      <c r="JU223" s="77"/>
      <c r="JV223" s="77"/>
      <c r="JW223" s="77"/>
      <c r="JX223" s="77"/>
      <c r="JY223" s="16"/>
      <c r="JZ223" s="16"/>
      <c r="KA223" s="16"/>
      <c r="KB223" s="16"/>
      <c r="KC223" s="16"/>
      <c r="KD223" s="16"/>
      <c r="KE223" s="16"/>
      <c r="KF223" s="16"/>
      <c r="KG223" s="16"/>
      <c r="KH223" s="16"/>
      <c r="KI223" s="16"/>
      <c r="KJ223" s="16"/>
      <c r="KK223" s="16"/>
      <c r="KL223" s="16"/>
      <c r="LL223" s="77"/>
      <c r="LM223" s="77"/>
      <c r="LN223" s="77"/>
      <c r="LO223" s="77"/>
      <c r="LP223" s="77"/>
      <c r="LQ223" s="77"/>
      <c r="LR223" s="77"/>
      <c r="LS223" s="77"/>
      <c r="LT223" s="77"/>
      <c r="LU223" s="77"/>
      <c r="LV223" s="77"/>
      <c r="LY223" s="77"/>
      <c r="LZ223" s="77"/>
      <c r="MA223" s="77"/>
      <c r="MB223" s="77"/>
      <c r="MC223" s="77"/>
      <c r="MD223" s="77"/>
      <c r="ME223" s="77"/>
      <c r="MF223" s="77"/>
      <c r="MG223" s="77"/>
      <c r="MH223" s="77"/>
      <c r="MI223" s="77"/>
      <c r="MJ223" s="77"/>
      <c r="MK223" s="77"/>
      <c r="ML223" s="77"/>
      <c r="MM223" s="77"/>
      <c r="MN223" s="77"/>
      <c r="MO223" s="77"/>
      <c r="MP223" s="77"/>
      <c r="MQ223" s="77"/>
      <c r="MR223" s="77"/>
      <c r="ND223" s="77"/>
    </row>
    <row r="224" spans="1:368" ht="18.600000000000001" customHeight="1" x14ac:dyDescent="0.25">
      <c r="A224" s="119" t="s">
        <v>172</v>
      </c>
      <c r="B224" s="27" t="s">
        <v>1239</v>
      </c>
      <c r="C224" s="27" t="s">
        <v>1240</v>
      </c>
      <c r="D224" s="30" t="str">
        <f>HYPERLINK("https://twitter.com/tsheringtobgay","https://twitter.com/tsheringtobgay")</f>
        <v>https://twitter.com/tsheringtobgay</v>
      </c>
      <c r="E224" s="30" t="str">
        <f>HYPERLINK("http://twiplomacy.com/info/asia/Bhutan","http://twiplomacy.com/info/asia/Bhutan")</f>
        <v>http://twiplomacy.com/info/asia/Bhutan</v>
      </c>
      <c r="F224" s="10" t="s">
        <v>154</v>
      </c>
      <c r="G224" s="10" t="s">
        <v>171</v>
      </c>
      <c r="H224" s="10" t="s">
        <v>776</v>
      </c>
      <c r="I224" s="10" t="s">
        <v>773</v>
      </c>
      <c r="J224" s="27" t="s">
        <v>789</v>
      </c>
      <c r="K224" s="15" t="s">
        <v>777</v>
      </c>
      <c r="L224" s="10" t="s">
        <v>905</v>
      </c>
      <c r="M224" s="10" t="s">
        <v>771</v>
      </c>
      <c r="N224" s="30" t="str">
        <f>HYPERLINK("https://twitter.com/tsheringtobgay/statuses/1703801764","https://twitter.com/tsheringtobgay/statuses/1703801764")</f>
        <v>https://twitter.com/tsheringtobgay/statuses/1703801764</v>
      </c>
      <c r="O224" s="27" t="s">
        <v>6114</v>
      </c>
      <c r="P224" s="80">
        <v>1880</v>
      </c>
      <c r="Q224" s="80">
        <v>1271</v>
      </c>
      <c r="R224" s="27" t="s">
        <v>2995</v>
      </c>
      <c r="S224" s="10" t="s">
        <v>1241</v>
      </c>
      <c r="T224" s="10" t="s">
        <v>771</v>
      </c>
      <c r="U224" s="10" t="s">
        <v>771</v>
      </c>
      <c r="V224" s="10" t="s">
        <v>771</v>
      </c>
      <c r="W224" s="10"/>
      <c r="X224" s="27" t="s">
        <v>172</v>
      </c>
      <c r="Y224" s="27" t="s">
        <v>1239</v>
      </c>
      <c r="Z224" s="80">
        <v>4673</v>
      </c>
      <c r="AA224" s="27">
        <v>186</v>
      </c>
      <c r="AB224" s="80">
        <v>53518</v>
      </c>
      <c r="AC224" s="27">
        <v>106</v>
      </c>
      <c r="AD224" s="27" t="s">
        <v>4538</v>
      </c>
      <c r="AE224" s="27">
        <v>37869117</v>
      </c>
      <c r="AF224" s="27" t="s">
        <v>1240</v>
      </c>
      <c r="AG224" s="27" t="s">
        <v>171</v>
      </c>
      <c r="AH224" s="79">
        <v>1.82967893500392</v>
      </c>
      <c r="AI224" s="83">
        <v>2.0292807129217101</v>
      </c>
      <c r="AJ224" s="80">
        <v>9.4128264208909407</v>
      </c>
      <c r="AK224" s="80">
        <v>13.2258064516129</v>
      </c>
      <c r="AL224" s="96">
        <v>856</v>
      </c>
      <c r="AM224" s="97">
        <f t="shared" si="3"/>
        <v>0.26750000000000002</v>
      </c>
      <c r="AN224" s="27" t="s">
        <v>172</v>
      </c>
      <c r="AO224" s="27">
        <v>4</v>
      </c>
      <c r="AP224" s="27">
        <v>7</v>
      </c>
      <c r="AQ224" s="27">
        <v>6</v>
      </c>
      <c r="AR224" s="27">
        <f>SUM(AO224:AQ224)</f>
        <v>17</v>
      </c>
      <c r="AS224" s="27" t="s">
        <v>5525</v>
      </c>
      <c r="AT224" s="27" t="s">
        <v>5526</v>
      </c>
      <c r="AU224" s="84" t="s">
        <v>4972</v>
      </c>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16"/>
      <c r="CD224" s="16"/>
      <c r="CE224" s="16"/>
      <c r="CF224" s="16"/>
      <c r="CG224" s="16"/>
      <c r="CH224" s="16"/>
      <c r="CI224" s="16"/>
      <c r="CJ224" s="16"/>
      <c r="EM224" s="77"/>
      <c r="EN224" s="77"/>
      <c r="EO224" s="77"/>
      <c r="EP224" s="77"/>
      <c r="EQ224" s="77"/>
      <c r="GL224" s="77"/>
      <c r="GM224" s="77"/>
      <c r="GN224" s="77"/>
      <c r="GO224" s="77"/>
      <c r="GP224" s="77"/>
      <c r="GQ224" s="77"/>
      <c r="GR224" s="77"/>
      <c r="GS224" s="77"/>
      <c r="GT224" s="77"/>
      <c r="GU224" s="77"/>
      <c r="GV224" s="77"/>
      <c r="GW224" s="77"/>
      <c r="GX224" s="77"/>
      <c r="GY224" s="77"/>
      <c r="GZ224" s="77"/>
      <c r="HA224" s="77"/>
      <c r="HB224" s="77"/>
      <c r="HC224" s="77"/>
      <c r="HD224" s="77"/>
      <c r="HE224" s="77"/>
      <c r="HF224" s="77"/>
      <c r="HG224" s="77"/>
      <c r="HH224" s="77"/>
      <c r="HI224" s="77"/>
      <c r="HJ224" s="77"/>
      <c r="HK224" s="77"/>
      <c r="HL224" s="77"/>
      <c r="HM224" s="77"/>
      <c r="HN224" s="77"/>
      <c r="HO224" s="77"/>
      <c r="HP224" s="77"/>
      <c r="HQ224" s="77"/>
      <c r="HR224" s="77"/>
      <c r="HS224" s="77"/>
      <c r="HT224" s="77"/>
      <c r="HU224" s="77"/>
      <c r="HV224" s="77"/>
      <c r="HW224" s="77"/>
      <c r="HX224" s="77"/>
      <c r="HY224" s="77"/>
      <c r="HZ224" s="77"/>
      <c r="IA224" s="77"/>
      <c r="IB224" s="77"/>
      <c r="IC224" s="77"/>
      <c r="IF224" s="77"/>
      <c r="IG224" s="77"/>
      <c r="IH224" s="77"/>
      <c r="II224" s="77"/>
      <c r="IJ224" s="77"/>
      <c r="IK224" s="77"/>
      <c r="IL224" s="77"/>
      <c r="IM224" s="77"/>
      <c r="IN224" s="77"/>
      <c r="IO224" s="77"/>
      <c r="IP224" s="77"/>
      <c r="IQ224" s="77"/>
      <c r="IR224" s="77"/>
      <c r="IS224" s="77"/>
      <c r="IT224" s="77"/>
      <c r="IU224" s="77"/>
      <c r="IV224" s="77"/>
      <c r="IW224" s="77"/>
      <c r="IX224" s="77"/>
      <c r="IY224" s="77"/>
      <c r="IZ224" s="77"/>
      <c r="JA224" s="77"/>
      <c r="JB224" s="77"/>
      <c r="JC224" s="77"/>
      <c r="JD224" s="77"/>
      <c r="JE224" s="77"/>
      <c r="JF224" s="77"/>
      <c r="JG224" s="77"/>
      <c r="JH224" s="77"/>
      <c r="JI224" s="77"/>
      <c r="JJ224" s="77"/>
      <c r="JK224" s="77"/>
      <c r="JL224" s="77"/>
      <c r="JM224" s="77"/>
      <c r="JN224" s="77"/>
      <c r="JO224" s="77"/>
      <c r="JP224" s="77"/>
      <c r="JQ224" s="77"/>
      <c r="JR224" s="77"/>
      <c r="JS224" s="77"/>
      <c r="JT224" s="77"/>
      <c r="JU224" s="77"/>
      <c r="JV224" s="77"/>
      <c r="JW224" s="77"/>
      <c r="JX224" s="77"/>
      <c r="JY224" s="77"/>
      <c r="JZ224" s="77"/>
      <c r="KA224" s="77"/>
      <c r="KB224" s="77"/>
      <c r="KC224" s="77"/>
      <c r="KD224" s="77"/>
      <c r="KE224" s="77"/>
      <c r="KF224" s="77"/>
      <c r="KG224" s="77"/>
      <c r="KH224" s="77"/>
      <c r="KI224" s="77"/>
      <c r="KJ224" s="77"/>
      <c r="KK224" s="77"/>
      <c r="KL224" s="77"/>
      <c r="KM224" s="77"/>
      <c r="KN224" s="77"/>
      <c r="KO224" s="77"/>
      <c r="KP224" s="77"/>
      <c r="KQ224" s="77"/>
      <c r="KR224" s="77"/>
      <c r="KS224" s="77"/>
      <c r="KT224" s="77"/>
      <c r="KU224" s="77"/>
      <c r="KV224" s="77"/>
      <c r="KW224" s="77"/>
      <c r="KX224" s="77"/>
      <c r="KY224" s="77"/>
      <c r="KZ224" s="77"/>
      <c r="LA224" s="77"/>
      <c r="LB224" s="77"/>
      <c r="LC224" s="77"/>
      <c r="LD224" s="77"/>
      <c r="LE224" s="77"/>
      <c r="LF224" s="77"/>
      <c r="LG224" s="77"/>
      <c r="LH224" s="77"/>
      <c r="LI224" s="77"/>
      <c r="LJ224" s="77"/>
      <c r="LK224" s="77"/>
      <c r="LL224" s="77"/>
      <c r="LM224" s="77"/>
      <c r="LN224" s="77"/>
      <c r="LO224" s="77"/>
      <c r="LP224" s="77"/>
      <c r="LQ224" s="77"/>
      <c r="LR224" s="77"/>
      <c r="LS224" s="77"/>
      <c r="LT224" s="77"/>
      <c r="LU224" s="77"/>
      <c r="LV224" s="77"/>
      <c r="LW224" s="77"/>
      <c r="LX224" s="77"/>
      <c r="MS224" s="77"/>
      <c r="MT224" s="77"/>
      <c r="MU224" s="77"/>
      <c r="MV224" s="77"/>
      <c r="MW224" s="77"/>
      <c r="MX224" s="77"/>
      <c r="MY224" s="77"/>
      <c r="MZ224" s="77"/>
      <c r="NA224" s="77"/>
      <c r="NB224" s="77"/>
      <c r="NC224" s="77"/>
    </row>
    <row r="225" spans="1:421" ht="18.600000000000001" customHeight="1" x14ac:dyDescent="0.25">
      <c r="A225" s="119" t="s">
        <v>2604</v>
      </c>
      <c r="B225" s="27" t="s">
        <v>2605</v>
      </c>
      <c r="C225" s="27" t="s">
        <v>2606</v>
      </c>
      <c r="D225" s="30" t="str">
        <f>HYPERLINK("https://twitter.com/USAenFrancais","https://twitter.com/USAenFrancais")</f>
        <v>https://twitter.com/USAenFrancais</v>
      </c>
      <c r="E225" s="30" t="str">
        <f>HYPERLINK("http://twiplomacy.com/info/north-america/United-States","http://twiplomacy.com/info/north-america/United-States")</f>
        <v>http://twiplomacy.com/info/north-america/United-States</v>
      </c>
      <c r="F225" s="10" t="s">
        <v>558</v>
      </c>
      <c r="G225" s="10" t="s">
        <v>633</v>
      </c>
      <c r="H225" s="10" t="s">
        <v>2539</v>
      </c>
      <c r="I225" s="10" t="s">
        <v>782</v>
      </c>
      <c r="J225" s="27" t="s">
        <v>789</v>
      </c>
      <c r="K225" s="15" t="s">
        <v>777</v>
      </c>
      <c r="L225" s="10" t="s">
        <v>771</v>
      </c>
      <c r="M225" s="10" t="s">
        <v>770</v>
      </c>
      <c r="N225" s="30" t="str">
        <f>HYPERLINK("https://twitter.com/USAenFrancais/statuses/38526126905229312","https://twitter.com/USAenFrancais/statuses/38526126905229312")</f>
        <v>https://twitter.com/USAenFrancais/statuses/38526126905229312</v>
      </c>
      <c r="O225" s="27" t="s">
        <v>2607</v>
      </c>
      <c r="P225" s="80">
        <v>74</v>
      </c>
      <c r="Q225" s="80">
        <v>25</v>
      </c>
      <c r="R225" s="27" t="s">
        <v>2994</v>
      </c>
      <c r="S225" s="10" t="s">
        <v>2608</v>
      </c>
      <c r="T225" s="10" t="s">
        <v>771</v>
      </c>
      <c r="U225" s="10" t="s">
        <v>771</v>
      </c>
      <c r="V225" s="10" t="s">
        <v>771</v>
      </c>
      <c r="W225" s="10"/>
      <c r="X225" s="27" t="s">
        <v>2604</v>
      </c>
      <c r="Y225" s="27" t="s">
        <v>2605</v>
      </c>
      <c r="Z225" s="80">
        <v>4644</v>
      </c>
      <c r="AA225" s="27">
        <v>338</v>
      </c>
      <c r="AB225" s="80">
        <v>5480</v>
      </c>
      <c r="AC225" s="27">
        <v>57</v>
      </c>
      <c r="AD225" s="27" t="s">
        <v>4565</v>
      </c>
      <c r="AE225" s="27">
        <v>252194895</v>
      </c>
      <c r="AF225" s="27" t="s">
        <v>2606</v>
      </c>
      <c r="AG225" s="27"/>
      <c r="AH225" s="79">
        <v>2.4390756302521002</v>
      </c>
      <c r="AI225" s="83">
        <v>2.5795363709032801</v>
      </c>
      <c r="AJ225" s="80">
        <v>1.04357066950053</v>
      </c>
      <c r="AK225" s="80">
        <v>0.45377258235919199</v>
      </c>
      <c r="AL225" s="96">
        <v>40</v>
      </c>
      <c r="AM225" s="97">
        <f t="shared" si="3"/>
        <v>1.2500000000000001E-2</v>
      </c>
      <c r="AN225" s="27" t="s">
        <v>2604</v>
      </c>
      <c r="AO225" s="27">
        <v>16</v>
      </c>
      <c r="AP225" s="27">
        <v>8</v>
      </c>
      <c r="AQ225" s="27">
        <v>7</v>
      </c>
      <c r="AR225" s="27">
        <f>SUM(AO225:AQ225)</f>
        <v>31</v>
      </c>
      <c r="AS225" s="27" t="s">
        <v>6264</v>
      </c>
      <c r="AT225" s="27" t="s">
        <v>5546</v>
      </c>
      <c r="AU225" s="84" t="s">
        <v>6192</v>
      </c>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c r="CE225" s="77"/>
      <c r="CF225" s="77"/>
      <c r="CG225" s="77"/>
      <c r="CH225" s="77"/>
      <c r="CI225" s="77"/>
      <c r="CJ225" s="77"/>
      <c r="CK225" s="77"/>
      <c r="CL225" s="77"/>
      <c r="CM225" s="77"/>
      <c r="CN225" s="77"/>
      <c r="CO225" s="77"/>
      <c r="CP225" s="77"/>
      <c r="CQ225" s="77"/>
      <c r="CR225" s="77"/>
      <c r="CS225" s="77"/>
      <c r="CT225" s="77"/>
      <c r="CU225" s="77"/>
      <c r="CV225" s="77"/>
      <c r="CW225" s="77"/>
      <c r="CX225" s="77"/>
      <c r="CY225" s="77"/>
      <c r="CZ225" s="77"/>
      <c r="DA225" s="77"/>
      <c r="DB225" s="77"/>
      <c r="DC225" s="77"/>
      <c r="DD225" s="77"/>
      <c r="DE225" s="77"/>
      <c r="DF225" s="77"/>
      <c r="DG225" s="77"/>
      <c r="DH225" s="77"/>
      <c r="DI225" s="77"/>
      <c r="DJ225" s="77"/>
      <c r="DK225" s="77"/>
      <c r="DL225" s="77"/>
      <c r="DM225" s="77"/>
      <c r="DN225" s="77"/>
      <c r="DO225" s="77"/>
      <c r="DP225" s="77"/>
      <c r="DQ225" s="77"/>
      <c r="DR225" s="77"/>
      <c r="DS225" s="77"/>
      <c r="DT225" s="77"/>
      <c r="DU225" s="77"/>
      <c r="DV225" s="77"/>
      <c r="DW225" s="77"/>
      <c r="DX225" s="77"/>
      <c r="DY225" s="77"/>
      <c r="DZ225" s="77"/>
      <c r="EA225" s="77"/>
      <c r="EB225" s="77"/>
      <c r="EC225" s="77"/>
      <c r="ED225" s="77"/>
      <c r="EE225" s="77"/>
      <c r="EF225" s="77"/>
      <c r="EG225" s="77"/>
      <c r="EH225" s="77"/>
      <c r="EI225" s="77"/>
      <c r="EJ225" s="77"/>
      <c r="EK225" s="77"/>
      <c r="EL225" s="77"/>
      <c r="EM225" s="77"/>
      <c r="EN225" s="77"/>
      <c r="EO225" s="77"/>
      <c r="EP225" s="77"/>
      <c r="EQ225" s="77"/>
      <c r="ER225" s="77"/>
      <c r="ES225" s="77"/>
      <c r="ET225" s="77"/>
      <c r="EU225" s="77"/>
      <c r="EV225" s="77"/>
      <c r="EW225" s="77"/>
      <c r="EX225" s="77"/>
      <c r="EY225" s="77"/>
      <c r="EZ225" s="77"/>
      <c r="FA225" s="77"/>
      <c r="FB225" s="77"/>
      <c r="FC225" s="77"/>
      <c r="FD225" s="77"/>
      <c r="FE225" s="77"/>
      <c r="FF225" s="77"/>
      <c r="FG225" s="77"/>
      <c r="FH225" s="77"/>
      <c r="FI225" s="77"/>
      <c r="FJ225" s="77"/>
      <c r="FK225" s="77"/>
      <c r="FL225" s="77"/>
      <c r="FM225" s="77"/>
      <c r="FN225" s="77"/>
      <c r="FO225" s="77"/>
      <c r="FP225" s="77"/>
      <c r="FQ225" s="77"/>
      <c r="FR225" s="77"/>
      <c r="FS225" s="77"/>
      <c r="FT225" s="77"/>
      <c r="FU225" s="77"/>
      <c r="FV225" s="77"/>
      <c r="FW225" s="77"/>
      <c r="FX225" s="77"/>
      <c r="FY225" s="77"/>
      <c r="FZ225" s="77"/>
      <c r="GA225" s="77"/>
      <c r="GB225" s="77"/>
      <c r="GC225" s="77"/>
      <c r="GD225" s="77"/>
      <c r="GE225" s="77"/>
      <c r="GF225" s="77"/>
      <c r="GG225" s="77"/>
      <c r="GH225" s="77"/>
      <c r="GI225" s="77"/>
      <c r="GJ225" s="77"/>
      <c r="GK225" s="77"/>
      <c r="HL225" s="77"/>
      <c r="HM225" s="77"/>
      <c r="HN225" s="77"/>
      <c r="HO225" s="77"/>
      <c r="HP225" s="77"/>
      <c r="HQ225" s="77"/>
      <c r="HR225" s="77"/>
      <c r="HS225" s="77"/>
      <c r="HT225" s="77"/>
      <c r="HU225" s="77"/>
      <c r="HV225" s="77"/>
      <c r="HW225" s="77"/>
      <c r="HX225" s="77"/>
      <c r="HY225" s="77"/>
      <c r="HZ225" s="77"/>
      <c r="IA225" s="77"/>
      <c r="IB225" s="77"/>
      <c r="IC225" s="77"/>
      <c r="IF225" s="77"/>
      <c r="IG225" s="77"/>
      <c r="IH225" s="77"/>
      <c r="II225" s="77"/>
      <c r="IJ225" s="77"/>
      <c r="IK225" s="77"/>
      <c r="IL225" s="77"/>
      <c r="IM225" s="77"/>
      <c r="IN225" s="77"/>
      <c r="IO225" s="77"/>
      <c r="IP225" s="77"/>
      <c r="IQ225" s="77"/>
      <c r="IR225" s="77"/>
      <c r="IS225" s="77"/>
      <c r="IT225" s="77"/>
      <c r="IU225" s="77"/>
      <c r="IV225" s="77"/>
      <c r="IW225" s="77"/>
      <c r="IX225" s="77"/>
      <c r="IY225" s="77"/>
      <c r="IZ225" s="77"/>
      <c r="JA225" s="77"/>
      <c r="JB225" s="77"/>
      <c r="JC225" s="77"/>
      <c r="JD225" s="77"/>
      <c r="JE225" s="77"/>
      <c r="JF225" s="77"/>
      <c r="JG225" s="77"/>
      <c r="JH225" s="77"/>
      <c r="JI225" s="77"/>
      <c r="JJ225" s="77"/>
      <c r="JK225" s="77"/>
      <c r="JL225" s="77"/>
      <c r="JM225" s="77"/>
      <c r="JN225" s="77"/>
      <c r="JO225" s="77"/>
      <c r="JP225" s="77"/>
      <c r="JQ225" s="77"/>
      <c r="JR225" s="77"/>
      <c r="JS225" s="77"/>
      <c r="JT225" s="77"/>
      <c r="JU225" s="77"/>
      <c r="JV225" s="77"/>
      <c r="JW225" s="77"/>
      <c r="JX225" s="77"/>
      <c r="JY225" s="77"/>
      <c r="JZ225" s="77"/>
      <c r="KA225" s="77"/>
      <c r="KB225" s="77"/>
      <c r="KC225" s="77"/>
      <c r="KD225" s="77"/>
      <c r="KE225" s="77"/>
      <c r="KF225" s="77"/>
      <c r="KG225" s="77"/>
      <c r="KH225" s="77"/>
      <c r="KI225" s="77"/>
      <c r="KJ225" s="77"/>
      <c r="KK225" s="77"/>
      <c r="KL225" s="77"/>
      <c r="LW225" s="77"/>
      <c r="LX225" s="77"/>
      <c r="MS225" s="77"/>
      <c r="MT225" s="77"/>
      <c r="MU225" s="77"/>
      <c r="MV225" s="77"/>
      <c r="MW225" s="77"/>
      <c r="MX225" s="77"/>
      <c r="MY225" s="77"/>
      <c r="MZ225" s="77"/>
      <c r="NA225" s="77"/>
      <c r="NB225" s="77"/>
      <c r="NC225" s="77"/>
    </row>
    <row r="226" spans="1:421" ht="18.600000000000001" customHeight="1" x14ac:dyDescent="0.25">
      <c r="A226" s="119" t="s">
        <v>383</v>
      </c>
      <c r="B226" s="27" t="s">
        <v>1829</v>
      </c>
      <c r="C226" s="27" t="s">
        <v>6463</v>
      </c>
      <c r="D226" s="30" t="str">
        <f>HYPERLINK("https://twitter.com/valismin","https://twitter.com/valismin")</f>
        <v>https://twitter.com/valismin</v>
      </c>
      <c r="E226" s="30" t="str">
        <f>HYPERLINK("http://twiplomacy.com/info/europe/Estonia","http://twiplomacy.com/info/europe/Estonia")</f>
        <v>http://twiplomacy.com/info/europe/Estonia</v>
      </c>
      <c r="F226" s="10" t="s">
        <v>332</v>
      </c>
      <c r="G226" s="10" t="s">
        <v>378</v>
      </c>
      <c r="H226" s="10" t="s">
        <v>795</v>
      </c>
      <c r="I226" s="10" t="s">
        <v>782</v>
      </c>
      <c r="J226" s="27" t="s">
        <v>789</v>
      </c>
      <c r="K226" s="15" t="s">
        <v>777</v>
      </c>
      <c r="L226" s="10" t="s">
        <v>771</v>
      </c>
      <c r="M226" s="10" t="s">
        <v>770</v>
      </c>
      <c r="N226" s="30" t="str">
        <f>HYPERLINK("https://twitter.com/valismin/statuses/1834338777","https://twitter.com/valismin/statuses/1834338777")</f>
        <v>https://twitter.com/valismin/statuses/1834338777</v>
      </c>
      <c r="O226" s="27" t="s">
        <v>1830</v>
      </c>
      <c r="P226" s="80">
        <v>495</v>
      </c>
      <c r="Q226" s="80">
        <v>119</v>
      </c>
      <c r="R226" s="27" t="s">
        <v>2994</v>
      </c>
      <c r="S226" s="30" t="str">
        <f>HYPERLINK("https://twitter.com/valismin/lists","https://twitter.com/valismin/lists")</f>
        <v>https://twitter.com/valismin/lists</v>
      </c>
      <c r="T226" s="10" t="s">
        <v>771</v>
      </c>
      <c r="U226" s="10" t="s">
        <v>771</v>
      </c>
      <c r="V226" s="10" t="s">
        <v>771</v>
      </c>
      <c r="W226" s="10"/>
      <c r="X226" s="27" t="s">
        <v>383</v>
      </c>
      <c r="Y226" s="27" t="s">
        <v>1829</v>
      </c>
      <c r="Z226" s="80">
        <v>4625</v>
      </c>
      <c r="AA226" s="27">
        <v>572</v>
      </c>
      <c r="AB226" s="80">
        <v>18289</v>
      </c>
      <c r="AC226" s="27">
        <v>304</v>
      </c>
      <c r="AD226" s="27" t="s">
        <v>4575</v>
      </c>
      <c r="AE226" s="27">
        <v>24698180</v>
      </c>
      <c r="AF226" s="27" t="s">
        <v>6463</v>
      </c>
      <c r="AG226" s="27" t="s">
        <v>1831</v>
      </c>
      <c r="AH226" s="79">
        <v>1.7761136712749599</v>
      </c>
      <c r="AI226" s="83">
        <v>5.24673202614379</v>
      </c>
      <c r="AJ226" s="80">
        <v>6.5691176470588202</v>
      </c>
      <c r="AK226" s="80">
        <v>3.6455882352941198</v>
      </c>
      <c r="AL226" s="96">
        <v>11</v>
      </c>
      <c r="AM226" s="97">
        <f t="shared" si="3"/>
        <v>3.4375E-3</v>
      </c>
      <c r="AN226" s="27" t="s">
        <v>383</v>
      </c>
      <c r="AO226" s="27">
        <v>25</v>
      </c>
      <c r="AP226" s="27">
        <v>43</v>
      </c>
      <c r="AQ226" s="27">
        <v>56</v>
      </c>
      <c r="AR226" s="27">
        <f>SUM(AO226:AQ226)</f>
        <v>124</v>
      </c>
      <c r="AS226" s="27" t="s">
        <v>5552</v>
      </c>
      <c r="AT226" s="27" t="s">
        <v>5553</v>
      </c>
      <c r="AU226" s="84" t="s">
        <v>4987</v>
      </c>
      <c r="AV226" s="77"/>
      <c r="AW226" s="77"/>
      <c r="AX226" s="77"/>
      <c r="AY226" s="77"/>
      <c r="AZ226" s="77"/>
      <c r="BA226" s="77"/>
      <c r="BB226" s="77"/>
      <c r="BC226" s="77"/>
      <c r="BD226" s="77"/>
      <c r="BE226" s="77"/>
      <c r="BF226" s="77"/>
      <c r="BG226" s="77"/>
      <c r="BH226" s="77"/>
      <c r="BI226" s="77"/>
      <c r="BJ226" s="77"/>
      <c r="BK226" s="77"/>
      <c r="BL226" s="77"/>
      <c r="BM226" s="77"/>
      <c r="BN226" s="77"/>
      <c r="BO226" s="77"/>
      <c r="BP226" s="77"/>
      <c r="CC226" s="77"/>
      <c r="CD226" s="77"/>
      <c r="CE226" s="77"/>
      <c r="CF226" s="77"/>
      <c r="CG226" s="77"/>
      <c r="CH226" s="77"/>
      <c r="CI226" s="77"/>
      <c r="CJ226" s="77"/>
      <c r="CK226" s="77"/>
      <c r="CL226" s="77"/>
      <c r="CM226" s="77"/>
      <c r="CN226" s="77"/>
      <c r="CO226" s="77"/>
      <c r="CP226" s="77"/>
      <c r="CQ226" s="77"/>
      <c r="CR226" s="77"/>
      <c r="CS226" s="77"/>
      <c r="CT226" s="77"/>
      <c r="CU226" s="77"/>
      <c r="CV226" s="77"/>
      <c r="CW226" s="77"/>
      <c r="CX226" s="77"/>
      <c r="CY226" s="77"/>
      <c r="CZ226" s="77"/>
      <c r="DA226" s="77"/>
      <c r="DB226" s="77"/>
      <c r="DC226" s="77"/>
      <c r="DD226" s="77"/>
      <c r="DE226" s="77"/>
      <c r="DF226" s="77"/>
      <c r="DG226" s="77"/>
      <c r="DH226" s="77"/>
      <c r="DI226" s="77"/>
      <c r="DJ226" s="77"/>
      <c r="DK226" s="77"/>
      <c r="DL226" s="77"/>
      <c r="DM226" s="77"/>
      <c r="DN226" s="77"/>
      <c r="DO226" s="77"/>
      <c r="DP226" s="77"/>
      <c r="DQ226" s="77"/>
      <c r="DR226" s="77"/>
      <c r="DS226" s="77"/>
      <c r="DT226" s="77"/>
      <c r="DU226" s="77"/>
      <c r="DV226" s="77"/>
      <c r="DW226" s="77"/>
      <c r="DX226" s="77"/>
      <c r="DY226" s="77"/>
      <c r="DZ226" s="77"/>
      <c r="EA226" s="77"/>
      <c r="EB226" s="77"/>
      <c r="EC226" s="77"/>
      <c r="ED226" s="77"/>
      <c r="EE226" s="77"/>
      <c r="EF226" s="77"/>
      <c r="EG226" s="77"/>
      <c r="EH226" s="77"/>
      <c r="EI226" s="77"/>
      <c r="EJ226" s="77"/>
      <c r="EK226" s="77"/>
      <c r="EL226" s="77"/>
      <c r="EM226" s="77"/>
      <c r="EN226" s="77"/>
      <c r="EO226" s="77"/>
      <c r="EP226" s="77"/>
      <c r="GL226" s="77"/>
      <c r="GM226" s="77"/>
      <c r="GN226" s="77"/>
      <c r="GO226" s="77"/>
      <c r="GP226" s="77"/>
      <c r="GQ226" s="77"/>
      <c r="GR226" s="77"/>
      <c r="GS226" s="77"/>
      <c r="GT226" s="77"/>
      <c r="GU226" s="77"/>
      <c r="GV226" s="77"/>
      <c r="GW226" s="77"/>
      <c r="GX226" s="77"/>
      <c r="GY226" s="77"/>
      <c r="GZ226" s="77"/>
      <c r="HA226" s="77"/>
      <c r="HB226" s="77"/>
      <c r="HC226" s="77"/>
      <c r="HD226" s="77"/>
      <c r="HE226" s="77"/>
      <c r="HF226" s="77"/>
      <c r="HG226" s="77"/>
      <c r="HH226" s="77"/>
      <c r="HI226" s="77"/>
      <c r="HJ226" s="77"/>
      <c r="HK226" s="77"/>
      <c r="HL226" s="77"/>
      <c r="HM226" s="77"/>
      <c r="HN226" s="77"/>
      <c r="HO226" s="77"/>
      <c r="HP226" s="77"/>
      <c r="HQ226" s="77"/>
      <c r="HR226" s="77"/>
      <c r="HS226" s="77"/>
      <c r="HT226" s="77"/>
      <c r="HU226" s="77"/>
      <c r="HV226" s="77"/>
      <c r="HW226" s="77"/>
      <c r="HX226" s="77"/>
      <c r="HY226" s="77"/>
      <c r="HZ226" s="77"/>
      <c r="IA226" s="77"/>
      <c r="IB226" s="77"/>
      <c r="IC226" s="77"/>
      <c r="ID226" s="77"/>
      <c r="IE226" s="77"/>
      <c r="IF226" s="77"/>
      <c r="IG226" s="77"/>
      <c r="IH226" s="77"/>
      <c r="II226" s="77"/>
      <c r="IJ226" s="77"/>
      <c r="IK226" s="77"/>
      <c r="IL226" s="77"/>
      <c r="IM226" s="77"/>
      <c r="IN226" s="77"/>
      <c r="IO226" s="77"/>
      <c r="IP226" s="77"/>
      <c r="IQ226" s="77"/>
      <c r="IR226" s="77"/>
      <c r="IS226" s="77"/>
      <c r="IT226" s="77"/>
      <c r="IU226" s="77"/>
      <c r="IV226" s="77"/>
      <c r="IW226" s="77"/>
      <c r="IX226" s="77"/>
      <c r="IY226" s="77"/>
      <c r="IZ226" s="77"/>
      <c r="JA226" s="77"/>
      <c r="JB226" s="77"/>
      <c r="JC226" s="77"/>
      <c r="JD226" s="77"/>
      <c r="JE226" s="77"/>
      <c r="JF226" s="77"/>
      <c r="JG226" s="77"/>
      <c r="JH226" s="77"/>
      <c r="JI226" s="77"/>
      <c r="JJ226" s="77"/>
      <c r="JK226" s="77"/>
      <c r="JL226" s="77"/>
      <c r="JM226" s="77"/>
      <c r="JN226" s="77"/>
      <c r="JO226" s="77"/>
      <c r="JP226" s="77"/>
      <c r="JQ226" s="77"/>
      <c r="JR226" s="77"/>
      <c r="JS226" s="77"/>
      <c r="JT226" s="77"/>
      <c r="JU226" s="77"/>
      <c r="JV226" s="77"/>
      <c r="JW226" s="77"/>
      <c r="JX226" s="77"/>
      <c r="KM226" s="77"/>
      <c r="KN226" s="77"/>
      <c r="KO226" s="77"/>
      <c r="KP226" s="77"/>
      <c r="KQ226" s="77"/>
      <c r="KR226" s="77"/>
      <c r="KS226" s="77"/>
      <c r="KT226" s="77"/>
      <c r="KU226" s="77"/>
      <c r="KV226" s="77"/>
      <c r="KW226" s="77"/>
      <c r="KX226" s="77"/>
      <c r="KY226" s="77"/>
      <c r="KZ226" s="77"/>
      <c r="LA226" s="77"/>
      <c r="LB226" s="77"/>
      <c r="LC226" s="77"/>
      <c r="LD226" s="77"/>
      <c r="LE226" s="77"/>
      <c r="LF226" s="77"/>
      <c r="LG226" s="77"/>
      <c r="LH226" s="77"/>
      <c r="LI226" s="77"/>
      <c r="LJ226" s="77"/>
      <c r="LK226" s="77"/>
      <c r="LL226" s="77"/>
      <c r="LM226" s="77"/>
      <c r="LN226" s="77"/>
      <c r="LO226" s="77"/>
      <c r="LP226" s="77"/>
      <c r="LQ226" s="77"/>
      <c r="LR226" s="77"/>
      <c r="LS226" s="77"/>
      <c r="LT226" s="77"/>
      <c r="LU226" s="77"/>
      <c r="LV226" s="77"/>
    </row>
    <row r="227" spans="1:421" ht="18.600000000000001" customHeight="1" x14ac:dyDescent="0.25">
      <c r="A227" s="119" t="s">
        <v>451</v>
      </c>
      <c r="B227" s="27" t="s">
        <v>2048</v>
      </c>
      <c r="C227" s="27" t="s">
        <v>2049</v>
      </c>
      <c r="D227" s="30" t="str">
        <f>HYPERLINK("https://twitter.com/DOImalta","https://twitter.com/DOImalta")</f>
        <v>https://twitter.com/DOImalta</v>
      </c>
      <c r="E227" s="30" t="s">
        <v>2043</v>
      </c>
      <c r="F227" s="20" t="s">
        <v>332</v>
      </c>
      <c r="G227" s="10" t="s">
        <v>448</v>
      </c>
      <c r="H227" s="10" t="s">
        <v>788</v>
      </c>
      <c r="I227" s="10" t="s">
        <v>782</v>
      </c>
      <c r="J227" s="27" t="s">
        <v>789</v>
      </c>
      <c r="K227" s="10" t="s">
        <v>777</v>
      </c>
      <c r="L227" s="10" t="s">
        <v>771</v>
      </c>
      <c r="M227" s="10" t="s">
        <v>770</v>
      </c>
      <c r="N227" s="30" t="str">
        <f>HYPERLINK("https://twitter.com/DOImalta/status/48018696630841344","https://twitter.com/DOImalta/status/48018696630841344")</f>
        <v>https://twitter.com/DOImalta/status/48018696630841344</v>
      </c>
      <c r="O227" s="27" t="s">
        <v>5807</v>
      </c>
      <c r="P227" s="80">
        <v>21</v>
      </c>
      <c r="Q227" s="80">
        <v>32</v>
      </c>
      <c r="R227" s="27" t="s">
        <v>2995</v>
      </c>
      <c r="S227" s="30" t="str">
        <f>HYPERLINK("https://twitter.com/DOImalta/lists","https://twitter.com/DOImalta/lists")</f>
        <v>https://twitter.com/DOImalta/lists</v>
      </c>
      <c r="T227" s="10" t="s">
        <v>771</v>
      </c>
      <c r="U227" s="10" t="s">
        <v>771</v>
      </c>
      <c r="V227" s="10" t="s">
        <v>771</v>
      </c>
      <c r="W227" s="10"/>
      <c r="X227" s="27" t="s">
        <v>451</v>
      </c>
      <c r="Y227" s="27" t="s">
        <v>2048</v>
      </c>
      <c r="Z227" s="80">
        <v>4618</v>
      </c>
      <c r="AA227" s="27">
        <v>57</v>
      </c>
      <c r="AB227" s="80">
        <v>4966</v>
      </c>
      <c r="AC227" s="27">
        <v>3</v>
      </c>
      <c r="AD227" s="27" t="s">
        <v>3623</v>
      </c>
      <c r="AE227" s="27">
        <v>265920717</v>
      </c>
      <c r="AF227" s="27" t="s">
        <v>2049</v>
      </c>
      <c r="AG227" s="27" t="s">
        <v>2050</v>
      </c>
      <c r="AH227" s="79">
        <v>2.4616204690831598</v>
      </c>
      <c r="AI227" s="83">
        <v>2.8006993006993</v>
      </c>
      <c r="AJ227" s="80">
        <v>0.19483789738747201</v>
      </c>
      <c r="AK227" s="80">
        <v>0.14573497009757599</v>
      </c>
      <c r="AL227" s="27">
        <v>22</v>
      </c>
      <c r="AM227" s="97">
        <f t="shared" si="3"/>
        <v>6.875E-3</v>
      </c>
      <c r="AN227" s="27" t="s">
        <v>451</v>
      </c>
      <c r="AO227" s="27">
        <v>4</v>
      </c>
      <c r="AP227" s="27">
        <v>5</v>
      </c>
      <c r="AQ227" s="27">
        <v>2</v>
      </c>
      <c r="AR227" s="27">
        <f>SUM(AO227:AQ227)</f>
        <v>11</v>
      </c>
      <c r="AS227" s="27" t="s">
        <v>5088</v>
      </c>
      <c r="AT227" s="27" t="s">
        <v>5089</v>
      </c>
      <c r="AU227" s="84" t="s">
        <v>4698</v>
      </c>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77"/>
      <c r="CX227" s="77"/>
      <c r="CY227" s="77"/>
      <c r="CZ227" s="77"/>
      <c r="DA227" s="77"/>
      <c r="DB227" s="77"/>
      <c r="DC227" s="77"/>
      <c r="DD227" s="77"/>
      <c r="DE227" s="77"/>
      <c r="DF227" s="77"/>
      <c r="DG227" s="77"/>
      <c r="DH227" s="77"/>
      <c r="DI227" s="77"/>
      <c r="DJ227" s="77"/>
      <c r="DK227" s="77"/>
      <c r="DL227" s="77"/>
      <c r="DM227" s="77"/>
      <c r="DN227" s="77"/>
      <c r="DO227" s="77"/>
      <c r="DP227" s="77"/>
      <c r="DQ227" s="77"/>
      <c r="DR227" s="77"/>
      <c r="DS227" s="77"/>
      <c r="DT227" s="77"/>
      <c r="DU227" s="77"/>
      <c r="DV227" s="77"/>
      <c r="DW227" s="77"/>
      <c r="DX227" s="77"/>
      <c r="DY227" s="77"/>
      <c r="DZ227" s="77"/>
      <c r="EA227" s="77"/>
      <c r="EB227" s="77"/>
      <c r="EC227" s="77"/>
      <c r="ED227" s="77"/>
      <c r="EE227" s="77"/>
      <c r="EF227" s="77"/>
      <c r="EG227" s="77"/>
      <c r="EH227" s="77"/>
      <c r="EI227" s="77"/>
      <c r="EJ227" s="77"/>
      <c r="EK227" s="77"/>
      <c r="EL227" s="77"/>
      <c r="EM227" s="77"/>
      <c r="EN227" s="77"/>
      <c r="EO227" s="77"/>
      <c r="EP227" s="77"/>
      <c r="EQ227" s="77"/>
      <c r="ER227" s="77"/>
      <c r="ES227" s="77"/>
      <c r="ET227" s="77"/>
      <c r="EU227" s="77"/>
      <c r="EV227" s="77"/>
      <c r="EW227" s="77"/>
      <c r="EX227" s="77"/>
      <c r="EY227" s="77"/>
      <c r="EZ227" s="77"/>
      <c r="FA227" s="77"/>
      <c r="FB227" s="77"/>
      <c r="FC227" s="77"/>
      <c r="FD227" s="77"/>
      <c r="FE227" s="77"/>
      <c r="FF227" s="77"/>
      <c r="FG227" s="77"/>
      <c r="FH227" s="77"/>
      <c r="FI227" s="77"/>
      <c r="FJ227" s="77"/>
      <c r="FK227" s="77"/>
      <c r="FL227" s="77"/>
      <c r="FM227" s="77"/>
      <c r="FN227" s="77"/>
      <c r="FO227" s="77"/>
      <c r="FP227" s="77"/>
      <c r="FQ227" s="77"/>
      <c r="FR227" s="77"/>
      <c r="FS227" s="77"/>
      <c r="FT227" s="77"/>
      <c r="FU227" s="77"/>
      <c r="FV227" s="77"/>
      <c r="FW227" s="77"/>
      <c r="FX227" s="77"/>
      <c r="FY227" s="77"/>
      <c r="FZ227" s="77"/>
      <c r="GA227" s="77"/>
      <c r="GB227" s="77"/>
      <c r="GC227" s="77"/>
      <c r="GD227" s="77"/>
      <c r="GE227" s="77"/>
      <c r="GF227" s="77"/>
      <c r="GG227" s="77"/>
      <c r="GH227" s="77"/>
      <c r="GI227" s="77"/>
      <c r="GJ227" s="77"/>
      <c r="GK227" s="77"/>
      <c r="GL227" s="77"/>
      <c r="GM227" s="77"/>
      <c r="GN227" s="77"/>
      <c r="GO227" s="77"/>
      <c r="GP227" s="77"/>
      <c r="GQ227" s="77"/>
      <c r="GR227" s="77"/>
      <c r="GS227" s="77"/>
      <c r="GT227" s="77"/>
      <c r="GU227" s="77"/>
      <c r="GV227" s="77"/>
      <c r="GW227" s="77"/>
      <c r="GX227" s="77"/>
      <c r="GY227" s="77"/>
      <c r="GZ227" s="77"/>
      <c r="HA227" s="77"/>
      <c r="HB227" s="77"/>
      <c r="HC227" s="77"/>
      <c r="HD227" s="77"/>
      <c r="HE227" s="77"/>
      <c r="HF227" s="77"/>
      <c r="HG227" s="77"/>
      <c r="HH227" s="77"/>
      <c r="HI227" s="77"/>
      <c r="HJ227" s="77"/>
      <c r="HK227" s="77"/>
      <c r="HL227" s="77"/>
      <c r="HM227" s="77"/>
      <c r="HN227" s="77"/>
      <c r="HO227" s="77"/>
      <c r="HP227" s="77"/>
      <c r="HQ227" s="77"/>
      <c r="HR227" s="77"/>
      <c r="HS227" s="77"/>
      <c r="HT227" s="77"/>
      <c r="HU227" s="77"/>
      <c r="HV227" s="77"/>
      <c r="HW227" s="77"/>
      <c r="HX227" s="77"/>
      <c r="HY227" s="77"/>
      <c r="HZ227" s="77"/>
      <c r="IA227" s="77"/>
      <c r="IB227" s="77"/>
      <c r="IC227" s="77"/>
      <c r="IF227" s="77"/>
      <c r="IG227" s="77"/>
      <c r="IH227" s="77"/>
      <c r="II227" s="77"/>
      <c r="IJ227" s="77"/>
      <c r="IK227" s="77"/>
      <c r="IL227" s="77"/>
      <c r="IM227" s="77"/>
      <c r="IN227" s="77"/>
      <c r="IO227" s="77"/>
      <c r="IP227" s="77"/>
      <c r="IQ227" s="77"/>
      <c r="IR227" s="77"/>
      <c r="IS227" s="77"/>
      <c r="IT227" s="77"/>
      <c r="IU227" s="77"/>
      <c r="IV227" s="77"/>
      <c r="IW227" s="77"/>
      <c r="IX227" s="77"/>
      <c r="IY227" s="77"/>
      <c r="IZ227" s="77"/>
      <c r="JA227" s="77"/>
      <c r="JB227" s="77"/>
      <c r="JC227" s="77"/>
      <c r="JD227" s="77"/>
      <c r="JE227" s="77"/>
      <c r="JF227" s="77"/>
      <c r="JG227" s="77"/>
      <c r="JH227" s="77"/>
      <c r="JI227" s="77"/>
      <c r="JJ227" s="77"/>
      <c r="JK227" s="77"/>
      <c r="JL227" s="77"/>
      <c r="JM227" s="77"/>
      <c r="JN227" s="77"/>
      <c r="JO227" s="77"/>
      <c r="JP227" s="77"/>
      <c r="JQ227" s="77"/>
      <c r="JR227" s="77"/>
      <c r="JS227" s="77"/>
      <c r="JT227" s="77"/>
      <c r="JU227" s="77"/>
      <c r="JV227" s="77"/>
      <c r="JW227" s="77"/>
      <c r="JX227" s="77"/>
      <c r="JY227" s="77"/>
      <c r="JZ227" s="77"/>
      <c r="KA227" s="77"/>
      <c r="KB227" s="77"/>
      <c r="KC227" s="77"/>
      <c r="KD227" s="77"/>
      <c r="KE227" s="77"/>
      <c r="KF227" s="77"/>
      <c r="KG227" s="77"/>
      <c r="KH227" s="77"/>
      <c r="KI227" s="77"/>
      <c r="KJ227" s="77"/>
      <c r="KK227" s="77"/>
      <c r="KL227" s="77"/>
      <c r="LL227" s="77"/>
      <c r="LM227" s="77"/>
      <c r="LN227" s="77"/>
      <c r="LO227" s="77"/>
      <c r="LP227" s="77"/>
      <c r="LQ227" s="77"/>
      <c r="LR227" s="77"/>
      <c r="LS227" s="77"/>
      <c r="LT227" s="77"/>
      <c r="LU227" s="77"/>
      <c r="LV227" s="77"/>
      <c r="LW227" s="77"/>
      <c r="LX227" s="77"/>
      <c r="ND227" s="77"/>
    </row>
    <row r="228" spans="1:421" ht="18.600000000000001" customHeight="1" x14ac:dyDescent="0.25">
      <c r="A228" s="119" t="s">
        <v>927</v>
      </c>
      <c r="B228" s="27" t="s">
        <v>928</v>
      </c>
      <c r="C228" s="27" t="s">
        <v>6368</v>
      </c>
      <c r="D228" s="72" t="str">
        <f>HYPERLINK("https://twitter.com/ADO__Solutions","https://twitter.com/ADO__Solutions")</f>
        <v>https://twitter.com/ADO__Solutions</v>
      </c>
      <c r="E228" s="72" t="str">
        <f>HYPERLINK("http://twiplomacy.com/info/africa/Ivory-Coast","http://twiplomacy.com/info/africa/Ivory-Coast")</f>
        <v>http://twiplomacy.com/info/africa/Ivory-Coast</v>
      </c>
      <c r="F228" s="10" t="s">
        <v>1</v>
      </c>
      <c r="G228" s="10" t="s">
        <v>60</v>
      </c>
      <c r="H228" s="10" t="s">
        <v>772</v>
      </c>
      <c r="I228" s="10" t="s">
        <v>773</v>
      </c>
      <c r="J228" s="27" t="s">
        <v>779</v>
      </c>
      <c r="K228" s="15" t="s">
        <v>777</v>
      </c>
      <c r="L228" s="10" t="s">
        <v>771</v>
      </c>
      <c r="M228" s="10" t="s">
        <v>771</v>
      </c>
      <c r="N228" s="30" t="str">
        <f>HYPERLINK("https://twitter.com/ADO__Solutions/statuses/26348030216","https://twitter.com/ADO__Solutions/statuses/26348030216")</f>
        <v>https://twitter.com/ADO__Solutions/statuses/26348030216</v>
      </c>
      <c r="O228" s="27" t="s">
        <v>5671</v>
      </c>
      <c r="P228" s="80">
        <v>11</v>
      </c>
      <c r="Q228" s="80">
        <v>0</v>
      </c>
      <c r="R228" s="27" t="s">
        <v>2995</v>
      </c>
      <c r="S228" s="30" t="str">
        <f>HYPERLINK("https://twitter.com/ADO__Solutions/lists","https://twitter.com/ADO__Solutions/lists")</f>
        <v>https://twitter.com/ADO__Solutions/lists</v>
      </c>
      <c r="T228" s="10" t="s">
        <v>771</v>
      </c>
      <c r="U228" s="10">
        <v>1</v>
      </c>
      <c r="V228" s="10" t="s">
        <v>771</v>
      </c>
      <c r="W228" s="10"/>
      <c r="X228" s="27" t="s">
        <v>927</v>
      </c>
      <c r="Y228" s="27" t="s">
        <v>928</v>
      </c>
      <c r="Z228" s="80">
        <v>4616</v>
      </c>
      <c r="AA228" s="27">
        <v>207</v>
      </c>
      <c r="AB228" s="80">
        <v>33344</v>
      </c>
      <c r="AC228" s="27">
        <v>3</v>
      </c>
      <c r="AD228" s="27" t="s">
        <v>3431</v>
      </c>
      <c r="AE228" s="27">
        <v>198439337</v>
      </c>
      <c r="AF228" s="27" t="s">
        <v>6368</v>
      </c>
      <c r="AG228" s="27" t="s">
        <v>929</v>
      </c>
      <c r="AH228" s="79">
        <v>2.2660775650466398</v>
      </c>
      <c r="AI228" s="83">
        <v>1.63696537678208</v>
      </c>
      <c r="AJ228" s="80">
        <v>0.60868113522537604</v>
      </c>
      <c r="AK228" s="80">
        <v>0.39332220367278797</v>
      </c>
      <c r="AL228" s="96">
        <v>25</v>
      </c>
      <c r="AM228" s="97">
        <f t="shared" si="3"/>
        <v>7.8125E-3</v>
      </c>
      <c r="AN228" s="27" t="s">
        <v>927</v>
      </c>
      <c r="AO228" s="27">
        <v>4</v>
      </c>
      <c r="AP228" s="27">
        <v>8</v>
      </c>
      <c r="AQ228" s="27">
        <v>2</v>
      </c>
      <c r="AR228" s="27">
        <f>SUM(AO228:AQ228)</f>
        <v>14</v>
      </c>
      <c r="AS228" s="27" t="s">
        <v>5002</v>
      </c>
      <c r="AT228" s="27" t="s">
        <v>5003</v>
      </c>
      <c r="AU228" s="84" t="s">
        <v>4642</v>
      </c>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c r="CU228" s="77"/>
      <c r="CV228" s="77"/>
      <c r="CW228" s="77"/>
      <c r="CX228" s="77"/>
      <c r="CY228" s="77"/>
      <c r="CZ228" s="77"/>
      <c r="DA228" s="77"/>
      <c r="DB228" s="77"/>
      <c r="DC228" s="77"/>
      <c r="DD228" s="77"/>
      <c r="DE228" s="77"/>
      <c r="DF228" s="77"/>
      <c r="DG228" s="77"/>
      <c r="DH228" s="77"/>
      <c r="DI228" s="77"/>
      <c r="DJ228" s="77"/>
      <c r="DK228" s="77"/>
      <c r="DL228" s="77"/>
      <c r="DM228" s="77"/>
      <c r="DN228" s="77"/>
      <c r="DO228" s="77"/>
      <c r="DP228" s="77"/>
      <c r="DQ228" s="77"/>
      <c r="DR228" s="77"/>
      <c r="DS228" s="77"/>
      <c r="DT228" s="77"/>
      <c r="DU228" s="77"/>
      <c r="DV228" s="77"/>
      <c r="DW228" s="77"/>
      <c r="DX228" s="77"/>
      <c r="DY228" s="77"/>
      <c r="DZ228" s="77"/>
      <c r="EA228" s="77"/>
      <c r="EB228" s="77"/>
      <c r="EC228" s="77"/>
      <c r="ED228" s="77"/>
      <c r="EE228" s="77"/>
      <c r="EF228" s="77"/>
      <c r="EG228" s="77"/>
      <c r="EH228" s="77"/>
      <c r="EI228" s="77"/>
      <c r="EJ228" s="77"/>
      <c r="EK228" s="77"/>
      <c r="EL228" s="77"/>
      <c r="EM228" s="77"/>
      <c r="EN228" s="77"/>
      <c r="EO228" s="77"/>
      <c r="EP228" s="77"/>
      <c r="EQ228" s="77"/>
      <c r="ER228" s="77"/>
      <c r="ES228" s="77"/>
      <c r="ET228" s="77"/>
      <c r="EU228" s="77"/>
      <c r="EV228" s="77"/>
      <c r="EW228" s="77"/>
      <c r="EX228" s="77"/>
      <c r="EY228" s="77"/>
      <c r="EZ228" s="77"/>
      <c r="FA228" s="77"/>
      <c r="FB228" s="77"/>
      <c r="FC228" s="77"/>
      <c r="FD228" s="77"/>
      <c r="FE228" s="77"/>
      <c r="FF228" s="77"/>
      <c r="FG228" s="77"/>
      <c r="FH228" s="77"/>
      <c r="FI228" s="77"/>
      <c r="FJ228" s="77"/>
      <c r="FK228" s="77"/>
      <c r="FL228" s="77"/>
      <c r="FM228" s="77"/>
      <c r="FN228" s="77"/>
      <c r="FO228" s="77"/>
      <c r="FP228" s="77"/>
      <c r="FQ228" s="77"/>
      <c r="FR228" s="77"/>
      <c r="FS228" s="77"/>
      <c r="FT228" s="77"/>
      <c r="FU228" s="77"/>
      <c r="FV228" s="77"/>
      <c r="FW228" s="77"/>
      <c r="FX228" s="77"/>
      <c r="FY228" s="77"/>
      <c r="FZ228" s="77"/>
      <c r="GA228" s="77"/>
      <c r="GB228" s="77"/>
      <c r="GC228" s="77"/>
      <c r="GD228" s="77"/>
      <c r="GE228" s="77"/>
      <c r="GF228" s="77"/>
      <c r="GG228" s="77"/>
      <c r="GH228" s="77"/>
      <c r="GI228" s="77"/>
      <c r="GJ228" s="77"/>
      <c r="GK228" s="77"/>
      <c r="GL228" s="77"/>
      <c r="GM228" s="77"/>
      <c r="GN228" s="77"/>
      <c r="GO228" s="77"/>
      <c r="GP228" s="77"/>
      <c r="GQ228" s="77"/>
      <c r="GR228" s="77"/>
      <c r="GS228" s="77"/>
      <c r="GT228" s="77"/>
      <c r="GU228" s="77"/>
      <c r="GV228" s="77"/>
      <c r="GW228" s="77"/>
      <c r="GX228" s="77"/>
      <c r="GY228" s="77"/>
      <c r="GZ228" s="77"/>
      <c r="HA228" s="77"/>
      <c r="HB228" s="77"/>
      <c r="HC228" s="77"/>
      <c r="HD228" s="77"/>
      <c r="HE228" s="77"/>
      <c r="HF228" s="77"/>
      <c r="HG228" s="77"/>
      <c r="HH228" s="77"/>
      <c r="HI228" s="77"/>
      <c r="HJ228" s="77"/>
      <c r="HK228" s="77"/>
      <c r="ID228" s="77"/>
      <c r="IE228" s="77"/>
      <c r="IF228" s="77"/>
      <c r="IG228" s="77"/>
      <c r="IH228" s="77"/>
      <c r="II228" s="77"/>
      <c r="IJ228" s="77"/>
      <c r="IK228" s="77"/>
      <c r="IL228" s="77"/>
      <c r="IM228" s="77"/>
      <c r="IN228" s="77"/>
      <c r="IO228" s="77"/>
      <c r="IP228" s="77"/>
      <c r="IQ228" s="77"/>
      <c r="IR228" s="77"/>
      <c r="IS228" s="77"/>
      <c r="IT228" s="77"/>
      <c r="IU228" s="77"/>
      <c r="IV228" s="77"/>
      <c r="IW228" s="77"/>
      <c r="IX228" s="77"/>
      <c r="IY228" s="77"/>
      <c r="IZ228" s="77"/>
      <c r="JA228" s="77"/>
      <c r="JB228" s="77"/>
      <c r="JC228" s="77"/>
      <c r="JD228" s="77"/>
      <c r="JE228" s="77"/>
      <c r="JF228" s="77"/>
      <c r="JG228" s="77"/>
      <c r="JH228" s="77"/>
      <c r="JI228" s="77"/>
      <c r="JJ228" s="77"/>
      <c r="JK228" s="77"/>
      <c r="JL228" s="77"/>
      <c r="JM228" s="77"/>
      <c r="JN228" s="77"/>
      <c r="JO228" s="77"/>
      <c r="JP228" s="77"/>
      <c r="JQ228" s="77"/>
      <c r="JR228" s="77"/>
      <c r="JS228" s="77"/>
      <c r="JT228" s="77"/>
      <c r="JU228" s="77"/>
      <c r="JV228" s="77"/>
      <c r="JW228" s="77"/>
      <c r="JX228" s="77"/>
      <c r="KM228" s="77"/>
      <c r="KN228" s="77"/>
      <c r="KO228" s="77"/>
      <c r="KP228" s="77"/>
      <c r="KQ228" s="77"/>
      <c r="KR228" s="77"/>
      <c r="KS228" s="77"/>
      <c r="KT228" s="77"/>
      <c r="KU228" s="77"/>
      <c r="KV228" s="77"/>
      <c r="KW228" s="77"/>
      <c r="KX228" s="77"/>
      <c r="KY228" s="77"/>
      <c r="KZ228" s="77"/>
      <c r="LA228" s="77"/>
      <c r="LB228" s="77"/>
      <c r="LC228" s="77"/>
      <c r="LD228" s="77"/>
      <c r="LE228" s="77"/>
      <c r="LF228" s="77"/>
      <c r="LG228" s="77"/>
      <c r="LH228" s="77"/>
      <c r="LI228" s="77"/>
      <c r="LJ228" s="77"/>
      <c r="LK228" s="77"/>
      <c r="LL228" s="77"/>
      <c r="LM228" s="77"/>
      <c r="LN228" s="77"/>
      <c r="LO228" s="77"/>
      <c r="LP228" s="77"/>
      <c r="LQ228" s="77"/>
      <c r="LR228" s="77"/>
      <c r="LS228" s="77"/>
      <c r="LT228" s="77"/>
      <c r="LU228" s="77"/>
      <c r="LV228" s="77"/>
      <c r="LW228" s="77"/>
      <c r="LX228" s="77"/>
      <c r="MT228" s="16"/>
      <c r="MU228" s="16"/>
      <c r="MV228" s="16"/>
      <c r="MW228" s="16"/>
      <c r="MX228" s="16"/>
      <c r="MY228" s="16"/>
      <c r="MZ228" s="16"/>
      <c r="NA228" s="16"/>
      <c r="NB228" s="16"/>
      <c r="NC228" s="16"/>
    </row>
    <row r="229" spans="1:421" ht="18.600000000000001" customHeight="1" x14ac:dyDescent="0.25">
      <c r="A229" s="119" t="s">
        <v>396</v>
      </c>
      <c r="B229" s="27" t="s">
        <v>1888</v>
      </c>
      <c r="C229" s="27" t="s">
        <v>1889</v>
      </c>
      <c r="D229" s="30" t="str">
        <f>HYPERLINK("https://twitter.com/fhollande","https://twitter.com/fhollande")</f>
        <v>https://twitter.com/fhollande</v>
      </c>
      <c r="E229" s="30" t="str">
        <f>HYPERLINK("http://twiplomacy.com/info/europe/France","http://twiplomacy.com/info/europe/France")</f>
        <v>http://twiplomacy.com/info/europe/France</v>
      </c>
      <c r="F229" s="10" t="s">
        <v>332</v>
      </c>
      <c r="G229" s="10" t="s">
        <v>395</v>
      </c>
      <c r="H229" s="10" t="s">
        <v>772</v>
      </c>
      <c r="I229" s="10" t="s">
        <v>773</v>
      </c>
      <c r="J229" s="27" t="s">
        <v>779</v>
      </c>
      <c r="K229" s="15" t="s">
        <v>777</v>
      </c>
      <c r="L229" s="10" t="s">
        <v>771</v>
      </c>
      <c r="M229" s="10" t="s">
        <v>770</v>
      </c>
      <c r="N229" s="30" t="str">
        <f>HYPERLINK("https://twitter.com/fhollande/statuses/1107658871","https://twitter.com/fhollande/statuses/1107658871")</f>
        <v>https://twitter.com/fhollande/statuses/1107658871</v>
      </c>
      <c r="O229" s="11" t="s">
        <v>5756</v>
      </c>
      <c r="P229" s="80">
        <v>57420</v>
      </c>
      <c r="Q229" s="80">
        <v>33200</v>
      </c>
      <c r="R229" s="27" t="s">
        <v>2994</v>
      </c>
      <c r="S229" s="10" t="s">
        <v>1890</v>
      </c>
      <c r="T229" s="10" t="s">
        <v>771</v>
      </c>
      <c r="U229" s="10" t="s">
        <v>771</v>
      </c>
      <c r="V229" s="10" t="s">
        <v>771</v>
      </c>
      <c r="W229" s="10"/>
      <c r="X229" s="27" t="s">
        <v>396</v>
      </c>
      <c r="Y229" s="27" t="s">
        <v>1888</v>
      </c>
      <c r="Z229" s="80">
        <v>4538</v>
      </c>
      <c r="AA229" s="27">
        <v>1569</v>
      </c>
      <c r="AB229" s="80">
        <v>1582360</v>
      </c>
      <c r="AC229" s="27">
        <v>0</v>
      </c>
      <c r="AD229" s="27" t="s">
        <v>3678</v>
      </c>
      <c r="AE229" s="27">
        <v>18814998</v>
      </c>
      <c r="AF229" s="27" t="s">
        <v>1889</v>
      </c>
      <c r="AG229" s="27" t="s">
        <v>6387</v>
      </c>
      <c r="AH229" s="79">
        <v>1.69962546816479</v>
      </c>
      <c r="AI229" s="83">
        <v>2.0801796023091699</v>
      </c>
      <c r="AJ229" s="80">
        <v>159.547251389747</v>
      </c>
      <c r="AK229" s="80">
        <v>83.9666460778258</v>
      </c>
      <c r="AL229" s="27">
        <v>6</v>
      </c>
      <c r="AM229" s="97">
        <f t="shared" si="3"/>
        <v>1.8749999999999999E-3</v>
      </c>
      <c r="AN229" s="27" t="s">
        <v>396</v>
      </c>
      <c r="AO229" s="27">
        <v>18</v>
      </c>
      <c r="AP229" s="27">
        <v>124</v>
      </c>
      <c r="AQ229" s="27">
        <v>15</v>
      </c>
      <c r="AR229" s="27">
        <f>SUM(AO229:AQ229)</f>
        <v>157</v>
      </c>
      <c r="AS229" s="27" t="s">
        <v>5113</v>
      </c>
      <c r="AT229" s="27" t="s">
        <v>6719</v>
      </c>
      <c r="AU229" s="84" t="s">
        <v>6483</v>
      </c>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c r="BX229" s="77"/>
      <c r="BY229" s="77"/>
      <c r="BZ229" s="77"/>
      <c r="CA229" s="77"/>
      <c r="CB229" s="77"/>
      <c r="CC229" s="77"/>
      <c r="CD229" s="77"/>
      <c r="CE229" s="77"/>
      <c r="CF229" s="77"/>
      <c r="CG229" s="77"/>
      <c r="CH229" s="77"/>
      <c r="CI229" s="77"/>
      <c r="CJ229" s="77"/>
      <c r="CK229" s="77"/>
      <c r="CL229" s="77"/>
      <c r="CM229" s="77"/>
      <c r="CN229" s="77"/>
      <c r="CO229" s="77"/>
      <c r="CP229" s="77"/>
      <c r="CQ229" s="77"/>
      <c r="CR229" s="77"/>
      <c r="CS229" s="77"/>
      <c r="CT229" s="77"/>
      <c r="CU229" s="77"/>
      <c r="CV229" s="77"/>
      <c r="CW229" s="77"/>
      <c r="CX229" s="77"/>
      <c r="CY229" s="77"/>
      <c r="CZ229" s="77"/>
      <c r="DA229" s="77"/>
      <c r="DB229" s="77"/>
      <c r="DC229" s="77"/>
      <c r="DD229" s="77"/>
      <c r="DE229" s="77"/>
      <c r="DF229" s="77"/>
      <c r="DG229" s="77"/>
      <c r="DH229" s="77"/>
      <c r="DI229" s="77"/>
      <c r="DJ229" s="77"/>
      <c r="DK229" s="77"/>
      <c r="DL229" s="77"/>
      <c r="DM229" s="77"/>
      <c r="DN229" s="77"/>
      <c r="DO229" s="77"/>
      <c r="DP229" s="77"/>
      <c r="DQ229" s="77"/>
      <c r="DR229" s="77"/>
      <c r="DS229" s="77"/>
      <c r="DT229" s="77"/>
      <c r="DU229" s="77"/>
      <c r="DV229" s="77"/>
      <c r="DW229" s="77"/>
      <c r="DX229" s="77"/>
      <c r="DY229" s="77"/>
      <c r="DZ229" s="77"/>
      <c r="EA229" s="77"/>
      <c r="EB229" s="77"/>
      <c r="EC229" s="77"/>
      <c r="ED229" s="77"/>
      <c r="EE229" s="77"/>
      <c r="EF229" s="77"/>
      <c r="EG229" s="77"/>
      <c r="EH229" s="77"/>
      <c r="EI229" s="77"/>
      <c r="EJ229" s="77"/>
      <c r="EK229" s="77"/>
      <c r="EL229" s="77"/>
      <c r="EM229" s="77"/>
      <c r="EN229" s="77"/>
      <c r="EO229" s="77"/>
      <c r="EQ229" s="77"/>
      <c r="GL229" s="77"/>
      <c r="GM229" s="77"/>
      <c r="GN229" s="77"/>
      <c r="GO229" s="77"/>
      <c r="GP229" s="77"/>
      <c r="GQ229" s="77"/>
      <c r="GR229" s="77"/>
      <c r="GS229" s="77"/>
      <c r="GT229" s="77"/>
      <c r="GU229" s="77"/>
      <c r="GV229" s="77"/>
      <c r="GW229" s="77"/>
      <c r="GX229" s="77"/>
      <c r="GY229" s="77"/>
      <c r="GZ229" s="77"/>
      <c r="HA229" s="77"/>
      <c r="HB229" s="77"/>
      <c r="HC229" s="77"/>
      <c r="HD229" s="77"/>
      <c r="HE229" s="77"/>
      <c r="HF229" s="77"/>
      <c r="HG229" s="77"/>
      <c r="HH229" s="77"/>
      <c r="HI229" s="77"/>
      <c r="HJ229" s="77"/>
      <c r="HK229" s="77"/>
      <c r="HL229" s="77"/>
      <c r="HM229" s="77"/>
      <c r="HN229" s="77"/>
      <c r="HO229" s="77"/>
      <c r="HP229" s="77"/>
      <c r="HQ229" s="77"/>
      <c r="HR229" s="77"/>
      <c r="HS229" s="77"/>
      <c r="HT229" s="77"/>
      <c r="HU229" s="77"/>
      <c r="HV229" s="77"/>
      <c r="HW229" s="77"/>
      <c r="HX229" s="77"/>
      <c r="HY229" s="77"/>
      <c r="HZ229" s="77"/>
      <c r="IA229" s="77"/>
      <c r="IB229" s="77"/>
      <c r="IC229" s="77"/>
      <c r="IF229" s="77"/>
      <c r="IG229" s="77"/>
      <c r="IH229" s="77"/>
      <c r="II229" s="77"/>
      <c r="IJ229" s="77"/>
      <c r="IK229" s="77"/>
      <c r="IL229" s="77"/>
      <c r="IM229" s="77"/>
      <c r="IN229" s="77"/>
      <c r="IO229" s="77"/>
      <c r="IP229" s="77"/>
      <c r="IQ229" s="77"/>
      <c r="IR229" s="77"/>
      <c r="IS229" s="77"/>
      <c r="IT229" s="77"/>
      <c r="IU229" s="77"/>
      <c r="IV229" s="77"/>
      <c r="IW229" s="77"/>
      <c r="IX229" s="77"/>
      <c r="IY229" s="77"/>
      <c r="IZ229" s="77"/>
      <c r="JA229" s="77"/>
      <c r="JB229" s="77"/>
      <c r="JC229" s="77"/>
      <c r="JD229" s="77"/>
      <c r="JE229" s="77"/>
      <c r="JF229" s="77"/>
      <c r="JG229" s="77"/>
      <c r="JH229" s="77"/>
      <c r="JI229" s="77"/>
      <c r="JJ229" s="77"/>
      <c r="JK229" s="77"/>
      <c r="JL229" s="77"/>
      <c r="JM229" s="77"/>
      <c r="JN229" s="77"/>
      <c r="JO229" s="77"/>
      <c r="JP229" s="77"/>
      <c r="JQ229" s="77"/>
      <c r="JR229" s="77"/>
      <c r="JS229" s="77"/>
      <c r="JT229" s="77"/>
      <c r="JU229" s="77"/>
      <c r="JV229" s="77"/>
      <c r="JW229" s="77"/>
      <c r="JX229" s="77"/>
      <c r="LW229" s="77"/>
      <c r="LX229" s="77"/>
    </row>
    <row r="230" spans="1:421" ht="18.600000000000001" customHeight="1" x14ac:dyDescent="0.25">
      <c r="A230" s="119" t="s">
        <v>604</v>
      </c>
      <c r="B230" s="27" t="s">
        <v>2498</v>
      </c>
      <c r="C230" s="27" t="s">
        <v>3902</v>
      </c>
      <c r="D230" s="30" t="str">
        <f>HYPERLINK("https://twitter.com/JuanOrlandoH","https://twitter.com/JuanOrlandoH")</f>
        <v>https://twitter.com/JuanOrlandoH</v>
      </c>
      <c r="E230" s="30" t="str">
        <f>HYPERLINK("http://twiplomacy.com/info/north-america/Honduras","http://twiplomacy.com/info/north-america/Honduras")</f>
        <v>http://twiplomacy.com/info/north-america/Honduras</v>
      </c>
      <c r="F230" s="10" t="s">
        <v>558</v>
      </c>
      <c r="G230" s="10" t="s">
        <v>603</v>
      </c>
      <c r="H230" s="10" t="s">
        <v>772</v>
      </c>
      <c r="I230" s="10" t="s">
        <v>773</v>
      </c>
      <c r="J230" s="27" t="s">
        <v>2226</v>
      </c>
      <c r="K230" s="15" t="s">
        <v>777</v>
      </c>
      <c r="L230" s="10"/>
      <c r="M230" s="10" t="s">
        <v>770</v>
      </c>
      <c r="N230" s="30" t="str">
        <f>HYPERLINK("https://twitter.com/JuanOrlandoH/statuses/307692030031720448","https://twitter.com/JuanOrlandoH/statuses/307692030031720448")</f>
        <v>https://twitter.com/JuanOrlandoH/statuses/307692030031720448</v>
      </c>
      <c r="O230" s="27" t="s">
        <v>5891</v>
      </c>
      <c r="P230" s="80">
        <v>3343</v>
      </c>
      <c r="Q230" s="80">
        <v>970</v>
      </c>
      <c r="R230" s="27" t="s">
        <v>2994</v>
      </c>
      <c r="S230" s="30" t="str">
        <f>HYPERLINK("https://twitter.com/JuanOrlandoH/lists","https://twitter.com/JuanOrlandoH/lists")</f>
        <v>https://twitter.com/JuanOrlandoH/lists</v>
      </c>
      <c r="T230" s="10">
        <v>1</v>
      </c>
      <c r="U230" s="10" t="s">
        <v>771</v>
      </c>
      <c r="V230" s="10" t="s">
        <v>771</v>
      </c>
      <c r="W230" s="38"/>
      <c r="X230" s="27" t="s">
        <v>604</v>
      </c>
      <c r="Y230" s="27" t="s">
        <v>2498</v>
      </c>
      <c r="Z230" s="80">
        <v>4512</v>
      </c>
      <c r="AA230" s="27">
        <v>260</v>
      </c>
      <c r="AB230" s="80">
        <v>139322</v>
      </c>
      <c r="AC230" s="27">
        <v>323</v>
      </c>
      <c r="AD230" s="27" t="s">
        <v>3903</v>
      </c>
      <c r="AE230" s="27">
        <v>58244743</v>
      </c>
      <c r="AF230" s="27" t="s">
        <v>3902</v>
      </c>
      <c r="AG230" s="27" t="s">
        <v>603</v>
      </c>
      <c r="AH230" s="79">
        <v>1.8200887454618799</v>
      </c>
      <c r="AI230" s="83">
        <v>3.2014690451206702</v>
      </c>
      <c r="AJ230" s="80">
        <v>502.18376254910498</v>
      </c>
      <c r="AK230" s="80">
        <v>123.91313836752499</v>
      </c>
      <c r="AL230" s="27">
        <v>101</v>
      </c>
      <c r="AM230" s="97">
        <f t="shared" si="3"/>
        <v>3.15625E-2</v>
      </c>
      <c r="AN230" s="27" t="s">
        <v>604</v>
      </c>
      <c r="AO230" s="27">
        <v>7</v>
      </c>
      <c r="AP230" s="27">
        <v>16</v>
      </c>
      <c r="AQ230" s="27">
        <v>7</v>
      </c>
      <c r="AR230" s="27">
        <f>SUM(AO230:AQ230)</f>
        <v>30</v>
      </c>
      <c r="AS230" s="27" t="s">
        <v>6578</v>
      </c>
      <c r="AT230" s="27" t="s">
        <v>5610</v>
      </c>
      <c r="AU230" s="84" t="s">
        <v>4783</v>
      </c>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c r="CA230" s="77"/>
      <c r="CB230" s="77"/>
      <c r="CC230" s="77"/>
      <c r="CD230" s="77"/>
      <c r="CE230" s="77"/>
      <c r="CF230" s="77"/>
      <c r="CG230" s="77"/>
      <c r="CH230" s="77"/>
      <c r="CI230" s="77"/>
      <c r="CJ230" s="77"/>
      <c r="CK230" s="77"/>
      <c r="CL230" s="77"/>
      <c r="CM230" s="77"/>
      <c r="CN230" s="77"/>
      <c r="CO230" s="77"/>
      <c r="CP230" s="77"/>
      <c r="CQ230" s="77"/>
      <c r="CR230" s="77"/>
      <c r="CS230" s="77"/>
      <c r="CT230" s="77"/>
      <c r="CU230" s="77"/>
      <c r="CV230" s="77"/>
      <c r="CW230" s="77"/>
      <c r="CX230" s="77"/>
      <c r="CY230" s="77"/>
      <c r="CZ230" s="77"/>
      <c r="DA230" s="77"/>
      <c r="DB230" s="77"/>
      <c r="DC230" s="77"/>
      <c r="DD230" s="77"/>
      <c r="DE230" s="77"/>
      <c r="DF230" s="77"/>
      <c r="DG230" s="77"/>
      <c r="DH230" s="77"/>
      <c r="DI230" s="77"/>
      <c r="DJ230" s="77"/>
      <c r="DK230" s="77"/>
      <c r="DL230" s="77"/>
      <c r="DM230" s="77"/>
      <c r="DN230" s="77"/>
      <c r="DO230" s="77"/>
      <c r="DP230" s="77"/>
      <c r="DQ230" s="77"/>
      <c r="DR230" s="77"/>
      <c r="DS230" s="77"/>
      <c r="DT230" s="77"/>
      <c r="DU230" s="77"/>
      <c r="DV230" s="77"/>
      <c r="DW230" s="77"/>
      <c r="DX230" s="77"/>
      <c r="DY230" s="77"/>
      <c r="DZ230" s="77"/>
      <c r="EA230" s="77"/>
      <c r="EB230" s="77"/>
      <c r="EC230" s="77"/>
      <c r="ED230" s="77"/>
      <c r="EE230" s="77"/>
      <c r="EF230" s="77"/>
      <c r="EG230" s="77"/>
      <c r="EH230" s="77"/>
      <c r="EI230" s="77"/>
      <c r="EJ230" s="77"/>
      <c r="EK230" s="77"/>
      <c r="EL230" s="77"/>
      <c r="EM230" s="77"/>
      <c r="EN230" s="77"/>
      <c r="EO230" s="77"/>
      <c r="EP230" s="77"/>
      <c r="EQ230" s="77"/>
      <c r="ER230" s="77"/>
      <c r="ES230" s="77"/>
      <c r="ET230" s="77"/>
      <c r="EU230" s="77"/>
      <c r="EV230" s="77"/>
      <c r="EW230" s="77"/>
      <c r="EX230" s="77"/>
      <c r="EY230" s="77"/>
      <c r="EZ230" s="77"/>
      <c r="FA230" s="77"/>
      <c r="FB230" s="77"/>
      <c r="FC230" s="77"/>
      <c r="FD230" s="77"/>
      <c r="FE230" s="77"/>
      <c r="FF230" s="77"/>
      <c r="FG230" s="77"/>
      <c r="FH230" s="77"/>
      <c r="FI230" s="77"/>
      <c r="FJ230" s="77"/>
      <c r="FK230" s="77"/>
      <c r="FL230" s="77"/>
      <c r="FM230" s="77"/>
      <c r="FN230" s="77"/>
      <c r="FO230" s="77"/>
      <c r="FP230" s="77"/>
      <c r="FQ230" s="77"/>
      <c r="FR230" s="77"/>
      <c r="FS230" s="77"/>
      <c r="FT230" s="77"/>
      <c r="FU230" s="77"/>
      <c r="FV230" s="77"/>
      <c r="FW230" s="77"/>
      <c r="FX230" s="77"/>
      <c r="FY230" s="77"/>
      <c r="FZ230" s="77"/>
      <c r="GA230" s="77"/>
      <c r="GB230" s="77"/>
      <c r="GC230" s="77"/>
      <c r="GD230" s="77"/>
      <c r="GE230" s="77"/>
      <c r="GF230" s="77"/>
      <c r="GG230" s="77"/>
      <c r="GH230" s="77"/>
      <c r="GI230" s="77"/>
      <c r="GJ230" s="77"/>
      <c r="GK230" s="77"/>
      <c r="GL230" s="77"/>
      <c r="GM230" s="77"/>
      <c r="GN230" s="77"/>
      <c r="GO230" s="77"/>
      <c r="GP230" s="77"/>
      <c r="GQ230" s="77"/>
      <c r="GR230" s="77"/>
      <c r="GS230" s="77"/>
      <c r="GT230" s="77"/>
      <c r="GU230" s="77"/>
      <c r="GV230" s="77"/>
      <c r="GW230" s="77"/>
      <c r="GX230" s="77"/>
      <c r="GY230" s="77"/>
      <c r="GZ230" s="77"/>
      <c r="HA230" s="77"/>
      <c r="HB230" s="77"/>
      <c r="HC230" s="77"/>
      <c r="HD230" s="77"/>
      <c r="HE230" s="77"/>
      <c r="HF230" s="77"/>
      <c r="HG230" s="77"/>
      <c r="HH230" s="77"/>
      <c r="HI230" s="77"/>
      <c r="HJ230" s="77"/>
      <c r="HK230" s="77"/>
      <c r="HL230" s="77"/>
      <c r="HM230" s="77"/>
      <c r="HN230" s="77"/>
      <c r="HO230" s="77"/>
      <c r="HP230" s="77"/>
      <c r="HQ230" s="77"/>
      <c r="HR230" s="77"/>
      <c r="HS230" s="77"/>
      <c r="HT230" s="77"/>
      <c r="HU230" s="77"/>
      <c r="HV230" s="77"/>
      <c r="HW230" s="77"/>
      <c r="HX230" s="77"/>
      <c r="HY230" s="77"/>
      <c r="HZ230" s="77"/>
      <c r="IA230" s="77"/>
      <c r="IB230" s="77"/>
      <c r="IC230" s="77"/>
      <c r="JY230" s="77"/>
      <c r="JZ230" s="77"/>
      <c r="KA230" s="77"/>
      <c r="KB230" s="77"/>
      <c r="KC230" s="77"/>
      <c r="KD230" s="77"/>
      <c r="KE230" s="77"/>
      <c r="KF230" s="77"/>
      <c r="KG230" s="77"/>
      <c r="KH230" s="77"/>
      <c r="KI230" s="77"/>
      <c r="KJ230" s="77"/>
      <c r="KK230" s="77"/>
      <c r="KL230" s="77"/>
      <c r="KM230" s="77"/>
      <c r="KN230" s="77"/>
      <c r="KO230" s="77"/>
      <c r="KP230" s="77"/>
      <c r="KQ230" s="77"/>
      <c r="KR230" s="77"/>
      <c r="KS230" s="77"/>
      <c r="KT230" s="77"/>
      <c r="KU230" s="77"/>
      <c r="KV230" s="77"/>
      <c r="KW230" s="77"/>
      <c r="KX230" s="77"/>
      <c r="KY230" s="77"/>
      <c r="KZ230" s="77"/>
      <c r="LA230" s="77"/>
      <c r="LB230" s="77"/>
      <c r="LC230" s="77"/>
      <c r="LD230" s="77"/>
      <c r="LE230" s="77"/>
      <c r="LF230" s="77"/>
      <c r="LG230" s="77"/>
      <c r="LH230" s="77"/>
      <c r="LI230" s="77"/>
      <c r="LJ230" s="77"/>
      <c r="LK230" s="77"/>
      <c r="LL230" s="77"/>
      <c r="LM230" s="77"/>
      <c r="LN230" s="77"/>
      <c r="LO230" s="77"/>
      <c r="LP230" s="77"/>
      <c r="LQ230" s="77"/>
      <c r="LR230" s="77"/>
      <c r="LS230" s="77"/>
      <c r="LT230" s="77"/>
      <c r="LU230" s="77"/>
      <c r="LV230" s="77"/>
      <c r="LW230" s="77"/>
      <c r="LX230" s="77"/>
      <c r="ND230" s="77"/>
    </row>
    <row r="231" spans="1:421" ht="18.600000000000001" customHeight="1" x14ac:dyDescent="0.25">
      <c r="A231" s="119" t="s">
        <v>1046</v>
      </c>
      <c r="B231" s="27" t="s">
        <v>1047</v>
      </c>
      <c r="C231" s="27" t="s">
        <v>6445</v>
      </c>
      <c r="D231" s="30" t="str">
        <f>HYPERLINK("https://twitter.com/PrimatureRwanda","https://twitter.com/PrimatureRwanda")</f>
        <v>https://twitter.com/PrimatureRwanda</v>
      </c>
      <c r="E231" s="30" t="str">
        <f>HYPERLINK("http://twiplomacy.com/info/africa/Rwanda","http://twiplomacy.com/info/africa/Rwanda")</f>
        <v>http://twiplomacy.com/info/africa/Rwanda</v>
      </c>
      <c r="F231" s="10" t="s">
        <v>1</v>
      </c>
      <c r="G231" s="10" t="s">
        <v>97</v>
      </c>
      <c r="H231" s="10" t="s">
        <v>788</v>
      </c>
      <c r="I231" s="10" t="s">
        <v>782</v>
      </c>
      <c r="J231" s="27" t="s">
        <v>789</v>
      </c>
      <c r="K231" s="15" t="s">
        <v>777</v>
      </c>
      <c r="L231" s="10" t="s">
        <v>771</v>
      </c>
      <c r="M231" s="10" t="s">
        <v>771</v>
      </c>
      <c r="N231" s="30" t="str">
        <f>HYPERLINK("https://twitter.com/RwandaGov/statuses/5866991989","https://twitter.com/RwandaGov/statuses/5866991989")</f>
        <v>https://twitter.com/RwandaGov/statuses/5866991989</v>
      </c>
      <c r="O231" s="27" t="s">
        <v>6056</v>
      </c>
      <c r="P231" s="80">
        <v>63</v>
      </c>
      <c r="Q231" s="80">
        <v>32</v>
      </c>
      <c r="R231" s="27" t="s">
        <v>2994</v>
      </c>
      <c r="S231" s="10" t="s">
        <v>1048</v>
      </c>
      <c r="T231" s="10" t="s">
        <v>771</v>
      </c>
      <c r="U231" s="10" t="s">
        <v>771</v>
      </c>
      <c r="V231" s="10" t="s">
        <v>771</v>
      </c>
      <c r="W231" s="73"/>
      <c r="X231" s="27" t="s">
        <v>1046</v>
      </c>
      <c r="Y231" s="27" t="s">
        <v>1047</v>
      </c>
      <c r="Z231" s="80">
        <v>4511</v>
      </c>
      <c r="AA231" s="27">
        <v>529</v>
      </c>
      <c r="AB231" s="80">
        <v>27109</v>
      </c>
      <c r="AC231" s="27">
        <v>72</v>
      </c>
      <c r="AD231" s="27" t="s">
        <v>4382</v>
      </c>
      <c r="AE231" s="27">
        <v>440647714</v>
      </c>
      <c r="AF231" s="27" t="s">
        <v>6445</v>
      </c>
      <c r="AG231" s="27" t="s">
        <v>4383</v>
      </c>
      <c r="AH231" s="79">
        <v>2.8264411027568901</v>
      </c>
      <c r="AI231" s="83">
        <v>2.68859283930058</v>
      </c>
      <c r="AJ231" s="80">
        <v>2.8973693960726199</v>
      </c>
      <c r="AK231" s="80">
        <v>0.81808077065579798</v>
      </c>
      <c r="AL231" s="27">
        <v>132</v>
      </c>
      <c r="AM231" s="97">
        <f t="shared" si="3"/>
        <v>4.1250000000000002E-2</v>
      </c>
      <c r="AN231" s="27" t="s">
        <v>1046</v>
      </c>
      <c r="AO231" s="27">
        <v>23</v>
      </c>
      <c r="AP231" s="27">
        <v>6</v>
      </c>
      <c r="AQ231" s="27">
        <v>5</v>
      </c>
      <c r="AR231" s="27">
        <f>SUM(AO231:AQ231)</f>
        <v>34</v>
      </c>
      <c r="AS231" s="27" t="s">
        <v>6252</v>
      </c>
      <c r="AT231" s="27" t="s">
        <v>6334</v>
      </c>
      <c r="AU231" s="84" t="s">
        <v>4928</v>
      </c>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N231" s="77"/>
      <c r="CO231" s="77"/>
      <c r="CP231" s="77"/>
      <c r="CQ231" s="77"/>
      <c r="CR231" s="77"/>
      <c r="CS231" s="77"/>
      <c r="CT231" s="77"/>
      <c r="CU231" s="77"/>
      <c r="CV231" s="77"/>
      <c r="CW231" s="77"/>
      <c r="CX231" s="77"/>
      <c r="CY231" s="77"/>
      <c r="CZ231" s="77"/>
      <c r="DA231" s="77"/>
      <c r="DB231" s="77"/>
      <c r="DC231" s="77"/>
      <c r="DD231" s="77"/>
      <c r="DE231" s="77"/>
      <c r="DF231" s="77"/>
      <c r="DG231" s="77"/>
      <c r="DH231" s="77"/>
      <c r="DI231" s="77"/>
      <c r="DJ231" s="77"/>
      <c r="DK231" s="77"/>
      <c r="DL231" s="77"/>
      <c r="DM231" s="77"/>
      <c r="DN231" s="77"/>
      <c r="DO231" s="77"/>
      <c r="DP231" s="77"/>
      <c r="DQ231" s="77"/>
      <c r="DR231" s="77"/>
      <c r="DS231" s="77"/>
      <c r="DT231" s="77"/>
      <c r="DU231" s="77"/>
      <c r="DV231" s="77"/>
      <c r="DW231" s="77"/>
      <c r="DX231" s="77"/>
      <c r="DY231" s="77"/>
      <c r="DZ231" s="77"/>
      <c r="EA231" s="77"/>
      <c r="EB231" s="77"/>
      <c r="EC231" s="77"/>
      <c r="ED231" s="77"/>
      <c r="EE231" s="77"/>
      <c r="EF231" s="77"/>
      <c r="EG231" s="77"/>
      <c r="EH231" s="77"/>
      <c r="EI231" s="77"/>
      <c r="EJ231" s="77"/>
      <c r="EK231" s="77"/>
      <c r="EL231" s="77"/>
      <c r="EM231" s="77"/>
      <c r="EN231" s="77"/>
      <c r="EO231" s="77"/>
      <c r="EQ231" s="77"/>
      <c r="ER231" s="77"/>
      <c r="ES231" s="77"/>
      <c r="ET231" s="77"/>
      <c r="EU231" s="77"/>
      <c r="EV231" s="77"/>
      <c r="EW231" s="77"/>
      <c r="EX231" s="77"/>
      <c r="EY231" s="77"/>
      <c r="EZ231" s="77"/>
      <c r="FA231" s="77"/>
      <c r="FB231" s="77"/>
      <c r="FC231" s="77"/>
      <c r="FD231" s="77"/>
      <c r="FE231" s="77"/>
      <c r="FF231" s="77"/>
      <c r="FG231" s="77"/>
      <c r="FH231" s="77"/>
      <c r="FI231" s="77"/>
      <c r="FJ231" s="77"/>
      <c r="FK231" s="77"/>
      <c r="FL231" s="77"/>
      <c r="FM231" s="77"/>
      <c r="FN231" s="77"/>
      <c r="FO231" s="77"/>
      <c r="FP231" s="77"/>
      <c r="FQ231" s="77"/>
      <c r="FR231" s="77"/>
      <c r="FS231" s="77"/>
      <c r="FT231" s="77"/>
      <c r="FU231" s="77"/>
      <c r="FV231" s="77"/>
      <c r="FW231" s="77"/>
      <c r="FX231" s="77"/>
      <c r="FY231" s="77"/>
      <c r="FZ231" s="77"/>
      <c r="GA231" s="77"/>
      <c r="GB231" s="77"/>
      <c r="GC231" s="77"/>
      <c r="GD231" s="77"/>
      <c r="GE231" s="77"/>
      <c r="GF231" s="77"/>
      <c r="GG231" s="77"/>
      <c r="GH231" s="77"/>
      <c r="GI231" s="77"/>
      <c r="GJ231" s="77"/>
      <c r="GK231" s="77"/>
      <c r="HL231" s="77"/>
      <c r="HM231" s="77"/>
      <c r="HN231" s="77"/>
      <c r="HO231" s="77"/>
      <c r="HP231" s="77"/>
      <c r="HQ231" s="77"/>
      <c r="HR231" s="77"/>
      <c r="HS231" s="77"/>
      <c r="HT231" s="77"/>
      <c r="HU231" s="77"/>
      <c r="HV231" s="77"/>
      <c r="HW231" s="77"/>
      <c r="HX231" s="77"/>
      <c r="HY231" s="77"/>
      <c r="HZ231" s="77"/>
      <c r="IA231" s="77"/>
      <c r="IB231" s="77"/>
      <c r="IC231" s="77"/>
      <c r="ID231" s="77"/>
      <c r="IE231" s="77"/>
      <c r="JY231" s="77"/>
      <c r="JZ231" s="77"/>
      <c r="KA231" s="77"/>
      <c r="KB231" s="77"/>
      <c r="KC231" s="77"/>
      <c r="KD231" s="77"/>
      <c r="KE231" s="77"/>
      <c r="KF231" s="77"/>
      <c r="KG231" s="77"/>
      <c r="KH231" s="77"/>
      <c r="KI231" s="77"/>
      <c r="KJ231" s="77"/>
      <c r="KK231" s="77"/>
      <c r="KL231" s="77"/>
      <c r="KM231" s="77"/>
      <c r="KN231" s="77"/>
      <c r="KO231" s="77"/>
      <c r="KP231" s="77"/>
      <c r="KQ231" s="77"/>
      <c r="KR231" s="77"/>
      <c r="KS231" s="77"/>
      <c r="KT231" s="77"/>
      <c r="KU231" s="77"/>
      <c r="KV231" s="77"/>
      <c r="KW231" s="77"/>
      <c r="KX231" s="77"/>
      <c r="KY231" s="77"/>
      <c r="KZ231" s="77"/>
      <c r="LA231" s="77"/>
      <c r="LB231" s="77"/>
      <c r="LC231" s="77"/>
      <c r="LD231" s="77"/>
      <c r="LE231" s="77"/>
      <c r="LF231" s="77"/>
      <c r="LG231" s="77"/>
      <c r="LH231" s="77"/>
      <c r="LI231" s="77"/>
      <c r="LJ231" s="77"/>
      <c r="LK231" s="77"/>
      <c r="LW231" s="77"/>
      <c r="LX231" s="77"/>
      <c r="LY231" s="16"/>
      <c r="LZ231" s="16"/>
      <c r="MA231" s="16"/>
      <c r="MB231" s="16"/>
      <c r="MC231" s="16"/>
      <c r="MD231" s="16"/>
      <c r="ME231" s="16"/>
      <c r="MF231" s="16"/>
      <c r="MG231" s="16"/>
      <c r="MH231" s="16"/>
      <c r="MI231" s="16"/>
      <c r="MJ231" s="16"/>
      <c r="MK231" s="16"/>
      <c r="ML231" s="16"/>
      <c r="MM231" s="16"/>
      <c r="MN231" s="16"/>
      <c r="MO231" s="16"/>
      <c r="MP231" s="16"/>
      <c r="MQ231" s="16"/>
      <c r="MR231" s="16"/>
    </row>
    <row r="232" spans="1:421" ht="18.600000000000001" customHeight="1" x14ac:dyDescent="0.25">
      <c r="A232" s="119" t="s">
        <v>2591</v>
      </c>
      <c r="B232" s="27" t="s">
        <v>2592</v>
      </c>
      <c r="C232" s="27" t="s">
        <v>2593</v>
      </c>
      <c r="D232" s="30" t="str">
        <f>HYPERLINK("https://twitter.com/StateDeptLive","https://twitter.com/StateDeptLive")</f>
        <v>https://twitter.com/StateDeptLive</v>
      </c>
      <c r="E232" s="30" t="str">
        <f>HYPERLINK("http://twiplomacy.com/info/north-america/United-States","http://twiplomacy.com/info/north-america/United-States")</f>
        <v>http://twiplomacy.com/info/north-america/United-States</v>
      </c>
      <c r="F232" s="10" t="s">
        <v>558</v>
      </c>
      <c r="G232" s="10" t="s">
        <v>633</v>
      </c>
      <c r="H232" s="10" t="s">
        <v>795</v>
      </c>
      <c r="I232" s="10" t="s">
        <v>782</v>
      </c>
      <c r="J232" s="27" t="s">
        <v>789</v>
      </c>
      <c r="K232" s="15" t="s">
        <v>777</v>
      </c>
      <c r="L232" s="10" t="s">
        <v>771</v>
      </c>
      <c r="M232" s="10" t="s">
        <v>770</v>
      </c>
      <c r="N232" s="30" t="str">
        <f>HYPERLINK("https://twitter.com/StateDeptLive/status/273864296105123842","https://twitter.com/StateDeptLive/status/273864296105123842")</f>
        <v>https://twitter.com/StateDeptLive/status/273864296105123842</v>
      </c>
      <c r="O232" s="27" t="s">
        <v>6100</v>
      </c>
      <c r="P232" s="80">
        <v>220</v>
      </c>
      <c r="Q232" s="80">
        <v>16</v>
      </c>
      <c r="R232" s="27" t="s">
        <v>2994</v>
      </c>
      <c r="S232" s="30" t="str">
        <f>HYPERLINK("https://twitter.com/StateDeptLive/lists","https://twitter.com/StateDeptLive/lists")</f>
        <v>https://twitter.com/StateDeptLive/lists</v>
      </c>
      <c r="T232" s="10" t="s">
        <v>771</v>
      </c>
      <c r="U232" s="10" t="s">
        <v>771</v>
      </c>
      <c r="V232" s="10" t="s">
        <v>771</v>
      </c>
      <c r="W232" s="10"/>
      <c r="X232" s="27" t="s">
        <v>2591</v>
      </c>
      <c r="Y232" s="27" t="s">
        <v>2592</v>
      </c>
      <c r="Z232" s="80">
        <v>4488</v>
      </c>
      <c r="AA232" s="27">
        <v>309</v>
      </c>
      <c r="AB232" s="80">
        <v>18079</v>
      </c>
      <c r="AC232" s="27">
        <v>0</v>
      </c>
      <c r="AD232" s="27" t="s">
        <v>4488</v>
      </c>
      <c r="AE232" s="27">
        <v>271024433</v>
      </c>
      <c r="AF232" s="27" t="s">
        <v>2593</v>
      </c>
      <c r="AG232" s="27"/>
      <c r="AH232" s="79">
        <v>2.4038564542046101</v>
      </c>
      <c r="AI232" s="83">
        <v>4.5577464788732396</v>
      </c>
      <c r="AJ232" s="80">
        <v>9.6987757731958801</v>
      </c>
      <c r="AK232" s="80">
        <v>6.0853737113402104</v>
      </c>
      <c r="AL232" s="27">
        <v>3</v>
      </c>
      <c r="AM232" s="97">
        <f t="shared" si="3"/>
        <v>9.3749999999999997E-4</v>
      </c>
      <c r="AN232" s="27" t="s">
        <v>2591</v>
      </c>
      <c r="AO232" s="27">
        <v>3</v>
      </c>
      <c r="AP232" s="27">
        <v>34</v>
      </c>
      <c r="AQ232" s="27">
        <v>11</v>
      </c>
      <c r="AR232" s="27">
        <f>SUM(AO232:AQ232)</f>
        <v>48</v>
      </c>
      <c r="AS232" s="27" t="s">
        <v>5501</v>
      </c>
      <c r="AT232" s="27" t="s">
        <v>5502</v>
      </c>
      <c r="AU232" s="84" t="s">
        <v>4957</v>
      </c>
      <c r="AV232" s="70"/>
      <c r="AW232" s="70"/>
      <c r="AX232" s="70"/>
      <c r="AY232" s="70"/>
      <c r="AZ232" s="70"/>
      <c r="BA232" s="70"/>
      <c r="BB232" s="70"/>
      <c r="BC232" s="70"/>
      <c r="BD232" s="70"/>
      <c r="BE232" s="70"/>
      <c r="BF232" s="70"/>
      <c r="BG232" s="70"/>
      <c r="BH232" s="70"/>
      <c r="BI232" s="70"/>
      <c r="BJ232" s="70"/>
      <c r="BK232" s="70"/>
      <c r="BL232" s="70"/>
      <c r="BM232" s="77"/>
      <c r="BN232" s="69"/>
      <c r="BO232" s="69"/>
      <c r="BP232" s="69"/>
      <c r="BQ232" s="77"/>
      <c r="BR232" s="77"/>
      <c r="BS232" s="77"/>
      <c r="BT232" s="77"/>
      <c r="BU232" s="77"/>
      <c r="BV232" s="77"/>
      <c r="BW232" s="77"/>
      <c r="BX232" s="77"/>
      <c r="BY232" s="77"/>
      <c r="BZ232" s="77"/>
      <c r="CA232" s="77"/>
      <c r="CB232" s="77"/>
      <c r="CC232" s="77"/>
      <c r="CD232" s="77"/>
      <c r="CE232" s="77"/>
      <c r="CF232" s="77"/>
      <c r="CG232" s="77"/>
      <c r="CH232" s="77"/>
      <c r="CI232" s="77"/>
      <c r="CJ232" s="77"/>
      <c r="CK232" s="77"/>
      <c r="CL232" s="77"/>
      <c r="CM232" s="77"/>
      <c r="CN232" s="77"/>
      <c r="CO232" s="77"/>
      <c r="CP232" s="77"/>
      <c r="CQ232" s="77"/>
      <c r="CR232" s="77"/>
      <c r="CS232" s="77"/>
      <c r="CT232" s="77"/>
      <c r="CU232" s="77"/>
      <c r="CV232" s="77"/>
      <c r="CW232" s="77"/>
      <c r="CX232" s="77"/>
      <c r="CY232" s="77"/>
      <c r="CZ232" s="77"/>
      <c r="DA232" s="77"/>
      <c r="DB232" s="77"/>
      <c r="DC232" s="77"/>
      <c r="DD232" s="77"/>
      <c r="DE232" s="77"/>
      <c r="DF232" s="77"/>
      <c r="DG232" s="77"/>
      <c r="DH232" s="77"/>
      <c r="DI232" s="77"/>
      <c r="DJ232" s="77"/>
      <c r="DK232" s="77"/>
      <c r="DL232" s="77"/>
      <c r="DM232" s="77"/>
      <c r="DN232" s="77"/>
      <c r="DO232" s="77"/>
      <c r="DP232" s="77"/>
      <c r="DQ232" s="77"/>
      <c r="DR232" s="77"/>
      <c r="DS232" s="77"/>
      <c r="DT232" s="77"/>
      <c r="DU232" s="77"/>
      <c r="DV232" s="77"/>
      <c r="DW232" s="77"/>
      <c r="DX232" s="77"/>
      <c r="DY232" s="77"/>
      <c r="DZ232" s="77"/>
      <c r="EA232" s="77"/>
      <c r="EB232" s="77"/>
      <c r="EC232" s="77"/>
      <c r="ED232" s="77"/>
      <c r="EE232" s="77"/>
      <c r="EF232" s="77"/>
      <c r="EG232" s="77"/>
      <c r="EH232" s="77"/>
      <c r="EI232" s="77"/>
      <c r="EJ232" s="77"/>
      <c r="EK232" s="77"/>
      <c r="EL232" s="77"/>
      <c r="EM232" s="77"/>
      <c r="EN232" s="77"/>
      <c r="EO232" s="77"/>
      <c r="EP232" s="77"/>
      <c r="EQ232" s="77"/>
      <c r="GL232" s="77"/>
      <c r="GM232" s="77"/>
      <c r="GN232" s="77"/>
      <c r="GO232" s="77"/>
      <c r="GP232" s="77"/>
      <c r="GQ232" s="77"/>
      <c r="GR232" s="77"/>
      <c r="GS232" s="77"/>
      <c r="GT232" s="77"/>
      <c r="GU232" s="77"/>
      <c r="GV232" s="77"/>
      <c r="GW232" s="77"/>
      <c r="GX232" s="77"/>
      <c r="GY232" s="77"/>
      <c r="GZ232" s="77"/>
      <c r="HA232" s="77"/>
      <c r="HB232" s="77"/>
      <c r="HC232" s="77"/>
      <c r="HD232" s="77"/>
      <c r="HE232" s="77"/>
      <c r="HF232" s="77"/>
      <c r="HG232" s="77"/>
      <c r="HH232" s="77"/>
      <c r="HI232" s="77"/>
      <c r="HJ232" s="77"/>
      <c r="HK232" s="77"/>
      <c r="HL232" s="77"/>
      <c r="HM232" s="77"/>
      <c r="HN232" s="77"/>
      <c r="HO232" s="77"/>
      <c r="HP232" s="77"/>
      <c r="HQ232" s="77"/>
      <c r="HR232" s="77"/>
      <c r="HS232" s="77"/>
      <c r="HT232" s="77"/>
      <c r="HU232" s="77"/>
      <c r="HV232" s="77"/>
      <c r="HW232" s="77"/>
      <c r="HX232" s="77"/>
      <c r="HY232" s="77"/>
      <c r="HZ232" s="77"/>
      <c r="IA232" s="77"/>
      <c r="IB232" s="77"/>
      <c r="IC232" s="77"/>
      <c r="ID232" s="77"/>
      <c r="IE232" s="77"/>
      <c r="IF232" s="77"/>
      <c r="IG232" s="77"/>
      <c r="IH232" s="77"/>
      <c r="II232" s="77"/>
      <c r="IJ232" s="77"/>
      <c r="IK232" s="77"/>
      <c r="IL232" s="77"/>
      <c r="IM232" s="77"/>
      <c r="IN232" s="77"/>
      <c r="IO232" s="77"/>
      <c r="IP232" s="77"/>
      <c r="IQ232" s="77"/>
      <c r="IR232" s="77"/>
      <c r="IS232" s="77"/>
      <c r="IT232" s="77"/>
      <c r="IU232" s="77"/>
      <c r="IV232" s="77"/>
      <c r="IW232" s="77"/>
      <c r="IX232" s="77"/>
      <c r="IY232" s="77"/>
      <c r="IZ232" s="77"/>
      <c r="JA232" s="77"/>
      <c r="JB232" s="77"/>
      <c r="JC232" s="77"/>
      <c r="JD232" s="77"/>
      <c r="JE232" s="77"/>
      <c r="JF232" s="77"/>
      <c r="JG232" s="77"/>
      <c r="JH232" s="77"/>
      <c r="JI232" s="77"/>
      <c r="JJ232" s="77"/>
      <c r="JK232" s="77"/>
      <c r="JL232" s="77"/>
      <c r="JM232" s="77"/>
      <c r="JN232" s="77"/>
      <c r="JO232" s="77"/>
      <c r="JP232" s="77"/>
      <c r="JQ232" s="77"/>
      <c r="JR232" s="77"/>
      <c r="JS232" s="77"/>
      <c r="JT232" s="77"/>
      <c r="JU232" s="77"/>
      <c r="JV232" s="77"/>
      <c r="JW232" s="77"/>
      <c r="JX232" s="77"/>
      <c r="JY232" s="77"/>
      <c r="JZ232" s="77"/>
      <c r="KA232" s="77"/>
      <c r="KB232" s="77"/>
      <c r="KC232" s="77"/>
      <c r="KD232" s="77"/>
      <c r="KE232" s="77"/>
      <c r="KF232" s="77"/>
      <c r="KG232" s="77"/>
      <c r="KH232" s="77"/>
      <c r="KI232" s="77"/>
      <c r="KJ232" s="77"/>
      <c r="KK232" s="77"/>
      <c r="KL232" s="77"/>
      <c r="KM232" s="77"/>
      <c r="KN232" s="77"/>
      <c r="KO232" s="77"/>
      <c r="KP232" s="77"/>
      <c r="KQ232" s="77"/>
      <c r="KR232" s="77"/>
      <c r="KS232" s="77"/>
      <c r="KT232" s="77"/>
      <c r="KU232" s="77"/>
      <c r="KV232" s="77"/>
      <c r="KW232" s="77"/>
      <c r="KX232" s="77"/>
      <c r="KY232" s="77"/>
      <c r="KZ232" s="77"/>
      <c r="LA232" s="77"/>
      <c r="LB232" s="77"/>
      <c r="LC232" s="77"/>
      <c r="LD232" s="77"/>
      <c r="LE232" s="77"/>
      <c r="LF232" s="77"/>
      <c r="LG232" s="77"/>
      <c r="LH232" s="77"/>
      <c r="LI232" s="77"/>
      <c r="LJ232" s="77"/>
      <c r="LK232" s="77"/>
      <c r="MS232" s="77"/>
    </row>
    <row r="233" spans="1:421" ht="18.600000000000001" customHeight="1" x14ac:dyDescent="0.25">
      <c r="A233" s="119" t="s">
        <v>164</v>
      </c>
      <c r="B233" s="27" t="s">
        <v>164</v>
      </c>
      <c r="C233" s="27" t="s">
        <v>1219</v>
      </c>
      <c r="D233" s="30" t="str">
        <f>HYPERLINK("https://twitter.com/AzerbaijanPA","https://twitter.com/AzerbaijanPA")</f>
        <v>https://twitter.com/AzerbaijanPA</v>
      </c>
      <c r="E233" s="30" t="str">
        <f>HYPERLINK("http://twiplomacy.com/info/asia/Azerbaijan","http://twiplomacy.com/info/asia/Azerbaijan")</f>
        <v>http://twiplomacy.com/info/asia/Azerbaijan</v>
      </c>
      <c r="F233" s="10" t="s">
        <v>154</v>
      </c>
      <c r="G233" s="10" t="s">
        <v>162</v>
      </c>
      <c r="H233" s="10" t="s">
        <v>781</v>
      </c>
      <c r="I233" s="10" t="s">
        <v>782</v>
      </c>
      <c r="J233" s="27" t="s">
        <v>789</v>
      </c>
      <c r="K233" s="15" t="s">
        <v>777</v>
      </c>
      <c r="L233" s="10" t="s">
        <v>771</v>
      </c>
      <c r="M233" s="10" t="s">
        <v>771</v>
      </c>
      <c r="N233" s="30" t="str">
        <f>HYPERLINK("https://twitter.com/AzerbaijanPA/statuses/56323639892656129","https://twitter.com/AzerbaijanPA/statuses/56323639892656129")</f>
        <v>https://twitter.com/AzerbaijanPA/statuses/56323639892656129</v>
      </c>
      <c r="O233" s="27" t="s">
        <v>5695</v>
      </c>
      <c r="P233" s="80">
        <v>34</v>
      </c>
      <c r="Q233" s="80">
        <v>85</v>
      </c>
      <c r="R233" s="27" t="s">
        <v>2995</v>
      </c>
      <c r="S233" s="10" t="s">
        <v>1220</v>
      </c>
      <c r="T233" s="10" t="s">
        <v>771</v>
      </c>
      <c r="U233" s="10" t="s">
        <v>771</v>
      </c>
      <c r="V233" s="10" t="s">
        <v>771</v>
      </c>
      <c r="W233" s="10"/>
      <c r="X233" s="27" t="s">
        <v>164</v>
      </c>
      <c r="Y233" s="27" t="s">
        <v>164</v>
      </c>
      <c r="Z233" s="80">
        <v>4483</v>
      </c>
      <c r="AA233" s="27">
        <v>2</v>
      </c>
      <c r="AB233" s="80">
        <v>115911</v>
      </c>
      <c r="AC233" s="27">
        <v>0</v>
      </c>
      <c r="AD233" s="27" t="s">
        <v>3493</v>
      </c>
      <c r="AE233" s="27">
        <v>278520184</v>
      </c>
      <c r="AF233" s="27" t="s">
        <v>1219</v>
      </c>
      <c r="AG233" s="27" t="s">
        <v>1221</v>
      </c>
      <c r="AH233" s="79">
        <v>2.42062634989201</v>
      </c>
      <c r="AI233" s="83">
        <v>1.9583081570997001</v>
      </c>
      <c r="AJ233" s="80">
        <v>1.8232027152113499</v>
      </c>
      <c r="AK233" s="80">
        <v>3.6248071582844799</v>
      </c>
      <c r="AL233" s="13">
        <v>0</v>
      </c>
      <c r="AM233" s="97">
        <f t="shared" si="3"/>
        <v>0</v>
      </c>
      <c r="AN233" s="27" t="s">
        <v>164</v>
      </c>
      <c r="AO233" s="27">
        <v>0</v>
      </c>
      <c r="AP233" s="27">
        <v>10</v>
      </c>
      <c r="AQ233" s="27">
        <v>2</v>
      </c>
      <c r="AR233" s="27">
        <f>SUM(AO233:AQ233)</f>
        <v>12</v>
      </c>
      <c r="AS233" s="27"/>
      <c r="AT233" s="27" t="s">
        <v>5027</v>
      </c>
      <c r="AU233" s="84" t="s">
        <v>4653</v>
      </c>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c r="BZ233" s="77"/>
      <c r="CA233" s="77"/>
      <c r="CB233" s="77"/>
      <c r="CC233" s="77"/>
      <c r="CD233" s="77"/>
      <c r="CE233" s="77"/>
      <c r="CF233" s="77"/>
      <c r="CG233" s="77"/>
      <c r="CH233" s="77"/>
      <c r="CI233" s="77"/>
      <c r="CJ233" s="77"/>
      <c r="CK233" s="77"/>
      <c r="CL233" s="77"/>
      <c r="CM233" s="77"/>
      <c r="CN233" s="77"/>
      <c r="CO233" s="77"/>
      <c r="CP233" s="77"/>
      <c r="CQ233" s="77"/>
      <c r="CR233" s="77"/>
      <c r="CS233" s="77"/>
      <c r="CT233" s="77"/>
      <c r="CU233" s="77"/>
      <c r="CV233" s="77"/>
      <c r="CW233" s="77"/>
      <c r="CX233" s="77"/>
      <c r="CY233" s="77"/>
      <c r="CZ233" s="77"/>
      <c r="DA233" s="77"/>
      <c r="DB233" s="77"/>
      <c r="DC233" s="77"/>
      <c r="DD233" s="77"/>
      <c r="DE233" s="77"/>
      <c r="DF233" s="77"/>
      <c r="DG233" s="77"/>
      <c r="DH233" s="77"/>
      <c r="DI233" s="77"/>
      <c r="DJ233" s="77"/>
      <c r="DK233" s="77"/>
      <c r="DL233" s="77"/>
      <c r="DM233" s="77"/>
      <c r="DN233" s="77"/>
      <c r="DO233" s="77"/>
      <c r="DP233" s="77"/>
      <c r="DQ233" s="77"/>
      <c r="DR233" s="77"/>
      <c r="DS233" s="77"/>
      <c r="DT233" s="77"/>
      <c r="DU233" s="77"/>
      <c r="DV233" s="77"/>
      <c r="DW233" s="77"/>
      <c r="DX233" s="77"/>
      <c r="DY233" s="77"/>
      <c r="DZ233" s="77"/>
      <c r="EA233" s="77"/>
      <c r="EB233" s="77"/>
      <c r="EC233" s="77"/>
      <c r="ED233" s="77"/>
      <c r="EE233" s="77"/>
      <c r="EF233" s="77"/>
      <c r="EG233" s="77"/>
      <c r="EH233" s="77"/>
      <c r="EI233" s="77"/>
      <c r="EJ233" s="77"/>
      <c r="EK233" s="77"/>
      <c r="EL233" s="77"/>
      <c r="EM233" s="77"/>
      <c r="EN233" s="77"/>
      <c r="EO233" s="77"/>
      <c r="EP233" s="77"/>
      <c r="EQ233" s="77"/>
      <c r="ER233" s="77"/>
      <c r="ES233" s="77"/>
      <c r="ET233" s="77"/>
      <c r="EU233" s="77"/>
      <c r="EV233" s="77"/>
      <c r="EW233" s="77"/>
      <c r="EX233" s="77"/>
      <c r="EY233" s="77"/>
      <c r="EZ233" s="77"/>
      <c r="FA233" s="77"/>
      <c r="FB233" s="77"/>
      <c r="FC233" s="77"/>
      <c r="FD233" s="77"/>
      <c r="FE233" s="77"/>
      <c r="FF233" s="77"/>
      <c r="FG233" s="77"/>
      <c r="FH233" s="77"/>
      <c r="FI233" s="77"/>
      <c r="FJ233" s="77"/>
      <c r="FK233" s="77"/>
      <c r="FL233" s="77"/>
      <c r="FM233" s="77"/>
      <c r="FN233" s="77"/>
      <c r="FO233" s="77"/>
      <c r="FP233" s="77"/>
      <c r="FQ233" s="77"/>
      <c r="FR233" s="77"/>
      <c r="FS233" s="77"/>
      <c r="FT233" s="77"/>
      <c r="FU233" s="77"/>
      <c r="FV233" s="77"/>
      <c r="FW233" s="77"/>
      <c r="FX233" s="77"/>
      <c r="FY233" s="77"/>
      <c r="FZ233" s="77"/>
      <c r="GA233" s="77"/>
      <c r="GB233" s="77"/>
      <c r="GC233" s="77"/>
      <c r="GD233" s="77"/>
      <c r="GE233" s="77"/>
      <c r="GF233" s="77"/>
      <c r="GG233" s="77"/>
      <c r="GH233" s="77"/>
      <c r="GI233" s="77"/>
      <c r="GJ233" s="77"/>
      <c r="GK233" s="77"/>
      <c r="GL233" s="77"/>
      <c r="GM233" s="77"/>
      <c r="GN233" s="77"/>
      <c r="GO233" s="77"/>
      <c r="GP233" s="77"/>
      <c r="GQ233" s="77"/>
      <c r="GR233" s="77"/>
      <c r="GS233" s="77"/>
      <c r="GT233" s="77"/>
      <c r="GU233" s="77"/>
      <c r="GV233" s="77"/>
      <c r="GW233" s="77"/>
      <c r="GX233" s="77"/>
      <c r="GY233" s="77"/>
      <c r="GZ233" s="77"/>
      <c r="HA233" s="77"/>
      <c r="HB233" s="77"/>
      <c r="HC233" s="77"/>
      <c r="HD233" s="77"/>
      <c r="HE233" s="77"/>
      <c r="HF233" s="77"/>
      <c r="HG233" s="77"/>
      <c r="HH233" s="77"/>
      <c r="HI233" s="77"/>
      <c r="HJ233" s="77"/>
      <c r="HK233" s="77"/>
      <c r="KM233" s="77"/>
      <c r="KN233" s="77"/>
      <c r="KO233" s="77"/>
      <c r="KP233" s="77"/>
      <c r="KQ233" s="77"/>
      <c r="KR233" s="77"/>
      <c r="KS233" s="77"/>
      <c r="KT233" s="77"/>
      <c r="KU233" s="77"/>
      <c r="KV233" s="77"/>
      <c r="KW233" s="77"/>
      <c r="KX233" s="77"/>
      <c r="KY233" s="77"/>
      <c r="KZ233" s="77"/>
      <c r="LA233" s="77"/>
      <c r="LB233" s="77"/>
      <c r="LC233" s="77"/>
      <c r="LD233" s="77"/>
      <c r="LE233" s="77"/>
      <c r="LF233" s="77"/>
      <c r="LG233" s="77"/>
      <c r="LH233" s="77"/>
      <c r="LI233" s="77"/>
      <c r="LJ233" s="77"/>
      <c r="LK233" s="77"/>
      <c r="LL233" s="77"/>
      <c r="LM233" s="77"/>
      <c r="LN233" s="77"/>
      <c r="LO233" s="77"/>
      <c r="LP233" s="77"/>
      <c r="LQ233" s="77"/>
      <c r="LR233" s="77"/>
      <c r="LS233" s="77"/>
      <c r="LT233" s="77"/>
      <c r="LU233" s="77"/>
      <c r="LV233" s="77"/>
      <c r="LW233" s="77"/>
      <c r="LX233" s="77"/>
      <c r="LY233" s="77"/>
      <c r="LZ233" s="77"/>
      <c r="MA233" s="77"/>
      <c r="MB233" s="77"/>
      <c r="MC233" s="77"/>
      <c r="MD233" s="77"/>
      <c r="ME233" s="77"/>
      <c r="MF233" s="77"/>
      <c r="MG233" s="77"/>
      <c r="MH233" s="77"/>
      <c r="MI233" s="77"/>
      <c r="MJ233" s="77"/>
      <c r="MK233" s="77"/>
      <c r="ML233" s="77"/>
      <c r="MM233" s="77"/>
      <c r="MN233" s="77"/>
      <c r="MO233" s="77"/>
      <c r="MP233" s="77"/>
      <c r="MQ233" s="77"/>
      <c r="MR233" s="77"/>
    </row>
    <row r="234" spans="1:421" ht="18.600000000000001" customHeight="1" x14ac:dyDescent="0.25">
      <c r="A234" s="119" t="s">
        <v>505</v>
      </c>
      <c r="B234" s="27" t="s">
        <v>2160</v>
      </c>
      <c r="C234" s="27" t="s">
        <v>3758</v>
      </c>
      <c r="D234" s="30" t="str">
        <f>HYPERLINK("https://twitter.com/GovernmentRF","https://twitter.com/GovernmentRF")</f>
        <v>https://twitter.com/GovernmentRF</v>
      </c>
      <c r="E234" s="30" t="str">
        <f>HYPERLINK("http://twiplomacy.com/info/europe/Russia","http://twiplomacy.com/info/europe/Russia")</f>
        <v>http://twiplomacy.com/info/europe/Russia</v>
      </c>
      <c r="F234" s="10" t="s">
        <v>332</v>
      </c>
      <c r="G234" s="10" t="s">
        <v>496</v>
      </c>
      <c r="H234" s="10" t="s">
        <v>788</v>
      </c>
      <c r="I234" s="10" t="s">
        <v>782</v>
      </c>
      <c r="J234" s="27" t="s">
        <v>789</v>
      </c>
      <c r="K234" s="15" t="s">
        <v>777</v>
      </c>
      <c r="L234" s="10" t="s">
        <v>771</v>
      </c>
      <c r="M234" s="10" t="s">
        <v>770</v>
      </c>
      <c r="N234" s="30" t="str">
        <f>HYPERLINK("https://twitter.com/GovernmentRF/statuses/228371123514007552","https://twitter.com/GovernmentRF/statuses/228371123514007552")</f>
        <v>https://twitter.com/GovernmentRF/statuses/228371123514007552</v>
      </c>
      <c r="O234" s="27" t="s">
        <v>5832</v>
      </c>
      <c r="P234" s="80">
        <v>293</v>
      </c>
      <c r="Q234" s="80">
        <v>149</v>
      </c>
      <c r="R234" s="27" t="s">
        <v>2994</v>
      </c>
      <c r="S234" s="10" t="s">
        <v>2161</v>
      </c>
      <c r="T234" s="10" t="s">
        <v>771</v>
      </c>
      <c r="U234" s="10" t="s">
        <v>771</v>
      </c>
      <c r="V234" s="10" t="s">
        <v>771</v>
      </c>
      <c r="W234" s="10"/>
      <c r="X234" s="27" t="s">
        <v>505</v>
      </c>
      <c r="Y234" s="27" t="s">
        <v>2160</v>
      </c>
      <c r="Z234" s="80">
        <v>4438</v>
      </c>
      <c r="AA234" s="27">
        <v>22</v>
      </c>
      <c r="AB234" s="80">
        <v>119198</v>
      </c>
      <c r="AC234" s="27">
        <v>1</v>
      </c>
      <c r="AD234" s="27" t="s">
        <v>3759</v>
      </c>
      <c r="AE234" s="27">
        <v>633794939</v>
      </c>
      <c r="AF234" s="27" t="s">
        <v>3758</v>
      </c>
      <c r="AG234" s="27" t="s">
        <v>2144</v>
      </c>
      <c r="AH234" s="79">
        <v>3.1928057553956801</v>
      </c>
      <c r="AI234" s="83">
        <v>3.49347826086957</v>
      </c>
      <c r="AJ234" s="80">
        <v>18.924855491329499</v>
      </c>
      <c r="AK234" s="80">
        <v>14.0836450187011</v>
      </c>
      <c r="AL234" s="27">
        <v>2</v>
      </c>
      <c r="AM234" s="97">
        <f t="shared" si="3"/>
        <v>6.2500000000000001E-4</v>
      </c>
      <c r="AN234" s="27" t="s">
        <v>505</v>
      </c>
      <c r="AO234" s="27">
        <v>1</v>
      </c>
      <c r="AP234" s="27">
        <v>55</v>
      </c>
      <c r="AQ234" s="27">
        <v>5</v>
      </c>
      <c r="AR234" s="27">
        <f>SUM(AO234:AQ234)</f>
        <v>61</v>
      </c>
      <c r="AS234" s="27" t="s">
        <v>1879</v>
      </c>
      <c r="AT234" s="27" t="s">
        <v>6739</v>
      </c>
      <c r="AU234" s="84" t="s">
        <v>4741</v>
      </c>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c r="BZ234" s="77"/>
      <c r="CA234" s="77"/>
      <c r="CB234" s="77"/>
      <c r="CC234" s="77"/>
      <c r="CD234" s="77"/>
      <c r="CE234" s="77"/>
      <c r="CF234" s="77"/>
      <c r="CG234" s="77"/>
      <c r="CH234" s="77"/>
      <c r="CI234" s="77"/>
      <c r="CJ234" s="77"/>
      <c r="CK234" s="77"/>
      <c r="CL234" s="77"/>
      <c r="CM234" s="77"/>
      <c r="CN234" s="77"/>
      <c r="CO234" s="77"/>
      <c r="CP234" s="77"/>
      <c r="CQ234" s="77"/>
      <c r="CR234" s="77"/>
      <c r="CS234" s="77"/>
      <c r="CT234" s="77"/>
      <c r="CU234" s="77"/>
      <c r="CV234" s="77"/>
      <c r="CW234" s="77"/>
      <c r="EM234" s="77"/>
      <c r="EN234" s="77"/>
      <c r="EO234" s="77"/>
      <c r="ER234" s="77"/>
      <c r="ES234" s="77"/>
      <c r="ET234" s="77"/>
      <c r="EU234" s="77"/>
      <c r="EV234" s="77"/>
      <c r="EW234" s="77"/>
      <c r="EX234" s="77"/>
      <c r="EY234" s="77"/>
      <c r="EZ234" s="77"/>
      <c r="FA234" s="77"/>
      <c r="FB234" s="77"/>
      <c r="FC234" s="77"/>
      <c r="FD234" s="77"/>
      <c r="FE234" s="77"/>
      <c r="FF234" s="77"/>
      <c r="FG234" s="77"/>
      <c r="FH234" s="77"/>
      <c r="FI234" s="77"/>
      <c r="FJ234" s="77"/>
      <c r="FK234" s="77"/>
      <c r="FL234" s="77"/>
      <c r="FM234" s="77"/>
      <c r="FN234" s="77"/>
      <c r="FO234" s="77"/>
      <c r="FP234" s="77"/>
      <c r="FQ234" s="77"/>
      <c r="FR234" s="77"/>
      <c r="FS234" s="77"/>
      <c r="FT234" s="77"/>
      <c r="FU234" s="77"/>
      <c r="FV234" s="77"/>
      <c r="FW234" s="77"/>
      <c r="FX234" s="77"/>
      <c r="FY234" s="77"/>
      <c r="FZ234" s="77"/>
      <c r="GA234" s="77"/>
      <c r="GB234" s="77"/>
      <c r="GC234" s="77"/>
      <c r="GD234" s="77"/>
      <c r="GE234" s="77"/>
      <c r="GF234" s="77"/>
      <c r="GG234" s="77"/>
      <c r="GH234" s="77"/>
      <c r="GI234" s="77"/>
      <c r="GJ234" s="77"/>
      <c r="GK234" s="77"/>
      <c r="HL234" s="16"/>
      <c r="HM234" s="16"/>
      <c r="HN234" s="16"/>
      <c r="HO234" s="16"/>
      <c r="HP234" s="16"/>
      <c r="HQ234" s="16"/>
      <c r="HR234" s="16"/>
      <c r="HS234" s="16"/>
      <c r="HT234" s="16"/>
      <c r="HU234" s="16"/>
      <c r="HV234" s="16"/>
      <c r="HW234" s="16"/>
      <c r="HX234" s="16"/>
      <c r="HY234" s="16"/>
      <c r="HZ234" s="16"/>
      <c r="IA234" s="16"/>
      <c r="IB234" s="16"/>
      <c r="IC234" s="16"/>
      <c r="IF234" s="77"/>
      <c r="IG234" s="77"/>
      <c r="IH234" s="77"/>
      <c r="II234" s="77"/>
      <c r="IJ234" s="77"/>
      <c r="IK234" s="77"/>
      <c r="IL234" s="77"/>
      <c r="IM234" s="77"/>
      <c r="IN234" s="77"/>
      <c r="IO234" s="77"/>
      <c r="IP234" s="77"/>
      <c r="IQ234" s="77"/>
      <c r="IR234" s="77"/>
      <c r="IS234" s="77"/>
      <c r="IT234" s="77"/>
      <c r="IU234" s="77"/>
      <c r="IV234" s="77"/>
      <c r="IW234" s="77"/>
      <c r="IX234" s="77"/>
      <c r="IY234" s="77"/>
      <c r="IZ234" s="77"/>
      <c r="JA234" s="77"/>
      <c r="JB234" s="77"/>
      <c r="JC234" s="77"/>
      <c r="JD234" s="77"/>
      <c r="JE234" s="77"/>
      <c r="JF234" s="77"/>
      <c r="JG234" s="77"/>
      <c r="JH234" s="77"/>
      <c r="JI234" s="77"/>
      <c r="JJ234" s="77"/>
      <c r="JK234" s="77"/>
      <c r="JL234" s="77"/>
      <c r="JM234" s="77"/>
      <c r="JN234" s="77"/>
      <c r="JO234" s="77"/>
      <c r="JP234" s="77"/>
      <c r="JQ234" s="77"/>
      <c r="JR234" s="77"/>
      <c r="JS234" s="77"/>
      <c r="JT234" s="77"/>
      <c r="JU234" s="77"/>
      <c r="JV234" s="77"/>
      <c r="JW234" s="77"/>
      <c r="JX234" s="77"/>
      <c r="JY234" s="77"/>
      <c r="JZ234" s="77"/>
      <c r="KA234" s="77"/>
      <c r="KB234" s="77"/>
      <c r="KC234" s="77"/>
      <c r="KD234" s="77"/>
      <c r="KE234" s="77"/>
      <c r="KF234" s="77"/>
      <c r="KG234" s="77"/>
      <c r="KH234" s="77"/>
      <c r="KI234" s="77"/>
      <c r="KJ234" s="77"/>
      <c r="KK234" s="77"/>
      <c r="KL234" s="77"/>
      <c r="KM234" s="16"/>
      <c r="KN234" s="16"/>
      <c r="KO234" s="16"/>
      <c r="KP234" s="16"/>
      <c r="KQ234" s="16"/>
      <c r="KR234" s="16"/>
      <c r="KS234" s="16"/>
      <c r="KT234" s="16"/>
      <c r="KU234" s="16"/>
      <c r="KV234" s="16"/>
      <c r="KW234" s="16"/>
      <c r="KX234" s="16"/>
      <c r="KY234" s="16"/>
      <c r="KZ234" s="16"/>
      <c r="LA234" s="16"/>
      <c r="LB234" s="16"/>
      <c r="LC234" s="16"/>
      <c r="LD234" s="16"/>
      <c r="LE234" s="16"/>
      <c r="LF234" s="16"/>
      <c r="LG234" s="16"/>
      <c r="LH234" s="16"/>
      <c r="LI234" s="16"/>
      <c r="LJ234" s="16"/>
      <c r="LK234" s="16"/>
    </row>
    <row r="235" spans="1:421" ht="18.600000000000001" customHeight="1" x14ac:dyDescent="0.25">
      <c r="A235" s="119" t="s">
        <v>335</v>
      </c>
      <c r="B235" s="27" t="s">
        <v>1704</v>
      </c>
      <c r="C235" s="27" t="s">
        <v>1705</v>
      </c>
      <c r="D235" s="30" t="str">
        <f>HYPERLINK("https://twitter.com/AlbanianMFA","https://twitter.com/AlbanianMFA")</f>
        <v>https://twitter.com/AlbanianMFA</v>
      </c>
      <c r="E235" s="30" t="str">
        <f>HYPERLINK("http://twiplomacy.com/info/europe/Albania","http://twiplomacy.com/info/europe/Albania")</f>
        <v>http://twiplomacy.com/info/europe/Albania</v>
      </c>
      <c r="F235" s="10" t="s">
        <v>332</v>
      </c>
      <c r="G235" s="10" t="s">
        <v>331</v>
      </c>
      <c r="H235" s="10" t="s">
        <v>795</v>
      </c>
      <c r="I235" s="10" t="s">
        <v>782</v>
      </c>
      <c r="J235" s="27" t="s">
        <v>789</v>
      </c>
      <c r="K235" s="15" t="s">
        <v>777</v>
      </c>
      <c r="L235" s="10" t="s">
        <v>771</v>
      </c>
      <c r="M235" s="10" t="s">
        <v>770</v>
      </c>
      <c r="N235" s="30" t="str">
        <f>HYPERLINK("https://twitter.com/AlbanianMFA/statuses/13914634052","https://twitter.com/AlbanianMFA/statuses/13914634052")</f>
        <v>https://twitter.com/AlbanianMFA/statuses/13914634052</v>
      </c>
      <c r="O235" s="27" t="s">
        <v>5678</v>
      </c>
      <c r="P235" s="80">
        <v>123</v>
      </c>
      <c r="Q235" s="80">
        <v>122</v>
      </c>
      <c r="R235" s="27" t="s">
        <v>2994</v>
      </c>
      <c r="S235" s="12" t="s">
        <v>1706</v>
      </c>
      <c r="T235" s="10" t="s">
        <v>771</v>
      </c>
      <c r="U235" s="10" t="s">
        <v>771</v>
      </c>
      <c r="V235" s="12" t="s">
        <v>6886</v>
      </c>
      <c r="W235" s="10">
        <v>126</v>
      </c>
      <c r="X235" s="27" t="s">
        <v>335</v>
      </c>
      <c r="Y235" s="27" t="s">
        <v>1704</v>
      </c>
      <c r="Z235" s="80">
        <v>4417</v>
      </c>
      <c r="AA235" s="27">
        <v>683</v>
      </c>
      <c r="AB235" s="80">
        <v>7830</v>
      </c>
      <c r="AC235" s="27">
        <v>8706</v>
      </c>
      <c r="AD235" s="27" t="s">
        <v>3448</v>
      </c>
      <c r="AE235" s="27">
        <v>143440559</v>
      </c>
      <c r="AF235" s="27" t="s">
        <v>1705</v>
      </c>
      <c r="AG235" s="27" t="s">
        <v>1707</v>
      </c>
      <c r="AH235" s="79">
        <v>2.0265933058230199</v>
      </c>
      <c r="AI235" s="83">
        <v>5.5521367521367502</v>
      </c>
      <c r="AJ235" s="80">
        <v>19.746280344557601</v>
      </c>
      <c r="AK235" s="80">
        <v>13.3907595927956</v>
      </c>
      <c r="AL235" s="96">
        <v>118</v>
      </c>
      <c r="AM235" s="97">
        <f t="shared" si="3"/>
        <v>3.6874999999999998E-2</v>
      </c>
      <c r="AN235" s="27" t="s">
        <v>335</v>
      </c>
      <c r="AO235" s="27">
        <v>76</v>
      </c>
      <c r="AP235" s="27">
        <v>16</v>
      </c>
      <c r="AQ235" s="27">
        <v>68</v>
      </c>
      <c r="AR235" s="27">
        <f>SUM(AO235:AQ235)</f>
        <v>160</v>
      </c>
      <c r="AS235" s="27" t="s">
        <v>6198</v>
      </c>
      <c r="AT235" s="27" t="s">
        <v>6270</v>
      </c>
      <c r="AU235" s="84" t="s">
        <v>6144</v>
      </c>
      <c r="AV235" s="77"/>
      <c r="AW235" s="77"/>
      <c r="AX235" s="77"/>
      <c r="AY235" s="77"/>
      <c r="AZ235" s="77"/>
      <c r="BA235" s="77"/>
      <c r="BB235" s="77"/>
      <c r="BC235" s="77"/>
      <c r="BD235" s="77"/>
      <c r="BE235" s="77"/>
      <c r="BF235" s="77"/>
      <c r="BG235" s="77"/>
      <c r="BH235" s="77"/>
      <c r="BI235" s="77"/>
      <c r="BJ235" s="77"/>
      <c r="BK235" s="77"/>
      <c r="BL235" s="77"/>
      <c r="BN235" s="16"/>
      <c r="BO235" s="16"/>
      <c r="BP235" s="16"/>
      <c r="CC235" s="77"/>
      <c r="CD235" s="77"/>
      <c r="CE235" s="77"/>
      <c r="CF235" s="77"/>
      <c r="CG235" s="77"/>
      <c r="CH235" s="77"/>
      <c r="CI235" s="77"/>
      <c r="CJ235" s="77"/>
      <c r="CK235" s="77"/>
      <c r="CL235" s="77"/>
      <c r="CM235" s="77"/>
      <c r="CN235" s="77"/>
      <c r="CO235" s="77"/>
      <c r="CP235" s="77"/>
      <c r="CQ235" s="77"/>
      <c r="CR235" s="77"/>
      <c r="CS235" s="77"/>
      <c r="CT235" s="77"/>
      <c r="CU235" s="77"/>
      <c r="CV235" s="77"/>
      <c r="CW235" s="77"/>
      <c r="CX235" s="77"/>
      <c r="CY235" s="77"/>
      <c r="CZ235" s="77"/>
      <c r="DA235" s="77"/>
      <c r="DB235" s="77"/>
      <c r="DC235" s="77"/>
      <c r="DD235" s="77"/>
      <c r="DE235" s="77"/>
      <c r="DF235" s="77"/>
      <c r="DG235" s="77"/>
      <c r="DH235" s="77"/>
      <c r="DI235" s="77"/>
      <c r="DJ235" s="77"/>
      <c r="DK235" s="77"/>
      <c r="DL235" s="77"/>
      <c r="DM235" s="77"/>
      <c r="DN235" s="77"/>
      <c r="DO235" s="77"/>
      <c r="DP235" s="77"/>
      <c r="DQ235" s="77"/>
      <c r="DR235" s="77"/>
      <c r="DS235" s="77"/>
      <c r="DT235" s="77"/>
      <c r="DU235" s="77"/>
      <c r="DV235" s="77"/>
      <c r="DW235" s="77"/>
      <c r="DX235" s="77"/>
      <c r="DY235" s="77"/>
      <c r="DZ235" s="77"/>
      <c r="EA235" s="77"/>
      <c r="EB235" s="77"/>
      <c r="EC235" s="77"/>
      <c r="ED235" s="77"/>
      <c r="EE235" s="77"/>
      <c r="EF235" s="77"/>
      <c r="EG235" s="77"/>
      <c r="EH235" s="77"/>
      <c r="EI235" s="77"/>
      <c r="EJ235" s="77"/>
      <c r="EK235" s="77"/>
      <c r="EL235" s="77"/>
      <c r="EM235" s="77"/>
      <c r="EN235" s="77"/>
      <c r="EO235" s="77"/>
      <c r="EP235" s="77"/>
      <c r="EQ235" s="77"/>
      <c r="ER235" s="77"/>
      <c r="ES235" s="77"/>
      <c r="ET235" s="77"/>
      <c r="EU235" s="77"/>
      <c r="EV235" s="77"/>
      <c r="EW235" s="77"/>
      <c r="EX235" s="77"/>
      <c r="EY235" s="77"/>
      <c r="EZ235" s="77"/>
      <c r="FA235" s="77"/>
      <c r="FB235" s="77"/>
      <c r="FC235" s="77"/>
      <c r="FD235" s="77"/>
      <c r="FE235" s="77"/>
      <c r="FF235" s="77"/>
      <c r="FG235" s="77"/>
      <c r="FH235" s="77"/>
      <c r="FI235" s="77"/>
      <c r="FJ235" s="77"/>
      <c r="FK235" s="77"/>
      <c r="FL235" s="77"/>
      <c r="FM235" s="77"/>
      <c r="FN235" s="77"/>
      <c r="FO235" s="77"/>
      <c r="FP235" s="77"/>
      <c r="FQ235" s="77"/>
      <c r="FR235" s="77"/>
      <c r="FS235" s="77"/>
      <c r="FT235" s="77"/>
      <c r="FU235" s="77"/>
      <c r="FV235" s="77"/>
      <c r="FW235" s="77"/>
      <c r="FX235" s="77"/>
      <c r="FY235" s="77"/>
      <c r="FZ235" s="77"/>
      <c r="GA235" s="77"/>
      <c r="GB235" s="77"/>
      <c r="GC235" s="77"/>
      <c r="GD235" s="77"/>
      <c r="GE235" s="77"/>
      <c r="GF235" s="77"/>
      <c r="GG235" s="77"/>
      <c r="GH235" s="77"/>
      <c r="GI235" s="77"/>
      <c r="GJ235" s="77"/>
      <c r="GK235" s="77"/>
      <c r="GL235" s="77"/>
      <c r="GM235" s="77"/>
      <c r="GN235" s="77"/>
      <c r="GO235" s="77"/>
      <c r="GP235" s="77"/>
      <c r="GQ235" s="77"/>
      <c r="GR235" s="77"/>
      <c r="GS235" s="77"/>
      <c r="GT235" s="77"/>
      <c r="GU235" s="77"/>
      <c r="GV235" s="77"/>
      <c r="GW235" s="77"/>
      <c r="GX235" s="77"/>
      <c r="GY235" s="77"/>
      <c r="GZ235" s="77"/>
      <c r="HA235" s="77"/>
      <c r="HB235" s="77"/>
      <c r="HC235" s="77"/>
      <c r="HD235" s="77"/>
      <c r="HE235" s="77"/>
      <c r="HF235" s="77"/>
      <c r="HG235" s="77"/>
      <c r="HH235" s="77"/>
      <c r="HI235" s="77"/>
      <c r="HJ235" s="77"/>
      <c r="HK235" s="77"/>
      <c r="ID235" s="77"/>
      <c r="IE235" s="77"/>
      <c r="JY235" s="77"/>
      <c r="JZ235" s="77"/>
      <c r="KA235" s="77"/>
      <c r="KB235" s="77"/>
      <c r="KC235" s="77"/>
      <c r="KD235" s="77"/>
      <c r="KE235" s="77"/>
      <c r="KF235" s="77"/>
      <c r="KG235" s="77"/>
      <c r="KH235" s="77"/>
      <c r="KI235" s="77"/>
      <c r="KJ235" s="77"/>
      <c r="KK235" s="77"/>
      <c r="KL235" s="77"/>
      <c r="KM235" s="77"/>
      <c r="KN235" s="77"/>
      <c r="KO235" s="77"/>
      <c r="KP235" s="77"/>
      <c r="KQ235" s="77"/>
      <c r="KR235" s="77"/>
      <c r="KS235" s="77"/>
      <c r="KT235" s="77"/>
      <c r="KU235" s="77"/>
      <c r="KV235" s="77"/>
      <c r="KW235" s="77"/>
      <c r="KX235" s="77"/>
      <c r="KY235" s="77"/>
      <c r="KZ235" s="77"/>
      <c r="LA235" s="77"/>
      <c r="LB235" s="77"/>
      <c r="LC235" s="77"/>
      <c r="LD235" s="77"/>
      <c r="LE235" s="77"/>
      <c r="LF235" s="77"/>
      <c r="LG235" s="77"/>
      <c r="LH235" s="77"/>
      <c r="LI235" s="77"/>
      <c r="LJ235" s="77"/>
      <c r="LK235" s="77"/>
      <c r="LL235" s="77"/>
      <c r="LM235" s="77"/>
      <c r="LN235" s="77"/>
      <c r="LO235" s="77"/>
      <c r="LP235" s="77"/>
      <c r="LQ235" s="77"/>
      <c r="LR235" s="77"/>
      <c r="LS235" s="77"/>
      <c r="LT235" s="77"/>
      <c r="LU235" s="77"/>
      <c r="LV235" s="77"/>
      <c r="LW235" s="77"/>
      <c r="LX235" s="77"/>
      <c r="MS235" s="77"/>
    </row>
    <row r="236" spans="1:421" ht="18.600000000000001" customHeight="1" x14ac:dyDescent="0.25">
      <c r="A236" s="119" t="s">
        <v>2300</v>
      </c>
      <c r="B236" s="27" t="s">
        <v>2301</v>
      </c>
      <c r="C236" s="27" t="s">
        <v>2302</v>
      </c>
      <c r="D236" s="30" t="str">
        <f>HYPERLINK("https://twitter.com/DiploPubliqueTR","https://twitter.com/DiploPubliqueTR")</f>
        <v>https://twitter.com/DiploPubliqueTR</v>
      </c>
      <c r="E236" s="30" t="str">
        <f>HYPERLINK("http://twiplomacy.com/info/europe/Turkey","http://twiplomacy.com/info/europe/Turkey")</f>
        <v>http://twiplomacy.com/info/europe/Turkey</v>
      </c>
      <c r="F236" s="10" t="s">
        <v>332</v>
      </c>
      <c r="G236" s="10" t="s">
        <v>536</v>
      </c>
      <c r="H236" s="10" t="s">
        <v>795</v>
      </c>
      <c r="I236" s="10" t="s">
        <v>782</v>
      </c>
      <c r="J236" s="27" t="s">
        <v>2254</v>
      </c>
      <c r="K236" s="10" t="s">
        <v>777</v>
      </c>
      <c r="L236" s="10" t="s">
        <v>771</v>
      </c>
      <c r="M236" s="10" t="s">
        <v>770</v>
      </c>
      <c r="N236" s="30" t="str">
        <f>HYPERLINK("https://twitter.com/DiploPubliqueTR/statuses/331413324224925696","https://twitter.com/DiploPubliqueTR/statuses/331413324224925696")</f>
        <v>https://twitter.com/DiploPubliqueTR/statuses/331413324224925696</v>
      </c>
      <c r="O236" s="27" t="s">
        <v>5802</v>
      </c>
      <c r="P236" s="80">
        <v>94</v>
      </c>
      <c r="Q236" s="80">
        <v>2</v>
      </c>
      <c r="R236" s="27" t="s">
        <v>2994</v>
      </c>
      <c r="S236" s="10" t="s">
        <v>2303</v>
      </c>
      <c r="T236" s="10" t="s">
        <v>771</v>
      </c>
      <c r="U236" s="10" t="s">
        <v>771</v>
      </c>
      <c r="V236" s="10" t="s">
        <v>771</v>
      </c>
      <c r="W236" s="10"/>
      <c r="X236" s="27" t="s">
        <v>2300</v>
      </c>
      <c r="Y236" s="27" t="s">
        <v>2301</v>
      </c>
      <c r="Z236" s="80">
        <v>4400</v>
      </c>
      <c r="AA236" s="27">
        <v>263</v>
      </c>
      <c r="AB236" s="80">
        <v>3103</v>
      </c>
      <c r="AC236" s="27">
        <v>12</v>
      </c>
      <c r="AD236" s="27" t="s">
        <v>3616</v>
      </c>
      <c r="AE236" s="27">
        <v>1396528645</v>
      </c>
      <c r="AF236" s="27" t="s">
        <v>2302</v>
      </c>
      <c r="AG236" s="27" t="s">
        <v>2304</v>
      </c>
      <c r="AH236" s="79">
        <v>4.0145985401459896</v>
      </c>
      <c r="AI236" s="83">
        <v>4.6935483870967696</v>
      </c>
      <c r="AJ236" s="80">
        <v>3.02564102564103</v>
      </c>
      <c r="AK236" s="80">
        <v>1.35793485793486</v>
      </c>
      <c r="AL236" s="27">
        <v>73</v>
      </c>
      <c r="AM236" s="97">
        <f t="shared" si="3"/>
        <v>2.2812499999999999E-2</v>
      </c>
      <c r="AN236" s="27" t="s">
        <v>2300</v>
      </c>
      <c r="AO236" s="27">
        <v>22</v>
      </c>
      <c r="AP236" s="27">
        <v>6</v>
      </c>
      <c r="AQ236" s="27">
        <v>13</v>
      </c>
      <c r="AR236" s="27">
        <f>SUM(AO236:AQ236)</f>
        <v>41</v>
      </c>
      <c r="AS236" s="27" t="s">
        <v>5083</v>
      </c>
      <c r="AT236" s="27" t="s">
        <v>5084</v>
      </c>
      <c r="AU236" s="84" t="s">
        <v>6151</v>
      </c>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c r="BZ236" s="77"/>
      <c r="CA236" s="77"/>
      <c r="CB236" s="77"/>
      <c r="CC236" s="77"/>
      <c r="CD236" s="77"/>
      <c r="CE236" s="77"/>
      <c r="CF236" s="77"/>
      <c r="CG236" s="77"/>
      <c r="CH236" s="77"/>
      <c r="CI236" s="77"/>
      <c r="CJ236" s="77"/>
      <c r="CK236" s="77"/>
      <c r="CL236" s="77"/>
      <c r="CM236" s="77"/>
      <c r="CN236" s="77"/>
      <c r="CO236" s="77"/>
      <c r="CP236" s="77"/>
      <c r="CQ236" s="77"/>
      <c r="CR236" s="77"/>
      <c r="CS236" s="77"/>
      <c r="CT236" s="77"/>
      <c r="CU236" s="77"/>
      <c r="CV236" s="77"/>
      <c r="CW236" s="77"/>
      <c r="CX236" s="77"/>
      <c r="CY236" s="77"/>
      <c r="CZ236" s="77"/>
      <c r="DA236" s="77"/>
      <c r="DB236" s="77"/>
      <c r="DC236" s="77"/>
      <c r="DD236" s="77"/>
      <c r="DE236" s="77"/>
      <c r="DF236" s="77"/>
      <c r="DG236" s="77"/>
      <c r="DH236" s="77"/>
      <c r="DI236" s="77"/>
      <c r="DJ236" s="77"/>
      <c r="DK236" s="77"/>
      <c r="DL236" s="77"/>
      <c r="DM236" s="77"/>
      <c r="DN236" s="77"/>
      <c r="DO236" s="77"/>
      <c r="DP236" s="77"/>
      <c r="DQ236" s="77"/>
      <c r="DR236" s="77"/>
      <c r="DS236" s="77"/>
      <c r="DT236" s="77"/>
      <c r="DU236" s="77"/>
      <c r="DV236" s="77"/>
      <c r="DW236" s="77"/>
      <c r="DX236" s="77"/>
      <c r="DY236" s="77"/>
      <c r="DZ236" s="77"/>
      <c r="EA236" s="77"/>
      <c r="EB236" s="77"/>
      <c r="EC236" s="77"/>
      <c r="ED236" s="77"/>
      <c r="EE236" s="77"/>
      <c r="EF236" s="77"/>
      <c r="EG236" s="77"/>
      <c r="EH236" s="77"/>
      <c r="EI236" s="77"/>
      <c r="EJ236" s="77"/>
      <c r="EK236" s="77"/>
      <c r="EL236" s="77"/>
      <c r="ER236" s="77"/>
      <c r="ES236" s="77"/>
      <c r="ET236" s="77"/>
      <c r="EU236" s="77"/>
      <c r="EV236" s="77"/>
      <c r="EW236" s="77"/>
      <c r="EX236" s="77"/>
      <c r="EY236" s="77"/>
      <c r="EZ236" s="77"/>
      <c r="FA236" s="77"/>
      <c r="FB236" s="77"/>
      <c r="FC236" s="77"/>
      <c r="FD236" s="77"/>
      <c r="FE236" s="77"/>
      <c r="FF236" s="77"/>
      <c r="FG236" s="77"/>
      <c r="FH236" s="77"/>
      <c r="FI236" s="77"/>
      <c r="FJ236" s="77"/>
      <c r="FK236" s="77"/>
      <c r="FL236" s="77"/>
      <c r="FM236" s="77"/>
      <c r="FN236" s="77"/>
      <c r="FO236" s="77"/>
      <c r="FP236" s="77"/>
      <c r="FQ236" s="77"/>
      <c r="FR236" s="77"/>
      <c r="FS236" s="77"/>
      <c r="FT236" s="77"/>
      <c r="FU236" s="77"/>
      <c r="FV236" s="77"/>
      <c r="FW236" s="77"/>
      <c r="FX236" s="77"/>
      <c r="FY236" s="77"/>
      <c r="FZ236" s="77"/>
      <c r="GA236" s="77"/>
      <c r="GB236" s="77"/>
      <c r="GC236" s="77"/>
      <c r="GD236" s="77"/>
      <c r="GE236" s="77"/>
      <c r="GF236" s="77"/>
      <c r="GG236" s="77"/>
      <c r="GH236" s="77"/>
      <c r="GI236" s="77"/>
      <c r="GJ236" s="77"/>
      <c r="GK236" s="77"/>
      <c r="GL236" s="77"/>
      <c r="GM236" s="77"/>
      <c r="GN236" s="77"/>
      <c r="GO236" s="77"/>
      <c r="GP236" s="77"/>
      <c r="GQ236" s="77"/>
      <c r="GR236" s="77"/>
      <c r="GS236" s="77"/>
      <c r="GT236" s="77"/>
      <c r="GU236" s="77"/>
      <c r="GV236" s="77"/>
      <c r="GW236" s="77"/>
      <c r="GX236" s="77"/>
      <c r="GY236" s="77"/>
      <c r="GZ236" s="77"/>
      <c r="HA236" s="77"/>
      <c r="HB236" s="77"/>
      <c r="HC236" s="77"/>
      <c r="HD236" s="77"/>
      <c r="HE236" s="77"/>
      <c r="HF236" s="77"/>
      <c r="HG236" s="77"/>
      <c r="HH236" s="77"/>
      <c r="HI236" s="77"/>
      <c r="HJ236" s="77"/>
      <c r="HK236" s="77"/>
      <c r="HL236" s="77"/>
      <c r="HM236" s="77"/>
      <c r="HN236" s="77"/>
      <c r="HO236" s="77"/>
      <c r="HP236" s="77"/>
      <c r="HQ236" s="77"/>
      <c r="HR236" s="77"/>
      <c r="HS236" s="77"/>
      <c r="HT236" s="77"/>
      <c r="HU236" s="77"/>
      <c r="HV236" s="77"/>
      <c r="HW236" s="77"/>
      <c r="HX236" s="77"/>
      <c r="HY236" s="77"/>
      <c r="HZ236" s="77"/>
      <c r="IA236" s="77"/>
      <c r="IB236" s="77"/>
      <c r="IC236" s="77"/>
      <c r="ID236" s="77"/>
      <c r="IE236" s="77"/>
      <c r="IF236" s="77"/>
      <c r="IG236" s="77"/>
      <c r="IH236" s="77"/>
      <c r="II236" s="77"/>
      <c r="IJ236" s="77"/>
      <c r="IK236" s="77"/>
      <c r="IL236" s="77"/>
      <c r="IM236" s="77"/>
      <c r="IN236" s="77"/>
      <c r="IO236" s="77"/>
      <c r="IP236" s="77"/>
      <c r="IQ236" s="77"/>
      <c r="IR236" s="77"/>
      <c r="IS236" s="77"/>
      <c r="IT236" s="77"/>
      <c r="IU236" s="77"/>
      <c r="IV236" s="77"/>
      <c r="IW236" s="77"/>
      <c r="IX236" s="77"/>
      <c r="IY236" s="77"/>
      <c r="IZ236" s="77"/>
      <c r="JA236" s="77"/>
      <c r="JB236" s="77"/>
      <c r="JC236" s="77"/>
      <c r="JD236" s="77"/>
      <c r="JE236" s="77"/>
      <c r="JF236" s="77"/>
      <c r="JG236" s="77"/>
      <c r="JH236" s="77"/>
      <c r="JI236" s="77"/>
      <c r="JJ236" s="77"/>
      <c r="JK236" s="77"/>
      <c r="JL236" s="77"/>
      <c r="JM236" s="77"/>
      <c r="JN236" s="77"/>
      <c r="JO236" s="77"/>
      <c r="JP236" s="77"/>
      <c r="JQ236" s="77"/>
      <c r="JR236" s="77"/>
      <c r="JS236" s="77"/>
      <c r="JT236" s="77"/>
      <c r="JU236" s="77"/>
      <c r="JV236" s="77"/>
      <c r="JW236" s="77"/>
      <c r="JX236" s="77"/>
      <c r="JY236" s="77"/>
      <c r="JZ236" s="77"/>
      <c r="KA236" s="77"/>
      <c r="KB236" s="77"/>
      <c r="KC236" s="77"/>
      <c r="KD236" s="77"/>
      <c r="KE236" s="77"/>
      <c r="KF236" s="77"/>
      <c r="KG236" s="77"/>
      <c r="KH236" s="77"/>
      <c r="KI236" s="77"/>
      <c r="KJ236" s="77"/>
      <c r="KK236" s="77"/>
      <c r="KL236" s="77"/>
      <c r="KM236" s="77"/>
      <c r="KN236" s="77"/>
      <c r="KO236" s="77"/>
      <c r="KP236" s="77"/>
      <c r="KQ236" s="77"/>
      <c r="KR236" s="77"/>
      <c r="KS236" s="77"/>
      <c r="KT236" s="77"/>
      <c r="KU236" s="77"/>
      <c r="KV236" s="77"/>
      <c r="KW236" s="77"/>
      <c r="KX236" s="77"/>
      <c r="KY236" s="77"/>
      <c r="KZ236" s="77"/>
      <c r="LA236" s="77"/>
      <c r="LB236" s="77"/>
      <c r="LC236" s="77"/>
      <c r="LD236" s="77"/>
      <c r="LE236" s="77"/>
      <c r="LF236" s="77"/>
      <c r="LG236" s="77"/>
      <c r="LH236" s="77"/>
      <c r="LI236" s="77"/>
      <c r="LJ236" s="77"/>
      <c r="LK236" s="77"/>
      <c r="LL236" s="77"/>
      <c r="LM236" s="77"/>
      <c r="LN236" s="77"/>
      <c r="LO236" s="77"/>
      <c r="LP236" s="77"/>
      <c r="LQ236" s="77"/>
      <c r="LR236" s="77"/>
      <c r="LS236" s="77"/>
      <c r="LT236" s="77"/>
      <c r="LU236" s="77"/>
      <c r="LV236" s="77"/>
      <c r="LW236" s="77"/>
      <c r="LX236" s="77"/>
      <c r="MT236" s="16"/>
      <c r="MU236" s="16"/>
      <c r="MV236" s="16"/>
      <c r="MW236" s="16"/>
      <c r="MX236" s="16"/>
      <c r="MY236" s="16"/>
      <c r="MZ236" s="16"/>
      <c r="NA236" s="16"/>
      <c r="NB236" s="16"/>
      <c r="NC236" s="16"/>
    </row>
    <row r="237" spans="1:421" ht="18.600000000000001" customHeight="1" x14ac:dyDescent="0.25">
      <c r="A237" s="119" t="s">
        <v>2584</v>
      </c>
      <c r="B237" s="27" t="s">
        <v>2585</v>
      </c>
      <c r="C237" s="27" t="s">
        <v>2586</v>
      </c>
      <c r="D237" s="30" t="str">
        <f>HYPERLINK("https://twitter.com/EconEngage","https://twitter.com/EconEngage")</f>
        <v>https://twitter.com/EconEngage</v>
      </c>
      <c r="E237" s="30" t="str">
        <f>HYPERLINK("http://twiplomacy.com/info/north-america/United-States","http://twiplomacy.com/info/north-america/United-States")</f>
        <v>http://twiplomacy.com/info/north-america/United-States</v>
      </c>
      <c r="F237" s="10" t="s">
        <v>558</v>
      </c>
      <c r="G237" s="10" t="s">
        <v>633</v>
      </c>
      <c r="H237" s="10" t="s">
        <v>795</v>
      </c>
      <c r="I237" s="10" t="s">
        <v>782</v>
      </c>
      <c r="J237" s="27" t="s">
        <v>789</v>
      </c>
      <c r="K237" s="10" t="s">
        <v>777</v>
      </c>
      <c r="L237" s="10" t="s">
        <v>771</v>
      </c>
      <c r="M237" s="10" t="s">
        <v>770</v>
      </c>
      <c r="N237" s="30" t="str">
        <f>HYPERLINK("https://twitter.com/EconEngage/status/9281087838625792","https://twitter.com/EconEngage/status/9281087838625792")</f>
        <v>https://twitter.com/EconEngage/status/9281087838625792</v>
      </c>
      <c r="O237" s="30" t="str">
        <f>HYPERLINK("https://twitter.com/EconEngage/statuses/215281208693760004","https://twitter.com/EconEngage/statuses/215281208693760004")</f>
        <v>https://twitter.com/EconEngage/statuses/215281208693760004</v>
      </c>
      <c r="P237" s="46">
        <v>48</v>
      </c>
      <c r="Q237" s="46">
        <v>4</v>
      </c>
      <c r="R237" s="27" t="s">
        <v>2994</v>
      </c>
      <c r="S237" s="30" t="str">
        <f>HYPERLINK("https://twitter.com/EconEngage/lists","https://twitter.com/EconEngage/lists")</f>
        <v>https://twitter.com/EconEngage/lists</v>
      </c>
      <c r="T237" s="10" t="s">
        <v>771</v>
      </c>
      <c r="U237" s="10" t="s">
        <v>771</v>
      </c>
      <c r="V237" s="10" t="s">
        <v>771</v>
      </c>
      <c r="W237" s="10"/>
      <c r="X237" s="27" t="s">
        <v>2584</v>
      </c>
      <c r="Y237" s="27" t="s">
        <v>2585</v>
      </c>
      <c r="Z237" s="80">
        <v>4389</v>
      </c>
      <c r="AA237" s="27">
        <v>368</v>
      </c>
      <c r="AB237" s="80">
        <v>5076</v>
      </c>
      <c r="AC237" s="27">
        <v>44</v>
      </c>
      <c r="AD237" s="27" t="s">
        <v>3636</v>
      </c>
      <c r="AE237" s="27">
        <v>211955846</v>
      </c>
      <c r="AF237" s="27" t="s">
        <v>2586</v>
      </c>
      <c r="AG237" s="27" t="s">
        <v>2565</v>
      </c>
      <c r="AH237" s="79">
        <v>2.18902743142145</v>
      </c>
      <c r="AI237" s="83">
        <v>2.16621621621622</v>
      </c>
      <c r="AJ237" s="80">
        <v>2.4584816132858802</v>
      </c>
      <c r="AK237" s="80">
        <v>1.5895610913404501</v>
      </c>
      <c r="AL237" s="27">
        <v>65</v>
      </c>
      <c r="AM237" s="97">
        <f t="shared" si="3"/>
        <v>2.0312500000000001E-2</v>
      </c>
      <c r="AN237" s="27" t="s">
        <v>2584</v>
      </c>
      <c r="AO237" s="27">
        <v>5</v>
      </c>
      <c r="AP237" s="27">
        <v>9</v>
      </c>
      <c r="AQ237" s="27">
        <v>4</v>
      </c>
      <c r="AR237" s="27">
        <f>SUM(AO237:AQ237)</f>
        <v>18</v>
      </c>
      <c r="AS237" s="27" t="s">
        <v>5093</v>
      </c>
      <c r="AT237" s="27" t="s">
        <v>5094</v>
      </c>
      <c r="AU237" s="84" t="s">
        <v>4704</v>
      </c>
      <c r="AV237" s="77"/>
      <c r="AW237" s="77"/>
      <c r="AX237" s="77"/>
      <c r="AY237" s="77"/>
      <c r="AZ237" s="77"/>
      <c r="BA237" s="77"/>
      <c r="BB237" s="77"/>
      <c r="BC237" s="77"/>
      <c r="BD237" s="77"/>
      <c r="BE237" s="77"/>
      <c r="BF237" s="77"/>
      <c r="BG237" s="77"/>
      <c r="BH237" s="77"/>
      <c r="BI237" s="77"/>
      <c r="BJ237" s="77"/>
      <c r="BK237" s="77"/>
      <c r="BL237" s="77"/>
      <c r="BM237" s="77"/>
      <c r="BN237" s="71"/>
      <c r="BO237" s="71"/>
      <c r="BP237" s="71"/>
      <c r="BQ237" s="77"/>
      <c r="BR237" s="77"/>
      <c r="BS237" s="77"/>
      <c r="BT237" s="77"/>
      <c r="BU237" s="77"/>
      <c r="BV237" s="77"/>
      <c r="BW237" s="77"/>
      <c r="BX237" s="77"/>
      <c r="BY237" s="77"/>
      <c r="BZ237" s="77"/>
      <c r="CA237" s="77"/>
      <c r="CB237" s="77"/>
      <c r="CC237" s="77"/>
      <c r="CD237" s="77"/>
      <c r="CE237" s="77"/>
      <c r="CF237" s="77"/>
      <c r="CG237" s="77"/>
      <c r="CH237" s="77"/>
      <c r="CI237" s="77"/>
      <c r="CJ237" s="77"/>
      <c r="CK237" s="16"/>
      <c r="CL237" s="16"/>
      <c r="CM237" s="16"/>
      <c r="CN237" s="16"/>
      <c r="CO237" s="16"/>
      <c r="CP237" s="16"/>
      <c r="CQ237" s="16"/>
      <c r="CR237" s="16"/>
      <c r="CS237" s="16"/>
      <c r="CT237" s="16"/>
      <c r="CU237" s="16"/>
      <c r="CV237" s="16"/>
      <c r="CW237" s="16"/>
      <c r="CX237" s="77"/>
      <c r="CY237" s="77"/>
      <c r="CZ237" s="77"/>
      <c r="DA237" s="77"/>
      <c r="DB237" s="77"/>
      <c r="DC237" s="77"/>
      <c r="DD237" s="77"/>
      <c r="DE237" s="77"/>
      <c r="DF237" s="77"/>
      <c r="DG237" s="77"/>
      <c r="DH237" s="77"/>
      <c r="DI237" s="77"/>
      <c r="DJ237" s="77"/>
      <c r="DK237" s="77"/>
      <c r="DL237" s="77"/>
      <c r="DM237" s="77"/>
      <c r="DN237" s="77"/>
      <c r="DO237" s="77"/>
      <c r="DP237" s="77"/>
      <c r="DQ237" s="77"/>
      <c r="DR237" s="77"/>
      <c r="DS237" s="77"/>
      <c r="DT237" s="77"/>
      <c r="DU237" s="77"/>
      <c r="DV237" s="77"/>
      <c r="DW237" s="77"/>
      <c r="DX237" s="77"/>
      <c r="DY237" s="77"/>
      <c r="DZ237" s="77"/>
      <c r="EA237" s="77"/>
      <c r="EB237" s="77"/>
      <c r="EC237" s="77"/>
      <c r="ED237" s="77"/>
      <c r="EE237" s="77"/>
      <c r="EF237" s="77"/>
      <c r="EG237" s="77"/>
      <c r="EH237" s="77"/>
      <c r="EI237" s="77"/>
      <c r="EJ237" s="77"/>
      <c r="EK237" s="77"/>
      <c r="EL237" s="77"/>
      <c r="EM237" s="77"/>
      <c r="EN237" s="77"/>
      <c r="EO237" s="77"/>
      <c r="EP237" s="77"/>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HL237" s="77"/>
      <c r="HM237" s="77"/>
      <c r="HN237" s="77"/>
      <c r="HO237" s="77"/>
      <c r="HP237" s="77"/>
      <c r="HQ237" s="77"/>
      <c r="HR237" s="77"/>
      <c r="HS237" s="77"/>
      <c r="HT237" s="77"/>
      <c r="HU237" s="77"/>
      <c r="HV237" s="77"/>
      <c r="HW237" s="77"/>
      <c r="HX237" s="77"/>
      <c r="HY237" s="77"/>
      <c r="HZ237" s="77"/>
      <c r="IA237" s="77"/>
      <c r="IB237" s="77"/>
      <c r="IC237" s="77"/>
      <c r="ID237" s="77"/>
      <c r="IE237" s="77"/>
      <c r="JY237" s="77"/>
      <c r="JZ237" s="77"/>
      <c r="KA237" s="77"/>
      <c r="KB237" s="77"/>
      <c r="KC237" s="77"/>
      <c r="KD237" s="77"/>
      <c r="KE237" s="77"/>
      <c r="KF237" s="77"/>
      <c r="KG237" s="77"/>
      <c r="KH237" s="77"/>
      <c r="KI237" s="77"/>
      <c r="KJ237" s="77"/>
      <c r="KK237" s="77"/>
      <c r="KL237" s="77"/>
      <c r="KM237" s="77"/>
      <c r="KN237" s="77"/>
      <c r="KO237" s="77"/>
      <c r="KP237" s="77"/>
      <c r="KQ237" s="77"/>
      <c r="KR237" s="77"/>
      <c r="KS237" s="77"/>
      <c r="KT237" s="77"/>
      <c r="KU237" s="77"/>
      <c r="KV237" s="77"/>
      <c r="KW237" s="77"/>
      <c r="KX237" s="77"/>
      <c r="KY237" s="77"/>
      <c r="KZ237" s="77"/>
      <c r="LA237" s="77"/>
      <c r="LB237" s="77"/>
      <c r="LC237" s="77"/>
      <c r="LD237" s="77"/>
      <c r="LE237" s="77"/>
      <c r="LF237" s="77"/>
      <c r="LG237" s="77"/>
      <c r="LH237" s="77"/>
      <c r="LI237" s="77"/>
      <c r="LJ237" s="77"/>
      <c r="LK237" s="77"/>
      <c r="LL237" s="77"/>
      <c r="LM237" s="77"/>
      <c r="LN237" s="77"/>
      <c r="LO237" s="77"/>
      <c r="LP237" s="77"/>
      <c r="LQ237" s="77"/>
      <c r="LR237" s="77"/>
      <c r="LS237" s="77"/>
      <c r="LT237" s="77"/>
      <c r="LU237" s="77"/>
      <c r="LV237" s="77"/>
      <c r="LW237" s="77"/>
      <c r="LX237" s="77"/>
      <c r="MS237" s="77"/>
      <c r="ND237" s="77"/>
    </row>
    <row r="238" spans="1:421" ht="18.600000000000001" customHeight="1" x14ac:dyDescent="0.25">
      <c r="A238" s="119" t="s">
        <v>1366</v>
      </c>
      <c r="B238" s="27" t="s">
        <v>1367</v>
      </c>
      <c r="C238" s="27" t="s">
        <v>3856</v>
      </c>
      <c r="D238" s="30" t="str">
        <f>HYPERLINK("https://twitter.com/Israelipm_ar","https://twitter.com/Israelipm_ar")</f>
        <v>https://twitter.com/Israelipm_ar</v>
      </c>
      <c r="E238" s="30" t="str">
        <f>HYPERLINK("http://twiplomacy.com/info/asia/Israel","http://twiplomacy.com/info/asia/Israel")</f>
        <v>http://twiplomacy.com/info/asia/Israel</v>
      </c>
      <c r="F238" s="10" t="s">
        <v>154</v>
      </c>
      <c r="G238" s="10" t="s">
        <v>207</v>
      </c>
      <c r="H238" s="10" t="s">
        <v>788</v>
      </c>
      <c r="I238" s="10" t="s">
        <v>782</v>
      </c>
      <c r="J238" s="27" t="s">
        <v>789</v>
      </c>
      <c r="K238" s="15" t="s">
        <v>777</v>
      </c>
      <c r="L238" s="10" t="s">
        <v>771</v>
      </c>
      <c r="M238" s="10" t="s">
        <v>770</v>
      </c>
      <c r="N238" s="30" t="str">
        <f>HYPERLINK("https://twitter.com/Israelipm_ar/statuses/279298334823432193","https://twitter.com/Israelipm_ar/statuses/279298334823432193")</f>
        <v>https://twitter.com/Israelipm_ar/statuses/279298334823432193</v>
      </c>
      <c r="O238" s="27" t="s">
        <v>5883</v>
      </c>
      <c r="P238" s="80">
        <v>618</v>
      </c>
      <c r="Q238" s="80">
        <v>122</v>
      </c>
      <c r="R238" s="27" t="s">
        <v>2994</v>
      </c>
      <c r="S238" s="10" t="s">
        <v>1368</v>
      </c>
      <c r="T238" s="10" t="s">
        <v>771</v>
      </c>
      <c r="U238" s="10" t="s">
        <v>771</v>
      </c>
      <c r="V238" s="10" t="s">
        <v>771</v>
      </c>
      <c r="W238" s="10"/>
      <c r="X238" s="27" t="s">
        <v>1366</v>
      </c>
      <c r="Y238" s="27" t="s">
        <v>1367</v>
      </c>
      <c r="Z238" s="80">
        <v>4387</v>
      </c>
      <c r="AA238" s="27">
        <v>6</v>
      </c>
      <c r="AB238" s="80">
        <v>21027</v>
      </c>
      <c r="AC238" s="27">
        <v>0</v>
      </c>
      <c r="AD238" s="27" t="s">
        <v>3857</v>
      </c>
      <c r="AE238" s="27">
        <v>1009434428</v>
      </c>
      <c r="AF238" s="27" t="s">
        <v>3856</v>
      </c>
      <c r="AG238" s="27" t="s">
        <v>1369</v>
      </c>
      <c r="AH238" s="79">
        <v>3.55222672064777</v>
      </c>
      <c r="AI238" s="83">
        <v>3.9391727493917301</v>
      </c>
      <c r="AJ238" s="80">
        <v>3.2129746835442998</v>
      </c>
      <c r="AK238" s="80">
        <v>1.66677215189873</v>
      </c>
      <c r="AL238" s="27">
        <v>60</v>
      </c>
      <c r="AM238" s="97">
        <f t="shared" si="3"/>
        <v>1.8749999999999999E-2</v>
      </c>
      <c r="AN238" s="27" t="s">
        <v>1366</v>
      </c>
      <c r="AO238" s="27">
        <v>0</v>
      </c>
      <c r="AP238" s="27">
        <v>7</v>
      </c>
      <c r="AQ238" s="27">
        <v>2</v>
      </c>
      <c r="AR238" s="27">
        <f>SUM(AO238:AQ238)</f>
        <v>9</v>
      </c>
      <c r="AS238" s="27"/>
      <c r="AT238" s="27" t="s">
        <v>6752</v>
      </c>
      <c r="AU238" s="84" t="s">
        <v>4769</v>
      </c>
      <c r="AV238" s="77"/>
      <c r="AW238" s="77"/>
      <c r="AX238" s="77"/>
      <c r="AY238" s="77"/>
      <c r="AZ238" s="77"/>
      <c r="BA238" s="77"/>
      <c r="BB238" s="77"/>
      <c r="BC238" s="77"/>
      <c r="BD238" s="77"/>
      <c r="BE238" s="77"/>
      <c r="BF238" s="77"/>
      <c r="BG238" s="77"/>
      <c r="BH238" s="77"/>
      <c r="BI238" s="77"/>
      <c r="BJ238" s="77"/>
      <c r="BK238" s="77"/>
      <c r="BL238" s="77"/>
      <c r="BM238" s="77"/>
      <c r="BN238" s="77"/>
      <c r="BO238" s="77"/>
      <c r="BP238" s="77"/>
      <c r="CC238" s="77"/>
      <c r="CD238" s="77"/>
      <c r="CE238" s="77"/>
      <c r="CF238" s="77"/>
      <c r="CG238" s="77"/>
      <c r="CH238" s="77"/>
      <c r="CI238" s="77"/>
      <c r="CJ238" s="77"/>
      <c r="EM238" s="77"/>
      <c r="EN238" s="77"/>
      <c r="EO238" s="77"/>
      <c r="EP238" s="77"/>
      <c r="ER238" s="77"/>
      <c r="ES238" s="77"/>
      <c r="ET238" s="77"/>
      <c r="EU238" s="77"/>
      <c r="EV238" s="77"/>
      <c r="EW238" s="77"/>
      <c r="EX238" s="77"/>
      <c r="EY238" s="77"/>
      <c r="EZ238" s="77"/>
      <c r="FA238" s="77"/>
      <c r="FB238" s="77"/>
      <c r="FC238" s="77"/>
      <c r="FD238" s="77"/>
      <c r="FE238" s="77"/>
      <c r="FF238" s="77"/>
      <c r="FG238" s="77"/>
      <c r="FH238" s="77"/>
      <c r="FI238" s="77"/>
      <c r="FJ238" s="77"/>
      <c r="FK238" s="77"/>
      <c r="FL238" s="77"/>
      <c r="FM238" s="77"/>
      <c r="FN238" s="77"/>
      <c r="FO238" s="77"/>
      <c r="FP238" s="77"/>
      <c r="FQ238" s="77"/>
      <c r="FR238" s="77"/>
      <c r="FS238" s="77"/>
      <c r="FT238" s="77"/>
      <c r="FU238" s="77"/>
      <c r="FV238" s="77"/>
      <c r="FW238" s="77"/>
      <c r="FX238" s="77"/>
      <c r="FY238" s="77"/>
      <c r="FZ238" s="77"/>
      <c r="GA238" s="77"/>
      <c r="GB238" s="77"/>
      <c r="GC238" s="77"/>
      <c r="GD238" s="77"/>
      <c r="GE238" s="77"/>
      <c r="GF238" s="77"/>
      <c r="GG238" s="77"/>
      <c r="GH238" s="77"/>
      <c r="GI238" s="77"/>
      <c r="GJ238" s="77"/>
      <c r="GK238" s="77"/>
      <c r="GL238" s="77"/>
      <c r="GM238" s="77"/>
      <c r="GN238" s="77"/>
      <c r="GO238" s="77"/>
      <c r="GP238" s="77"/>
      <c r="GQ238" s="77"/>
      <c r="GR238" s="77"/>
      <c r="GS238" s="77"/>
      <c r="GT238" s="77"/>
      <c r="GU238" s="77"/>
      <c r="GV238" s="77"/>
      <c r="GW238" s="77"/>
      <c r="GX238" s="77"/>
      <c r="GY238" s="77"/>
      <c r="GZ238" s="77"/>
      <c r="HA238" s="77"/>
      <c r="HB238" s="77"/>
      <c r="HC238" s="77"/>
      <c r="HD238" s="77"/>
      <c r="HE238" s="77"/>
      <c r="HF238" s="77"/>
      <c r="HG238" s="77"/>
      <c r="HH238" s="77"/>
      <c r="HI238" s="77"/>
      <c r="HJ238" s="77"/>
      <c r="HK238" s="77"/>
      <c r="HL238" s="16"/>
      <c r="HM238" s="16"/>
      <c r="HN238" s="16"/>
      <c r="HO238" s="16"/>
      <c r="HP238" s="16"/>
      <c r="HQ238" s="16"/>
      <c r="HR238" s="16"/>
      <c r="HS238" s="16"/>
      <c r="HT238" s="16"/>
      <c r="HU238" s="16"/>
      <c r="HV238" s="16"/>
      <c r="HW238" s="16"/>
      <c r="HX238" s="16"/>
      <c r="HY238" s="16"/>
      <c r="HZ238" s="16"/>
      <c r="IA238" s="16"/>
      <c r="IB238" s="16"/>
      <c r="IC238" s="16"/>
      <c r="ID238" s="77"/>
      <c r="IE238" s="77"/>
      <c r="IF238" s="77"/>
      <c r="IG238" s="77"/>
      <c r="IH238" s="77"/>
      <c r="II238" s="77"/>
      <c r="IJ238" s="77"/>
      <c r="IK238" s="77"/>
      <c r="IL238" s="77"/>
      <c r="IM238" s="77"/>
      <c r="IN238" s="77"/>
      <c r="IO238" s="77"/>
      <c r="IP238" s="77"/>
      <c r="IQ238" s="77"/>
      <c r="IR238" s="77"/>
      <c r="IS238" s="77"/>
      <c r="IT238" s="77"/>
      <c r="IU238" s="77"/>
      <c r="IV238" s="77"/>
      <c r="IW238" s="77"/>
      <c r="IX238" s="77"/>
      <c r="IY238" s="77"/>
      <c r="IZ238" s="77"/>
      <c r="JA238" s="77"/>
      <c r="JB238" s="77"/>
      <c r="JC238" s="77"/>
      <c r="JD238" s="77"/>
      <c r="JE238" s="77"/>
      <c r="JF238" s="77"/>
      <c r="JG238" s="77"/>
      <c r="JH238" s="77"/>
      <c r="JI238" s="77"/>
      <c r="JJ238" s="77"/>
      <c r="JK238" s="77"/>
      <c r="JL238" s="77"/>
      <c r="JM238" s="77"/>
      <c r="JN238" s="77"/>
      <c r="JO238" s="77"/>
      <c r="JP238" s="77"/>
      <c r="JQ238" s="77"/>
      <c r="JR238" s="77"/>
      <c r="JS238" s="77"/>
      <c r="JT238" s="77"/>
      <c r="JU238" s="77"/>
      <c r="JV238" s="77"/>
      <c r="JW238" s="77"/>
      <c r="JX238" s="77"/>
      <c r="LW238" s="77"/>
      <c r="LX238" s="77"/>
    </row>
    <row r="239" spans="1:421" ht="18.600000000000001" customHeight="1" x14ac:dyDescent="0.25">
      <c r="A239" s="119" t="s">
        <v>183</v>
      </c>
      <c r="B239" s="27" t="s">
        <v>1280</v>
      </c>
      <c r="C239" s="27" t="s">
        <v>1281</v>
      </c>
      <c r="D239" s="30" t="str">
        <f>HYPERLINK("https://twitter.com/RashtrapatiBhvn","https://twitter.com/RashtrapatiBhvn")</f>
        <v>https://twitter.com/RashtrapatiBhvn</v>
      </c>
      <c r="E239" s="30" t="str">
        <f>HYPERLINK("http://twiplomacy.com/info/asia/India","http://twiplomacy.com/info/asia/India")</f>
        <v>http://twiplomacy.com/info/asia/India</v>
      </c>
      <c r="F239" s="10" t="s">
        <v>154</v>
      </c>
      <c r="G239" s="10" t="s">
        <v>182</v>
      </c>
      <c r="H239" s="10" t="s">
        <v>781</v>
      </c>
      <c r="I239" s="10" t="s">
        <v>782</v>
      </c>
      <c r="J239" s="27" t="s">
        <v>814</v>
      </c>
      <c r="K239" s="15" t="s">
        <v>777</v>
      </c>
      <c r="L239" s="10" t="s">
        <v>771</v>
      </c>
      <c r="M239" s="10" t="s">
        <v>770</v>
      </c>
      <c r="N239" s="30" t="str">
        <f>HYPERLINK("https://twitter.com/RashtrapatiBhvn/status/483899889462419456","https://twitter.com/RashtrapatiBhvn/status/483899889462419456")</f>
        <v>https://twitter.com/RashtrapatiBhvn/status/483899889462419456</v>
      </c>
      <c r="O239" s="20" t="s">
        <v>1282</v>
      </c>
      <c r="P239" s="46">
        <v>5561</v>
      </c>
      <c r="Q239" s="46">
        <v>5449</v>
      </c>
      <c r="R239" s="27" t="s">
        <v>2994</v>
      </c>
      <c r="S239" s="30" t="str">
        <f>HYPERLINK("https://twitter.com/RashtrapatiBhvn/lists","https://twitter.com/RashtrapatiBhvn/lists")</f>
        <v>https://twitter.com/RashtrapatiBhvn/lists</v>
      </c>
      <c r="T239" s="10" t="s">
        <v>771</v>
      </c>
      <c r="U239" s="10" t="s">
        <v>771</v>
      </c>
      <c r="V239" s="10" t="s">
        <v>771</v>
      </c>
      <c r="W239" s="10"/>
      <c r="X239" s="27" t="s">
        <v>183</v>
      </c>
      <c r="Y239" s="27" t="s">
        <v>1280</v>
      </c>
      <c r="Z239" s="80">
        <v>4365</v>
      </c>
      <c r="AA239" s="27">
        <v>0</v>
      </c>
      <c r="AB239" s="80">
        <v>1647508</v>
      </c>
      <c r="AC239" s="27">
        <v>4</v>
      </c>
      <c r="AD239" s="27" t="s">
        <v>4404</v>
      </c>
      <c r="AE239" s="27">
        <v>2597413135</v>
      </c>
      <c r="AF239" s="27" t="s">
        <v>1281</v>
      </c>
      <c r="AG239" s="27" t="s">
        <v>1283</v>
      </c>
      <c r="AH239" s="79">
        <v>6.50521609538003</v>
      </c>
      <c r="AI239" s="83">
        <v>7.47235023041475</v>
      </c>
      <c r="AJ239" s="80">
        <v>86.839555692687398</v>
      </c>
      <c r="AK239" s="80">
        <v>157.74853440296201</v>
      </c>
      <c r="AL239" s="27">
        <v>2</v>
      </c>
      <c r="AM239" s="97">
        <f t="shared" si="3"/>
        <v>6.2500000000000001E-4</v>
      </c>
      <c r="AN239" s="27" t="s">
        <v>183</v>
      </c>
      <c r="AO239" s="27">
        <v>0</v>
      </c>
      <c r="AP239" s="27">
        <v>23</v>
      </c>
      <c r="AQ239" s="27">
        <v>0</v>
      </c>
      <c r="AR239" s="27">
        <f>SUM(AO239:AQ239)</f>
        <v>23</v>
      </c>
      <c r="AS239" s="27"/>
      <c r="AT239" s="27" t="s">
        <v>6337</v>
      </c>
      <c r="AU239" s="84"/>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EM239" s="77"/>
      <c r="EN239" s="77"/>
      <c r="EO239" s="77"/>
      <c r="EP239" s="77"/>
      <c r="EQ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row>
    <row r="240" spans="1:421" s="16" customFormat="1" ht="18.600000000000001" customHeight="1" x14ac:dyDescent="0.25">
      <c r="A240" s="119" t="s">
        <v>3321</v>
      </c>
      <c r="B240" s="27" t="s">
        <v>3462</v>
      </c>
      <c r="C240" s="27" t="s">
        <v>3463</v>
      </c>
      <c r="D240" s="30" t="str">
        <f>HYPERLINK("https://twitter.com/AndrewHolnessJM","https://twitter.com/AndrewHolnessJM")</f>
        <v>https://twitter.com/AndrewHolnessJM</v>
      </c>
      <c r="E240" s="30" t="str">
        <f>HYPERLINK("http://twiplomacy.com/info/north-america/Jamaica","http://twiplomacy.com/info/north-america/Jamaica")</f>
        <v>http://twiplomacy.com/info/north-america/Jamaica</v>
      </c>
      <c r="F240" s="10" t="s">
        <v>558</v>
      </c>
      <c r="G240" s="10" t="s">
        <v>609</v>
      </c>
      <c r="H240" s="10" t="s">
        <v>776</v>
      </c>
      <c r="I240" s="10" t="s">
        <v>773</v>
      </c>
      <c r="J240" s="27" t="s">
        <v>789</v>
      </c>
      <c r="K240" s="15" t="s">
        <v>777</v>
      </c>
      <c r="L240" s="10" t="s">
        <v>771</v>
      </c>
      <c r="M240" s="10" t="s">
        <v>770</v>
      </c>
      <c r="N240" s="30" t="s">
        <v>3324</v>
      </c>
      <c r="O240" s="27" t="s">
        <v>3323</v>
      </c>
      <c r="P240" s="80">
        <v>457</v>
      </c>
      <c r="Q240" s="80">
        <v>630</v>
      </c>
      <c r="R240" s="27" t="s">
        <v>2995</v>
      </c>
      <c r="S240" s="12" t="s">
        <v>3322</v>
      </c>
      <c r="T240" s="10" t="s">
        <v>771</v>
      </c>
      <c r="U240" s="10" t="s">
        <v>771</v>
      </c>
      <c r="V240" s="10" t="s">
        <v>771</v>
      </c>
      <c r="W240" s="73"/>
      <c r="X240" s="27" t="s">
        <v>3321</v>
      </c>
      <c r="Y240" s="27" t="s">
        <v>3462</v>
      </c>
      <c r="Z240" s="80">
        <v>4338</v>
      </c>
      <c r="AA240" s="27">
        <v>145</v>
      </c>
      <c r="AB240" s="80">
        <v>16390</v>
      </c>
      <c r="AC240" s="27">
        <v>28</v>
      </c>
      <c r="AD240" s="27" t="s">
        <v>3464</v>
      </c>
      <c r="AE240" s="27">
        <v>382671909</v>
      </c>
      <c r="AF240" s="27" t="s">
        <v>3463</v>
      </c>
      <c r="AG240" s="27" t="s">
        <v>609</v>
      </c>
      <c r="AH240" s="79">
        <v>2.58830548926014</v>
      </c>
      <c r="AI240" s="83">
        <v>3.5447513812154701</v>
      </c>
      <c r="AJ240" s="80">
        <v>5.5620104438642297</v>
      </c>
      <c r="AK240" s="80">
        <v>4.8146214099216698</v>
      </c>
      <c r="AL240" s="96">
        <v>193</v>
      </c>
      <c r="AM240" s="97">
        <f t="shared" si="3"/>
        <v>6.0312499999999998E-2</v>
      </c>
      <c r="AN240" s="27" t="s">
        <v>3321</v>
      </c>
      <c r="AO240" s="27">
        <v>0</v>
      </c>
      <c r="AP240" s="27">
        <v>1</v>
      </c>
      <c r="AQ240" s="27">
        <v>0</v>
      </c>
      <c r="AR240" s="27">
        <f>SUM(AO240:AQ240)</f>
        <v>1</v>
      </c>
      <c r="AS240" s="27"/>
      <c r="AT240" s="27" t="s">
        <v>610</v>
      </c>
      <c r="AU240" s="84"/>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c r="BX240" s="77"/>
      <c r="BY240" s="77"/>
      <c r="BZ240" s="77"/>
      <c r="CA240" s="77"/>
      <c r="CB240" s="77"/>
      <c r="CC240" s="77"/>
      <c r="CD240" s="77"/>
      <c r="CE240" s="77"/>
      <c r="CF240" s="77"/>
      <c r="CG240" s="77"/>
      <c r="CH240" s="77"/>
      <c r="CI240" s="77"/>
      <c r="CJ240" s="77"/>
      <c r="CK240" s="77"/>
      <c r="CL240" s="77"/>
      <c r="CM240" s="77"/>
      <c r="CN240" s="77"/>
      <c r="CO240" s="77"/>
      <c r="CP240" s="77"/>
      <c r="CQ240" s="77"/>
      <c r="CR240" s="77"/>
      <c r="CS240" s="77"/>
      <c r="CT240" s="77"/>
      <c r="CU240" s="77"/>
      <c r="CV240" s="77"/>
      <c r="CW240" s="77"/>
      <c r="CX240" s="77"/>
      <c r="CY240" s="77"/>
      <c r="CZ240" s="77"/>
      <c r="DA240" s="77"/>
      <c r="DB240" s="77"/>
      <c r="DC240" s="77"/>
      <c r="DD240" s="77"/>
      <c r="DE240" s="77"/>
      <c r="DF240" s="77"/>
      <c r="DG240" s="77"/>
      <c r="DH240" s="77"/>
      <c r="DI240" s="77"/>
      <c r="DJ240" s="77"/>
      <c r="DK240" s="77"/>
      <c r="DL240" s="77"/>
      <c r="DM240" s="77"/>
      <c r="DN240" s="77"/>
      <c r="DO240" s="77"/>
      <c r="DP240" s="77"/>
      <c r="DQ240" s="77"/>
      <c r="DR240" s="77"/>
      <c r="DS240" s="77"/>
      <c r="DT240" s="77"/>
      <c r="DU240" s="77"/>
      <c r="DV240" s="77"/>
      <c r="DW240" s="77"/>
      <c r="DX240" s="77"/>
      <c r="DY240" s="77"/>
      <c r="DZ240" s="77"/>
      <c r="EA240" s="77"/>
      <c r="EB240" s="77"/>
      <c r="EC240" s="77"/>
      <c r="ED240" s="77"/>
      <c r="EE240" s="77"/>
      <c r="EF240" s="77"/>
      <c r="EG240" s="77"/>
      <c r="EH240" s="77"/>
      <c r="EI240" s="77"/>
      <c r="EJ240" s="77"/>
      <c r="EK240" s="77"/>
      <c r="EL240" s="77"/>
      <c r="EM240" s="77"/>
      <c r="EN240" s="77"/>
      <c r="EO240" s="77"/>
      <c r="EP240" s="77"/>
      <c r="EQ240" s="77"/>
      <c r="ER240" s="77"/>
      <c r="ES240" s="77"/>
      <c r="ET240" s="77"/>
      <c r="EU240" s="77"/>
      <c r="EV240" s="77"/>
      <c r="EW240" s="77"/>
      <c r="EX240" s="77"/>
      <c r="EY240" s="77"/>
      <c r="EZ240" s="77"/>
      <c r="FA240" s="77"/>
      <c r="FB240" s="77"/>
      <c r="FC240" s="77"/>
      <c r="FD240" s="77"/>
      <c r="FE240" s="77"/>
      <c r="FF240" s="77"/>
      <c r="FG240" s="77"/>
      <c r="FH240" s="77"/>
      <c r="FI240" s="77"/>
      <c r="FJ240" s="77"/>
      <c r="FK240" s="77"/>
      <c r="FL240" s="77"/>
      <c r="FM240" s="77"/>
      <c r="FN240" s="77"/>
      <c r="FO240" s="77"/>
      <c r="FP240" s="77"/>
      <c r="FQ240" s="77"/>
      <c r="FR240" s="77"/>
      <c r="FS240" s="77"/>
      <c r="FT240" s="77"/>
      <c r="FU240" s="77"/>
      <c r="FV240" s="77"/>
      <c r="FW240" s="77"/>
      <c r="FX240" s="77"/>
      <c r="FY240" s="77"/>
      <c r="FZ240" s="77"/>
      <c r="GA240" s="77"/>
      <c r="GB240" s="77"/>
      <c r="GC240" s="77"/>
      <c r="GD240" s="77"/>
      <c r="GE240" s="77"/>
      <c r="GF240" s="77"/>
      <c r="GG240" s="77"/>
      <c r="GH240" s="77"/>
      <c r="GI240" s="77"/>
      <c r="GJ240" s="77"/>
      <c r="GK240" s="77"/>
      <c r="GL240" s="77"/>
      <c r="GM240" s="77"/>
      <c r="GN240" s="77"/>
      <c r="GO240" s="77"/>
      <c r="GP240" s="77"/>
      <c r="GQ240" s="77"/>
      <c r="GR240" s="77"/>
      <c r="GS240" s="77"/>
      <c r="GT240" s="77"/>
      <c r="GU240" s="77"/>
      <c r="GV240" s="77"/>
      <c r="GW240" s="77"/>
      <c r="GX240" s="77"/>
      <c r="GY240" s="77"/>
      <c r="GZ240" s="77"/>
      <c r="HA240" s="77"/>
      <c r="HB240" s="77"/>
      <c r="HC240" s="77"/>
      <c r="HD240" s="77"/>
      <c r="HE240" s="77"/>
      <c r="HF240" s="77"/>
      <c r="HG240" s="77"/>
      <c r="HH240" s="77"/>
      <c r="HI240" s="77"/>
      <c r="HJ240" s="77"/>
      <c r="HK240" s="77"/>
      <c r="HL240" s="77"/>
      <c r="HM240" s="77"/>
      <c r="HN240" s="77"/>
      <c r="HO240" s="77"/>
      <c r="HP240" s="77"/>
      <c r="HQ240" s="77"/>
      <c r="HR240" s="77"/>
      <c r="HS240" s="77"/>
      <c r="HT240" s="77"/>
      <c r="HU240" s="77"/>
      <c r="HV240" s="77"/>
      <c r="HW240" s="77"/>
      <c r="HX240" s="77"/>
      <c r="HY240" s="77"/>
      <c r="HZ240" s="77"/>
      <c r="IA240" s="77"/>
      <c r="IB240" s="77"/>
      <c r="IC240" s="77"/>
      <c r="ID240" s="77"/>
      <c r="IE240" s="77"/>
      <c r="IF240" s="77"/>
      <c r="IG240" s="77"/>
      <c r="IH240" s="77"/>
      <c r="II240" s="77"/>
      <c r="IJ240" s="77"/>
      <c r="IK240" s="77"/>
      <c r="IL240" s="77"/>
      <c r="IM240" s="77"/>
      <c r="IN240" s="77"/>
      <c r="IO240" s="77"/>
      <c r="IP240" s="77"/>
      <c r="IQ240" s="77"/>
      <c r="IR240" s="77"/>
      <c r="IS240" s="77"/>
      <c r="IT240" s="77"/>
      <c r="IU240" s="77"/>
      <c r="IV240" s="77"/>
      <c r="IW240" s="77"/>
      <c r="IX240" s="77"/>
      <c r="IY240" s="77"/>
      <c r="IZ240" s="77"/>
      <c r="JA240" s="77"/>
      <c r="JB240" s="77"/>
      <c r="JC240" s="77"/>
      <c r="JD240" s="77"/>
      <c r="JE240" s="77"/>
      <c r="JF240" s="77"/>
      <c r="JG240" s="77"/>
      <c r="JH240" s="77"/>
      <c r="JI240" s="77"/>
      <c r="JJ240" s="77"/>
      <c r="JK240" s="77"/>
      <c r="JL240" s="77"/>
      <c r="JM240" s="77"/>
      <c r="JN240" s="77"/>
      <c r="JO240" s="77"/>
      <c r="JP240" s="77"/>
      <c r="JQ240" s="77"/>
      <c r="JR240" s="77"/>
      <c r="JS240" s="77"/>
      <c r="JT240" s="77"/>
      <c r="JU240" s="77"/>
      <c r="JV240" s="77"/>
      <c r="JW240" s="77"/>
      <c r="JX240" s="77"/>
      <c r="JY240" s="77"/>
      <c r="JZ240" s="77"/>
      <c r="KA240" s="77"/>
      <c r="KB240" s="77"/>
      <c r="KC240" s="77"/>
      <c r="KD240" s="77"/>
      <c r="KE240" s="77"/>
      <c r="KF240" s="77"/>
      <c r="KG240" s="77"/>
      <c r="KH240" s="77"/>
      <c r="KI240" s="77"/>
      <c r="KJ240" s="77"/>
      <c r="KK240" s="77"/>
      <c r="KL240" s="77"/>
      <c r="KM240" s="77"/>
      <c r="KN240" s="77"/>
      <c r="KO240" s="77"/>
      <c r="KP240" s="77"/>
      <c r="KQ240" s="77"/>
      <c r="KR240" s="77"/>
      <c r="KS240" s="77"/>
      <c r="KT240" s="77"/>
      <c r="KU240" s="77"/>
      <c r="KV240" s="77"/>
      <c r="KW240" s="77"/>
      <c r="KX240" s="77"/>
      <c r="KY240" s="77"/>
      <c r="KZ240" s="77"/>
      <c r="LA240" s="77"/>
      <c r="LB240" s="77"/>
      <c r="LC240" s="77"/>
      <c r="LD240" s="77"/>
      <c r="LE240" s="77"/>
      <c r="LF240" s="77"/>
      <c r="LG240" s="77"/>
      <c r="LH240" s="77"/>
      <c r="LI240" s="77"/>
      <c r="LJ240" s="77"/>
      <c r="LK240" s="77"/>
      <c r="LL240" s="77"/>
      <c r="LM240" s="77"/>
      <c r="LN240" s="77"/>
      <c r="LO240" s="77"/>
      <c r="LP240" s="77"/>
      <c r="LQ240" s="77"/>
      <c r="LR240" s="77"/>
      <c r="LS240" s="77"/>
      <c r="LT240" s="77"/>
      <c r="LU240" s="77"/>
      <c r="LV240" s="77"/>
      <c r="LW240" s="77"/>
      <c r="LX240" s="77"/>
      <c r="LY240" s="77"/>
      <c r="LZ240" s="77"/>
      <c r="MA240" s="77"/>
      <c r="MB240" s="77"/>
      <c r="MC240" s="77"/>
      <c r="MD240" s="77"/>
      <c r="ME240" s="77"/>
      <c r="MF240" s="77"/>
      <c r="MG240" s="77"/>
      <c r="MH240" s="77"/>
      <c r="MI240" s="77"/>
      <c r="MJ240" s="77"/>
      <c r="MK240" s="77"/>
      <c r="ML240" s="77"/>
      <c r="MM240" s="77"/>
      <c r="MN240" s="77"/>
      <c r="MO240" s="77"/>
      <c r="MP240" s="77"/>
      <c r="MQ240" s="77"/>
      <c r="MR240" s="77"/>
      <c r="MT240" s="77"/>
      <c r="MU240" s="77"/>
      <c r="MV240" s="77"/>
      <c r="MW240" s="77"/>
      <c r="MX240" s="77"/>
      <c r="MY240" s="77"/>
      <c r="MZ240" s="77"/>
      <c r="NA240" s="77"/>
      <c r="NB240" s="77"/>
      <c r="NC240" s="77"/>
      <c r="ND240" s="77"/>
      <c r="NE240" s="77"/>
      <c r="NF240" s="77"/>
      <c r="NG240" s="77"/>
      <c r="NH240" s="77"/>
      <c r="NI240" s="77"/>
      <c r="NJ240" s="77"/>
      <c r="NK240" s="77"/>
      <c r="NL240" s="77"/>
      <c r="NM240" s="77"/>
      <c r="NN240" s="77"/>
      <c r="NO240" s="77"/>
      <c r="NP240" s="77"/>
      <c r="NQ240" s="77"/>
      <c r="NR240" s="77"/>
      <c r="NS240" s="77"/>
      <c r="NT240" s="77"/>
      <c r="NU240" s="77"/>
      <c r="NV240" s="77"/>
      <c r="NW240" s="77"/>
      <c r="NX240" s="77"/>
      <c r="NY240" s="77"/>
      <c r="NZ240" s="77"/>
      <c r="OA240" s="77"/>
      <c r="OB240" s="77"/>
      <c r="OC240" s="77"/>
      <c r="OD240" s="77"/>
      <c r="OE240" s="77"/>
      <c r="OF240" s="77"/>
      <c r="OG240" s="77"/>
      <c r="OH240" s="77"/>
      <c r="OI240" s="77"/>
      <c r="OJ240" s="77"/>
      <c r="OK240" s="77"/>
      <c r="OL240" s="77"/>
      <c r="OM240" s="77"/>
      <c r="ON240" s="77"/>
      <c r="OO240" s="77"/>
      <c r="OP240" s="77"/>
      <c r="OQ240" s="77"/>
      <c r="OR240" s="77"/>
      <c r="OS240" s="77"/>
      <c r="OT240" s="77"/>
      <c r="OU240" s="77"/>
      <c r="OV240" s="77"/>
      <c r="OW240" s="77"/>
      <c r="OX240" s="77"/>
      <c r="OY240" s="77"/>
      <c r="OZ240" s="77"/>
      <c r="PA240" s="77"/>
      <c r="PB240" s="77"/>
      <c r="PC240" s="77"/>
      <c r="PD240" s="77"/>
      <c r="PE240" s="77"/>
    </row>
    <row r="241" spans="1:421" ht="18.600000000000001" customHeight="1" x14ac:dyDescent="0.25">
      <c r="A241" s="119" t="s">
        <v>1840</v>
      </c>
      <c r="B241" s="27" t="s">
        <v>1835</v>
      </c>
      <c r="C241" s="27" t="s">
        <v>1841</v>
      </c>
      <c r="D241" s="30" t="str">
        <f>HYPERLINK("https://twitter.com/eucopresident","https://twitter.com/eucopresident")</f>
        <v>https://twitter.com/eucopresident</v>
      </c>
      <c r="E241" s="30" t="str">
        <f>HYPERLINK("http://twiplomacy.com/info/europe/Europe","http://twiplomacy.com/info/europe/Europe")</f>
        <v>http://twiplomacy.com/info/europe/Europe</v>
      </c>
      <c r="F241" s="10" t="s">
        <v>332</v>
      </c>
      <c r="G241" s="10" t="s">
        <v>1837</v>
      </c>
      <c r="H241" s="10" t="s">
        <v>1838</v>
      </c>
      <c r="I241" s="10" t="s">
        <v>773</v>
      </c>
      <c r="J241" s="27" t="s">
        <v>789</v>
      </c>
      <c r="K241" s="15" t="s">
        <v>777</v>
      </c>
      <c r="L241" s="10" t="s">
        <v>771</v>
      </c>
      <c r="M241" s="10" t="s">
        <v>770</v>
      </c>
      <c r="N241" s="30" t="str">
        <f>HYPERLINK("https://twitter.com/eucopresident/statuses/28774925016","https://twitter.com/eucopresident/statuses/28774925016")</f>
        <v>https://twitter.com/eucopresident/statuses/28774925016</v>
      </c>
      <c r="O241" s="27" t="s">
        <v>5749</v>
      </c>
      <c r="P241" s="80">
        <v>6711</v>
      </c>
      <c r="Q241" s="80">
        <v>1848</v>
      </c>
      <c r="R241" s="27" t="s">
        <v>2994</v>
      </c>
      <c r="S241" s="30" t="str">
        <f>HYPERLINK("https://twitter.com/eucopresident/lists","https://twitter.com/eucopresident/lists")</f>
        <v>https://twitter.com/eucopresident/lists</v>
      </c>
      <c r="T241" s="10" t="s">
        <v>771</v>
      </c>
      <c r="U241" s="10">
        <v>3</v>
      </c>
      <c r="V241" s="10" t="s">
        <v>771</v>
      </c>
      <c r="W241" s="10"/>
      <c r="X241" s="27" t="s">
        <v>1840</v>
      </c>
      <c r="Y241" s="27" t="s">
        <v>1835</v>
      </c>
      <c r="Z241" s="80">
        <v>4287</v>
      </c>
      <c r="AA241" s="27">
        <v>356</v>
      </c>
      <c r="AB241" s="80">
        <v>356580</v>
      </c>
      <c r="AC241" s="27">
        <v>10</v>
      </c>
      <c r="AD241" s="27" t="s">
        <v>3665</v>
      </c>
      <c r="AE241" s="27">
        <v>196994616</v>
      </c>
      <c r="AF241" s="27" t="s">
        <v>1841</v>
      </c>
      <c r="AG241" s="27" t="s">
        <v>1837</v>
      </c>
      <c r="AH241" s="79">
        <v>2.1004409603135699</v>
      </c>
      <c r="AI241" s="83">
        <v>2.15394912985274</v>
      </c>
      <c r="AJ241" s="80">
        <v>51.194318915429299</v>
      </c>
      <c r="AK241" s="80">
        <v>27.2911555842479</v>
      </c>
      <c r="AL241" s="27">
        <v>26</v>
      </c>
      <c r="AM241" s="97">
        <f t="shared" si="3"/>
        <v>8.1250000000000003E-3</v>
      </c>
      <c r="AN241" s="27" t="s">
        <v>1840</v>
      </c>
      <c r="AO241" s="27">
        <v>41</v>
      </c>
      <c r="AP241" s="27">
        <v>119</v>
      </c>
      <c r="AQ241" s="27">
        <v>42</v>
      </c>
      <c r="AR241" s="27">
        <f>SUM(AO241:AQ241)</f>
        <v>202</v>
      </c>
      <c r="AS241" s="27" t="s">
        <v>6641</v>
      </c>
      <c r="AT241" s="27" t="s">
        <v>6714</v>
      </c>
      <c r="AU241" s="84" t="s">
        <v>6481</v>
      </c>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c r="BZ241" s="77"/>
      <c r="CA241" s="77"/>
      <c r="CB241" s="77"/>
      <c r="CC241" s="77"/>
      <c r="CD241" s="77"/>
      <c r="CE241" s="77"/>
      <c r="CF241" s="77"/>
      <c r="CG241" s="77"/>
      <c r="CH241" s="77"/>
      <c r="CI241" s="77"/>
      <c r="CJ241" s="77"/>
      <c r="CK241" s="77"/>
      <c r="CL241" s="77"/>
      <c r="CM241" s="77"/>
      <c r="CN241" s="77"/>
      <c r="CO241" s="77"/>
      <c r="CP241" s="77"/>
      <c r="CQ241" s="77"/>
      <c r="CR241" s="77"/>
      <c r="CS241" s="77"/>
      <c r="CT241" s="77"/>
      <c r="CU241" s="77"/>
      <c r="CV241" s="77"/>
      <c r="CW241" s="77"/>
      <c r="CX241" s="77"/>
      <c r="CY241" s="77"/>
      <c r="CZ241" s="77"/>
      <c r="DA241" s="77"/>
      <c r="DB241" s="77"/>
      <c r="DC241" s="77"/>
      <c r="DD241" s="77"/>
      <c r="DE241" s="77"/>
      <c r="DF241" s="77"/>
      <c r="DG241" s="77"/>
      <c r="DH241" s="77"/>
      <c r="DI241" s="77"/>
      <c r="DJ241" s="77"/>
      <c r="DK241" s="77"/>
      <c r="DL241" s="77"/>
      <c r="DM241" s="77"/>
      <c r="DN241" s="77"/>
      <c r="DO241" s="77"/>
      <c r="DP241" s="77"/>
      <c r="DQ241" s="77"/>
      <c r="DR241" s="77"/>
      <c r="DS241" s="77"/>
      <c r="DT241" s="77"/>
      <c r="DU241" s="77"/>
      <c r="DV241" s="77"/>
      <c r="DW241" s="77"/>
      <c r="DX241" s="77"/>
      <c r="DY241" s="77"/>
      <c r="DZ241" s="77"/>
      <c r="EA241" s="77"/>
      <c r="EB241" s="77"/>
      <c r="EC241" s="77"/>
      <c r="ED241" s="77"/>
      <c r="EE241" s="77"/>
      <c r="EF241" s="77"/>
      <c r="EG241" s="77"/>
      <c r="EH241" s="77"/>
      <c r="EI241" s="77"/>
      <c r="EJ241" s="77"/>
      <c r="EK241" s="77"/>
      <c r="EL241" s="77"/>
      <c r="EM241" s="77"/>
      <c r="EN241" s="77"/>
      <c r="EO241" s="77"/>
      <c r="EP241" s="77"/>
      <c r="ER241" s="77"/>
      <c r="ES241" s="77"/>
      <c r="ET241" s="77"/>
      <c r="EU241" s="77"/>
      <c r="EV241" s="77"/>
      <c r="EW241" s="77"/>
      <c r="EX241" s="77"/>
      <c r="EY241" s="77"/>
      <c r="EZ241" s="77"/>
      <c r="FA241" s="77"/>
      <c r="FB241" s="77"/>
      <c r="FC241" s="77"/>
      <c r="FD241" s="77"/>
      <c r="FE241" s="77"/>
      <c r="FF241" s="77"/>
      <c r="FG241" s="77"/>
      <c r="FH241" s="77"/>
      <c r="FI241" s="77"/>
      <c r="FJ241" s="77"/>
      <c r="FK241" s="77"/>
      <c r="FL241" s="77"/>
      <c r="FM241" s="77"/>
      <c r="FN241" s="77"/>
      <c r="FO241" s="77"/>
      <c r="FP241" s="77"/>
      <c r="FQ241" s="77"/>
      <c r="FR241" s="77"/>
      <c r="FS241" s="77"/>
      <c r="FT241" s="77"/>
      <c r="FU241" s="77"/>
      <c r="FV241" s="77"/>
      <c r="FW241" s="77"/>
      <c r="FX241" s="77"/>
      <c r="FY241" s="77"/>
      <c r="FZ241" s="77"/>
      <c r="GA241" s="77"/>
      <c r="GB241" s="77"/>
      <c r="GC241" s="77"/>
      <c r="GD241" s="77"/>
      <c r="GE241" s="77"/>
      <c r="GF241" s="77"/>
      <c r="GG241" s="77"/>
      <c r="GH241" s="77"/>
      <c r="GI241" s="77"/>
      <c r="GJ241" s="77"/>
      <c r="GK241" s="77"/>
      <c r="GL241" s="77"/>
      <c r="GM241" s="77"/>
      <c r="GN241" s="77"/>
      <c r="GO241" s="77"/>
      <c r="GP241" s="77"/>
      <c r="GQ241" s="77"/>
      <c r="GR241" s="77"/>
      <c r="GS241" s="77"/>
      <c r="GT241" s="77"/>
      <c r="GU241" s="77"/>
      <c r="GV241" s="77"/>
      <c r="GW241" s="77"/>
      <c r="GX241" s="77"/>
      <c r="GY241" s="77"/>
      <c r="GZ241" s="77"/>
      <c r="HA241" s="77"/>
      <c r="HB241" s="77"/>
      <c r="HC241" s="77"/>
      <c r="HD241" s="77"/>
      <c r="HE241" s="77"/>
      <c r="HF241" s="77"/>
      <c r="HG241" s="77"/>
      <c r="HH241" s="77"/>
      <c r="HI241" s="77"/>
      <c r="HJ241" s="77"/>
      <c r="HK241" s="77"/>
      <c r="ID241" s="77"/>
      <c r="IE241" s="77"/>
      <c r="IF241" s="16"/>
      <c r="IG241" s="16"/>
      <c r="IH241" s="16"/>
      <c r="II241" s="16"/>
      <c r="IJ241" s="16"/>
      <c r="IK241" s="16"/>
      <c r="IL241" s="16"/>
      <c r="IM241" s="16"/>
      <c r="IN241" s="16"/>
      <c r="IO241" s="16"/>
      <c r="IP241" s="16"/>
      <c r="IQ241" s="16"/>
      <c r="IR241" s="16"/>
      <c r="IS241" s="16"/>
      <c r="IT241" s="16"/>
      <c r="IU241" s="16"/>
      <c r="IV241" s="16"/>
      <c r="IW241" s="16"/>
      <c r="IX241" s="16"/>
      <c r="IY241" s="16"/>
      <c r="IZ241" s="16"/>
      <c r="JA241" s="16"/>
      <c r="JB241" s="16"/>
      <c r="JC241" s="16"/>
      <c r="JD241" s="16"/>
      <c r="JE241" s="16"/>
      <c r="JF241" s="16"/>
      <c r="JG241" s="16"/>
      <c r="JH241" s="16"/>
      <c r="JI241" s="16"/>
      <c r="JJ241" s="16"/>
      <c r="JK241" s="16"/>
      <c r="JL241" s="16"/>
      <c r="JM241" s="16"/>
      <c r="JN241" s="16"/>
      <c r="JO241" s="16"/>
      <c r="JP241" s="16"/>
      <c r="JQ241" s="16"/>
      <c r="JR241" s="16"/>
      <c r="JS241" s="16"/>
      <c r="JT241" s="16"/>
      <c r="JU241" s="16"/>
      <c r="JV241" s="16"/>
      <c r="JW241" s="16"/>
      <c r="JX241" s="16"/>
      <c r="JY241" s="77"/>
      <c r="JZ241" s="77"/>
      <c r="KA241" s="77"/>
      <c r="KB241" s="77"/>
      <c r="KC241" s="77"/>
      <c r="KD241" s="77"/>
      <c r="KE241" s="77"/>
      <c r="KF241" s="77"/>
      <c r="KG241" s="77"/>
      <c r="KH241" s="77"/>
      <c r="KI241" s="77"/>
      <c r="KJ241" s="77"/>
      <c r="KK241" s="77"/>
      <c r="KL241" s="77"/>
      <c r="KM241" s="77"/>
      <c r="KN241" s="77"/>
      <c r="KO241" s="77"/>
      <c r="KP241" s="77"/>
      <c r="KQ241" s="77"/>
      <c r="KR241" s="77"/>
      <c r="KS241" s="77"/>
      <c r="KT241" s="77"/>
      <c r="KU241" s="77"/>
      <c r="KV241" s="77"/>
      <c r="KW241" s="77"/>
      <c r="KX241" s="77"/>
      <c r="KY241" s="77"/>
      <c r="KZ241" s="77"/>
      <c r="LA241" s="77"/>
      <c r="LB241" s="77"/>
      <c r="LC241" s="77"/>
      <c r="LD241" s="77"/>
      <c r="LE241" s="77"/>
      <c r="LF241" s="77"/>
      <c r="LG241" s="77"/>
      <c r="LH241" s="77"/>
      <c r="LI241" s="77"/>
      <c r="LJ241" s="77"/>
      <c r="LK241" s="77"/>
      <c r="LL241" s="77"/>
      <c r="LM241" s="77"/>
      <c r="LN241" s="77"/>
      <c r="LO241" s="77"/>
      <c r="LP241" s="77"/>
      <c r="LQ241" s="77"/>
      <c r="LR241" s="77"/>
      <c r="LS241" s="77"/>
      <c r="LT241" s="77"/>
      <c r="LU241" s="77"/>
      <c r="LV241" s="77"/>
      <c r="MT241" s="77"/>
      <c r="MU241" s="77"/>
      <c r="MV241" s="77"/>
      <c r="MW241" s="77"/>
      <c r="MX241" s="77"/>
      <c r="MY241" s="77"/>
      <c r="MZ241" s="77"/>
      <c r="NA241" s="77"/>
      <c r="NB241" s="77"/>
      <c r="NC241" s="77"/>
    </row>
    <row r="242" spans="1:421" ht="18.600000000000001" customHeight="1" x14ac:dyDescent="0.25">
      <c r="A242" s="119" t="s">
        <v>341</v>
      </c>
      <c r="B242" s="27" t="s">
        <v>1720</v>
      </c>
      <c r="C242" s="27" t="s">
        <v>1721</v>
      </c>
      <c r="D242" s="30" t="str">
        <f>HYPERLINK("https://twitter.com/MFA_Austria","https://twitter.com/MFA_Austria")</f>
        <v>https://twitter.com/MFA_Austria</v>
      </c>
      <c r="E242" s="30" t="str">
        <f>HYPERLINK("http://twiplomacy.com/info/europe/Austria","http://twiplomacy.com/info/europe/Austria")</f>
        <v>http://twiplomacy.com/info/europe/Austria</v>
      </c>
      <c r="F242" s="10" t="s">
        <v>332</v>
      </c>
      <c r="G242" s="10" t="s">
        <v>338</v>
      </c>
      <c r="H242" s="10" t="s">
        <v>795</v>
      </c>
      <c r="I242" s="10" t="s">
        <v>782</v>
      </c>
      <c r="J242" s="27" t="s">
        <v>1716</v>
      </c>
      <c r="K242" s="10" t="s">
        <v>777</v>
      </c>
      <c r="L242" s="10" t="s">
        <v>771</v>
      </c>
      <c r="M242" s="10" t="s">
        <v>770</v>
      </c>
      <c r="N242" s="30" t="str">
        <f>HYPERLINK("https://twitter.com/Minoritenplatz8/statuses/32131723470831616","https://twitter.com/Minoritenplatz8/statuses/32131723470831616")</f>
        <v>https://twitter.com/Minoritenplatz8/statuses/32131723470831616</v>
      </c>
      <c r="O242" s="27" t="s">
        <v>5938</v>
      </c>
      <c r="P242" s="80">
        <v>1197</v>
      </c>
      <c r="Q242" s="80">
        <v>1188</v>
      </c>
      <c r="R242" s="27" t="s">
        <v>2994</v>
      </c>
      <c r="S242" s="30" t="str">
        <f>HYPERLINK("https://twitter.com/MFA_Austria/lists","https://twitter.com/MFA_Austria/lists")</f>
        <v>https://twitter.com/MFA_Austria/lists</v>
      </c>
      <c r="T242" s="10">
        <v>2</v>
      </c>
      <c r="U242" s="10">
        <v>4</v>
      </c>
      <c r="V242" s="30" t="str">
        <f>HYPERLINK("https://twitter.com/MFA_Austria/mitarbeiterinnen-bmeia/members","https://twitter.com/MFA_Austria/mitarbeiterinnen-bmeia/members")</f>
        <v>https://twitter.com/MFA_Austria/mitarbeiterinnen-bmeia/members</v>
      </c>
      <c r="W242" s="10">
        <v>92</v>
      </c>
      <c r="X242" s="27" t="s">
        <v>341</v>
      </c>
      <c r="Y242" s="27" t="s">
        <v>1720</v>
      </c>
      <c r="Z242" s="80">
        <v>4283</v>
      </c>
      <c r="AA242" s="27">
        <v>935</v>
      </c>
      <c r="AB242" s="80">
        <v>17207</v>
      </c>
      <c r="AC242" s="27">
        <v>517</v>
      </c>
      <c r="AD242" s="27" t="s">
        <v>4057</v>
      </c>
      <c r="AE242" s="27">
        <v>233612497</v>
      </c>
      <c r="AF242" s="27" t="s">
        <v>1721</v>
      </c>
      <c r="AG242" s="27" t="s">
        <v>1722</v>
      </c>
      <c r="AH242" s="79">
        <v>2.20092497430627</v>
      </c>
      <c r="AI242" s="83">
        <v>2.50810810810811</v>
      </c>
      <c r="AJ242" s="80">
        <v>3.7839408346539898</v>
      </c>
      <c r="AK242" s="80">
        <v>3.0554675118859</v>
      </c>
      <c r="AL242" s="27">
        <v>220</v>
      </c>
      <c r="AM242" s="97">
        <f t="shared" si="3"/>
        <v>6.8750000000000006E-2</v>
      </c>
      <c r="AN242" s="27" t="s">
        <v>341</v>
      </c>
      <c r="AO242" s="27">
        <v>89</v>
      </c>
      <c r="AP242" s="27">
        <v>30</v>
      </c>
      <c r="AQ242" s="27">
        <v>60</v>
      </c>
      <c r="AR242" s="27">
        <f>SUM(AO242:AQ242)</f>
        <v>179</v>
      </c>
      <c r="AS242" s="27" t="s">
        <v>6589</v>
      </c>
      <c r="AT242" s="27" t="s">
        <v>5292</v>
      </c>
      <c r="AU242" s="84" t="s">
        <v>4839</v>
      </c>
      <c r="AV242" s="16"/>
      <c r="AW242" s="16"/>
      <c r="AX242" s="16"/>
      <c r="AY242" s="16"/>
      <c r="AZ242" s="16"/>
      <c r="BA242" s="16"/>
      <c r="BB242" s="16"/>
      <c r="BC242" s="16"/>
      <c r="BD242" s="16"/>
      <c r="BE242" s="16"/>
      <c r="BF242" s="16"/>
      <c r="BG242" s="16"/>
      <c r="BH242" s="16"/>
      <c r="BI242" s="16"/>
      <c r="BJ242" s="16"/>
      <c r="BK242" s="16"/>
      <c r="BL242" s="16"/>
      <c r="BM242" s="77"/>
      <c r="BN242" s="77"/>
      <c r="BO242" s="77"/>
      <c r="BP242" s="77"/>
      <c r="CC242" s="77"/>
      <c r="CD242" s="77"/>
      <c r="CE242" s="77"/>
      <c r="CF242" s="77"/>
      <c r="CG242" s="77"/>
      <c r="CH242" s="77"/>
      <c r="CI242" s="77"/>
      <c r="CJ242" s="77"/>
      <c r="CK242" s="77"/>
      <c r="CL242" s="77"/>
      <c r="CM242" s="77"/>
      <c r="CN242" s="77"/>
      <c r="CO242" s="77"/>
      <c r="CP242" s="77"/>
      <c r="CQ242" s="77"/>
      <c r="CR242" s="77"/>
      <c r="CS242" s="77"/>
      <c r="CT242" s="77"/>
      <c r="CU242" s="77"/>
      <c r="CV242" s="77"/>
      <c r="CW242" s="77"/>
      <c r="CX242" s="77"/>
      <c r="CY242" s="77"/>
      <c r="CZ242" s="77"/>
      <c r="DA242" s="77"/>
      <c r="DB242" s="77"/>
      <c r="DC242" s="77"/>
      <c r="DD242" s="77"/>
      <c r="DE242" s="77"/>
      <c r="DF242" s="77"/>
      <c r="DG242" s="77"/>
      <c r="DH242" s="77"/>
      <c r="DI242" s="77"/>
      <c r="DJ242" s="77"/>
      <c r="DK242" s="77"/>
      <c r="DL242" s="77"/>
      <c r="DM242" s="77"/>
      <c r="DN242" s="77"/>
      <c r="DO242" s="77"/>
      <c r="DP242" s="77"/>
      <c r="DQ242" s="77"/>
      <c r="DR242" s="77"/>
      <c r="DS242" s="77"/>
      <c r="DT242" s="77"/>
      <c r="DU242" s="77"/>
      <c r="DV242" s="77"/>
      <c r="DW242" s="77"/>
      <c r="DX242" s="77"/>
      <c r="DY242" s="77"/>
      <c r="DZ242" s="77"/>
      <c r="EA242" s="77"/>
      <c r="EB242" s="77"/>
      <c r="EC242" s="77"/>
      <c r="ED242" s="77"/>
      <c r="EE242" s="77"/>
      <c r="EF242" s="77"/>
      <c r="EG242" s="77"/>
      <c r="EH242" s="77"/>
      <c r="EI242" s="77"/>
      <c r="EJ242" s="77"/>
      <c r="EK242" s="77"/>
      <c r="EL242" s="77"/>
      <c r="GL242" s="77"/>
      <c r="GM242" s="77"/>
      <c r="GN242" s="77"/>
      <c r="GO242" s="77"/>
      <c r="GP242" s="77"/>
      <c r="GQ242" s="77"/>
      <c r="GR242" s="77"/>
      <c r="GS242" s="77"/>
      <c r="GT242" s="77"/>
      <c r="GU242" s="77"/>
      <c r="GV242" s="77"/>
      <c r="GW242" s="77"/>
      <c r="GX242" s="77"/>
      <c r="GY242" s="77"/>
      <c r="GZ242" s="77"/>
      <c r="HA242" s="77"/>
      <c r="HB242" s="77"/>
      <c r="HC242" s="77"/>
      <c r="HD242" s="77"/>
      <c r="HE242" s="77"/>
      <c r="HF242" s="77"/>
      <c r="HG242" s="77"/>
      <c r="HH242" s="77"/>
      <c r="HI242" s="77"/>
      <c r="HJ242" s="77"/>
      <c r="HK242" s="77"/>
      <c r="HL242" s="77"/>
      <c r="HM242" s="77"/>
      <c r="HN242" s="77"/>
      <c r="HO242" s="77"/>
      <c r="HP242" s="77"/>
      <c r="HQ242" s="77"/>
      <c r="HR242" s="77"/>
      <c r="HS242" s="77"/>
      <c r="HT242" s="77"/>
      <c r="HU242" s="77"/>
      <c r="HV242" s="77"/>
      <c r="HW242" s="77"/>
      <c r="HX242" s="77"/>
      <c r="HY242" s="77"/>
      <c r="HZ242" s="77"/>
      <c r="IA242" s="77"/>
      <c r="IB242" s="77"/>
      <c r="IC242" s="77"/>
      <c r="IF242" s="77"/>
      <c r="IG242" s="77"/>
      <c r="IH242" s="77"/>
      <c r="II242" s="77"/>
      <c r="IJ242" s="77"/>
      <c r="IK242" s="77"/>
      <c r="IL242" s="77"/>
      <c r="IM242" s="77"/>
      <c r="IN242" s="77"/>
      <c r="IO242" s="77"/>
      <c r="IP242" s="77"/>
      <c r="IQ242" s="77"/>
      <c r="IR242" s="77"/>
      <c r="IS242" s="77"/>
      <c r="IT242" s="77"/>
      <c r="IU242" s="77"/>
      <c r="IV242" s="77"/>
      <c r="IW242" s="77"/>
      <c r="IX242" s="77"/>
      <c r="IY242" s="77"/>
      <c r="IZ242" s="77"/>
      <c r="JA242" s="77"/>
      <c r="JB242" s="77"/>
      <c r="JC242" s="77"/>
      <c r="JD242" s="77"/>
      <c r="JE242" s="77"/>
      <c r="JF242" s="77"/>
      <c r="JG242" s="77"/>
      <c r="JH242" s="77"/>
      <c r="JI242" s="77"/>
      <c r="JJ242" s="77"/>
      <c r="JK242" s="77"/>
      <c r="JL242" s="77"/>
      <c r="JM242" s="77"/>
      <c r="JN242" s="77"/>
      <c r="JO242" s="77"/>
      <c r="JP242" s="77"/>
      <c r="JQ242" s="77"/>
      <c r="JR242" s="77"/>
      <c r="JS242" s="77"/>
      <c r="JT242" s="77"/>
      <c r="JU242" s="77"/>
      <c r="JV242" s="77"/>
      <c r="JW242" s="77"/>
      <c r="JX242" s="77"/>
      <c r="JY242" s="77"/>
      <c r="JZ242" s="77"/>
      <c r="KA242" s="77"/>
      <c r="KB242" s="77"/>
      <c r="KC242" s="77"/>
      <c r="KD242" s="77"/>
      <c r="KE242" s="77"/>
      <c r="KF242" s="77"/>
      <c r="KG242" s="77"/>
      <c r="KH242" s="77"/>
      <c r="KI242" s="77"/>
      <c r="KJ242" s="77"/>
      <c r="KK242" s="77"/>
      <c r="KL242" s="77"/>
      <c r="LL242" s="77"/>
      <c r="LM242" s="77"/>
      <c r="LN242" s="77"/>
      <c r="LO242" s="77"/>
      <c r="LP242" s="77"/>
      <c r="LQ242" s="77"/>
      <c r="LR242" s="77"/>
      <c r="LS242" s="77"/>
      <c r="LT242" s="77"/>
      <c r="LU242" s="77"/>
      <c r="LV242" s="77"/>
      <c r="LW242" s="77"/>
      <c r="LX242" s="77"/>
      <c r="LY242" s="77"/>
      <c r="LZ242" s="77"/>
      <c r="MA242" s="77"/>
      <c r="MB242" s="77"/>
      <c r="MC242" s="77"/>
      <c r="MD242" s="77"/>
      <c r="ME242" s="77"/>
      <c r="MF242" s="77"/>
      <c r="MG242" s="77"/>
      <c r="MH242" s="77"/>
      <c r="MI242" s="77"/>
      <c r="MJ242" s="77"/>
      <c r="MK242" s="77"/>
      <c r="ML242" s="77"/>
      <c r="MM242" s="77"/>
      <c r="MN242" s="77"/>
      <c r="MO242" s="77"/>
      <c r="MP242" s="77"/>
      <c r="MQ242" s="77"/>
      <c r="MR242" s="77"/>
    </row>
    <row r="243" spans="1:421" ht="18.600000000000001" customHeight="1" x14ac:dyDescent="0.25">
      <c r="A243" s="119" t="s">
        <v>612</v>
      </c>
      <c r="B243" s="27" t="s">
        <v>2507</v>
      </c>
      <c r="C243" s="27" t="s">
        <v>3656</v>
      </c>
      <c r="D243" s="30" t="str">
        <f>HYPERLINK("https://twitter.com/EPN","https://twitter.com/EPN")</f>
        <v>https://twitter.com/EPN</v>
      </c>
      <c r="E243" s="30" t="str">
        <f>HYPERLINK("http://twiplomacy.com/info/north-america/Mexico","http://twiplomacy.com/info/north-america/Mexico")</f>
        <v>http://twiplomacy.com/info/north-america/Mexico</v>
      </c>
      <c r="F243" s="10" t="s">
        <v>558</v>
      </c>
      <c r="G243" s="10" t="s">
        <v>611</v>
      </c>
      <c r="H243" s="10" t="s">
        <v>772</v>
      </c>
      <c r="I243" s="10" t="s">
        <v>773</v>
      </c>
      <c r="J243" s="27" t="s">
        <v>2226</v>
      </c>
      <c r="K243" s="15" t="s">
        <v>777</v>
      </c>
      <c r="L243" s="10"/>
      <c r="M243" s="10" t="s">
        <v>771</v>
      </c>
      <c r="N243" s="30" t="str">
        <f>HYPERLINK("https://twitter.com/EPN/statuses/133949792995917824","https://twitter.com/EPN/statuses/133949792995917824")</f>
        <v>https://twitter.com/EPN/statuses/133949792995917824</v>
      </c>
      <c r="O243" s="11" t="s">
        <v>5744</v>
      </c>
      <c r="P243" s="80">
        <v>82193</v>
      </c>
      <c r="Q243" s="80">
        <v>64126</v>
      </c>
      <c r="R243" s="27" t="s">
        <v>2994</v>
      </c>
      <c r="S243" s="10" t="s">
        <v>2508</v>
      </c>
      <c r="T243" s="10" t="s">
        <v>771</v>
      </c>
      <c r="U243" s="10" t="s">
        <v>771</v>
      </c>
      <c r="V243" s="10" t="s">
        <v>771</v>
      </c>
      <c r="W243" s="10"/>
      <c r="X243" s="27" t="s">
        <v>612</v>
      </c>
      <c r="Y243" s="27" t="s">
        <v>2507</v>
      </c>
      <c r="Z243" s="80">
        <v>4259</v>
      </c>
      <c r="AA243" s="27">
        <v>247</v>
      </c>
      <c r="AB243" s="80">
        <v>5292593</v>
      </c>
      <c r="AC243" s="27">
        <v>13</v>
      </c>
      <c r="AD243" s="27" t="s">
        <v>3657</v>
      </c>
      <c r="AE243" s="27">
        <v>2897441</v>
      </c>
      <c r="AF243" s="27" t="s">
        <v>3656</v>
      </c>
      <c r="AG243" s="27" t="s">
        <v>2509</v>
      </c>
      <c r="AH243" s="79">
        <v>1.28205900060205</v>
      </c>
      <c r="AI243" s="83">
        <v>2.2748414376321402</v>
      </c>
      <c r="AJ243" s="80">
        <v>554.48696757787695</v>
      </c>
      <c r="AK243" s="80">
        <v>329.07183725365502</v>
      </c>
      <c r="AL243" s="27">
        <v>87</v>
      </c>
      <c r="AM243" s="97">
        <f t="shared" si="3"/>
        <v>2.71875E-2</v>
      </c>
      <c r="AN243" s="27" t="s">
        <v>612</v>
      </c>
      <c r="AO243" s="27">
        <v>10</v>
      </c>
      <c r="AP243" s="27">
        <v>51</v>
      </c>
      <c r="AQ243" s="27">
        <v>10</v>
      </c>
      <c r="AR243" s="27">
        <f>SUM(AO243:AQ243)</f>
        <v>71</v>
      </c>
      <c r="AS243" s="27" t="s">
        <v>5106</v>
      </c>
      <c r="AT243" s="27" t="s">
        <v>6711</v>
      </c>
      <c r="AU243" s="84" t="s">
        <v>6480</v>
      </c>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1"/>
      <c r="BR243" s="71"/>
      <c r="BS243" s="71"/>
      <c r="BT243" s="71"/>
      <c r="BU243" s="71"/>
      <c r="BV243" s="71"/>
      <c r="BW243" s="71"/>
      <c r="BX243" s="71"/>
      <c r="BY243" s="71"/>
      <c r="BZ243" s="71"/>
      <c r="CA243" s="71"/>
      <c r="CB243" s="71"/>
      <c r="CC243" s="77"/>
      <c r="CD243" s="77"/>
      <c r="CE243" s="77"/>
      <c r="CF243" s="77"/>
      <c r="CG243" s="77"/>
      <c r="CH243" s="77"/>
      <c r="CI243" s="77"/>
      <c r="CJ243" s="77"/>
      <c r="CK243" s="77"/>
      <c r="CL243" s="77"/>
      <c r="CM243" s="77"/>
      <c r="CN243" s="77"/>
      <c r="CO243" s="77"/>
      <c r="CP243" s="77"/>
      <c r="CQ243" s="77"/>
      <c r="CR243" s="77"/>
      <c r="CS243" s="77"/>
      <c r="CT243" s="77"/>
      <c r="CU243" s="77"/>
      <c r="CV243" s="77"/>
      <c r="CW243" s="77"/>
      <c r="CX243" s="77"/>
      <c r="CY243" s="77"/>
      <c r="CZ243" s="77"/>
      <c r="DA243" s="77"/>
      <c r="DB243" s="77"/>
      <c r="DC243" s="77"/>
      <c r="DD243" s="77"/>
      <c r="DE243" s="77"/>
      <c r="DF243" s="77"/>
      <c r="DG243" s="77"/>
      <c r="DH243" s="77"/>
      <c r="DI243" s="77"/>
      <c r="DJ243" s="77"/>
      <c r="DK243" s="77"/>
      <c r="DL243" s="77"/>
      <c r="DM243" s="77"/>
      <c r="DN243" s="77"/>
      <c r="DO243" s="77"/>
      <c r="DP243" s="77"/>
      <c r="DQ243" s="77"/>
      <c r="DR243" s="77"/>
      <c r="DS243" s="77"/>
      <c r="DT243" s="77"/>
      <c r="DU243" s="77"/>
      <c r="DV243" s="77"/>
      <c r="DW243" s="77"/>
      <c r="DX243" s="77"/>
      <c r="DY243" s="77"/>
      <c r="DZ243" s="77"/>
      <c r="EA243" s="77"/>
      <c r="EB243" s="77"/>
      <c r="EC243" s="77"/>
      <c r="ED243" s="77"/>
      <c r="EE243" s="77"/>
      <c r="EF243" s="77"/>
      <c r="EG243" s="77"/>
      <c r="EH243" s="77"/>
      <c r="EI243" s="77"/>
      <c r="EJ243" s="77"/>
      <c r="EK243" s="77"/>
      <c r="EL243" s="77"/>
      <c r="EM243" s="77"/>
      <c r="EN243" s="77"/>
      <c r="EO243" s="77"/>
      <c r="EQ243" s="77"/>
      <c r="GL243" s="77"/>
      <c r="GM243" s="77"/>
      <c r="GN243" s="77"/>
      <c r="GO243" s="77"/>
      <c r="GP243" s="77"/>
      <c r="GQ243" s="77"/>
      <c r="GR243" s="77"/>
      <c r="GS243" s="77"/>
      <c r="GT243" s="77"/>
      <c r="GU243" s="77"/>
      <c r="GV243" s="77"/>
      <c r="GW243" s="77"/>
      <c r="GX243" s="77"/>
      <c r="GY243" s="77"/>
      <c r="GZ243" s="77"/>
      <c r="HA243" s="77"/>
      <c r="HB243" s="77"/>
      <c r="HC243" s="77"/>
      <c r="HD243" s="77"/>
      <c r="HE243" s="77"/>
      <c r="HF243" s="77"/>
      <c r="HG243" s="77"/>
      <c r="HH243" s="77"/>
      <c r="HI243" s="77"/>
      <c r="HJ243" s="77"/>
      <c r="HK243" s="77"/>
      <c r="HL243" s="77"/>
      <c r="HM243" s="77"/>
      <c r="HN243" s="77"/>
      <c r="HO243" s="77"/>
      <c r="HP243" s="77"/>
      <c r="HQ243" s="77"/>
      <c r="HR243" s="77"/>
      <c r="HS243" s="77"/>
      <c r="HT243" s="77"/>
      <c r="HU243" s="77"/>
      <c r="HV243" s="77"/>
      <c r="HW243" s="77"/>
      <c r="HX243" s="77"/>
      <c r="HY243" s="77"/>
      <c r="HZ243" s="77"/>
      <c r="IA243" s="77"/>
      <c r="IB243" s="77"/>
      <c r="IC243" s="77"/>
      <c r="ID243" s="77"/>
      <c r="IE243" s="77"/>
      <c r="IF243" s="77"/>
      <c r="IG243" s="77"/>
      <c r="IH243" s="77"/>
      <c r="II243" s="77"/>
      <c r="IJ243" s="77"/>
      <c r="IK243" s="77"/>
      <c r="IL243" s="77"/>
      <c r="IM243" s="77"/>
      <c r="IN243" s="77"/>
      <c r="IO243" s="77"/>
      <c r="IP243" s="77"/>
      <c r="IQ243" s="77"/>
      <c r="IR243" s="77"/>
      <c r="IS243" s="77"/>
      <c r="IT243" s="77"/>
      <c r="IU243" s="77"/>
      <c r="IV243" s="77"/>
      <c r="IW243" s="77"/>
      <c r="IX243" s="77"/>
      <c r="IY243" s="77"/>
      <c r="IZ243" s="77"/>
      <c r="JA243" s="77"/>
      <c r="JB243" s="77"/>
      <c r="JC243" s="77"/>
      <c r="JD243" s="77"/>
      <c r="JE243" s="77"/>
      <c r="JF243" s="77"/>
      <c r="JG243" s="77"/>
      <c r="JH243" s="77"/>
      <c r="JI243" s="77"/>
      <c r="JJ243" s="77"/>
      <c r="JK243" s="77"/>
      <c r="JL243" s="77"/>
      <c r="JM243" s="77"/>
      <c r="JN243" s="77"/>
      <c r="JO243" s="77"/>
      <c r="JP243" s="77"/>
      <c r="JQ243" s="77"/>
      <c r="JR243" s="77"/>
      <c r="JS243" s="77"/>
      <c r="JT243" s="77"/>
      <c r="JU243" s="77"/>
      <c r="JV243" s="77"/>
      <c r="JW243" s="77"/>
      <c r="JX243" s="77"/>
      <c r="JY243" s="77"/>
      <c r="JZ243" s="77"/>
      <c r="KA243" s="77"/>
      <c r="KB243" s="77"/>
      <c r="KC243" s="77"/>
      <c r="KD243" s="77"/>
      <c r="KE243" s="77"/>
      <c r="KF243" s="77"/>
      <c r="KG243" s="77"/>
      <c r="KH243" s="77"/>
      <c r="KI243" s="77"/>
      <c r="KJ243" s="77"/>
      <c r="KK243" s="77"/>
      <c r="KL243" s="77"/>
      <c r="LY243" s="77"/>
      <c r="LZ243" s="77"/>
      <c r="MA243" s="77"/>
      <c r="MB243" s="77"/>
      <c r="MC243" s="77"/>
      <c r="MD243" s="77"/>
      <c r="ME243" s="77"/>
      <c r="MF243" s="77"/>
      <c r="MG243" s="77"/>
      <c r="MH243" s="77"/>
      <c r="MI243" s="77"/>
      <c r="MJ243" s="77"/>
      <c r="MK243" s="77"/>
      <c r="ML243" s="77"/>
      <c r="MM243" s="77"/>
      <c r="MN243" s="77"/>
      <c r="MO243" s="77"/>
      <c r="MP243" s="77"/>
      <c r="MQ243" s="77"/>
      <c r="MR243" s="77"/>
    </row>
    <row r="244" spans="1:421" ht="18.600000000000001" customHeight="1" x14ac:dyDescent="0.25">
      <c r="A244" s="119" t="s">
        <v>482</v>
      </c>
      <c r="B244" s="27" t="s">
        <v>4373</v>
      </c>
      <c r="C244" s="27" t="s">
        <v>4374</v>
      </c>
      <c r="D244" s="30" t="str">
        <f>HYPERLINK("https://twitter.com/prezydentpl","https://twitter.com/prezydentpl")</f>
        <v>https://twitter.com/prezydentpl</v>
      </c>
      <c r="E244" s="30" t="str">
        <f>HYPERLINK("http://twiplomacy.com/info/europe/Poland","http://twiplomacy.com/info/europe/Poland")</f>
        <v>http://twiplomacy.com/info/europe/Poland</v>
      </c>
      <c r="F244" s="10" t="s">
        <v>332</v>
      </c>
      <c r="G244" s="10" t="s">
        <v>480</v>
      </c>
      <c r="H244" s="10" t="s">
        <v>781</v>
      </c>
      <c r="I244" s="10" t="s">
        <v>782</v>
      </c>
      <c r="J244" s="27" t="s">
        <v>2115</v>
      </c>
      <c r="K244" s="15" t="s">
        <v>777</v>
      </c>
      <c r="L244" s="10" t="s">
        <v>771</v>
      </c>
      <c r="M244" s="10" t="s">
        <v>771</v>
      </c>
      <c r="N244" s="30" t="str">
        <f>HYPERLINK("https://twitter.com/prezydentpl/statuses/99252699224215552","https://twitter.com/prezydentpl/statuses/99252699224215552")</f>
        <v>https://twitter.com/prezydentpl/statuses/99252699224215552</v>
      </c>
      <c r="O244" s="27" t="s">
        <v>2107</v>
      </c>
      <c r="P244" s="80">
        <v>515</v>
      </c>
      <c r="Q244" s="80">
        <v>165</v>
      </c>
      <c r="R244" s="27" t="s">
        <v>2994</v>
      </c>
      <c r="S244" s="10" t="s">
        <v>2108</v>
      </c>
      <c r="T244" s="10" t="s">
        <v>771</v>
      </c>
      <c r="U244" s="10" t="s">
        <v>771</v>
      </c>
      <c r="V244" s="10" t="s">
        <v>771</v>
      </c>
      <c r="W244" s="10"/>
      <c r="X244" s="27" t="s">
        <v>482</v>
      </c>
      <c r="Y244" s="27" t="s">
        <v>4373</v>
      </c>
      <c r="Z244" s="80">
        <v>4238</v>
      </c>
      <c r="AA244" s="27">
        <v>251</v>
      </c>
      <c r="AB244" s="80">
        <v>68074</v>
      </c>
      <c r="AC244" s="27">
        <v>0</v>
      </c>
      <c r="AD244" s="27" t="s">
        <v>4375</v>
      </c>
      <c r="AE244" s="27">
        <v>43932737</v>
      </c>
      <c r="AF244" s="27" t="s">
        <v>4374</v>
      </c>
      <c r="AG244" s="27" t="s">
        <v>2109</v>
      </c>
      <c r="AH244" s="79">
        <v>1.67708745548081</v>
      </c>
      <c r="AI244" s="83">
        <v>2.67755443886097</v>
      </c>
      <c r="AJ244" s="80">
        <v>19.272312703583101</v>
      </c>
      <c r="AK244" s="80">
        <v>50.532899022801303</v>
      </c>
      <c r="AL244" s="27">
        <v>20</v>
      </c>
      <c r="AM244" s="97">
        <f t="shared" si="3"/>
        <v>6.2500000000000003E-3</v>
      </c>
      <c r="AN244" s="27" t="s">
        <v>482</v>
      </c>
      <c r="AO244" s="27">
        <v>30</v>
      </c>
      <c r="AP244" s="27">
        <v>12</v>
      </c>
      <c r="AQ244" s="27">
        <v>12</v>
      </c>
      <c r="AR244" s="27">
        <f>SUM(AO244:AQ244)</f>
        <v>54</v>
      </c>
      <c r="AS244" s="27" t="s">
        <v>6251</v>
      </c>
      <c r="AT244" s="27" t="s">
        <v>6841</v>
      </c>
      <c r="AU244" s="84" t="s">
        <v>6181</v>
      </c>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c r="BZ244" s="77"/>
      <c r="CA244" s="77"/>
      <c r="CB244" s="77"/>
      <c r="CC244" s="77"/>
      <c r="CD244" s="77"/>
      <c r="CE244" s="77"/>
      <c r="CF244" s="77"/>
      <c r="CG244" s="77"/>
      <c r="CH244" s="77"/>
      <c r="CI244" s="77"/>
      <c r="CJ244" s="77"/>
      <c r="CK244" s="77"/>
      <c r="CL244" s="77"/>
      <c r="CM244" s="77"/>
      <c r="CN244" s="77"/>
      <c r="CO244" s="77"/>
      <c r="CP244" s="77"/>
      <c r="CQ244" s="77"/>
      <c r="CR244" s="77"/>
      <c r="CS244" s="77"/>
      <c r="CT244" s="77"/>
      <c r="CU244" s="77"/>
      <c r="CV244" s="77"/>
      <c r="CW244" s="77"/>
      <c r="CX244" s="77"/>
      <c r="CY244" s="77"/>
      <c r="CZ244" s="77"/>
      <c r="DA244" s="77"/>
      <c r="DB244" s="77"/>
      <c r="DC244" s="77"/>
      <c r="DD244" s="77"/>
      <c r="DE244" s="77"/>
      <c r="DF244" s="77"/>
      <c r="DG244" s="77"/>
      <c r="DH244" s="77"/>
      <c r="DI244" s="77"/>
      <c r="DJ244" s="77"/>
      <c r="DK244" s="77"/>
      <c r="DL244" s="77"/>
      <c r="DM244" s="77"/>
      <c r="DN244" s="77"/>
      <c r="DO244" s="77"/>
      <c r="DP244" s="77"/>
      <c r="DQ244" s="77"/>
      <c r="DR244" s="77"/>
      <c r="DS244" s="77"/>
      <c r="DT244" s="77"/>
      <c r="DU244" s="77"/>
      <c r="DV244" s="77"/>
      <c r="DW244" s="77"/>
      <c r="DX244" s="77"/>
      <c r="DY244" s="77"/>
      <c r="DZ244" s="77"/>
      <c r="EA244" s="77"/>
      <c r="EB244" s="77"/>
      <c r="EC244" s="77"/>
      <c r="ED244" s="77"/>
      <c r="EE244" s="77"/>
      <c r="EF244" s="77"/>
      <c r="EG244" s="77"/>
      <c r="EH244" s="77"/>
      <c r="EI244" s="77"/>
      <c r="EJ244" s="77"/>
      <c r="EK244" s="77"/>
      <c r="EL244" s="77"/>
      <c r="EM244" s="77"/>
      <c r="EN244" s="77"/>
      <c r="EO244" s="77"/>
      <c r="EP244" s="77"/>
      <c r="EQ244" s="77"/>
      <c r="ER244" s="77"/>
      <c r="ES244" s="77"/>
      <c r="ET244" s="77"/>
      <c r="EU244" s="77"/>
      <c r="EV244" s="77"/>
      <c r="EW244" s="77"/>
      <c r="EX244" s="77"/>
      <c r="EY244" s="77"/>
      <c r="EZ244" s="77"/>
      <c r="FA244" s="77"/>
      <c r="FB244" s="77"/>
      <c r="FC244" s="77"/>
      <c r="FD244" s="77"/>
      <c r="FE244" s="77"/>
      <c r="FF244" s="77"/>
      <c r="FG244" s="77"/>
      <c r="FH244" s="77"/>
      <c r="FI244" s="77"/>
      <c r="FJ244" s="77"/>
      <c r="FK244" s="77"/>
      <c r="FL244" s="77"/>
      <c r="FM244" s="77"/>
      <c r="FN244" s="77"/>
      <c r="FO244" s="77"/>
      <c r="FP244" s="77"/>
      <c r="FQ244" s="77"/>
      <c r="FR244" s="77"/>
      <c r="FS244" s="77"/>
      <c r="FT244" s="77"/>
      <c r="FU244" s="77"/>
      <c r="FV244" s="77"/>
      <c r="FW244" s="77"/>
      <c r="FX244" s="77"/>
      <c r="FY244" s="77"/>
      <c r="FZ244" s="77"/>
      <c r="GA244" s="77"/>
      <c r="GB244" s="77"/>
      <c r="GC244" s="77"/>
      <c r="GD244" s="77"/>
      <c r="GE244" s="77"/>
      <c r="GF244" s="77"/>
      <c r="GG244" s="77"/>
      <c r="GH244" s="77"/>
      <c r="GI244" s="77"/>
      <c r="GJ244" s="77"/>
      <c r="GK244" s="77"/>
      <c r="HL244" s="77"/>
      <c r="HM244" s="77"/>
      <c r="HN244" s="77"/>
      <c r="HO244" s="77"/>
      <c r="HP244" s="77"/>
      <c r="HQ244" s="77"/>
      <c r="HR244" s="77"/>
      <c r="HS244" s="77"/>
      <c r="HT244" s="77"/>
      <c r="HU244" s="77"/>
      <c r="HV244" s="77"/>
      <c r="HW244" s="77"/>
      <c r="HX244" s="77"/>
      <c r="HY244" s="77"/>
      <c r="HZ244" s="77"/>
      <c r="IA244" s="77"/>
      <c r="IB244" s="77"/>
      <c r="IC244" s="77"/>
      <c r="ID244" s="77"/>
      <c r="IE244" s="77"/>
      <c r="IF244" s="77"/>
      <c r="IG244" s="77"/>
      <c r="IH244" s="77"/>
      <c r="II244" s="77"/>
      <c r="IJ244" s="77"/>
      <c r="IK244" s="77"/>
      <c r="IL244" s="77"/>
      <c r="IM244" s="77"/>
      <c r="IN244" s="77"/>
      <c r="IO244" s="77"/>
      <c r="IP244" s="77"/>
      <c r="IQ244" s="77"/>
      <c r="IR244" s="77"/>
      <c r="IS244" s="77"/>
      <c r="IT244" s="77"/>
      <c r="IU244" s="77"/>
      <c r="IV244" s="77"/>
      <c r="IW244" s="77"/>
      <c r="IX244" s="77"/>
      <c r="IY244" s="77"/>
      <c r="IZ244" s="77"/>
      <c r="JA244" s="77"/>
      <c r="JB244" s="77"/>
      <c r="JC244" s="77"/>
      <c r="JD244" s="77"/>
      <c r="JE244" s="77"/>
      <c r="JF244" s="77"/>
      <c r="JG244" s="77"/>
      <c r="JH244" s="77"/>
      <c r="JI244" s="77"/>
      <c r="JJ244" s="77"/>
      <c r="JK244" s="77"/>
      <c r="JL244" s="77"/>
      <c r="JM244" s="77"/>
      <c r="JN244" s="77"/>
      <c r="JO244" s="77"/>
      <c r="JP244" s="77"/>
      <c r="JQ244" s="77"/>
      <c r="JR244" s="77"/>
      <c r="JS244" s="77"/>
      <c r="JT244" s="77"/>
      <c r="JU244" s="77"/>
      <c r="JV244" s="77"/>
      <c r="JW244" s="77"/>
      <c r="JX244" s="77"/>
      <c r="KM244" s="16"/>
      <c r="KN244" s="16"/>
      <c r="KO244" s="16"/>
      <c r="KP244" s="16"/>
      <c r="KQ244" s="16"/>
      <c r="KR244" s="16"/>
      <c r="KS244" s="16"/>
      <c r="KT244" s="16"/>
      <c r="KU244" s="16"/>
      <c r="KV244" s="16"/>
      <c r="KW244" s="16"/>
      <c r="KX244" s="16"/>
      <c r="KY244" s="16"/>
      <c r="KZ244" s="16"/>
      <c r="LA244" s="16"/>
      <c r="LB244" s="16"/>
      <c r="LC244" s="16"/>
      <c r="LD244" s="16"/>
      <c r="LE244" s="16"/>
      <c r="LF244" s="16"/>
      <c r="LG244" s="16"/>
      <c r="LH244" s="16"/>
      <c r="LI244" s="16"/>
      <c r="LJ244" s="16"/>
      <c r="LK244" s="16"/>
      <c r="LW244" s="77"/>
      <c r="LX244" s="77"/>
      <c r="LY244" s="77"/>
      <c r="LZ244" s="77"/>
      <c r="MA244" s="77"/>
      <c r="MB244" s="77"/>
      <c r="MC244" s="77"/>
      <c r="MD244" s="77"/>
      <c r="ME244" s="77"/>
      <c r="MF244" s="77"/>
      <c r="MG244" s="77"/>
      <c r="MH244" s="77"/>
      <c r="MI244" s="77"/>
      <c r="MJ244" s="77"/>
      <c r="MK244" s="77"/>
      <c r="ML244" s="77"/>
      <c r="MM244" s="77"/>
      <c r="MN244" s="77"/>
      <c r="MO244" s="77"/>
      <c r="MP244" s="77"/>
      <c r="MQ244" s="77"/>
      <c r="MR244" s="77"/>
    </row>
    <row r="245" spans="1:421" ht="18.600000000000001" customHeight="1" x14ac:dyDescent="0.25">
      <c r="A245" s="119" t="s">
        <v>327</v>
      </c>
      <c r="B245" s="27" t="s">
        <v>1690</v>
      </c>
      <c r="C245" s="27" t="s">
        <v>3795</v>
      </c>
      <c r="D245" s="30" t="str">
        <f>HYPERLINK("https://twitter.com/HadiPresident","https://twitter.com/HadiPresident")</f>
        <v>https://twitter.com/HadiPresident</v>
      </c>
      <c r="E245" s="30" t="str">
        <f>HYPERLINK("http://twiplomacy.com/info/asia/Yemen","http://twiplomacy.com/info/asia/Yemen")</f>
        <v>http://twiplomacy.com/info/asia/Yemen</v>
      </c>
      <c r="F245" s="10" t="s">
        <v>154</v>
      </c>
      <c r="G245" s="10" t="s">
        <v>326</v>
      </c>
      <c r="H245" s="10" t="s">
        <v>772</v>
      </c>
      <c r="I245" s="10" t="s">
        <v>773</v>
      </c>
      <c r="J245" s="27" t="s">
        <v>996</v>
      </c>
      <c r="K245" s="15" t="s">
        <v>777</v>
      </c>
      <c r="L245" s="15"/>
      <c r="M245" s="10" t="s">
        <v>771</v>
      </c>
      <c r="N245" s="30" t="str">
        <f>HYPERLINK("https://twitter.com/HadiPresident/statuses/257497628152045569","https://twitter.com/HadiPresident/statuses/257497628152045569")</f>
        <v>https://twitter.com/HadiPresident/statuses/257497628152045569</v>
      </c>
      <c r="O245" s="27" t="s">
        <v>5854</v>
      </c>
      <c r="P245" s="80">
        <v>192</v>
      </c>
      <c r="Q245" s="80">
        <v>112</v>
      </c>
      <c r="R245" s="27" t="s">
        <v>2995</v>
      </c>
      <c r="S245" s="10" t="s">
        <v>1691</v>
      </c>
      <c r="T245" s="10" t="s">
        <v>771</v>
      </c>
      <c r="U245" s="10" t="s">
        <v>771</v>
      </c>
      <c r="V245" s="10" t="s">
        <v>771</v>
      </c>
      <c r="W245" s="10"/>
      <c r="X245" s="27" t="s">
        <v>327</v>
      </c>
      <c r="Y245" s="27" t="s">
        <v>1690</v>
      </c>
      <c r="Z245" s="80">
        <v>4180</v>
      </c>
      <c r="AA245" s="27">
        <v>0</v>
      </c>
      <c r="AB245" s="80">
        <v>28315</v>
      </c>
      <c r="AC245" s="27">
        <v>0</v>
      </c>
      <c r="AD245" s="27" t="s">
        <v>3796</v>
      </c>
      <c r="AE245" s="27">
        <v>570223846</v>
      </c>
      <c r="AF245" s="27" t="s">
        <v>3795</v>
      </c>
      <c r="AG245" s="27" t="s">
        <v>1692</v>
      </c>
      <c r="AH245" s="79">
        <v>2.8649760109664202</v>
      </c>
      <c r="AI245" s="83">
        <v>2.98697674418605</v>
      </c>
      <c r="AJ245" s="80">
        <v>2.30457801308004</v>
      </c>
      <c r="AK245" s="80">
        <v>3.0295857988165702</v>
      </c>
      <c r="AL245" s="13">
        <v>0</v>
      </c>
      <c r="AM245" s="97">
        <f t="shared" si="3"/>
        <v>0</v>
      </c>
      <c r="AN245" s="27" t="s">
        <v>327</v>
      </c>
      <c r="AO245" s="27">
        <v>0</v>
      </c>
      <c r="AP245" s="27">
        <v>3</v>
      </c>
      <c r="AQ245" s="27">
        <v>0</v>
      </c>
      <c r="AR245" s="27">
        <f>SUM(AO245:AQ245)</f>
        <v>3</v>
      </c>
      <c r="AS245" s="27"/>
      <c r="AT245" s="27" t="s">
        <v>5237</v>
      </c>
      <c r="AU245" s="84"/>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c r="BZ245" s="77"/>
      <c r="CA245" s="77"/>
      <c r="CB245" s="77"/>
      <c r="CC245" s="77"/>
      <c r="CD245" s="77"/>
      <c r="CE245" s="77"/>
      <c r="CF245" s="77"/>
      <c r="CG245" s="77"/>
      <c r="CH245" s="77"/>
      <c r="CI245" s="77"/>
      <c r="CJ245" s="77"/>
      <c r="CK245" s="77"/>
      <c r="CL245" s="77"/>
      <c r="CM245" s="77"/>
      <c r="CN245" s="77"/>
      <c r="CO245" s="77"/>
      <c r="CP245" s="77"/>
      <c r="CQ245" s="77"/>
      <c r="CR245" s="77"/>
      <c r="CS245" s="77"/>
      <c r="CT245" s="77"/>
      <c r="CU245" s="77"/>
      <c r="CV245" s="77"/>
      <c r="CW245" s="77"/>
      <c r="CX245" s="77"/>
      <c r="CY245" s="77"/>
      <c r="CZ245" s="77"/>
      <c r="DA245" s="77"/>
      <c r="DB245" s="77"/>
      <c r="DC245" s="77"/>
      <c r="DD245" s="77"/>
      <c r="DE245" s="77"/>
      <c r="DF245" s="77"/>
      <c r="DG245" s="77"/>
      <c r="DH245" s="77"/>
      <c r="DI245" s="77"/>
      <c r="DJ245" s="77"/>
      <c r="DK245" s="77"/>
      <c r="DL245" s="77"/>
      <c r="DM245" s="77"/>
      <c r="DN245" s="77"/>
      <c r="DO245" s="77"/>
      <c r="DP245" s="77"/>
      <c r="DQ245" s="77"/>
      <c r="DR245" s="77"/>
      <c r="DS245" s="77"/>
      <c r="DT245" s="77"/>
      <c r="DU245" s="77"/>
      <c r="DV245" s="77"/>
      <c r="DW245" s="77"/>
      <c r="DX245" s="77"/>
      <c r="DY245" s="77"/>
      <c r="DZ245" s="77"/>
      <c r="EA245" s="77"/>
      <c r="EB245" s="77"/>
      <c r="EC245" s="77"/>
      <c r="ED245" s="77"/>
      <c r="EE245" s="77"/>
      <c r="EF245" s="77"/>
      <c r="EG245" s="77"/>
      <c r="EH245" s="77"/>
      <c r="EI245" s="77"/>
      <c r="EJ245" s="77"/>
      <c r="EK245" s="77"/>
      <c r="EL245" s="77"/>
      <c r="EM245" s="77"/>
      <c r="EN245" s="77"/>
      <c r="EO245" s="77"/>
      <c r="EP245" s="77"/>
      <c r="EQ245" s="77"/>
      <c r="ER245" s="77"/>
      <c r="ES245" s="77"/>
      <c r="ET245" s="77"/>
      <c r="EU245" s="77"/>
      <c r="EV245" s="77"/>
      <c r="EW245" s="77"/>
      <c r="EX245" s="77"/>
      <c r="EY245" s="77"/>
      <c r="EZ245" s="77"/>
      <c r="FA245" s="77"/>
      <c r="FB245" s="77"/>
      <c r="FC245" s="77"/>
      <c r="FD245" s="77"/>
      <c r="FE245" s="77"/>
      <c r="FF245" s="77"/>
      <c r="FG245" s="77"/>
      <c r="FH245" s="77"/>
      <c r="FI245" s="77"/>
      <c r="FJ245" s="77"/>
      <c r="FK245" s="77"/>
      <c r="FL245" s="77"/>
      <c r="FM245" s="77"/>
      <c r="FN245" s="77"/>
      <c r="FO245" s="77"/>
      <c r="FP245" s="77"/>
      <c r="FQ245" s="77"/>
      <c r="FR245" s="77"/>
      <c r="FS245" s="77"/>
      <c r="FT245" s="77"/>
      <c r="FU245" s="77"/>
      <c r="FV245" s="77"/>
      <c r="FW245" s="77"/>
      <c r="FX245" s="77"/>
      <c r="FY245" s="77"/>
      <c r="FZ245" s="77"/>
      <c r="GA245" s="77"/>
      <c r="GB245" s="77"/>
      <c r="GC245" s="77"/>
      <c r="GD245" s="77"/>
      <c r="GE245" s="77"/>
      <c r="GF245" s="77"/>
      <c r="GG245" s="77"/>
      <c r="GH245" s="77"/>
      <c r="GI245" s="77"/>
      <c r="GJ245" s="77"/>
      <c r="GK245" s="77"/>
      <c r="HL245" s="16"/>
      <c r="HM245" s="16"/>
      <c r="HN245" s="16"/>
      <c r="HO245" s="16"/>
      <c r="HP245" s="16"/>
      <c r="HQ245" s="16"/>
      <c r="HR245" s="16"/>
      <c r="HS245" s="16"/>
      <c r="HT245" s="16"/>
      <c r="HU245" s="16"/>
      <c r="HV245" s="16"/>
      <c r="HW245" s="16"/>
      <c r="HX245" s="16"/>
      <c r="HY245" s="16"/>
      <c r="HZ245" s="16"/>
      <c r="IA245" s="16"/>
      <c r="IB245" s="16"/>
      <c r="IC245" s="16"/>
      <c r="JY245" s="77"/>
      <c r="JZ245" s="77"/>
      <c r="KA245" s="77"/>
      <c r="KB245" s="77"/>
      <c r="KC245" s="77"/>
      <c r="KD245" s="77"/>
      <c r="KE245" s="77"/>
      <c r="KF245" s="77"/>
      <c r="KG245" s="77"/>
      <c r="KH245" s="77"/>
      <c r="KI245" s="77"/>
      <c r="KJ245" s="77"/>
      <c r="KK245" s="77"/>
      <c r="KL245" s="77"/>
      <c r="KM245" s="16"/>
      <c r="KN245" s="16"/>
      <c r="KO245" s="16"/>
      <c r="KP245" s="16"/>
      <c r="KQ245" s="16"/>
      <c r="KR245" s="16"/>
      <c r="KS245" s="16"/>
      <c r="KT245" s="16"/>
      <c r="KU245" s="16"/>
      <c r="KV245" s="16"/>
      <c r="KW245" s="16"/>
      <c r="KX245" s="16"/>
      <c r="KY245" s="16"/>
      <c r="KZ245" s="16"/>
      <c r="LA245" s="16"/>
      <c r="LB245" s="16"/>
      <c r="LC245" s="16"/>
      <c r="LD245" s="16"/>
      <c r="LE245" s="16"/>
      <c r="LF245" s="16"/>
      <c r="LG245" s="16"/>
      <c r="LH245" s="16"/>
      <c r="LI245" s="16"/>
      <c r="LJ245" s="16"/>
      <c r="LK245" s="16"/>
      <c r="LL245" s="77"/>
      <c r="LM245" s="77"/>
      <c r="LN245" s="77"/>
      <c r="LO245" s="77"/>
      <c r="LP245" s="77"/>
      <c r="LQ245" s="77"/>
      <c r="LR245" s="77"/>
      <c r="LS245" s="77"/>
      <c r="LT245" s="77"/>
      <c r="LU245" s="77"/>
      <c r="LV245" s="77"/>
      <c r="LW245" s="77"/>
      <c r="LX245" s="77"/>
      <c r="LY245" s="77"/>
      <c r="LZ245" s="77"/>
      <c r="MA245" s="77"/>
      <c r="MB245" s="77"/>
      <c r="MC245" s="77"/>
      <c r="MD245" s="77"/>
      <c r="ME245" s="77"/>
      <c r="MF245" s="77"/>
      <c r="MG245" s="77"/>
      <c r="MH245" s="77"/>
      <c r="MI245" s="77"/>
      <c r="MJ245" s="77"/>
      <c r="MK245" s="77"/>
      <c r="ML245" s="77"/>
      <c r="MM245" s="77"/>
      <c r="MN245" s="77"/>
      <c r="MO245" s="77"/>
      <c r="MP245" s="77"/>
      <c r="MQ245" s="77"/>
      <c r="MR245" s="77"/>
      <c r="MS245" s="77"/>
    </row>
    <row r="246" spans="1:421" ht="18.600000000000001" customHeight="1" x14ac:dyDescent="0.25">
      <c r="A246" s="119" t="s">
        <v>1901</v>
      </c>
      <c r="B246" s="27" t="s">
        <v>1901</v>
      </c>
      <c r="C246" s="27" t="s">
        <v>4034</v>
      </c>
      <c r="D246" s="30" t="str">
        <f>HYPERLINK("https://twitter.com/Matignon","https://twitter.com/Matignon")</f>
        <v>https://twitter.com/Matignon</v>
      </c>
      <c r="E246" s="30" t="str">
        <f>HYPERLINK("http://twiplomacy.com/info/europe/France","http://twiplomacy.com/info/europe/France")</f>
        <v>http://twiplomacy.com/info/europe/France</v>
      </c>
      <c r="F246" s="10" t="s">
        <v>332</v>
      </c>
      <c r="G246" s="10" t="s">
        <v>395</v>
      </c>
      <c r="H246" s="10" t="s">
        <v>788</v>
      </c>
      <c r="I246" s="10" t="s">
        <v>782</v>
      </c>
      <c r="J246" s="27" t="s">
        <v>779</v>
      </c>
      <c r="K246" s="15" t="s">
        <v>1902</v>
      </c>
      <c r="L246" s="10" t="s">
        <v>771</v>
      </c>
      <c r="M246" s="10" t="s">
        <v>771</v>
      </c>
      <c r="N246" s="30" t="str">
        <f>HYPERLINK("https://twitter.com/Matignon/statuses/219819695174451200","https://twitter.com/Matignon/statuses/219819695174451200")</f>
        <v>https://twitter.com/Matignon/statuses/219819695174451200</v>
      </c>
      <c r="O246" s="27" t="s">
        <v>1903</v>
      </c>
      <c r="P246" s="80">
        <v>302</v>
      </c>
      <c r="Q246" s="80">
        <v>49</v>
      </c>
      <c r="R246" s="27" t="s">
        <v>2994</v>
      </c>
      <c r="S246" s="30" t="str">
        <f>HYPERLINK("https://twitter.com/Matignon/lists","https://twitter.com/Matignon/lists")</f>
        <v>https://twitter.com/Matignon/lists</v>
      </c>
      <c r="T246" s="10" t="s">
        <v>771</v>
      </c>
      <c r="U246" s="10" t="s">
        <v>771</v>
      </c>
      <c r="V246" s="10" t="s">
        <v>771</v>
      </c>
      <c r="W246" s="10"/>
      <c r="X246" s="27" t="s">
        <v>1901</v>
      </c>
      <c r="Y246" s="27" t="s">
        <v>1901</v>
      </c>
      <c r="Z246" s="80">
        <v>4141</v>
      </c>
      <c r="AA246" s="27">
        <v>57</v>
      </c>
      <c r="AB246" s="80">
        <v>78682</v>
      </c>
      <c r="AC246" s="27">
        <v>0</v>
      </c>
      <c r="AD246" s="27" t="s">
        <v>4035</v>
      </c>
      <c r="AE246" s="27">
        <v>621874680</v>
      </c>
      <c r="AF246" s="27" t="s">
        <v>4034</v>
      </c>
      <c r="AG246" s="27" t="s">
        <v>395</v>
      </c>
      <c r="AH246" s="79">
        <v>2.95153243050606</v>
      </c>
      <c r="AI246" s="83">
        <v>6.3963782696177098</v>
      </c>
      <c r="AJ246" s="80">
        <v>8.9279907084785108</v>
      </c>
      <c r="AK246" s="80">
        <v>1.0882694541231099</v>
      </c>
      <c r="AL246" s="27">
        <v>10</v>
      </c>
      <c r="AM246" s="97">
        <f t="shared" si="3"/>
        <v>3.1250000000000002E-3</v>
      </c>
      <c r="AN246" s="27" t="s">
        <v>1901</v>
      </c>
      <c r="AO246" s="27">
        <v>0</v>
      </c>
      <c r="AP246" s="27">
        <v>21</v>
      </c>
      <c r="AQ246" s="27">
        <v>6</v>
      </c>
      <c r="AR246" s="27">
        <f>SUM(AO246:AQ246)</f>
        <v>27</v>
      </c>
      <c r="AS246" s="27"/>
      <c r="AT246" s="27" t="s">
        <v>5284</v>
      </c>
      <c r="AU246" s="84" t="s">
        <v>4829</v>
      </c>
      <c r="BM246" s="77"/>
      <c r="BQ246" s="77"/>
      <c r="BR246" s="77"/>
      <c r="BS246" s="77"/>
      <c r="BT246" s="77"/>
      <c r="BU246" s="77"/>
      <c r="BV246" s="77"/>
      <c r="BW246" s="77"/>
      <c r="BX246" s="77"/>
      <c r="BY246" s="77"/>
      <c r="BZ246" s="77"/>
      <c r="CA246" s="77"/>
      <c r="CB246" s="77"/>
      <c r="CC246" s="77"/>
      <c r="CD246" s="77"/>
      <c r="CE246" s="77"/>
      <c r="CF246" s="77"/>
      <c r="CG246" s="77"/>
      <c r="CH246" s="77"/>
      <c r="CI246" s="77"/>
      <c r="CJ246" s="77"/>
      <c r="CK246" s="77"/>
      <c r="CL246" s="77"/>
      <c r="CM246" s="77"/>
      <c r="CN246" s="77"/>
      <c r="CO246" s="77"/>
      <c r="CP246" s="77"/>
      <c r="CQ246" s="77"/>
      <c r="CR246" s="77"/>
      <c r="CS246" s="77"/>
      <c r="CT246" s="77"/>
      <c r="CU246" s="77"/>
      <c r="CV246" s="77"/>
      <c r="CW246" s="77"/>
      <c r="CX246" s="77"/>
      <c r="CY246" s="77"/>
      <c r="CZ246" s="77"/>
      <c r="DA246" s="77"/>
      <c r="DB246" s="77"/>
      <c r="DC246" s="77"/>
      <c r="DD246" s="77"/>
      <c r="DE246" s="77"/>
      <c r="DF246" s="77"/>
      <c r="DG246" s="77"/>
      <c r="DH246" s="77"/>
      <c r="DI246" s="77"/>
      <c r="DJ246" s="77"/>
      <c r="DK246" s="77"/>
      <c r="DL246" s="77"/>
      <c r="DM246" s="77"/>
      <c r="DN246" s="77"/>
      <c r="DO246" s="77"/>
      <c r="DP246" s="77"/>
      <c r="DQ246" s="77"/>
      <c r="DR246" s="77"/>
      <c r="DS246" s="77"/>
      <c r="DT246" s="77"/>
      <c r="DU246" s="77"/>
      <c r="DV246" s="77"/>
      <c r="DW246" s="77"/>
      <c r="DX246" s="77"/>
      <c r="DY246" s="77"/>
      <c r="DZ246" s="77"/>
      <c r="EA246" s="77"/>
      <c r="EB246" s="77"/>
      <c r="EC246" s="77"/>
      <c r="ED246" s="77"/>
      <c r="EE246" s="77"/>
      <c r="EF246" s="77"/>
      <c r="EG246" s="77"/>
      <c r="EH246" s="77"/>
      <c r="EI246" s="77"/>
      <c r="EJ246" s="77"/>
      <c r="EK246" s="77"/>
      <c r="EL246" s="77"/>
      <c r="EM246" s="77"/>
      <c r="EN246" s="77"/>
      <c r="EO246" s="77"/>
      <c r="EP246" s="77"/>
      <c r="EQ246" s="77"/>
      <c r="ER246" s="77"/>
      <c r="ES246" s="77"/>
      <c r="ET246" s="77"/>
      <c r="EU246" s="77"/>
      <c r="EV246" s="77"/>
      <c r="EW246" s="77"/>
      <c r="EX246" s="77"/>
      <c r="EY246" s="77"/>
      <c r="EZ246" s="77"/>
      <c r="FA246" s="77"/>
      <c r="FB246" s="77"/>
      <c r="FC246" s="77"/>
      <c r="FD246" s="77"/>
      <c r="FE246" s="77"/>
      <c r="FF246" s="77"/>
      <c r="FG246" s="77"/>
      <c r="FH246" s="77"/>
      <c r="FI246" s="77"/>
      <c r="FJ246" s="77"/>
      <c r="FK246" s="77"/>
      <c r="FL246" s="77"/>
      <c r="FM246" s="77"/>
      <c r="FN246" s="77"/>
      <c r="FO246" s="77"/>
      <c r="FP246" s="77"/>
      <c r="FQ246" s="77"/>
      <c r="FR246" s="77"/>
      <c r="FS246" s="77"/>
      <c r="FT246" s="77"/>
      <c r="FU246" s="77"/>
      <c r="FV246" s="77"/>
      <c r="FW246" s="77"/>
      <c r="FX246" s="77"/>
      <c r="FY246" s="77"/>
      <c r="FZ246" s="77"/>
      <c r="GA246" s="77"/>
      <c r="GB246" s="77"/>
      <c r="GC246" s="77"/>
      <c r="GD246" s="77"/>
      <c r="GE246" s="77"/>
      <c r="GF246" s="77"/>
      <c r="GG246" s="77"/>
      <c r="GH246" s="77"/>
      <c r="GI246" s="77"/>
      <c r="GJ246" s="77"/>
      <c r="GK246" s="77"/>
      <c r="GL246" s="77"/>
      <c r="GM246" s="77"/>
      <c r="GN246" s="77"/>
      <c r="GO246" s="77"/>
      <c r="GP246" s="77"/>
      <c r="GQ246" s="77"/>
      <c r="GR246" s="77"/>
      <c r="GS246" s="77"/>
      <c r="GT246" s="77"/>
      <c r="GU246" s="77"/>
      <c r="GV246" s="77"/>
      <c r="GW246" s="77"/>
      <c r="GX246" s="77"/>
      <c r="GY246" s="77"/>
      <c r="GZ246" s="77"/>
      <c r="HA246" s="77"/>
      <c r="HB246" s="77"/>
      <c r="HC246" s="77"/>
      <c r="HD246" s="77"/>
      <c r="HE246" s="77"/>
      <c r="HF246" s="77"/>
      <c r="HG246" s="77"/>
      <c r="HH246" s="77"/>
      <c r="HI246" s="77"/>
      <c r="HJ246" s="77"/>
      <c r="HK246" s="77"/>
      <c r="ID246" s="77"/>
      <c r="IE246" s="77"/>
      <c r="KM246" s="77"/>
      <c r="KN246" s="77"/>
      <c r="KO246" s="77"/>
      <c r="KP246" s="77"/>
      <c r="KQ246" s="77"/>
      <c r="KR246" s="77"/>
      <c r="KS246" s="77"/>
      <c r="KT246" s="77"/>
      <c r="KU246" s="77"/>
      <c r="KV246" s="77"/>
      <c r="KW246" s="77"/>
      <c r="KX246" s="77"/>
      <c r="KY246" s="77"/>
      <c r="KZ246" s="77"/>
      <c r="LA246" s="77"/>
      <c r="LB246" s="77"/>
      <c r="LC246" s="77"/>
      <c r="LD246" s="77"/>
      <c r="LE246" s="77"/>
      <c r="LF246" s="77"/>
      <c r="LG246" s="77"/>
      <c r="LH246" s="77"/>
      <c r="LI246" s="77"/>
      <c r="LJ246" s="77"/>
      <c r="LK246" s="77"/>
      <c r="LL246" s="77"/>
      <c r="LM246" s="77"/>
      <c r="LN246" s="77"/>
      <c r="LO246" s="77"/>
      <c r="LP246" s="77"/>
      <c r="LQ246" s="77"/>
      <c r="LR246" s="77"/>
      <c r="LS246" s="77"/>
      <c r="LT246" s="77"/>
      <c r="LU246" s="77"/>
      <c r="LV246" s="77"/>
    </row>
    <row r="247" spans="1:421" ht="18.600000000000001" customHeight="1" x14ac:dyDescent="0.25">
      <c r="A247" s="119" t="s">
        <v>620</v>
      </c>
      <c r="B247" s="27" t="s">
        <v>2523</v>
      </c>
      <c r="C247" s="27" t="s">
        <v>2524</v>
      </c>
      <c r="D247" s="30" t="str">
        <f>HYPERLINK("https://twitter.com/CancilleriaPA","https://twitter.com/IsabelStMalo")</f>
        <v>https://twitter.com/IsabelStMalo</v>
      </c>
      <c r="E247" s="30" t="str">
        <f>HYPERLINK("http://twiplomacy.com/info/north-america/Panama","http://twiplomacy.com/info/north-america/Panama")</f>
        <v>http://twiplomacy.com/info/north-america/Panama</v>
      </c>
      <c r="F247" s="10" t="s">
        <v>558</v>
      </c>
      <c r="G247" s="10" t="s">
        <v>617</v>
      </c>
      <c r="H247" s="10" t="s">
        <v>860</v>
      </c>
      <c r="I247" s="10" t="s">
        <v>773</v>
      </c>
      <c r="J247" s="27" t="s">
        <v>2226</v>
      </c>
      <c r="K247" s="15" t="s">
        <v>777</v>
      </c>
      <c r="L247" s="10" t="s">
        <v>771</v>
      </c>
      <c r="M247" s="10" t="s">
        <v>771</v>
      </c>
      <c r="N247" s="30" t="str">
        <f>HYPERLINK("https://twitter.com/IsabelStMalo/status/119913916385079296","https://twitter.com/IsabelStMalo/status/119913916385079296")</f>
        <v>https://twitter.com/IsabelStMalo/status/119913916385079296</v>
      </c>
      <c r="O247" s="27" t="s">
        <v>5880</v>
      </c>
      <c r="P247" s="80">
        <v>632</v>
      </c>
      <c r="Q247" s="80">
        <v>346</v>
      </c>
      <c r="R247" s="27" t="s">
        <v>2994</v>
      </c>
      <c r="S247" s="30" t="str">
        <f>HYPERLINK("https://twitter.com/IsabelStMalo/lists","https://twitter.com/IsabelStMalo/lists")</f>
        <v>https://twitter.com/IsabelStMalo/lists</v>
      </c>
      <c r="T247" s="10" t="s">
        <v>771</v>
      </c>
      <c r="U247" s="10" t="s">
        <v>771</v>
      </c>
      <c r="V247" s="10" t="s">
        <v>771</v>
      </c>
      <c r="W247" s="10"/>
      <c r="X247" s="27" t="s">
        <v>620</v>
      </c>
      <c r="Y247" s="27" t="s">
        <v>2523</v>
      </c>
      <c r="Z247" s="80">
        <v>4134</v>
      </c>
      <c r="AA247" s="27">
        <v>616</v>
      </c>
      <c r="AB247" s="80">
        <v>60772</v>
      </c>
      <c r="AC247" s="27">
        <v>366</v>
      </c>
      <c r="AD247" s="27" t="s">
        <v>3845</v>
      </c>
      <c r="AE247" s="27">
        <v>319244800</v>
      </c>
      <c r="AF247" s="27" t="s">
        <v>2524</v>
      </c>
      <c r="AG247" s="27"/>
      <c r="AH247" s="79">
        <v>2.3224719101123599</v>
      </c>
      <c r="AI247" s="83">
        <v>3.1610337972167</v>
      </c>
      <c r="AJ247" s="80">
        <v>29.312169312169299</v>
      </c>
      <c r="AK247" s="80">
        <v>19.8571428571429</v>
      </c>
      <c r="AL247" s="27">
        <v>187</v>
      </c>
      <c r="AM247" s="97">
        <f t="shared" si="3"/>
        <v>5.8437500000000003E-2</v>
      </c>
      <c r="AN247" s="27" t="s">
        <v>620</v>
      </c>
      <c r="AO247" s="27">
        <v>15</v>
      </c>
      <c r="AP247" s="27">
        <v>22</v>
      </c>
      <c r="AQ247" s="27">
        <v>8</v>
      </c>
      <c r="AR247" s="27">
        <f>SUM(AO247:AQ247)</f>
        <v>45</v>
      </c>
      <c r="AS247" s="27" t="s">
        <v>6218</v>
      </c>
      <c r="AT247" s="27" t="s">
        <v>6751</v>
      </c>
      <c r="AU247" s="84" t="s">
        <v>6492</v>
      </c>
      <c r="AV247" s="77"/>
      <c r="AW247" s="77"/>
      <c r="AX247" s="77"/>
      <c r="AY247" s="77"/>
      <c r="AZ247" s="77"/>
      <c r="BA247" s="77"/>
      <c r="BB247" s="77"/>
      <c r="BC247" s="77"/>
      <c r="BD247" s="77"/>
      <c r="BE247" s="77"/>
      <c r="BF247" s="77"/>
      <c r="BG247" s="77"/>
      <c r="BH247" s="77"/>
      <c r="BI247" s="77"/>
      <c r="BJ247" s="77"/>
      <c r="BK247" s="77"/>
      <c r="BL247" s="77"/>
      <c r="BM247" s="77"/>
      <c r="BN247" s="77"/>
      <c r="BO247" s="77"/>
      <c r="BP247" s="77"/>
      <c r="CC247" s="77"/>
      <c r="CD247" s="77"/>
      <c r="CE247" s="77"/>
      <c r="CF247" s="77"/>
      <c r="CG247" s="77"/>
      <c r="CH247" s="77"/>
      <c r="CI247" s="77"/>
      <c r="CJ247" s="77"/>
      <c r="EM247" s="77"/>
      <c r="EN247" s="77"/>
      <c r="EO247" s="77"/>
      <c r="EP247" s="77"/>
      <c r="EQ247" s="77"/>
      <c r="GL247" s="77"/>
      <c r="GM247" s="77"/>
      <c r="GN247" s="77"/>
      <c r="GO247" s="77"/>
      <c r="GP247" s="77"/>
      <c r="GQ247" s="77"/>
      <c r="GR247" s="77"/>
      <c r="GS247" s="77"/>
      <c r="GT247" s="77"/>
      <c r="GU247" s="77"/>
      <c r="GV247" s="77"/>
      <c r="GW247" s="77"/>
      <c r="GX247" s="77"/>
      <c r="GY247" s="77"/>
      <c r="GZ247" s="77"/>
      <c r="HA247" s="77"/>
      <c r="HB247" s="77"/>
      <c r="HC247" s="77"/>
      <c r="HD247" s="77"/>
      <c r="HE247" s="77"/>
      <c r="HF247" s="77"/>
      <c r="HG247" s="77"/>
      <c r="HH247" s="77"/>
      <c r="HI247" s="77"/>
      <c r="HJ247" s="77"/>
      <c r="HK247" s="77"/>
      <c r="IF247" s="77"/>
      <c r="IG247" s="77"/>
      <c r="IH247" s="77"/>
      <c r="II247" s="77"/>
      <c r="IJ247" s="77"/>
      <c r="IK247" s="77"/>
      <c r="IL247" s="77"/>
      <c r="IM247" s="77"/>
      <c r="IN247" s="77"/>
      <c r="IO247" s="77"/>
      <c r="IP247" s="77"/>
      <c r="IQ247" s="77"/>
      <c r="IR247" s="77"/>
      <c r="IS247" s="77"/>
      <c r="IT247" s="77"/>
      <c r="IU247" s="77"/>
      <c r="IV247" s="77"/>
      <c r="IW247" s="77"/>
      <c r="IX247" s="77"/>
      <c r="IY247" s="77"/>
      <c r="IZ247" s="77"/>
      <c r="JA247" s="77"/>
      <c r="JB247" s="77"/>
      <c r="JC247" s="77"/>
      <c r="JD247" s="77"/>
      <c r="JE247" s="77"/>
      <c r="JF247" s="77"/>
      <c r="JG247" s="77"/>
      <c r="JH247" s="77"/>
      <c r="JI247" s="77"/>
      <c r="JJ247" s="77"/>
      <c r="JK247" s="77"/>
      <c r="JL247" s="77"/>
      <c r="JM247" s="77"/>
      <c r="JN247" s="77"/>
      <c r="JO247" s="77"/>
      <c r="JP247" s="77"/>
      <c r="JQ247" s="77"/>
      <c r="JR247" s="77"/>
      <c r="JS247" s="77"/>
      <c r="JT247" s="77"/>
      <c r="JU247" s="77"/>
      <c r="JV247" s="77"/>
      <c r="JW247" s="77"/>
      <c r="JX247" s="77"/>
      <c r="JY247" s="77"/>
      <c r="JZ247" s="77"/>
      <c r="KA247" s="77"/>
      <c r="KB247" s="77"/>
      <c r="KC247" s="77"/>
      <c r="KD247" s="77"/>
      <c r="KE247" s="77"/>
      <c r="KF247" s="77"/>
      <c r="KG247" s="77"/>
      <c r="KH247" s="77"/>
      <c r="KI247" s="77"/>
      <c r="KJ247" s="77"/>
      <c r="KK247" s="77"/>
      <c r="KL247" s="77"/>
      <c r="LL247" s="77"/>
      <c r="LM247" s="77"/>
      <c r="LN247" s="77"/>
      <c r="LO247" s="77"/>
      <c r="LP247" s="77"/>
      <c r="LQ247" s="77"/>
      <c r="LR247" s="77"/>
      <c r="LS247" s="77"/>
      <c r="LT247" s="77"/>
      <c r="LU247" s="77"/>
      <c r="LV247" s="77"/>
      <c r="MS247" s="77"/>
      <c r="NE247" s="77"/>
      <c r="NF247" s="77"/>
      <c r="NG247" s="77"/>
      <c r="NH247" s="77"/>
      <c r="NI247" s="77"/>
      <c r="NJ247" s="77"/>
      <c r="NK247" s="77"/>
      <c r="NL247" s="77"/>
      <c r="NM247" s="77"/>
      <c r="NN247" s="77"/>
      <c r="NO247" s="77"/>
      <c r="NP247" s="77"/>
      <c r="NQ247" s="77"/>
      <c r="NR247" s="77"/>
      <c r="NS247" s="77"/>
      <c r="NT247" s="77"/>
      <c r="NU247" s="77"/>
      <c r="NV247" s="77"/>
      <c r="NW247" s="77"/>
      <c r="NX247" s="77"/>
      <c r="NY247" s="77"/>
      <c r="NZ247" s="77"/>
      <c r="OA247" s="77"/>
      <c r="OB247" s="77"/>
      <c r="OC247" s="77"/>
      <c r="OD247" s="77"/>
      <c r="OE247" s="77"/>
      <c r="OF247" s="77"/>
      <c r="OG247" s="77"/>
      <c r="OH247" s="77"/>
      <c r="OI247" s="77"/>
      <c r="OJ247" s="77"/>
      <c r="OK247" s="77"/>
      <c r="OL247" s="77"/>
      <c r="OM247" s="77"/>
      <c r="ON247" s="77"/>
      <c r="OO247" s="77"/>
      <c r="OP247" s="77"/>
      <c r="OQ247" s="77"/>
      <c r="OR247" s="77"/>
      <c r="OS247" s="77"/>
      <c r="OT247" s="77"/>
      <c r="OU247" s="77"/>
      <c r="OV247" s="77"/>
      <c r="OW247" s="77"/>
      <c r="OX247" s="77"/>
      <c r="OY247" s="77"/>
      <c r="OZ247" s="77"/>
      <c r="PA247" s="77"/>
      <c r="PB247" s="77"/>
      <c r="PC247" s="77"/>
      <c r="PD247" s="77"/>
      <c r="PE247" s="77"/>
    </row>
    <row r="248" spans="1:421" ht="18.600000000000001" customHeight="1" x14ac:dyDescent="0.25">
      <c r="A248" s="119" t="s">
        <v>2804</v>
      </c>
      <c r="B248" s="27" t="s">
        <v>2782</v>
      </c>
      <c r="C248" s="27" t="s">
        <v>6414</v>
      </c>
      <c r="D248" s="30" t="str">
        <f>HYPERLINK("https://twitter.com/maduro_cmn","https://twitter.com/maduro_cmn")</f>
        <v>https://twitter.com/maduro_cmn</v>
      </c>
      <c r="E248" s="30" t="str">
        <f>HYPERLINK("http://twiplomacy.com/info/south-america/Venezuela","http://twiplomacy.com/info/south-america/Venezuela")</f>
        <v>http://twiplomacy.com/info/south-america/Venezuela</v>
      </c>
      <c r="F248" s="10" t="s">
        <v>668</v>
      </c>
      <c r="G248" s="10" t="s">
        <v>710</v>
      </c>
      <c r="H248" s="10" t="s">
        <v>772</v>
      </c>
      <c r="I248" s="10" t="s">
        <v>773</v>
      </c>
      <c r="J248" s="27" t="s">
        <v>2807</v>
      </c>
      <c r="K248" s="10" t="s">
        <v>4628</v>
      </c>
      <c r="L248" s="10" t="s">
        <v>771</v>
      </c>
      <c r="M248" s="10" t="s">
        <v>771</v>
      </c>
      <c r="N248" s="30" t="str">
        <f>HYPERLINK("https://twitter.com/maduro_cmn/statuses/380047709597888512","https://twitter.com/maduro_cmn/statuses/380047709597888512")</f>
        <v>https://twitter.com/maduro_cmn/statuses/380047709597888512</v>
      </c>
      <c r="O248" s="27" t="s">
        <v>2805</v>
      </c>
      <c r="P248" s="80">
        <v>128</v>
      </c>
      <c r="Q248" s="80">
        <v>18</v>
      </c>
      <c r="R248" s="27" t="s">
        <v>2995</v>
      </c>
      <c r="S248" s="10" t="s">
        <v>2806</v>
      </c>
      <c r="T248" s="10" t="s">
        <v>771</v>
      </c>
      <c r="U248" s="10" t="s">
        <v>771</v>
      </c>
      <c r="V248" s="10" t="s">
        <v>771</v>
      </c>
      <c r="W248" s="10"/>
      <c r="X248" s="27" t="s">
        <v>2804</v>
      </c>
      <c r="Y248" s="27" t="s">
        <v>2782</v>
      </c>
      <c r="Z248" s="80">
        <v>4089</v>
      </c>
      <c r="AA248" s="27">
        <v>4</v>
      </c>
      <c r="AB248" s="80">
        <v>17276</v>
      </c>
      <c r="AC248" s="27">
        <v>0</v>
      </c>
      <c r="AD248" s="27" t="s">
        <v>3983</v>
      </c>
      <c r="AE248" s="27">
        <v>1725418764</v>
      </c>
      <c r="AF248" s="27" t="s">
        <v>6414</v>
      </c>
      <c r="AG248" s="27"/>
      <c r="AH248" s="79">
        <v>4.2067901234567904</v>
      </c>
      <c r="AI248" s="83">
        <v>25.171875</v>
      </c>
      <c r="AJ248" s="80">
        <v>1.56703910614525</v>
      </c>
      <c r="AK248" s="80">
        <v>0.44134078212290501</v>
      </c>
      <c r="AL248" s="27">
        <v>21</v>
      </c>
      <c r="AM248" s="97">
        <f t="shared" si="3"/>
        <v>6.5624999999999998E-3</v>
      </c>
      <c r="AN248" s="27" t="s">
        <v>2804</v>
      </c>
      <c r="AO248" s="27">
        <v>1</v>
      </c>
      <c r="AP248" s="27">
        <v>4</v>
      </c>
      <c r="AQ248" s="27">
        <v>3</v>
      </c>
      <c r="AR248" s="27">
        <f>SUM(AO248:AQ248)</f>
        <v>8</v>
      </c>
      <c r="AS248" s="27" t="s">
        <v>2800</v>
      </c>
      <c r="AT248" s="27" t="s">
        <v>5258</v>
      </c>
      <c r="AU248" s="84" t="s">
        <v>4812</v>
      </c>
      <c r="AV248" s="77"/>
      <c r="AW248" s="77"/>
      <c r="AX248" s="77"/>
      <c r="AY248" s="77"/>
      <c r="AZ248" s="77"/>
      <c r="BA248" s="77"/>
      <c r="BB248" s="77"/>
      <c r="BC248" s="77"/>
      <c r="BD248" s="77"/>
      <c r="BE248" s="77"/>
      <c r="BF248" s="77"/>
      <c r="BG248" s="77"/>
      <c r="BH248" s="77"/>
      <c r="BI248" s="77"/>
      <c r="BJ248" s="77"/>
      <c r="BK248" s="77"/>
      <c r="BL248" s="77"/>
      <c r="BM248" s="77"/>
      <c r="BN248" s="77"/>
      <c r="BO248" s="77"/>
      <c r="BP248" s="77"/>
      <c r="BQ248" s="77"/>
      <c r="BR248" s="77"/>
      <c r="BS248" s="77"/>
      <c r="BT248" s="77"/>
      <c r="BU248" s="77"/>
      <c r="BV248" s="77"/>
      <c r="BW248" s="77"/>
      <c r="BX248" s="77"/>
      <c r="BY248" s="77"/>
      <c r="BZ248" s="77"/>
      <c r="CA248" s="77"/>
      <c r="CB248" s="77"/>
      <c r="CC248" s="77"/>
      <c r="CD248" s="77"/>
      <c r="CE248" s="77"/>
      <c r="CF248" s="77"/>
      <c r="CG248" s="77"/>
      <c r="CH248" s="77"/>
      <c r="CI248" s="77"/>
      <c r="CJ248" s="77"/>
      <c r="CK248" s="77"/>
      <c r="CL248" s="77"/>
      <c r="CM248" s="77"/>
      <c r="CN248" s="77"/>
      <c r="CO248" s="77"/>
      <c r="CP248" s="77"/>
      <c r="CQ248" s="77"/>
      <c r="CR248" s="77"/>
      <c r="CS248" s="77"/>
      <c r="CT248" s="77"/>
      <c r="CU248" s="77"/>
      <c r="CV248" s="77"/>
      <c r="CW248" s="77"/>
      <c r="CX248" s="77"/>
      <c r="CY248" s="77"/>
      <c r="CZ248" s="77"/>
      <c r="DA248" s="77"/>
      <c r="DB248" s="77"/>
      <c r="DC248" s="77"/>
      <c r="DD248" s="77"/>
      <c r="DE248" s="77"/>
      <c r="DF248" s="77"/>
      <c r="DG248" s="77"/>
      <c r="DH248" s="77"/>
      <c r="DI248" s="77"/>
      <c r="DJ248" s="77"/>
      <c r="DK248" s="77"/>
      <c r="DL248" s="77"/>
      <c r="DM248" s="77"/>
      <c r="DN248" s="77"/>
      <c r="DO248" s="77"/>
      <c r="DP248" s="77"/>
      <c r="DQ248" s="77"/>
      <c r="DR248" s="77"/>
      <c r="DS248" s="77"/>
      <c r="DT248" s="77"/>
      <c r="DU248" s="77"/>
      <c r="DV248" s="77"/>
      <c r="DW248" s="77"/>
      <c r="DX248" s="77"/>
      <c r="DY248" s="77"/>
      <c r="DZ248" s="77"/>
      <c r="EA248" s="77"/>
      <c r="EB248" s="77"/>
      <c r="EC248" s="77"/>
      <c r="ED248" s="77"/>
      <c r="EE248" s="77"/>
      <c r="EF248" s="77"/>
      <c r="EG248" s="77"/>
      <c r="EH248" s="77"/>
      <c r="EI248" s="77"/>
      <c r="EJ248" s="77"/>
      <c r="EK248" s="77"/>
      <c r="EL248" s="77"/>
      <c r="EP248" s="77"/>
      <c r="ER248" s="77"/>
      <c r="ES248" s="77"/>
      <c r="ET248" s="77"/>
      <c r="EU248" s="77"/>
      <c r="EV248" s="77"/>
      <c r="EW248" s="77"/>
      <c r="EX248" s="77"/>
      <c r="EY248" s="77"/>
      <c r="EZ248" s="77"/>
      <c r="FA248" s="77"/>
      <c r="FB248" s="77"/>
      <c r="FC248" s="77"/>
      <c r="FD248" s="77"/>
      <c r="FE248" s="77"/>
      <c r="FF248" s="77"/>
      <c r="FG248" s="77"/>
      <c r="FH248" s="77"/>
      <c r="FI248" s="77"/>
      <c r="FJ248" s="77"/>
      <c r="FK248" s="77"/>
      <c r="FL248" s="77"/>
      <c r="FM248" s="77"/>
      <c r="FN248" s="77"/>
      <c r="FO248" s="77"/>
      <c r="FP248" s="77"/>
      <c r="FQ248" s="77"/>
      <c r="FR248" s="77"/>
      <c r="FS248" s="77"/>
      <c r="FT248" s="77"/>
      <c r="FU248" s="77"/>
      <c r="FV248" s="77"/>
      <c r="FW248" s="77"/>
      <c r="FX248" s="77"/>
      <c r="FY248" s="77"/>
      <c r="FZ248" s="77"/>
      <c r="GA248" s="77"/>
      <c r="GB248" s="77"/>
      <c r="GC248" s="77"/>
      <c r="GD248" s="77"/>
      <c r="GE248" s="77"/>
      <c r="GF248" s="77"/>
      <c r="GG248" s="77"/>
      <c r="GH248" s="77"/>
      <c r="GI248" s="77"/>
      <c r="GJ248" s="77"/>
      <c r="GK248" s="77"/>
      <c r="GL248" s="77"/>
      <c r="GM248" s="77"/>
      <c r="GN248" s="77"/>
      <c r="GO248" s="77"/>
      <c r="GP248" s="77"/>
      <c r="GQ248" s="77"/>
      <c r="GR248" s="77"/>
      <c r="GS248" s="77"/>
      <c r="GT248" s="77"/>
      <c r="GU248" s="77"/>
      <c r="GV248" s="77"/>
      <c r="GW248" s="77"/>
      <c r="GX248" s="77"/>
      <c r="GY248" s="77"/>
      <c r="GZ248" s="77"/>
      <c r="HA248" s="77"/>
      <c r="HB248" s="77"/>
      <c r="HC248" s="77"/>
      <c r="HD248" s="77"/>
      <c r="HE248" s="77"/>
      <c r="HF248" s="77"/>
      <c r="HG248" s="77"/>
      <c r="HH248" s="77"/>
      <c r="HI248" s="77"/>
      <c r="HJ248" s="77"/>
      <c r="HK248" s="77"/>
      <c r="ID248" s="77"/>
      <c r="IE248" s="77"/>
      <c r="IF248" s="77"/>
      <c r="IG248" s="77"/>
      <c r="IH248" s="77"/>
      <c r="II248" s="77"/>
      <c r="IJ248" s="77"/>
      <c r="IK248" s="77"/>
      <c r="IL248" s="77"/>
      <c r="IM248" s="77"/>
      <c r="IN248" s="77"/>
      <c r="IO248" s="77"/>
      <c r="IP248" s="77"/>
      <c r="IQ248" s="77"/>
      <c r="IR248" s="77"/>
      <c r="IS248" s="77"/>
      <c r="IT248" s="77"/>
      <c r="IU248" s="77"/>
      <c r="IV248" s="77"/>
      <c r="IW248" s="77"/>
      <c r="IX248" s="77"/>
      <c r="IY248" s="77"/>
      <c r="IZ248" s="77"/>
      <c r="JA248" s="77"/>
      <c r="JB248" s="77"/>
      <c r="JC248" s="77"/>
      <c r="JD248" s="77"/>
      <c r="JE248" s="77"/>
      <c r="JF248" s="77"/>
      <c r="JG248" s="77"/>
      <c r="JH248" s="77"/>
      <c r="JI248" s="77"/>
      <c r="JJ248" s="77"/>
      <c r="JK248" s="77"/>
      <c r="JL248" s="77"/>
      <c r="JM248" s="77"/>
      <c r="JN248" s="77"/>
      <c r="JO248" s="77"/>
      <c r="JP248" s="77"/>
      <c r="JQ248" s="77"/>
      <c r="JR248" s="77"/>
      <c r="JS248" s="77"/>
      <c r="JT248" s="77"/>
      <c r="JU248" s="77"/>
      <c r="JV248" s="77"/>
      <c r="JW248" s="77"/>
      <c r="JX248" s="77"/>
      <c r="JY248" s="77"/>
      <c r="JZ248" s="77"/>
      <c r="KA248" s="77"/>
      <c r="KB248" s="77"/>
      <c r="KC248" s="77"/>
      <c r="KD248" s="77"/>
      <c r="KE248" s="77"/>
      <c r="KF248" s="77"/>
      <c r="KG248" s="77"/>
      <c r="KH248" s="77"/>
      <c r="KI248" s="77"/>
      <c r="KJ248" s="77"/>
      <c r="KK248" s="77"/>
      <c r="KL248" s="77"/>
      <c r="KM248" s="77"/>
      <c r="KN248" s="77"/>
      <c r="KO248" s="77"/>
      <c r="KP248" s="77"/>
      <c r="KQ248" s="77"/>
      <c r="KR248" s="77"/>
      <c r="KS248" s="77"/>
      <c r="KT248" s="77"/>
      <c r="KU248" s="77"/>
      <c r="KV248" s="77"/>
      <c r="KW248" s="77"/>
      <c r="KX248" s="77"/>
      <c r="KY248" s="77"/>
      <c r="KZ248" s="77"/>
      <c r="LA248" s="77"/>
      <c r="LB248" s="77"/>
      <c r="LC248" s="77"/>
      <c r="LD248" s="77"/>
      <c r="LE248" s="77"/>
      <c r="LF248" s="77"/>
      <c r="LG248" s="77"/>
      <c r="LH248" s="77"/>
      <c r="LI248" s="77"/>
      <c r="LJ248" s="77"/>
      <c r="LK248" s="77"/>
      <c r="LW248" s="77"/>
      <c r="LX248" s="77"/>
      <c r="MS248" s="77"/>
    </row>
    <row r="249" spans="1:421" ht="18.600000000000001" customHeight="1" x14ac:dyDescent="0.25">
      <c r="A249" s="119" t="s">
        <v>489</v>
      </c>
      <c r="B249" s="27" t="s">
        <v>3038</v>
      </c>
      <c r="C249" s="27" t="s">
        <v>3770</v>
      </c>
      <c r="D249" s="30" t="str">
        <f>HYPERLINK("https://twitter.com/govpt","https://twitter.com/govpt")</f>
        <v>https://twitter.com/govpt</v>
      </c>
      <c r="E249" s="30" t="str">
        <f>HYPERLINK("http://twiplomacy.com/info/europe/Portugal","http://twiplomacy.com/info/europe/Portugal")</f>
        <v>http://twiplomacy.com/info/europe/Portugal</v>
      </c>
      <c r="F249" s="10" t="s">
        <v>332</v>
      </c>
      <c r="G249" s="10" t="s">
        <v>487</v>
      </c>
      <c r="H249" s="10" t="s">
        <v>788</v>
      </c>
      <c r="I249" s="10" t="s">
        <v>782</v>
      </c>
      <c r="J249" s="27" t="s">
        <v>785</v>
      </c>
      <c r="K249" s="15" t="s">
        <v>777</v>
      </c>
      <c r="L249" s="10" t="s">
        <v>771</v>
      </c>
      <c r="M249" s="10" t="s">
        <v>770</v>
      </c>
      <c r="N249" s="30" t="str">
        <f>HYPERLINK("https://twitter.com/govpt/statuses/1946479609","https://twitter.com/govpt/statuses/1946479609")</f>
        <v>https://twitter.com/govpt/statuses/1946479609</v>
      </c>
      <c r="O249" s="27" t="s">
        <v>5840</v>
      </c>
      <c r="P249" s="80">
        <v>31</v>
      </c>
      <c r="Q249" s="80">
        <v>45</v>
      </c>
      <c r="R249" s="27" t="s">
        <v>2994</v>
      </c>
      <c r="S249" s="10" t="s">
        <v>2124</v>
      </c>
      <c r="T249" s="10" t="s">
        <v>771</v>
      </c>
      <c r="U249" s="10" t="s">
        <v>771</v>
      </c>
      <c r="V249" s="10" t="s">
        <v>771</v>
      </c>
      <c r="W249" s="10"/>
      <c r="X249" s="27" t="s">
        <v>489</v>
      </c>
      <c r="Y249" s="27" t="s">
        <v>3038</v>
      </c>
      <c r="Z249" s="80">
        <v>4083</v>
      </c>
      <c r="AA249" s="27">
        <v>475</v>
      </c>
      <c r="AB249" s="80">
        <v>52681</v>
      </c>
      <c r="AC249" s="27">
        <v>38</v>
      </c>
      <c r="AD249" s="27" t="s">
        <v>3771</v>
      </c>
      <c r="AE249" s="27">
        <v>31237480</v>
      </c>
      <c r="AF249" s="27" t="s">
        <v>3770</v>
      </c>
      <c r="AG249" s="27" t="s">
        <v>487</v>
      </c>
      <c r="AH249" s="79">
        <v>1.5862470862470901</v>
      </c>
      <c r="AI249" s="83">
        <v>1.6049627791563299</v>
      </c>
      <c r="AJ249" s="80">
        <v>1.25955162614462</v>
      </c>
      <c r="AK249" s="80">
        <v>1.8556994000631499</v>
      </c>
      <c r="AL249" s="27">
        <v>2</v>
      </c>
      <c r="AM249" s="97">
        <f t="shared" si="3"/>
        <v>6.2500000000000001E-4</v>
      </c>
      <c r="AN249" s="27" t="s">
        <v>489</v>
      </c>
      <c r="AO249" s="27">
        <v>21</v>
      </c>
      <c r="AP249" s="27">
        <v>26</v>
      </c>
      <c r="AQ249" s="27">
        <v>14</v>
      </c>
      <c r="AR249" s="27">
        <f>SUM(AO249:AQ249)</f>
        <v>61</v>
      </c>
      <c r="AS249" s="27" t="s">
        <v>6645</v>
      </c>
      <c r="AT249" s="27" t="s">
        <v>6740</v>
      </c>
      <c r="AU249" s="84" t="s">
        <v>6487</v>
      </c>
      <c r="BM249" s="70"/>
      <c r="BQ249" s="77"/>
      <c r="BR249" s="77"/>
      <c r="BS249" s="77"/>
      <c r="BT249" s="77"/>
      <c r="BU249" s="77"/>
      <c r="BV249" s="77"/>
      <c r="BW249" s="77"/>
      <c r="BX249" s="77"/>
      <c r="BY249" s="77"/>
      <c r="BZ249" s="77"/>
      <c r="CA249" s="77"/>
      <c r="CB249" s="77"/>
      <c r="CK249" s="77"/>
      <c r="CL249" s="77"/>
      <c r="CM249" s="77"/>
      <c r="CN249" s="77"/>
      <c r="CO249" s="77"/>
      <c r="CP249" s="77"/>
      <c r="CQ249" s="77"/>
      <c r="CR249" s="77"/>
      <c r="CS249" s="77"/>
      <c r="CT249" s="77"/>
      <c r="CU249" s="77"/>
      <c r="CV249" s="77"/>
      <c r="CW249" s="77"/>
      <c r="CX249" s="77"/>
      <c r="CY249" s="77"/>
      <c r="CZ249" s="77"/>
      <c r="DA249" s="77"/>
      <c r="DB249" s="77"/>
      <c r="DC249" s="77"/>
      <c r="DD249" s="77"/>
      <c r="DE249" s="77"/>
      <c r="DF249" s="77"/>
      <c r="DG249" s="77"/>
      <c r="DH249" s="77"/>
      <c r="DI249" s="77"/>
      <c r="DJ249" s="77"/>
      <c r="DK249" s="77"/>
      <c r="DL249" s="77"/>
      <c r="DM249" s="77"/>
      <c r="DN249" s="77"/>
      <c r="DO249" s="77"/>
      <c r="DP249" s="77"/>
      <c r="DQ249" s="77"/>
      <c r="DR249" s="77"/>
      <c r="DS249" s="77"/>
      <c r="DT249" s="77"/>
      <c r="DU249" s="77"/>
      <c r="DV249" s="77"/>
      <c r="DW249" s="77"/>
      <c r="DX249" s="77"/>
      <c r="DY249" s="77"/>
      <c r="DZ249" s="77"/>
      <c r="EA249" s="77"/>
      <c r="EB249" s="77"/>
      <c r="EC249" s="77"/>
      <c r="ED249" s="77"/>
      <c r="EE249" s="77"/>
      <c r="EF249" s="77"/>
      <c r="EG249" s="77"/>
      <c r="EH249" s="77"/>
      <c r="EI249" s="77"/>
      <c r="EJ249" s="77"/>
      <c r="EK249" s="77"/>
      <c r="EL249" s="77"/>
      <c r="EM249" s="77"/>
      <c r="EN249" s="77"/>
      <c r="EO249" s="77"/>
      <c r="EP249" s="77"/>
      <c r="EQ249" s="77"/>
      <c r="ER249" s="77"/>
      <c r="ES249" s="77"/>
      <c r="ET249" s="77"/>
      <c r="EU249" s="77"/>
      <c r="EV249" s="77"/>
      <c r="EW249" s="77"/>
      <c r="EX249" s="77"/>
      <c r="EY249" s="77"/>
      <c r="EZ249" s="77"/>
      <c r="FA249" s="77"/>
      <c r="FB249" s="77"/>
      <c r="FC249" s="77"/>
      <c r="FD249" s="77"/>
      <c r="FE249" s="77"/>
      <c r="FF249" s="77"/>
      <c r="FG249" s="77"/>
      <c r="FH249" s="77"/>
      <c r="FI249" s="77"/>
      <c r="FJ249" s="77"/>
      <c r="FK249" s="77"/>
      <c r="FL249" s="77"/>
      <c r="FM249" s="77"/>
      <c r="FN249" s="77"/>
      <c r="FO249" s="77"/>
      <c r="FP249" s="77"/>
      <c r="FQ249" s="77"/>
      <c r="FR249" s="77"/>
      <c r="FS249" s="77"/>
      <c r="FT249" s="77"/>
      <c r="FU249" s="77"/>
      <c r="FV249" s="77"/>
      <c r="FW249" s="77"/>
      <c r="FX249" s="77"/>
      <c r="FY249" s="77"/>
      <c r="FZ249" s="77"/>
      <c r="GA249" s="77"/>
      <c r="GB249" s="77"/>
      <c r="GC249" s="77"/>
      <c r="GD249" s="77"/>
      <c r="GE249" s="77"/>
      <c r="GF249" s="77"/>
      <c r="GG249" s="77"/>
      <c r="GH249" s="77"/>
      <c r="GI249" s="77"/>
      <c r="GJ249" s="77"/>
      <c r="GK249" s="77"/>
      <c r="GL249" s="77"/>
      <c r="GM249" s="77"/>
      <c r="GN249" s="77"/>
      <c r="GO249" s="77"/>
      <c r="GP249" s="77"/>
      <c r="GQ249" s="77"/>
      <c r="GR249" s="77"/>
      <c r="GS249" s="77"/>
      <c r="GT249" s="77"/>
      <c r="GU249" s="77"/>
      <c r="GV249" s="77"/>
      <c r="GW249" s="77"/>
      <c r="GX249" s="77"/>
      <c r="GY249" s="77"/>
      <c r="GZ249" s="77"/>
      <c r="HA249" s="77"/>
      <c r="HB249" s="77"/>
      <c r="HC249" s="77"/>
      <c r="HD249" s="77"/>
      <c r="HE249" s="77"/>
      <c r="HF249" s="77"/>
      <c r="HG249" s="77"/>
      <c r="HH249" s="77"/>
      <c r="HI249" s="77"/>
      <c r="HJ249" s="77"/>
      <c r="HK249" s="77"/>
      <c r="HL249" s="77"/>
      <c r="HM249" s="77"/>
      <c r="HN249" s="77"/>
      <c r="HO249" s="77"/>
      <c r="HP249" s="77"/>
      <c r="HQ249" s="77"/>
      <c r="HR249" s="77"/>
      <c r="HS249" s="77"/>
      <c r="HT249" s="77"/>
      <c r="HU249" s="77"/>
      <c r="HV249" s="77"/>
      <c r="HW249" s="77"/>
      <c r="HX249" s="77"/>
      <c r="HY249" s="77"/>
      <c r="HZ249" s="77"/>
      <c r="IA249" s="77"/>
      <c r="IB249" s="77"/>
      <c r="IC249" s="77"/>
      <c r="IF249" s="77"/>
      <c r="IG249" s="77"/>
      <c r="IH249" s="77"/>
      <c r="II249" s="77"/>
      <c r="IJ249" s="77"/>
      <c r="IK249" s="77"/>
      <c r="IL249" s="77"/>
      <c r="IM249" s="77"/>
      <c r="IN249" s="77"/>
      <c r="IO249" s="77"/>
      <c r="IP249" s="77"/>
      <c r="IQ249" s="77"/>
      <c r="IR249" s="77"/>
      <c r="IS249" s="77"/>
      <c r="IT249" s="77"/>
      <c r="IU249" s="77"/>
      <c r="IV249" s="77"/>
      <c r="IW249" s="77"/>
      <c r="IX249" s="77"/>
      <c r="IY249" s="77"/>
      <c r="IZ249" s="77"/>
      <c r="JA249" s="77"/>
      <c r="JB249" s="77"/>
      <c r="JC249" s="77"/>
      <c r="JD249" s="77"/>
      <c r="JE249" s="77"/>
      <c r="JF249" s="77"/>
      <c r="JG249" s="77"/>
      <c r="JH249" s="77"/>
      <c r="JI249" s="77"/>
      <c r="JJ249" s="77"/>
      <c r="JK249" s="77"/>
      <c r="JL249" s="77"/>
      <c r="JM249" s="77"/>
      <c r="JN249" s="77"/>
      <c r="JO249" s="77"/>
      <c r="JP249" s="77"/>
      <c r="JQ249" s="77"/>
      <c r="JR249" s="77"/>
      <c r="JS249" s="77"/>
      <c r="JT249" s="77"/>
      <c r="JU249" s="77"/>
      <c r="JV249" s="77"/>
      <c r="JW249" s="77"/>
      <c r="JX249" s="77"/>
      <c r="KM249" s="77"/>
      <c r="KN249" s="77"/>
      <c r="KO249" s="77"/>
      <c r="KP249" s="77"/>
      <c r="KQ249" s="77"/>
      <c r="KR249" s="77"/>
      <c r="KS249" s="77"/>
      <c r="KT249" s="77"/>
      <c r="KU249" s="77"/>
      <c r="KV249" s="77"/>
      <c r="KW249" s="77"/>
      <c r="KX249" s="77"/>
      <c r="KY249" s="77"/>
      <c r="KZ249" s="77"/>
      <c r="LA249" s="77"/>
      <c r="LB249" s="77"/>
      <c r="LC249" s="77"/>
      <c r="LD249" s="77"/>
      <c r="LE249" s="77"/>
      <c r="LF249" s="77"/>
      <c r="LG249" s="77"/>
      <c r="LH249" s="77"/>
      <c r="LI249" s="77"/>
      <c r="LJ249" s="77"/>
      <c r="LK249" s="77"/>
      <c r="LL249" s="77"/>
      <c r="LM249" s="77"/>
      <c r="LN249" s="77"/>
      <c r="LO249" s="77"/>
      <c r="LP249" s="77"/>
      <c r="LQ249" s="77"/>
      <c r="LR249" s="77"/>
      <c r="LS249" s="77"/>
      <c r="LT249" s="77"/>
      <c r="LU249" s="77"/>
      <c r="LV249" s="77"/>
      <c r="LW249" s="77"/>
      <c r="LX249" s="77"/>
      <c r="ND249" s="16"/>
    </row>
    <row r="250" spans="1:421" ht="18.600000000000001" customHeight="1" x14ac:dyDescent="0.25">
      <c r="A250" s="119" t="s">
        <v>2808</v>
      </c>
      <c r="B250" s="27" t="s">
        <v>2782</v>
      </c>
      <c r="C250" s="27" t="s">
        <v>6414</v>
      </c>
      <c r="D250" s="30" t="str">
        <f>HYPERLINK("https://twitter.com/maduro_zh","https://twitter.com/maduro_zh")</f>
        <v>https://twitter.com/maduro_zh</v>
      </c>
      <c r="E250" s="30" t="str">
        <f>HYPERLINK("http://twiplomacy.com/info/south-america/Venezuela","http://twiplomacy.com/info/south-america/Venezuela")</f>
        <v>http://twiplomacy.com/info/south-america/Venezuela</v>
      </c>
      <c r="F250" s="10" t="s">
        <v>668</v>
      </c>
      <c r="G250" s="10" t="s">
        <v>710</v>
      </c>
      <c r="H250" s="10" t="s">
        <v>772</v>
      </c>
      <c r="I250" s="10" t="s">
        <v>773</v>
      </c>
      <c r="J250" s="27" t="s">
        <v>2807</v>
      </c>
      <c r="K250" s="10" t="s">
        <v>4628</v>
      </c>
      <c r="L250" s="10" t="s">
        <v>771</v>
      </c>
      <c r="M250" s="10" t="s">
        <v>770</v>
      </c>
      <c r="N250" s="30" t="str">
        <f>HYPERLINK("https://twitter.com/maduro_zh/statuses/380907083212021760","https://twitter.com/maduro_zh/statuses/380907083212021760")</f>
        <v>https://twitter.com/maduro_zh/statuses/380907083212021760</v>
      </c>
      <c r="O250" s="27" t="s">
        <v>2809</v>
      </c>
      <c r="P250" s="80">
        <v>33</v>
      </c>
      <c r="Q250" s="80">
        <v>3</v>
      </c>
      <c r="R250" s="27" t="s">
        <v>2995</v>
      </c>
      <c r="S250" s="10" t="s">
        <v>2810</v>
      </c>
      <c r="T250" s="10" t="s">
        <v>771</v>
      </c>
      <c r="U250" s="10" t="s">
        <v>771</v>
      </c>
      <c r="V250" s="10" t="s">
        <v>771</v>
      </c>
      <c r="W250" s="10"/>
      <c r="X250" s="27" t="s">
        <v>2808</v>
      </c>
      <c r="Y250" s="27" t="s">
        <v>2782</v>
      </c>
      <c r="Z250" s="80">
        <v>4046</v>
      </c>
      <c r="AA250" s="27">
        <v>7</v>
      </c>
      <c r="AB250" s="80">
        <v>1819</v>
      </c>
      <c r="AC250" s="27">
        <v>0</v>
      </c>
      <c r="AD250" s="27" t="s">
        <v>3998</v>
      </c>
      <c r="AE250" s="27">
        <v>1678502222</v>
      </c>
      <c r="AF250" s="27" t="s">
        <v>6414</v>
      </c>
      <c r="AG250" s="27"/>
      <c r="AH250" s="79">
        <v>4.0910010111223496</v>
      </c>
      <c r="AI250" s="83">
        <v>25.6</v>
      </c>
      <c r="AJ250" s="80">
        <v>0.38156250000000003</v>
      </c>
      <c r="AK250" s="80">
        <v>9.2499999999999999E-2</v>
      </c>
      <c r="AL250" s="27">
        <v>21</v>
      </c>
      <c r="AM250" s="97">
        <f t="shared" si="3"/>
        <v>6.5624999999999998E-3</v>
      </c>
      <c r="AN250" s="27" t="s">
        <v>2808</v>
      </c>
      <c r="AO250" s="27">
        <v>2</v>
      </c>
      <c r="AP250" s="27">
        <v>2</v>
      </c>
      <c r="AQ250" s="27">
        <v>5</v>
      </c>
      <c r="AR250" s="27">
        <f>SUM(AO250:AQ250)</f>
        <v>9</v>
      </c>
      <c r="AS250" s="27" t="s">
        <v>5264</v>
      </c>
      <c r="AT250" s="27" t="s">
        <v>5266</v>
      </c>
      <c r="AU250" s="84" t="s">
        <v>4822</v>
      </c>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16"/>
      <c r="BR250" s="16"/>
      <c r="BS250" s="16"/>
      <c r="BT250" s="16"/>
      <c r="BU250" s="16"/>
      <c r="BV250" s="16"/>
      <c r="BW250" s="16"/>
      <c r="BX250" s="16"/>
      <c r="BY250" s="16"/>
      <c r="BZ250" s="16"/>
      <c r="CA250" s="16"/>
      <c r="CB250" s="16"/>
      <c r="CC250" s="77"/>
      <c r="CD250" s="77"/>
      <c r="CE250" s="77"/>
      <c r="CF250" s="77"/>
      <c r="CG250" s="77"/>
      <c r="CH250" s="77"/>
      <c r="CI250" s="77"/>
      <c r="CJ250" s="77"/>
      <c r="CK250" s="77"/>
      <c r="CL250" s="77"/>
      <c r="CM250" s="77"/>
      <c r="CN250" s="77"/>
      <c r="CO250" s="77"/>
      <c r="CP250" s="77"/>
      <c r="CQ250" s="77"/>
      <c r="CR250" s="77"/>
      <c r="CS250" s="77"/>
      <c r="CT250" s="77"/>
      <c r="CU250" s="77"/>
      <c r="CV250" s="77"/>
      <c r="CW250" s="77"/>
      <c r="CX250" s="77"/>
      <c r="CY250" s="77"/>
      <c r="CZ250" s="77"/>
      <c r="DA250" s="77"/>
      <c r="DB250" s="77"/>
      <c r="DC250" s="77"/>
      <c r="DD250" s="77"/>
      <c r="DE250" s="77"/>
      <c r="DF250" s="77"/>
      <c r="DG250" s="77"/>
      <c r="DH250" s="77"/>
      <c r="DI250" s="77"/>
      <c r="DJ250" s="77"/>
      <c r="DK250" s="77"/>
      <c r="DL250" s="77"/>
      <c r="DM250" s="77"/>
      <c r="DN250" s="77"/>
      <c r="DO250" s="77"/>
      <c r="DP250" s="77"/>
      <c r="DQ250" s="77"/>
      <c r="DR250" s="77"/>
      <c r="DS250" s="77"/>
      <c r="DT250" s="77"/>
      <c r="DU250" s="77"/>
      <c r="DV250" s="77"/>
      <c r="DW250" s="77"/>
      <c r="DX250" s="77"/>
      <c r="DY250" s="77"/>
      <c r="DZ250" s="77"/>
      <c r="EA250" s="77"/>
      <c r="EB250" s="77"/>
      <c r="EC250" s="77"/>
      <c r="ED250" s="77"/>
      <c r="EE250" s="77"/>
      <c r="EF250" s="77"/>
      <c r="EG250" s="77"/>
      <c r="EH250" s="77"/>
      <c r="EI250" s="77"/>
      <c r="EJ250" s="77"/>
      <c r="EK250" s="77"/>
      <c r="EL250" s="77"/>
      <c r="EM250" s="77"/>
      <c r="EN250" s="77"/>
      <c r="EO250" s="77"/>
      <c r="EP250" s="77"/>
      <c r="ER250" s="77"/>
      <c r="ES250" s="77"/>
      <c r="ET250" s="77"/>
      <c r="EU250" s="77"/>
      <c r="EV250" s="77"/>
      <c r="EW250" s="77"/>
      <c r="EX250" s="77"/>
      <c r="EY250" s="77"/>
      <c r="EZ250" s="77"/>
      <c r="FA250" s="77"/>
      <c r="FB250" s="77"/>
      <c r="FC250" s="77"/>
      <c r="FD250" s="77"/>
      <c r="FE250" s="77"/>
      <c r="FF250" s="77"/>
      <c r="FG250" s="77"/>
      <c r="FH250" s="77"/>
      <c r="FI250" s="77"/>
      <c r="FJ250" s="77"/>
      <c r="FK250" s="77"/>
      <c r="FL250" s="77"/>
      <c r="FM250" s="77"/>
      <c r="FN250" s="77"/>
      <c r="FO250" s="77"/>
      <c r="FP250" s="77"/>
      <c r="FQ250" s="77"/>
      <c r="FR250" s="77"/>
      <c r="FS250" s="77"/>
      <c r="FT250" s="77"/>
      <c r="FU250" s="77"/>
      <c r="FV250" s="77"/>
      <c r="FW250" s="77"/>
      <c r="FX250" s="77"/>
      <c r="FY250" s="77"/>
      <c r="FZ250" s="77"/>
      <c r="GA250" s="77"/>
      <c r="GB250" s="77"/>
      <c r="GC250" s="77"/>
      <c r="GD250" s="77"/>
      <c r="GE250" s="77"/>
      <c r="GF250" s="77"/>
      <c r="GG250" s="77"/>
      <c r="GH250" s="77"/>
      <c r="GI250" s="77"/>
      <c r="GJ250" s="77"/>
      <c r="GK250" s="77"/>
      <c r="GL250" s="77"/>
      <c r="GM250" s="77"/>
      <c r="GN250" s="77"/>
      <c r="GO250" s="77"/>
      <c r="GP250" s="77"/>
      <c r="GQ250" s="77"/>
      <c r="GR250" s="77"/>
      <c r="GS250" s="77"/>
      <c r="GT250" s="77"/>
      <c r="GU250" s="77"/>
      <c r="GV250" s="77"/>
      <c r="GW250" s="77"/>
      <c r="GX250" s="77"/>
      <c r="GY250" s="77"/>
      <c r="GZ250" s="77"/>
      <c r="HA250" s="77"/>
      <c r="HB250" s="77"/>
      <c r="HC250" s="77"/>
      <c r="HD250" s="77"/>
      <c r="HE250" s="77"/>
      <c r="HF250" s="77"/>
      <c r="HG250" s="77"/>
      <c r="HH250" s="77"/>
      <c r="HI250" s="77"/>
      <c r="HJ250" s="77"/>
      <c r="HK250" s="77"/>
      <c r="HL250" s="77"/>
      <c r="HM250" s="77"/>
      <c r="HN250" s="77"/>
      <c r="HO250" s="77"/>
      <c r="HP250" s="77"/>
      <c r="HQ250" s="77"/>
      <c r="HR250" s="77"/>
      <c r="HS250" s="77"/>
      <c r="HT250" s="77"/>
      <c r="HU250" s="77"/>
      <c r="HV250" s="77"/>
      <c r="HW250" s="77"/>
      <c r="HX250" s="77"/>
      <c r="HY250" s="77"/>
      <c r="HZ250" s="77"/>
      <c r="IA250" s="77"/>
      <c r="IB250" s="77"/>
      <c r="IC250" s="77"/>
      <c r="ID250" s="77"/>
      <c r="IE250" s="77"/>
      <c r="IF250" s="77"/>
      <c r="IG250" s="77"/>
      <c r="IH250" s="77"/>
      <c r="II250" s="77"/>
      <c r="IJ250" s="77"/>
      <c r="IK250" s="77"/>
      <c r="IL250" s="77"/>
      <c r="IM250" s="77"/>
      <c r="IN250" s="77"/>
      <c r="IO250" s="77"/>
      <c r="IP250" s="77"/>
      <c r="IQ250" s="77"/>
      <c r="IR250" s="77"/>
      <c r="IS250" s="77"/>
      <c r="IT250" s="77"/>
      <c r="IU250" s="77"/>
      <c r="IV250" s="77"/>
      <c r="IW250" s="77"/>
      <c r="IX250" s="77"/>
      <c r="IY250" s="77"/>
      <c r="IZ250" s="77"/>
      <c r="JA250" s="77"/>
      <c r="JB250" s="77"/>
      <c r="JC250" s="77"/>
      <c r="JD250" s="77"/>
      <c r="JE250" s="77"/>
      <c r="JF250" s="77"/>
      <c r="JG250" s="77"/>
      <c r="JH250" s="77"/>
      <c r="JI250" s="77"/>
      <c r="JJ250" s="77"/>
      <c r="JK250" s="77"/>
      <c r="JL250" s="77"/>
      <c r="JM250" s="77"/>
      <c r="JN250" s="77"/>
      <c r="JO250" s="77"/>
      <c r="JP250" s="77"/>
      <c r="JQ250" s="77"/>
      <c r="JR250" s="77"/>
      <c r="JS250" s="77"/>
      <c r="JT250" s="77"/>
      <c r="JU250" s="77"/>
      <c r="JV250" s="77"/>
      <c r="JW250" s="77"/>
      <c r="JX250" s="77"/>
      <c r="JY250" s="77"/>
      <c r="JZ250" s="77"/>
      <c r="KA250" s="77"/>
      <c r="KB250" s="77"/>
      <c r="KC250" s="77"/>
      <c r="KD250" s="77"/>
      <c r="KE250" s="77"/>
      <c r="KF250" s="77"/>
      <c r="KG250" s="77"/>
      <c r="KH250" s="77"/>
      <c r="KI250" s="77"/>
      <c r="KJ250" s="77"/>
      <c r="KK250" s="77"/>
      <c r="KL250" s="77"/>
      <c r="LL250" s="77"/>
      <c r="LM250" s="77"/>
      <c r="LN250" s="77"/>
      <c r="LO250" s="77"/>
      <c r="LP250" s="77"/>
      <c r="LQ250" s="77"/>
      <c r="LR250" s="77"/>
      <c r="LS250" s="77"/>
      <c r="LT250" s="77"/>
      <c r="LU250" s="77"/>
      <c r="LV250" s="77"/>
      <c r="MT250" s="77"/>
      <c r="MU250" s="77"/>
      <c r="MV250" s="77"/>
      <c r="MW250" s="77"/>
      <c r="MX250" s="77"/>
      <c r="MY250" s="77"/>
      <c r="MZ250" s="77"/>
      <c r="NA250" s="77"/>
      <c r="NB250" s="77"/>
      <c r="NC250" s="77"/>
    </row>
    <row r="251" spans="1:421" ht="18.600000000000001" customHeight="1" x14ac:dyDescent="0.25">
      <c r="A251" s="119" t="s">
        <v>3369</v>
      </c>
      <c r="B251" s="27" t="s">
        <v>3860</v>
      </c>
      <c r="C251" s="27" t="s">
        <v>3861</v>
      </c>
      <c r="D251" s="51" t="s">
        <v>3362</v>
      </c>
      <c r="E251" s="30" t="str">
        <f>HYPERLINK("http://twiplomacy.com/info/asia/Israel","http://twiplomacy.com/info/asia/Israel")</f>
        <v>http://twiplomacy.com/info/asia/Israel</v>
      </c>
      <c r="F251" s="10" t="s">
        <v>154</v>
      </c>
      <c r="G251" s="10" t="s">
        <v>207</v>
      </c>
      <c r="H251" s="10" t="s">
        <v>795</v>
      </c>
      <c r="I251" s="10" t="s">
        <v>782</v>
      </c>
      <c r="J251" s="27" t="s">
        <v>789</v>
      </c>
      <c r="K251" s="15" t="s">
        <v>777</v>
      </c>
      <c r="L251" s="10"/>
      <c r="M251" s="10"/>
      <c r="N251" s="30" t="s">
        <v>3384</v>
      </c>
      <c r="O251" s="27" t="s">
        <v>3400</v>
      </c>
      <c r="P251" s="80">
        <v>55</v>
      </c>
      <c r="Q251" s="80">
        <v>6</v>
      </c>
      <c r="R251" s="27" t="s">
        <v>2994</v>
      </c>
      <c r="S251" s="12" t="s">
        <v>3379</v>
      </c>
      <c r="T251" s="10" t="s">
        <v>771</v>
      </c>
      <c r="U251" s="10" t="s">
        <v>771</v>
      </c>
      <c r="V251" s="10" t="s">
        <v>771</v>
      </c>
      <c r="W251" s="10"/>
      <c r="X251" s="27" t="s">
        <v>3369</v>
      </c>
      <c r="Y251" s="27" t="s">
        <v>3860</v>
      </c>
      <c r="Z251" s="80">
        <v>4012</v>
      </c>
      <c r="AA251" s="27">
        <v>902</v>
      </c>
      <c r="AB251" s="80">
        <v>4961</v>
      </c>
      <c r="AC251" s="27">
        <v>16</v>
      </c>
      <c r="AD251" s="27" t="s">
        <v>3862</v>
      </c>
      <c r="AE251" s="27">
        <v>288176824</v>
      </c>
      <c r="AF251" s="27" t="s">
        <v>3861</v>
      </c>
      <c r="AG251" s="27" t="s">
        <v>1350</v>
      </c>
      <c r="AH251" s="79">
        <v>2.1887615930169102</v>
      </c>
      <c r="AI251" s="83">
        <v>2.3209435310936399</v>
      </c>
      <c r="AJ251" s="80">
        <v>3.3493938451973899</v>
      </c>
      <c r="AK251" s="80">
        <v>0.86913273235934096</v>
      </c>
      <c r="AL251" s="27">
        <v>65</v>
      </c>
      <c r="AM251" s="97">
        <f t="shared" si="3"/>
        <v>2.0312500000000001E-2</v>
      </c>
      <c r="AN251" s="27" t="s">
        <v>3369</v>
      </c>
      <c r="AO251" s="27">
        <v>12</v>
      </c>
      <c r="AP251" s="27">
        <v>1</v>
      </c>
      <c r="AQ251" s="27">
        <v>4</v>
      </c>
      <c r="AR251" s="27">
        <f>SUM(AO251:AQ251)</f>
        <v>17</v>
      </c>
      <c r="AS251" s="27" t="s">
        <v>5207</v>
      </c>
      <c r="AT251" s="27" t="s">
        <v>3367</v>
      </c>
      <c r="AU251" s="84" t="s">
        <v>4771</v>
      </c>
      <c r="AV251" s="77"/>
      <c r="AW251" s="77"/>
      <c r="AX251" s="77"/>
      <c r="AY251" s="77"/>
      <c r="AZ251" s="77"/>
      <c r="BA251" s="77"/>
      <c r="BB251" s="77"/>
      <c r="BC251" s="77"/>
      <c r="BD251" s="77"/>
      <c r="BE251" s="77"/>
      <c r="BF251" s="77"/>
      <c r="BG251" s="77"/>
      <c r="BH251" s="77"/>
      <c r="BI251" s="77"/>
      <c r="BJ251" s="77"/>
      <c r="BK251" s="77"/>
      <c r="BL251" s="77"/>
      <c r="BN251" s="77"/>
      <c r="BO251" s="77"/>
      <c r="BP251" s="77"/>
      <c r="BQ251" s="77"/>
      <c r="BR251" s="77"/>
      <c r="BS251" s="77"/>
      <c r="BT251" s="77"/>
      <c r="BU251" s="77"/>
      <c r="BV251" s="77"/>
      <c r="BW251" s="77"/>
      <c r="BX251" s="77"/>
      <c r="BY251" s="77"/>
      <c r="BZ251" s="77"/>
      <c r="CA251" s="77"/>
      <c r="CB251" s="77"/>
      <c r="CC251" s="77"/>
      <c r="CD251" s="77"/>
      <c r="CE251" s="77"/>
      <c r="CF251" s="77"/>
      <c r="CG251" s="77"/>
      <c r="CH251" s="77"/>
      <c r="CI251" s="77"/>
      <c r="CJ251" s="77"/>
      <c r="CK251" s="77"/>
      <c r="CL251" s="77"/>
      <c r="CM251" s="77"/>
      <c r="CN251" s="77"/>
      <c r="CO251" s="77"/>
      <c r="CP251" s="77"/>
      <c r="CQ251" s="77"/>
      <c r="CR251" s="77"/>
      <c r="CS251" s="77"/>
      <c r="CT251" s="77"/>
      <c r="CU251" s="77"/>
      <c r="CV251" s="77"/>
      <c r="CW251" s="77"/>
      <c r="CX251" s="77"/>
      <c r="CY251" s="77"/>
      <c r="CZ251" s="77"/>
      <c r="DA251" s="77"/>
      <c r="DB251" s="77"/>
      <c r="DC251" s="77"/>
      <c r="DD251" s="77"/>
      <c r="DE251" s="77"/>
      <c r="DF251" s="77"/>
      <c r="DG251" s="77"/>
      <c r="DH251" s="77"/>
      <c r="DI251" s="77"/>
      <c r="DJ251" s="77"/>
      <c r="DK251" s="77"/>
      <c r="DL251" s="77"/>
      <c r="DM251" s="77"/>
      <c r="DN251" s="77"/>
      <c r="DO251" s="77"/>
      <c r="DP251" s="77"/>
      <c r="DQ251" s="77"/>
      <c r="DR251" s="77"/>
      <c r="DS251" s="77"/>
      <c r="DT251" s="77"/>
      <c r="DU251" s="77"/>
      <c r="DV251" s="77"/>
      <c r="DW251" s="77"/>
      <c r="DX251" s="77"/>
      <c r="DY251" s="77"/>
      <c r="DZ251" s="77"/>
      <c r="EA251" s="77"/>
      <c r="EB251" s="77"/>
      <c r="EC251" s="77"/>
      <c r="ED251" s="77"/>
      <c r="EE251" s="77"/>
      <c r="EF251" s="77"/>
      <c r="EG251" s="77"/>
      <c r="EH251" s="77"/>
      <c r="EI251" s="77"/>
      <c r="EJ251" s="77"/>
      <c r="EK251" s="77"/>
      <c r="EL251" s="77"/>
      <c r="EM251" s="77"/>
      <c r="EN251" s="77"/>
      <c r="EO251" s="77"/>
      <c r="EP251" s="77"/>
      <c r="EQ251" s="77"/>
      <c r="ER251" s="77"/>
      <c r="ES251" s="77"/>
      <c r="ET251" s="77"/>
      <c r="EU251" s="77"/>
      <c r="EV251" s="77"/>
      <c r="EW251" s="77"/>
      <c r="EX251" s="77"/>
      <c r="EY251" s="77"/>
      <c r="EZ251" s="77"/>
      <c r="FA251" s="77"/>
      <c r="FB251" s="77"/>
      <c r="FC251" s="77"/>
      <c r="FD251" s="77"/>
      <c r="FE251" s="77"/>
      <c r="FF251" s="77"/>
      <c r="FG251" s="77"/>
      <c r="FH251" s="77"/>
      <c r="FI251" s="77"/>
      <c r="FJ251" s="77"/>
      <c r="FK251" s="77"/>
      <c r="FL251" s="77"/>
      <c r="FM251" s="77"/>
      <c r="FN251" s="77"/>
      <c r="FO251" s="77"/>
      <c r="FP251" s="77"/>
      <c r="FQ251" s="77"/>
      <c r="FR251" s="77"/>
      <c r="FS251" s="77"/>
      <c r="FT251" s="77"/>
      <c r="FU251" s="77"/>
      <c r="FV251" s="77"/>
      <c r="FW251" s="77"/>
      <c r="FX251" s="77"/>
      <c r="FY251" s="77"/>
      <c r="FZ251" s="77"/>
      <c r="GA251" s="77"/>
      <c r="GB251" s="77"/>
      <c r="GC251" s="77"/>
      <c r="GD251" s="77"/>
      <c r="GE251" s="77"/>
      <c r="GF251" s="77"/>
      <c r="GG251" s="77"/>
      <c r="GH251" s="77"/>
      <c r="GI251" s="77"/>
      <c r="GJ251" s="77"/>
      <c r="GK251" s="77"/>
      <c r="HL251" s="77"/>
      <c r="HM251" s="77"/>
      <c r="HN251" s="77"/>
      <c r="HO251" s="77"/>
      <c r="HP251" s="77"/>
      <c r="HQ251" s="77"/>
      <c r="HR251" s="77"/>
      <c r="HS251" s="77"/>
      <c r="HT251" s="77"/>
      <c r="HU251" s="77"/>
      <c r="HV251" s="77"/>
      <c r="HW251" s="77"/>
      <c r="HX251" s="77"/>
      <c r="HY251" s="77"/>
      <c r="HZ251" s="77"/>
      <c r="IA251" s="77"/>
      <c r="IB251" s="77"/>
      <c r="IC251" s="77"/>
      <c r="ID251" s="77"/>
      <c r="IE251" s="77"/>
      <c r="JY251" s="77"/>
      <c r="JZ251" s="77"/>
      <c r="KA251" s="77"/>
      <c r="KB251" s="77"/>
      <c r="KC251" s="77"/>
      <c r="KD251" s="77"/>
      <c r="KE251" s="77"/>
      <c r="KF251" s="77"/>
      <c r="KG251" s="77"/>
      <c r="KH251" s="77"/>
      <c r="KI251" s="77"/>
      <c r="KJ251" s="77"/>
      <c r="KK251" s="77"/>
      <c r="KL251" s="77"/>
      <c r="KM251" s="77"/>
      <c r="KN251" s="77"/>
      <c r="KO251" s="77"/>
      <c r="KP251" s="77"/>
      <c r="KQ251" s="77"/>
      <c r="KR251" s="77"/>
      <c r="KS251" s="77"/>
      <c r="KT251" s="77"/>
      <c r="KU251" s="77"/>
      <c r="KV251" s="77"/>
      <c r="KW251" s="77"/>
      <c r="KX251" s="77"/>
      <c r="KY251" s="77"/>
      <c r="KZ251" s="77"/>
      <c r="LA251" s="77"/>
      <c r="LB251" s="77"/>
      <c r="LC251" s="77"/>
      <c r="LD251" s="77"/>
      <c r="LE251" s="77"/>
      <c r="LF251" s="77"/>
      <c r="LG251" s="77"/>
      <c r="LH251" s="77"/>
      <c r="LI251" s="77"/>
      <c r="LJ251" s="77"/>
      <c r="LK251" s="77"/>
      <c r="LL251" s="77"/>
      <c r="LM251" s="77"/>
      <c r="LN251" s="77"/>
      <c r="LO251" s="77"/>
      <c r="LP251" s="77"/>
      <c r="LQ251" s="77"/>
      <c r="LR251" s="77"/>
      <c r="LS251" s="77"/>
      <c r="LT251" s="77"/>
      <c r="LU251" s="77"/>
      <c r="LV251" s="77"/>
      <c r="LW251" s="77"/>
      <c r="LX251" s="77"/>
      <c r="LY251" s="77"/>
      <c r="LZ251" s="77"/>
      <c r="MA251" s="77"/>
      <c r="MB251" s="77"/>
      <c r="MC251" s="77"/>
      <c r="MD251" s="77"/>
      <c r="ME251" s="77"/>
      <c r="MF251" s="77"/>
      <c r="MG251" s="77"/>
      <c r="MH251" s="77"/>
      <c r="MI251" s="77"/>
      <c r="MJ251" s="77"/>
      <c r="MK251" s="77"/>
      <c r="ML251" s="77"/>
      <c r="MM251" s="77"/>
      <c r="MN251" s="77"/>
      <c r="MO251" s="77"/>
      <c r="MP251" s="77"/>
      <c r="MQ251" s="77"/>
      <c r="MR251" s="77"/>
      <c r="MS251" s="77"/>
    </row>
    <row r="252" spans="1:421" ht="18.600000000000001" customHeight="1" x14ac:dyDescent="0.25">
      <c r="A252" s="119" t="s">
        <v>930</v>
      </c>
      <c r="B252" s="27" t="s">
        <v>931</v>
      </c>
      <c r="C252" s="27" t="s">
        <v>932</v>
      </c>
      <c r="D252" s="72" t="str">
        <f>HYPERLINK("https://twitter.com/adosolutions","https://twitter.com/adosolutions")</f>
        <v>https://twitter.com/adosolutions</v>
      </c>
      <c r="E252" s="72" t="str">
        <f>HYPERLINK("http://twiplomacy.com/info/africa/Ivory-Coast","http://twiplomacy.com/info/africa/Ivory-Coast")</f>
        <v>http://twiplomacy.com/info/africa/Ivory-Coast</v>
      </c>
      <c r="F252" s="10" t="s">
        <v>1</v>
      </c>
      <c r="G252" s="10" t="s">
        <v>60</v>
      </c>
      <c r="H252" s="10" t="s">
        <v>772</v>
      </c>
      <c r="I252" s="10" t="s">
        <v>773</v>
      </c>
      <c r="J252" s="27" t="s">
        <v>779</v>
      </c>
      <c r="K252" s="15" t="s">
        <v>777</v>
      </c>
      <c r="L252" s="10" t="s">
        <v>771</v>
      </c>
      <c r="M252" s="10" t="s">
        <v>771</v>
      </c>
      <c r="N252" s="30" t="str">
        <f>HYPERLINK("https://twitter.com/adosolutions/statuses/8105552101","https://twitter.com/adosolutions/statuses/8105552101")</f>
        <v>https://twitter.com/adosolutions/statuses/8105552101</v>
      </c>
      <c r="O252" s="27" t="s">
        <v>5672</v>
      </c>
      <c r="P252" s="80">
        <v>40</v>
      </c>
      <c r="Q252" s="80">
        <v>59</v>
      </c>
      <c r="R252" s="27" t="s">
        <v>2995</v>
      </c>
      <c r="S252" s="10" t="s">
        <v>933</v>
      </c>
      <c r="T252" s="10" t="s">
        <v>771</v>
      </c>
      <c r="U252" s="10" t="s">
        <v>771</v>
      </c>
      <c r="V252" s="10" t="s">
        <v>771</v>
      </c>
      <c r="W252" s="10"/>
      <c r="X252" s="27" t="s">
        <v>930</v>
      </c>
      <c r="Y252" s="27" t="s">
        <v>931</v>
      </c>
      <c r="Z252" s="80">
        <v>3999</v>
      </c>
      <c r="AA252" s="27">
        <v>34</v>
      </c>
      <c r="AB252" s="80">
        <v>147704</v>
      </c>
      <c r="AC252" s="27">
        <v>0</v>
      </c>
      <c r="AD252" s="27" t="s">
        <v>3432</v>
      </c>
      <c r="AE252" s="27">
        <v>86037380</v>
      </c>
      <c r="AF252" s="27" t="s">
        <v>932</v>
      </c>
      <c r="AG252" s="27" t="s">
        <v>929</v>
      </c>
      <c r="AH252" s="79">
        <v>1.6823727387463201</v>
      </c>
      <c r="AI252" s="83">
        <v>1.6260781329274501</v>
      </c>
      <c r="AJ252" s="80">
        <v>0.81310755722797101</v>
      </c>
      <c r="AK252" s="80">
        <v>0.65380997177798705</v>
      </c>
      <c r="AL252" s="13">
        <v>0</v>
      </c>
      <c r="AM252" s="97">
        <f t="shared" si="3"/>
        <v>0</v>
      </c>
      <c r="AN252" s="27" t="s">
        <v>930</v>
      </c>
      <c r="AO252" s="27">
        <v>0</v>
      </c>
      <c r="AP252" s="27">
        <v>27</v>
      </c>
      <c r="AQ252" s="27">
        <v>1</v>
      </c>
      <c r="AR252" s="27">
        <f>SUM(AO252:AQ252)</f>
        <v>28</v>
      </c>
      <c r="AS252" s="27"/>
      <c r="AT252" s="27" t="s">
        <v>6268</v>
      </c>
      <c r="AU252" s="84" t="s">
        <v>927</v>
      </c>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row>
    <row r="253" spans="1:421" ht="18.600000000000001" customHeight="1" x14ac:dyDescent="0.25">
      <c r="A253" s="119" t="s">
        <v>503</v>
      </c>
      <c r="B253" s="27" t="s">
        <v>2164</v>
      </c>
      <c r="C253" s="27" t="s">
        <v>2165</v>
      </c>
      <c r="D253" s="30" t="str">
        <f>HYPERLINK("https://twitter.com/KremlinRussia_E","https://twitter.com/KremlinRussia_E")</f>
        <v>https://twitter.com/KremlinRussia_E</v>
      </c>
      <c r="E253" s="30" t="str">
        <f>HYPERLINK("http://twiplomacy.com/info/europe/Russia","http://twiplomacy.com/info/europe/Russia")</f>
        <v>http://twiplomacy.com/info/europe/Russia</v>
      </c>
      <c r="F253" s="10" t="s">
        <v>332</v>
      </c>
      <c r="G253" s="10" t="s">
        <v>496</v>
      </c>
      <c r="H253" s="10" t="s">
        <v>781</v>
      </c>
      <c r="I253" s="10" t="s">
        <v>782</v>
      </c>
      <c r="J253" s="27" t="s">
        <v>789</v>
      </c>
      <c r="K253" s="15" t="s">
        <v>777</v>
      </c>
      <c r="L253" s="10" t="s">
        <v>771</v>
      </c>
      <c r="M253" s="10" t="s">
        <v>771</v>
      </c>
      <c r="N253" s="30" t="str">
        <f>HYPERLINK("https://twitter.com/KremlinRussia_E/statuses/9182662849724416","https://twitter.com/KremlinRussia_E/statuses/9182662849724416")</f>
        <v>https://twitter.com/KremlinRussia_E/statuses/9182662849724416</v>
      </c>
      <c r="O253" s="27" t="s">
        <v>2166</v>
      </c>
      <c r="P253" s="80">
        <v>1260</v>
      </c>
      <c r="Q253" s="80">
        <v>2790</v>
      </c>
      <c r="R253" s="27" t="s">
        <v>2994</v>
      </c>
      <c r="S253" s="10" t="s">
        <v>2167</v>
      </c>
      <c r="T253" s="10" t="s">
        <v>771</v>
      </c>
      <c r="U253" s="10" t="s">
        <v>771</v>
      </c>
      <c r="V253" s="10" t="s">
        <v>771</v>
      </c>
      <c r="W253" s="10"/>
      <c r="X253" s="27" t="s">
        <v>503</v>
      </c>
      <c r="Y253" s="27" t="s">
        <v>2164</v>
      </c>
      <c r="Z253" s="80">
        <v>3988</v>
      </c>
      <c r="AA253" s="27">
        <v>20</v>
      </c>
      <c r="AB253" s="80">
        <v>412101</v>
      </c>
      <c r="AC253" s="27">
        <v>0</v>
      </c>
      <c r="AD253" s="27" t="s">
        <v>3951</v>
      </c>
      <c r="AE253" s="27">
        <v>205622130</v>
      </c>
      <c r="AF253" s="27" t="s">
        <v>2165</v>
      </c>
      <c r="AG253" s="27"/>
      <c r="AH253" s="79">
        <v>1.97425742574257</v>
      </c>
      <c r="AI253" s="83">
        <v>2.0232266164469599</v>
      </c>
      <c r="AJ253" s="80">
        <v>48.246652133291803</v>
      </c>
      <c r="AK253" s="80">
        <v>39.805979445655602</v>
      </c>
      <c r="AL253" s="27">
        <v>1</v>
      </c>
      <c r="AM253" s="97">
        <f t="shared" si="3"/>
        <v>3.1250000000000001E-4</v>
      </c>
      <c r="AN253" s="27" t="s">
        <v>503</v>
      </c>
      <c r="AO253" s="27">
        <v>3</v>
      </c>
      <c r="AP253" s="27">
        <v>86</v>
      </c>
      <c r="AQ253" s="27">
        <v>6</v>
      </c>
      <c r="AR253" s="27">
        <f>SUM(AO253:AQ253)</f>
        <v>95</v>
      </c>
      <c r="AS253" s="27" t="s">
        <v>5245</v>
      </c>
      <c r="AT253" s="27" t="s">
        <v>6769</v>
      </c>
      <c r="AU253" s="84" t="s">
        <v>4800</v>
      </c>
      <c r="AV253" s="77"/>
      <c r="AW253" s="77"/>
      <c r="AX253" s="77"/>
      <c r="AY253" s="77"/>
      <c r="AZ253" s="77"/>
      <c r="BA253" s="77"/>
      <c r="BB253" s="77"/>
      <c r="BC253" s="77"/>
      <c r="BD253" s="77"/>
      <c r="BE253" s="77"/>
      <c r="BF253" s="77"/>
      <c r="BG253" s="77"/>
      <c r="BH253" s="77"/>
      <c r="BI253" s="77"/>
      <c r="BJ253" s="77"/>
      <c r="BK253" s="77"/>
      <c r="BL253" s="77"/>
      <c r="BM253" s="77"/>
      <c r="BN253" s="77"/>
      <c r="BO253" s="77"/>
      <c r="BP253" s="77"/>
      <c r="CX253" s="77"/>
      <c r="CY253" s="77"/>
      <c r="CZ253" s="77"/>
      <c r="DA253" s="77"/>
      <c r="DB253" s="77"/>
      <c r="DC253" s="77"/>
      <c r="DD253" s="77"/>
      <c r="DE253" s="77"/>
      <c r="DF253" s="77"/>
      <c r="DG253" s="77"/>
      <c r="DH253" s="77"/>
      <c r="DI253" s="77"/>
      <c r="DJ253" s="77"/>
      <c r="DK253" s="77"/>
      <c r="DL253" s="77"/>
      <c r="DM253" s="77"/>
      <c r="DN253" s="77"/>
      <c r="DO253" s="77"/>
      <c r="DP253" s="77"/>
      <c r="DQ253" s="77"/>
      <c r="DR253" s="77"/>
      <c r="DS253" s="77"/>
      <c r="DT253" s="77"/>
      <c r="DU253" s="77"/>
      <c r="DV253" s="77"/>
      <c r="DW253" s="77"/>
      <c r="DX253" s="77"/>
      <c r="DY253" s="77"/>
      <c r="DZ253" s="77"/>
      <c r="EA253" s="77"/>
      <c r="EB253" s="77"/>
      <c r="EC253" s="77"/>
      <c r="ED253" s="77"/>
      <c r="EE253" s="77"/>
      <c r="EF253" s="77"/>
      <c r="EG253" s="77"/>
      <c r="EH253" s="77"/>
      <c r="EI253" s="77"/>
      <c r="EJ253" s="77"/>
      <c r="EK253" s="77"/>
      <c r="EL253" s="77"/>
      <c r="EM253" s="77"/>
      <c r="EN253" s="77"/>
      <c r="EO253" s="77"/>
      <c r="EP253" s="77"/>
      <c r="EQ253" s="77"/>
      <c r="ER253" s="77"/>
      <c r="ES253" s="77"/>
      <c r="ET253" s="77"/>
      <c r="EU253" s="77"/>
      <c r="EV253" s="77"/>
      <c r="EW253" s="77"/>
      <c r="EX253" s="77"/>
      <c r="EY253" s="77"/>
      <c r="EZ253" s="77"/>
      <c r="FA253" s="77"/>
      <c r="FB253" s="77"/>
      <c r="FC253" s="77"/>
      <c r="FD253" s="77"/>
      <c r="FE253" s="77"/>
      <c r="FF253" s="77"/>
      <c r="FG253" s="77"/>
      <c r="FH253" s="77"/>
      <c r="FI253" s="77"/>
      <c r="FJ253" s="77"/>
      <c r="FK253" s="77"/>
      <c r="FL253" s="77"/>
      <c r="FM253" s="77"/>
      <c r="FN253" s="77"/>
      <c r="FO253" s="77"/>
      <c r="FP253" s="77"/>
      <c r="FQ253" s="77"/>
      <c r="FR253" s="77"/>
      <c r="FS253" s="77"/>
      <c r="FT253" s="77"/>
      <c r="FU253" s="77"/>
      <c r="FV253" s="77"/>
      <c r="FW253" s="77"/>
      <c r="FX253" s="77"/>
      <c r="FY253" s="77"/>
      <c r="FZ253" s="77"/>
      <c r="GA253" s="77"/>
      <c r="GB253" s="77"/>
      <c r="GC253" s="77"/>
      <c r="GD253" s="77"/>
      <c r="GE253" s="77"/>
      <c r="GF253" s="77"/>
      <c r="GG253" s="77"/>
      <c r="GH253" s="77"/>
      <c r="GI253" s="77"/>
      <c r="GJ253" s="77"/>
      <c r="GK253" s="77"/>
      <c r="GL253" s="77"/>
      <c r="GM253" s="77"/>
      <c r="GN253" s="77"/>
      <c r="GO253" s="77"/>
      <c r="GP253" s="77"/>
      <c r="GQ253" s="77"/>
      <c r="GR253" s="77"/>
      <c r="GS253" s="77"/>
      <c r="GT253" s="77"/>
      <c r="GU253" s="77"/>
      <c r="GV253" s="77"/>
      <c r="GW253" s="77"/>
      <c r="GX253" s="77"/>
      <c r="GY253" s="77"/>
      <c r="GZ253" s="77"/>
      <c r="HA253" s="77"/>
      <c r="HB253" s="77"/>
      <c r="HC253" s="77"/>
      <c r="HD253" s="77"/>
      <c r="HE253" s="77"/>
      <c r="HF253" s="77"/>
      <c r="HG253" s="77"/>
      <c r="HH253" s="77"/>
      <c r="HI253" s="77"/>
      <c r="HJ253" s="77"/>
      <c r="HK253" s="77"/>
      <c r="HL253" s="77"/>
      <c r="HM253" s="77"/>
      <c r="HN253" s="77"/>
      <c r="HO253" s="77"/>
      <c r="HP253" s="77"/>
      <c r="HQ253" s="77"/>
      <c r="HR253" s="77"/>
      <c r="HS253" s="77"/>
      <c r="HT253" s="77"/>
      <c r="HU253" s="77"/>
      <c r="HV253" s="77"/>
      <c r="HW253" s="77"/>
      <c r="HX253" s="77"/>
      <c r="HY253" s="77"/>
      <c r="HZ253" s="77"/>
      <c r="IA253" s="77"/>
      <c r="IB253" s="77"/>
      <c r="IC253" s="77"/>
      <c r="IF253" s="77"/>
      <c r="IG253" s="77"/>
      <c r="IH253" s="77"/>
      <c r="II253" s="77"/>
      <c r="IJ253" s="77"/>
      <c r="IK253" s="77"/>
      <c r="IL253" s="77"/>
      <c r="IM253" s="77"/>
      <c r="IN253" s="77"/>
      <c r="IO253" s="77"/>
      <c r="IP253" s="77"/>
      <c r="IQ253" s="77"/>
      <c r="IR253" s="77"/>
      <c r="IS253" s="77"/>
      <c r="IT253" s="77"/>
      <c r="IU253" s="77"/>
      <c r="IV253" s="77"/>
      <c r="IW253" s="77"/>
      <c r="IX253" s="77"/>
      <c r="IY253" s="77"/>
      <c r="IZ253" s="77"/>
      <c r="JA253" s="77"/>
      <c r="JB253" s="77"/>
      <c r="JC253" s="77"/>
      <c r="JD253" s="77"/>
      <c r="JE253" s="77"/>
      <c r="JF253" s="77"/>
      <c r="JG253" s="77"/>
      <c r="JH253" s="77"/>
      <c r="JI253" s="77"/>
      <c r="JJ253" s="77"/>
      <c r="JK253" s="77"/>
      <c r="JL253" s="77"/>
      <c r="JM253" s="77"/>
      <c r="JN253" s="77"/>
      <c r="JO253" s="77"/>
      <c r="JP253" s="77"/>
      <c r="JQ253" s="77"/>
      <c r="JR253" s="77"/>
      <c r="JS253" s="77"/>
      <c r="JT253" s="77"/>
      <c r="JU253" s="77"/>
      <c r="JV253" s="77"/>
      <c r="JW253" s="77"/>
      <c r="JX253" s="77"/>
      <c r="LY253" s="77"/>
      <c r="LZ253" s="77"/>
      <c r="MA253" s="77"/>
      <c r="MB253" s="77"/>
      <c r="MC253" s="77"/>
      <c r="MD253" s="77"/>
      <c r="ME253" s="77"/>
      <c r="MF253" s="77"/>
      <c r="MG253" s="77"/>
      <c r="MH253" s="77"/>
      <c r="MI253" s="77"/>
      <c r="MJ253" s="77"/>
      <c r="MK253" s="77"/>
      <c r="ML253" s="77"/>
      <c r="MM253" s="77"/>
      <c r="MN253" s="77"/>
      <c r="MO253" s="77"/>
      <c r="MP253" s="77"/>
      <c r="MQ253" s="77"/>
      <c r="MR253" s="77"/>
      <c r="MS253" s="77"/>
      <c r="ND253" s="77"/>
    </row>
    <row r="254" spans="1:421" ht="18.600000000000001" customHeight="1" x14ac:dyDescent="0.25">
      <c r="A254" s="119" t="s">
        <v>203</v>
      </c>
      <c r="B254" s="27" t="s">
        <v>1337</v>
      </c>
      <c r="C254" s="27" t="s">
        <v>1338</v>
      </c>
      <c r="D254" s="30" t="str">
        <f>HYPERLINK("https://twitter.com/HaiderAlAbadi","https://twitter.com/HaiderAlAbadi")</f>
        <v>https://twitter.com/HaiderAlAbadi</v>
      </c>
      <c r="E254" s="30" t="str">
        <f>HYPERLINK("http://twiplomacy.com/info/asia/Iraq","http://twiplomacy.com/info/asia/Iraq")</f>
        <v>http://twiplomacy.com/info/asia/Iraq</v>
      </c>
      <c r="F254" s="10" t="s">
        <v>154</v>
      </c>
      <c r="G254" s="10" t="s">
        <v>201</v>
      </c>
      <c r="H254" s="10" t="s">
        <v>776</v>
      </c>
      <c r="I254" s="10" t="s">
        <v>773</v>
      </c>
      <c r="J254" s="27" t="s">
        <v>789</v>
      </c>
      <c r="K254" s="15" t="s">
        <v>777</v>
      </c>
      <c r="L254" s="10"/>
      <c r="M254" s="10" t="s">
        <v>770</v>
      </c>
      <c r="N254" s="30" t="str">
        <f>HYPERLINK("https://twitter.com/HaiderAlAbadi/status/4706086949","https://twitter.com/HaiderAlAbadi/status/4706086949")</f>
        <v>https://twitter.com/HaiderAlAbadi/status/4706086949</v>
      </c>
      <c r="O254" s="27" t="s">
        <v>5856</v>
      </c>
      <c r="P254" s="80">
        <v>742</v>
      </c>
      <c r="Q254" s="80">
        <v>329</v>
      </c>
      <c r="R254" s="27" t="s">
        <v>2994</v>
      </c>
      <c r="S254" s="30" t="str">
        <f>HYPERLINK("https://twitter.com/HaiderAlAbadi/lists","https://twitter.com/HaiderAlAbadi/lists")</f>
        <v>https://twitter.com/HaiderAlAbadi/lists</v>
      </c>
      <c r="T254" s="10" t="s">
        <v>771</v>
      </c>
      <c r="U254" s="10" t="s">
        <v>771</v>
      </c>
      <c r="V254" s="10" t="s">
        <v>771</v>
      </c>
      <c r="W254" s="10"/>
      <c r="X254" s="27" t="s">
        <v>203</v>
      </c>
      <c r="Y254" s="27" t="s">
        <v>1337</v>
      </c>
      <c r="Z254" s="80">
        <v>3972</v>
      </c>
      <c r="AA254" s="27">
        <v>0</v>
      </c>
      <c r="AB254" s="80">
        <v>73723</v>
      </c>
      <c r="AC254" s="27">
        <v>1</v>
      </c>
      <c r="AD254" s="27" t="s">
        <v>3798</v>
      </c>
      <c r="AE254" s="27">
        <v>80817491</v>
      </c>
      <c r="AF254" s="27" t="s">
        <v>1338</v>
      </c>
      <c r="AG254" s="27" t="s">
        <v>1335</v>
      </c>
      <c r="AH254" s="79">
        <v>1.65638031693078</v>
      </c>
      <c r="AI254" s="83">
        <v>3.6008869179600902</v>
      </c>
      <c r="AJ254" s="80">
        <v>13.3360123647604</v>
      </c>
      <c r="AK254" s="80">
        <v>23.5239567233385</v>
      </c>
      <c r="AL254" s="27">
        <v>36</v>
      </c>
      <c r="AM254" s="97">
        <f t="shared" si="3"/>
        <v>1.125E-2</v>
      </c>
      <c r="AN254" s="27" t="s">
        <v>203</v>
      </c>
      <c r="AO254" s="27">
        <v>0</v>
      </c>
      <c r="AP254" s="27">
        <v>14</v>
      </c>
      <c r="AQ254" s="27">
        <v>0</v>
      </c>
      <c r="AR254" s="27">
        <f>SUM(AO254:AQ254)</f>
        <v>14</v>
      </c>
      <c r="AS254" s="27"/>
      <c r="AT254" s="27" t="s">
        <v>5171</v>
      </c>
      <c r="AU254" s="84"/>
      <c r="AV254" s="69"/>
      <c r="AW254" s="69"/>
      <c r="AX254" s="69"/>
      <c r="AY254" s="69"/>
      <c r="AZ254" s="69"/>
      <c r="BA254" s="69"/>
      <c r="BB254" s="69"/>
      <c r="BC254" s="69"/>
      <c r="BD254" s="69"/>
      <c r="BE254" s="69"/>
      <c r="BF254" s="69"/>
      <c r="BG254" s="69"/>
      <c r="BH254" s="69"/>
      <c r="BI254" s="69"/>
      <c r="BJ254" s="69"/>
      <c r="BK254" s="69"/>
      <c r="BL254" s="69"/>
      <c r="BM254" s="77"/>
      <c r="BN254" s="69"/>
      <c r="BO254" s="69"/>
      <c r="BP254" s="69"/>
      <c r="BQ254" s="77"/>
      <c r="BR254" s="77"/>
      <c r="BS254" s="77"/>
      <c r="BT254" s="77"/>
      <c r="BU254" s="77"/>
      <c r="BV254" s="77"/>
      <c r="BW254" s="77"/>
      <c r="BX254" s="77"/>
      <c r="BY254" s="77"/>
      <c r="BZ254" s="77"/>
      <c r="CA254" s="77"/>
      <c r="CB254" s="77"/>
      <c r="CC254" s="77"/>
      <c r="CD254" s="77"/>
      <c r="CE254" s="77"/>
      <c r="CF254" s="77"/>
      <c r="CG254" s="77"/>
      <c r="CH254" s="77"/>
      <c r="CI254" s="77"/>
      <c r="CJ254" s="77"/>
      <c r="CK254" s="77"/>
      <c r="CL254" s="77"/>
      <c r="CM254" s="77"/>
      <c r="CN254" s="77"/>
      <c r="CO254" s="77"/>
      <c r="CP254" s="77"/>
      <c r="CQ254" s="77"/>
      <c r="CR254" s="77"/>
      <c r="CS254" s="77"/>
      <c r="CT254" s="77"/>
      <c r="CU254" s="77"/>
      <c r="CV254" s="77"/>
      <c r="CW254" s="77"/>
      <c r="CX254" s="77"/>
      <c r="CY254" s="77"/>
      <c r="CZ254" s="77"/>
      <c r="DA254" s="77"/>
      <c r="DB254" s="77"/>
      <c r="DC254" s="77"/>
      <c r="DD254" s="77"/>
      <c r="DE254" s="77"/>
      <c r="DF254" s="77"/>
      <c r="DG254" s="77"/>
      <c r="DH254" s="77"/>
      <c r="DI254" s="77"/>
      <c r="DJ254" s="77"/>
      <c r="DK254" s="77"/>
      <c r="DL254" s="77"/>
      <c r="DM254" s="77"/>
      <c r="DN254" s="77"/>
      <c r="DO254" s="77"/>
      <c r="DP254" s="77"/>
      <c r="DQ254" s="77"/>
      <c r="DR254" s="77"/>
      <c r="DS254" s="77"/>
      <c r="DT254" s="77"/>
      <c r="DU254" s="77"/>
      <c r="DV254" s="77"/>
      <c r="DW254" s="77"/>
      <c r="DX254" s="77"/>
      <c r="DY254" s="77"/>
      <c r="DZ254" s="77"/>
      <c r="EA254" s="77"/>
      <c r="EB254" s="77"/>
      <c r="EC254" s="77"/>
      <c r="ED254" s="77"/>
      <c r="EE254" s="77"/>
      <c r="EF254" s="77"/>
      <c r="EG254" s="77"/>
      <c r="EH254" s="77"/>
      <c r="EI254" s="77"/>
      <c r="EJ254" s="77"/>
      <c r="EK254" s="77"/>
      <c r="EL254" s="77"/>
      <c r="EM254" s="77"/>
      <c r="EN254" s="77"/>
      <c r="EO254" s="77"/>
      <c r="EQ254" s="77"/>
      <c r="GL254" s="77"/>
      <c r="GM254" s="77"/>
      <c r="GN254" s="77"/>
      <c r="GO254" s="77"/>
      <c r="GP254" s="77"/>
      <c r="GQ254" s="77"/>
      <c r="GR254" s="77"/>
      <c r="GS254" s="77"/>
      <c r="GT254" s="77"/>
      <c r="GU254" s="77"/>
      <c r="GV254" s="77"/>
      <c r="GW254" s="77"/>
      <c r="GX254" s="77"/>
      <c r="GY254" s="77"/>
      <c r="GZ254" s="77"/>
      <c r="HA254" s="77"/>
      <c r="HB254" s="77"/>
      <c r="HC254" s="77"/>
      <c r="HD254" s="77"/>
      <c r="HE254" s="77"/>
      <c r="HF254" s="77"/>
      <c r="HG254" s="77"/>
      <c r="HH254" s="77"/>
      <c r="HI254" s="77"/>
      <c r="HJ254" s="77"/>
      <c r="HK254" s="77"/>
      <c r="HL254" s="77"/>
      <c r="HM254" s="77"/>
      <c r="HN254" s="77"/>
      <c r="HO254" s="77"/>
      <c r="HP254" s="77"/>
      <c r="HQ254" s="77"/>
      <c r="HR254" s="77"/>
      <c r="HS254" s="77"/>
      <c r="HT254" s="77"/>
      <c r="HU254" s="77"/>
      <c r="HV254" s="77"/>
      <c r="HW254" s="77"/>
      <c r="HX254" s="77"/>
      <c r="HY254" s="77"/>
      <c r="HZ254" s="77"/>
      <c r="IA254" s="77"/>
      <c r="IB254" s="77"/>
      <c r="IC254" s="77"/>
      <c r="ID254" s="77"/>
      <c r="IE254" s="77"/>
      <c r="JY254" s="16"/>
      <c r="JZ254" s="16"/>
      <c r="KA254" s="16"/>
      <c r="KB254" s="16"/>
      <c r="KC254" s="16"/>
      <c r="KD254" s="16"/>
      <c r="KE254" s="16"/>
      <c r="KF254" s="16"/>
      <c r="KG254" s="16"/>
      <c r="KH254" s="16"/>
      <c r="KI254" s="16"/>
      <c r="KJ254" s="16"/>
      <c r="KK254" s="16"/>
      <c r="KL254" s="16"/>
      <c r="KM254" s="77"/>
      <c r="KN254" s="77"/>
      <c r="KO254" s="77"/>
      <c r="KP254" s="77"/>
      <c r="KQ254" s="77"/>
      <c r="KR254" s="77"/>
      <c r="KS254" s="77"/>
      <c r="KT254" s="77"/>
      <c r="KU254" s="77"/>
      <c r="KV254" s="77"/>
      <c r="KW254" s="77"/>
      <c r="KX254" s="77"/>
      <c r="KY254" s="77"/>
      <c r="KZ254" s="77"/>
      <c r="LA254" s="77"/>
      <c r="LB254" s="77"/>
      <c r="LC254" s="77"/>
      <c r="LD254" s="77"/>
      <c r="LE254" s="77"/>
      <c r="LF254" s="77"/>
      <c r="LG254" s="77"/>
      <c r="LH254" s="77"/>
      <c r="LI254" s="77"/>
      <c r="LJ254" s="77"/>
      <c r="LK254" s="77"/>
      <c r="LL254" s="77"/>
      <c r="LM254" s="77"/>
      <c r="LN254" s="77"/>
      <c r="LO254" s="77"/>
      <c r="LP254" s="77"/>
      <c r="LQ254" s="77"/>
      <c r="LR254" s="77"/>
      <c r="LS254" s="77"/>
      <c r="LT254" s="77"/>
      <c r="LU254" s="77"/>
      <c r="LV254" s="77"/>
      <c r="LW254" s="77"/>
      <c r="LX254" s="77"/>
    </row>
    <row r="255" spans="1:421" ht="18.600000000000001" customHeight="1" x14ac:dyDescent="0.25">
      <c r="A255" s="119" t="s">
        <v>272</v>
      </c>
      <c r="B255" s="27" t="s">
        <v>1558</v>
      </c>
      <c r="C255" s="27" t="s">
        <v>1559</v>
      </c>
      <c r="D255" s="30" t="str">
        <f>HYPERLINK("https://twitter.com/noynoyaquino","https://twitter.com/noynoyaquino")</f>
        <v>https://twitter.com/noynoyaquino</v>
      </c>
      <c r="E255" s="30" t="str">
        <f>HYPERLINK("http://twiplomacy.com/info/asia/Philippines","http://twiplomacy.com/info/asia/Philippines")</f>
        <v>http://twiplomacy.com/info/asia/Philippines</v>
      </c>
      <c r="F255" s="10" t="s">
        <v>154</v>
      </c>
      <c r="G255" s="10" t="s">
        <v>271</v>
      </c>
      <c r="H255" s="10" t="s">
        <v>772</v>
      </c>
      <c r="I255" s="10" t="s">
        <v>773</v>
      </c>
      <c r="J255" s="27" t="s">
        <v>789</v>
      </c>
      <c r="K255" s="15" t="s">
        <v>777</v>
      </c>
      <c r="L255" s="10" t="s">
        <v>771</v>
      </c>
      <c r="M255" s="10" t="s">
        <v>770</v>
      </c>
      <c r="N255" s="30" t="str">
        <f>HYPERLINK("https://twitter.com/noynoyaquino/statuses/4141496003","https://twitter.com/noynoyaquino/statuses/4141496003")</f>
        <v>https://twitter.com/noynoyaquino/statuses/4141496003</v>
      </c>
      <c r="O255" s="27" t="s">
        <v>5993</v>
      </c>
      <c r="P255" s="80">
        <v>1862</v>
      </c>
      <c r="Q255" s="80">
        <v>4271</v>
      </c>
      <c r="R255" s="27" t="s">
        <v>2994</v>
      </c>
      <c r="S255" s="30" t="str">
        <f>HYPERLINK("https://twitter.com/noynoyaquino/lists","https://twitter.com/noynoyaquino/lists")</f>
        <v>https://twitter.com/noynoyaquino/lists</v>
      </c>
      <c r="T255" s="10">
        <v>1</v>
      </c>
      <c r="U255" s="10" t="s">
        <v>771</v>
      </c>
      <c r="V255" s="30" t="str">
        <f>HYPERLINK("https://twitter.com/noynoyaquino/calamities/members","https://twitter.com/noynoyaquino/calamities/members")</f>
        <v>https://twitter.com/noynoyaquino/calamities/members</v>
      </c>
      <c r="W255" s="10">
        <v>0</v>
      </c>
      <c r="X255" s="27" t="s">
        <v>272</v>
      </c>
      <c r="Y255" s="27" t="s">
        <v>1558</v>
      </c>
      <c r="Z255" s="80">
        <v>3959</v>
      </c>
      <c r="AA255" s="27">
        <v>108</v>
      </c>
      <c r="AB255" s="80">
        <v>3103029</v>
      </c>
      <c r="AC255" s="27">
        <v>17</v>
      </c>
      <c r="AD255" s="27" t="s">
        <v>4203</v>
      </c>
      <c r="AE255" s="27">
        <v>69209858</v>
      </c>
      <c r="AF255" s="27" t="s">
        <v>1559</v>
      </c>
      <c r="AG255" s="27" t="s">
        <v>1560</v>
      </c>
      <c r="AH255" s="79">
        <v>1.6225409836065601</v>
      </c>
      <c r="AI255" s="83">
        <v>2.3700962250185</v>
      </c>
      <c r="AJ255" s="80">
        <v>32.6956694477553</v>
      </c>
      <c r="AK255" s="80">
        <v>32.007151370679402</v>
      </c>
      <c r="AL255" s="27">
        <v>5</v>
      </c>
      <c r="AM255" s="97">
        <f t="shared" si="3"/>
        <v>1.5625000000000001E-3</v>
      </c>
      <c r="AN255" s="27" t="s">
        <v>272</v>
      </c>
      <c r="AO255" s="27">
        <v>4</v>
      </c>
      <c r="AP255" s="27">
        <v>22</v>
      </c>
      <c r="AQ255" s="27">
        <v>4</v>
      </c>
      <c r="AR255" s="27">
        <f>SUM(AO255:AQ255)</f>
        <v>30</v>
      </c>
      <c r="AS255" s="27" t="s">
        <v>5367</v>
      </c>
      <c r="AT255" s="27" t="s">
        <v>6807</v>
      </c>
      <c r="AU255" s="84" t="s">
        <v>4882</v>
      </c>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1"/>
      <c r="BR255" s="71"/>
      <c r="BS255" s="71"/>
      <c r="BT255" s="71"/>
      <c r="BU255" s="71"/>
      <c r="BV255" s="71"/>
      <c r="BW255" s="71"/>
      <c r="BX255" s="71"/>
      <c r="BY255" s="71"/>
      <c r="BZ255" s="71"/>
      <c r="CA255" s="71"/>
      <c r="CB255" s="71"/>
      <c r="CC255" s="77"/>
      <c r="CD255" s="77"/>
      <c r="CE255" s="77"/>
      <c r="CF255" s="77"/>
      <c r="CG255" s="77"/>
      <c r="CH255" s="77"/>
      <c r="CI255" s="77"/>
      <c r="CJ255" s="77"/>
      <c r="CX255" s="77"/>
      <c r="CY255" s="77"/>
      <c r="CZ255" s="77"/>
      <c r="DA255" s="77"/>
      <c r="DB255" s="77"/>
      <c r="DC255" s="77"/>
      <c r="DD255" s="77"/>
      <c r="DE255" s="77"/>
      <c r="DF255" s="77"/>
      <c r="DG255" s="77"/>
      <c r="DH255" s="77"/>
      <c r="DI255" s="77"/>
      <c r="DJ255" s="77"/>
      <c r="DK255" s="77"/>
      <c r="DL255" s="77"/>
      <c r="DM255" s="77"/>
      <c r="DN255" s="77"/>
      <c r="DO255" s="77"/>
      <c r="DP255" s="77"/>
      <c r="DQ255" s="77"/>
      <c r="DR255" s="77"/>
      <c r="DS255" s="77"/>
      <c r="DT255" s="77"/>
      <c r="DU255" s="77"/>
      <c r="DV255" s="77"/>
      <c r="DW255" s="77"/>
      <c r="DX255" s="77"/>
      <c r="DY255" s="77"/>
      <c r="DZ255" s="77"/>
      <c r="EA255" s="77"/>
      <c r="EB255" s="77"/>
      <c r="EC255" s="77"/>
      <c r="ED255" s="77"/>
      <c r="EE255" s="77"/>
      <c r="EF255" s="77"/>
      <c r="EG255" s="77"/>
      <c r="EH255" s="77"/>
      <c r="EI255" s="77"/>
      <c r="EJ255" s="77"/>
      <c r="EK255" s="77"/>
      <c r="EL255" s="77"/>
      <c r="EM255" s="77"/>
      <c r="EN255" s="77"/>
      <c r="EO255" s="77"/>
      <c r="EP255" s="77"/>
      <c r="EQ255" s="77"/>
      <c r="ER255" s="77"/>
      <c r="ES255" s="77"/>
      <c r="ET255" s="77"/>
      <c r="EU255" s="77"/>
      <c r="EV255" s="77"/>
      <c r="EW255" s="77"/>
      <c r="EX255" s="77"/>
      <c r="EY255" s="77"/>
      <c r="EZ255" s="77"/>
      <c r="FA255" s="77"/>
      <c r="FB255" s="77"/>
      <c r="FC255" s="77"/>
      <c r="FD255" s="77"/>
      <c r="FE255" s="77"/>
      <c r="FF255" s="77"/>
      <c r="FG255" s="77"/>
      <c r="FH255" s="77"/>
      <c r="FI255" s="77"/>
      <c r="FJ255" s="77"/>
      <c r="FK255" s="77"/>
      <c r="FL255" s="77"/>
      <c r="FM255" s="77"/>
      <c r="FN255" s="77"/>
      <c r="FO255" s="77"/>
      <c r="FP255" s="77"/>
      <c r="FQ255" s="77"/>
      <c r="FR255" s="77"/>
      <c r="FS255" s="77"/>
      <c r="FT255" s="77"/>
      <c r="FU255" s="77"/>
      <c r="FV255" s="77"/>
      <c r="FW255" s="77"/>
      <c r="FX255" s="77"/>
      <c r="FY255" s="77"/>
      <c r="FZ255" s="77"/>
      <c r="GA255" s="77"/>
      <c r="GB255" s="77"/>
      <c r="GC255" s="77"/>
      <c r="GD255" s="77"/>
      <c r="GE255" s="77"/>
      <c r="GF255" s="77"/>
      <c r="GG255" s="77"/>
      <c r="GH255" s="77"/>
      <c r="GI255" s="77"/>
      <c r="GJ255" s="77"/>
      <c r="GK255" s="77"/>
      <c r="GL255" s="77"/>
      <c r="GM255" s="77"/>
      <c r="GN255" s="77"/>
      <c r="GO255" s="77"/>
      <c r="GP255" s="77"/>
      <c r="GQ255" s="77"/>
      <c r="GR255" s="77"/>
      <c r="GS255" s="77"/>
      <c r="GT255" s="77"/>
      <c r="GU255" s="77"/>
      <c r="GV255" s="77"/>
      <c r="GW255" s="77"/>
      <c r="GX255" s="77"/>
      <c r="GY255" s="77"/>
      <c r="GZ255" s="77"/>
      <c r="HA255" s="77"/>
      <c r="HB255" s="77"/>
      <c r="HC255" s="77"/>
      <c r="HD255" s="77"/>
      <c r="HE255" s="77"/>
      <c r="HF255" s="77"/>
      <c r="HG255" s="77"/>
      <c r="HH255" s="77"/>
      <c r="HI255" s="77"/>
      <c r="HJ255" s="77"/>
      <c r="HK255" s="77"/>
      <c r="HL255" s="77"/>
      <c r="HM255" s="77"/>
      <c r="HN255" s="77"/>
      <c r="HO255" s="77"/>
      <c r="HP255" s="77"/>
      <c r="HQ255" s="77"/>
      <c r="HR255" s="77"/>
      <c r="HS255" s="77"/>
      <c r="HT255" s="77"/>
      <c r="HU255" s="77"/>
      <c r="HV255" s="77"/>
      <c r="HW255" s="77"/>
      <c r="HX255" s="77"/>
      <c r="HY255" s="77"/>
      <c r="HZ255" s="77"/>
      <c r="IA255" s="77"/>
      <c r="IB255" s="77"/>
      <c r="IC255" s="77"/>
      <c r="JY255" s="77"/>
      <c r="JZ255" s="77"/>
      <c r="KA255" s="77"/>
      <c r="KB255" s="77"/>
      <c r="KC255" s="77"/>
      <c r="KD255" s="77"/>
      <c r="KE255" s="77"/>
      <c r="KF255" s="77"/>
      <c r="KG255" s="77"/>
      <c r="KH255" s="77"/>
      <c r="KI255" s="77"/>
      <c r="KJ255" s="77"/>
      <c r="KK255" s="77"/>
      <c r="KL255" s="77"/>
      <c r="LL255" s="77"/>
      <c r="LM255" s="77"/>
      <c r="LN255" s="77"/>
      <c r="LO255" s="77"/>
      <c r="LP255" s="77"/>
      <c r="LQ255" s="77"/>
      <c r="LR255" s="77"/>
      <c r="LS255" s="77"/>
      <c r="LT255" s="77"/>
      <c r="LU255" s="77"/>
      <c r="LV255" s="77"/>
      <c r="MT255" s="77"/>
      <c r="MU255" s="77"/>
      <c r="MV255" s="77"/>
      <c r="MW255" s="77"/>
      <c r="MX255" s="77"/>
      <c r="MY255" s="77"/>
      <c r="MZ255" s="77"/>
      <c r="NA255" s="77"/>
      <c r="NB255" s="77"/>
      <c r="NC255" s="77"/>
    </row>
    <row r="256" spans="1:421" ht="18.600000000000001" customHeight="1" x14ac:dyDescent="0.25">
      <c r="A256" s="119" t="s">
        <v>1918</v>
      </c>
      <c r="B256" s="27" t="s">
        <v>1919</v>
      </c>
      <c r="C256" s="27" t="s">
        <v>6370</v>
      </c>
      <c r="D256" s="30" t="str">
        <f>HYPERLINK("https://twitter.com/atsipras","https://twitter.com/atsipras")</f>
        <v>https://twitter.com/atsipras</v>
      </c>
      <c r="E256" s="30" t="str">
        <f>HYPERLINK("http://twiplomacy.com/info/europe/Greece","http://twiplomacy.com/info/europe/Greece")</f>
        <v>http://twiplomacy.com/info/europe/Greece</v>
      </c>
      <c r="F256" s="10" t="s">
        <v>332</v>
      </c>
      <c r="G256" s="10" t="s">
        <v>405</v>
      </c>
      <c r="H256" s="10" t="s">
        <v>776</v>
      </c>
      <c r="I256" s="10" t="s">
        <v>773</v>
      </c>
      <c r="J256" s="27" t="s">
        <v>789</v>
      </c>
      <c r="K256" s="15" t="s">
        <v>777</v>
      </c>
      <c r="L256" s="10"/>
      <c r="M256" s="10" t="s">
        <v>770</v>
      </c>
      <c r="N256" s="30" t="str">
        <f>HYPERLINK("https://twitter.com/atsipras/status/91106508863053824","https://twitter.com/atsipras/status/91106508863053824")</f>
        <v>https://twitter.com/atsipras/status/91106508863053824</v>
      </c>
      <c r="O256" s="27" t="s">
        <v>5691</v>
      </c>
      <c r="P256" s="80">
        <v>2156</v>
      </c>
      <c r="Q256" s="80">
        <v>1326</v>
      </c>
      <c r="R256" s="27" t="s">
        <v>2994</v>
      </c>
      <c r="S256" s="10" t="s">
        <v>1920</v>
      </c>
      <c r="T256" s="10" t="s">
        <v>771</v>
      </c>
      <c r="U256" s="10" t="s">
        <v>771</v>
      </c>
      <c r="V256" s="10" t="s">
        <v>771</v>
      </c>
      <c r="W256" s="10"/>
      <c r="X256" s="27" t="s">
        <v>1918</v>
      </c>
      <c r="Y256" s="27" t="s">
        <v>1919</v>
      </c>
      <c r="Z256" s="80">
        <v>3931</v>
      </c>
      <c r="AA256" s="27">
        <v>79</v>
      </c>
      <c r="AB256" s="80">
        <v>369346</v>
      </c>
      <c r="AC256" s="27">
        <v>3</v>
      </c>
      <c r="AD256" s="27" t="s">
        <v>3486</v>
      </c>
      <c r="AE256" s="27">
        <v>334602996</v>
      </c>
      <c r="AF256" s="27" t="s">
        <v>6370</v>
      </c>
      <c r="AG256" s="27" t="s">
        <v>405</v>
      </c>
      <c r="AH256" s="79">
        <v>2.2398860398860401</v>
      </c>
      <c r="AI256" s="83">
        <v>2.5287175452399699</v>
      </c>
      <c r="AJ256" s="80">
        <v>33.265350877193001</v>
      </c>
      <c r="AK256" s="80">
        <v>53.681390977443598</v>
      </c>
      <c r="AL256" s="96">
        <v>26</v>
      </c>
      <c r="AM256" s="97">
        <f t="shared" si="3"/>
        <v>8.1250000000000003E-3</v>
      </c>
      <c r="AN256" s="27" t="s">
        <v>1918</v>
      </c>
      <c r="AO256" s="27">
        <v>1</v>
      </c>
      <c r="AP256" s="27">
        <v>19</v>
      </c>
      <c r="AQ256" s="27">
        <v>2</v>
      </c>
      <c r="AR256" s="27">
        <f>SUM(AO256:AQ256)</f>
        <v>22</v>
      </c>
      <c r="AS256" s="27" t="s">
        <v>363</v>
      </c>
      <c r="AT256" s="27" t="s">
        <v>5025</v>
      </c>
      <c r="AU256" s="84" t="s">
        <v>4650</v>
      </c>
      <c r="AV256" s="77"/>
      <c r="AW256" s="77"/>
      <c r="AX256" s="77"/>
      <c r="AY256" s="77"/>
      <c r="AZ256" s="77"/>
      <c r="BA256" s="77"/>
      <c r="BB256" s="77"/>
      <c r="BC256" s="77"/>
      <c r="BD256" s="77"/>
      <c r="BE256" s="77"/>
      <c r="BF256" s="77"/>
      <c r="BG256" s="77"/>
      <c r="BH256" s="77"/>
      <c r="BI256" s="77"/>
      <c r="BJ256" s="77"/>
      <c r="BK256" s="77"/>
      <c r="BL256" s="77"/>
      <c r="BM256" s="77"/>
      <c r="BN256" s="77"/>
      <c r="BO256" s="77"/>
      <c r="BP256" s="77"/>
      <c r="CK256" s="77"/>
      <c r="CL256" s="77"/>
      <c r="CM256" s="77"/>
      <c r="CN256" s="77"/>
      <c r="CO256" s="77"/>
      <c r="CP256" s="77"/>
      <c r="CQ256" s="77"/>
      <c r="CR256" s="77"/>
      <c r="CS256" s="77"/>
      <c r="CT256" s="77"/>
      <c r="CU256" s="77"/>
      <c r="CV256" s="77"/>
      <c r="CW256" s="77"/>
      <c r="CX256" s="77"/>
      <c r="CY256" s="77"/>
      <c r="CZ256" s="77"/>
      <c r="DA256" s="77"/>
      <c r="DB256" s="77"/>
      <c r="DC256" s="77"/>
      <c r="DD256" s="77"/>
      <c r="DE256" s="77"/>
      <c r="DF256" s="77"/>
      <c r="DG256" s="77"/>
      <c r="DH256" s="77"/>
      <c r="DI256" s="77"/>
      <c r="DJ256" s="77"/>
      <c r="DK256" s="77"/>
      <c r="DL256" s="77"/>
      <c r="DM256" s="77"/>
      <c r="DN256" s="77"/>
      <c r="DO256" s="77"/>
      <c r="DP256" s="77"/>
      <c r="DQ256" s="77"/>
      <c r="DR256" s="77"/>
      <c r="DS256" s="77"/>
      <c r="DT256" s="77"/>
      <c r="DU256" s="77"/>
      <c r="DV256" s="77"/>
      <c r="DW256" s="77"/>
      <c r="DX256" s="77"/>
      <c r="DY256" s="77"/>
      <c r="DZ256" s="77"/>
      <c r="EA256" s="77"/>
      <c r="EB256" s="77"/>
      <c r="EC256" s="77"/>
      <c r="ED256" s="77"/>
      <c r="EE256" s="77"/>
      <c r="EF256" s="77"/>
      <c r="EG256" s="77"/>
      <c r="EH256" s="77"/>
      <c r="EI256" s="77"/>
      <c r="EJ256" s="77"/>
      <c r="EK256" s="77"/>
      <c r="EL256" s="77"/>
      <c r="EM256" s="77"/>
      <c r="EN256" s="77"/>
      <c r="EO256" s="77"/>
      <c r="EP256" s="16"/>
      <c r="EQ256" s="77"/>
      <c r="ER256" s="77"/>
      <c r="ES256" s="77"/>
      <c r="ET256" s="77"/>
      <c r="EU256" s="77"/>
      <c r="EV256" s="77"/>
      <c r="EW256" s="77"/>
      <c r="EX256" s="77"/>
      <c r="EY256" s="77"/>
      <c r="EZ256" s="77"/>
      <c r="FA256" s="77"/>
      <c r="FB256" s="77"/>
      <c r="FC256" s="77"/>
      <c r="FD256" s="77"/>
      <c r="FE256" s="77"/>
      <c r="FF256" s="77"/>
      <c r="FG256" s="77"/>
      <c r="FH256" s="77"/>
      <c r="FI256" s="77"/>
      <c r="FJ256" s="77"/>
      <c r="FK256" s="77"/>
      <c r="FL256" s="77"/>
      <c r="FM256" s="77"/>
      <c r="FN256" s="77"/>
      <c r="FO256" s="77"/>
      <c r="FP256" s="77"/>
      <c r="FQ256" s="77"/>
      <c r="FR256" s="77"/>
      <c r="FS256" s="77"/>
      <c r="FT256" s="77"/>
      <c r="FU256" s="77"/>
      <c r="FV256" s="77"/>
      <c r="FW256" s="77"/>
      <c r="FX256" s="77"/>
      <c r="FY256" s="77"/>
      <c r="FZ256" s="77"/>
      <c r="GA256" s="77"/>
      <c r="GB256" s="77"/>
      <c r="GC256" s="77"/>
      <c r="GD256" s="77"/>
      <c r="GE256" s="77"/>
      <c r="GF256" s="77"/>
      <c r="GG256" s="77"/>
      <c r="GH256" s="77"/>
      <c r="GI256" s="77"/>
      <c r="GJ256" s="77"/>
      <c r="GK256" s="77"/>
      <c r="GL256" s="77"/>
      <c r="GM256" s="77"/>
      <c r="GN256" s="77"/>
      <c r="GO256" s="77"/>
      <c r="GP256" s="77"/>
      <c r="GQ256" s="77"/>
      <c r="GR256" s="77"/>
      <c r="GS256" s="77"/>
      <c r="GT256" s="77"/>
      <c r="GU256" s="77"/>
      <c r="GV256" s="77"/>
      <c r="GW256" s="77"/>
      <c r="GX256" s="77"/>
      <c r="GY256" s="77"/>
      <c r="GZ256" s="77"/>
      <c r="HA256" s="77"/>
      <c r="HB256" s="77"/>
      <c r="HC256" s="77"/>
      <c r="HD256" s="77"/>
      <c r="HE256" s="77"/>
      <c r="HF256" s="77"/>
      <c r="HG256" s="77"/>
      <c r="HH256" s="77"/>
      <c r="HI256" s="77"/>
      <c r="HJ256" s="77"/>
      <c r="HK256" s="77"/>
      <c r="HL256" s="77"/>
      <c r="HM256" s="77"/>
      <c r="HN256" s="77"/>
      <c r="HO256" s="77"/>
      <c r="HP256" s="77"/>
      <c r="HQ256" s="77"/>
      <c r="HR256" s="77"/>
      <c r="HS256" s="77"/>
      <c r="HT256" s="77"/>
      <c r="HU256" s="77"/>
      <c r="HV256" s="77"/>
      <c r="HW256" s="77"/>
      <c r="HX256" s="77"/>
      <c r="HY256" s="77"/>
      <c r="HZ256" s="77"/>
      <c r="IA256" s="77"/>
      <c r="IB256" s="77"/>
      <c r="IC256" s="77"/>
      <c r="ID256" s="77"/>
      <c r="IE256" s="77"/>
      <c r="IF256" s="77"/>
      <c r="IG256" s="77"/>
      <c r="IH256" s="77"/>
      <c r="II256" s="77"/>
      <c r="IJ256" s="77"/>
      <c r="IK256" s="77"/>
      <c r="IL256" s="77"/>
      <c r="IM256" s="77"/>
      <c r="IN256" s="77"/>
      <c r="IO256" s="77"/>
      <c r="IP256" s="77"/>
      <c r="IQ256" s="77"/>
      <c r="IR256" s="77"/>
      <c r="IS256" s="77"/>
      <c r="IT256" s="77"/>
      <c r="IU256" s="77"/>
      <c r="IV256" s="77"/>
      <c r="IW256" s="77"/>
      <c r="IX256" s="77"/>
      <c r="IY256" s="77"/>
      <c r="IZ256" s="77"/>
      <c r="JA256" s="77"/>
      <c r="JB256" s="77"/>
      <c r="JC256" s="77"/>
      <c r="JD256" s="77"/>
      <c r="JE256" s="77"/>
      <c r="JF256" s="77"/>
      <c r="JG256" s="77"/>
      <c r="JH256" s="77"/>
      <c r="JI256" s="77"/>
      <c r="JJ256" s="77"/>
      <c r="JK256" s="77"/>
      <c r="JL256" s="77"/>
      <c r="JM256" s="77"/>
      <c r="JN256" s="77"/>
      <c r="JO256" s="77"/>
      <c r="JP256" s="77"/>
      <c r="JQ256" s="77"/>
      <c r="JR256" s="77"/>
      <c r="JS256" s="77"/>
      <c r="JT256" s="77"/>
      <c r="JU256" s="77"/>
      <c r="JV256" s="77"/>
      <c r="JW256" s="77"/>
      <c r="JX256" s="77"/>
      <c r="LL256" s="77"/>
      <c r="LM256" s="77"/>
      <c r="LN256" s="77"/>
      <c r="LO256" s="77"/>
      <c r="LP256" s="77"/>
      <c r="LQ256" s="77"/>
      <c r="LR256" s="77"/>
      <c r="LS256" s="77"/>
      <c r="LT256" s="77"/>
      <c r="LU256" s="77"/>
      <c r="LV256" s="77"/>
      <c r="LW256" s="77"/>
      <c r="LX256" s="77"/>
      <c r="ND256" s="77"/>
    </row>
    <row r="257" spans="1:421" ht="18.600000000000001" customHeight="1" x14ac:dyDescent="0.25">
      <c r="A257" s="119" t="s">
        <v>318</v>
      </c>
      <c r="B257" s="27" t="s">
        <v>1669</v>
      </c>
      <c r="C257" s="27" t="s">
        <v>1670</v>
      </c>
      <c r="D257" s="30" t="str">
        <f>HYPERLINK("https://twitter.com/HHShkMohd","https://twitter.com/HHShkMohd")</f>
        <v>https://twitter.com/HHShkMohd</v>
      </c>
      <c r="E257" s="30" t="str">
        <f>HYPERLINK("http://twiplomacy.com/info/asia/United-Arab-Emirates","http://twiplomacy.com/info/asia/United-Arab-Emirates")</f>
        <v>http://twiplomacy.com/info/asia/United-Arab-Emirates</v>
      </c>
      <c r="F257" s="10" t="s">
        <v>154</v>
      </c>
      <c r="G257" s="10" t="s">
        <v>317</v>
      </c>
      <c r="H257" s="10" t="s">
        <v>1588</v>
      </c>
      <c r="I257" s="10" t="s">
        <v>773</v>
      </c>
      <c r="J257" s="27" t="s">
        <v>789</v>
      </c>
      <c r="K257" s="15" t="s">
        <v>777</v>
      </c>
      <c r="L257" s="10" t="s">
        <v>1020</v>
      </c>
      <c r="M257" s="10" t="s">
        <v>771</v>
      </c>
      <c r="N257" s="30" t="str">
        <f>HYPERLINK("https://twitter.com/hhshkmohd/statuses/2015590707","https://twitter.com/hhshkmohd/statuses/2015590707")</f>
        <v>https://twitter.com/hhshkmohd/statuses/2015590707</v>
      </c>
      <c r="O257" s="12" t="str">
        <f>HYPERLINK("https://twitter.com/HHShkMohd/statuses/513704298841006081","https://twitter.com/HHShkMohd/statuses/513704298841006081")</f>
        <v>https://twitter.com/HHShkMohd/statuses/513704298841006081</v>
      </c>
      <c r="P257" s="46">
        <v>27085</v>
      </c>
      <c r="Q257" s="46">
        <v>4317</v>
      </c>
      <c r="R257" s="27" t="s">
        <v>2994</v>
      </c>
      <c r="S257" s="30" t="str">
        <f>HYPERLINK("https://twitter.com/HHShkMohd/lists","https://twitter.com/HHShkMohd/lists")</f>
        <v>https://twitter.com/HHShkMohd/lists</v>
      </c>
      <c r="T257" s="10" t="s">
        <v>771</v>
      </c>
      <c r="U257" s="10" t="s">
        <v>771</v>
      </c>
      <c r="V257" s="10" t="s">
        <v>771</v>
      </c>
      <c r="W257" s="10"/>
      <c r="X257" s="27" t="s">
        <v>318</v>
      </c>
      <c r="Y257" s="27" t="s">
        <v>1669</v>
      </c>
      <c r="Z257" s="80">
        <v>3917</v>
      </c>
      <c r="AA257" s="27">
        <v>60</v>
      </c>
      <c r="AB257" s="80">
        <v>6095417</v>
      </c>
      <c r="AC257" s="27">
        <v>0</v>
      </c>
      <c r="AD257" s="27" t="s">
        <v>3806</v>
      </c>
      <c r="AE257" s="27">
        <v>44335525</v>
      </c>
      <c r="AF257" s="27" t="s">
        <v>1670</v>
      </c>
      <c r="AG257" s="27" t="s">
        <v>1671</v>
      </c>
      <c r="AH257" s="79">
        <v>1.55128712871287</v>
      </c>
      <c r="AI257" s="83">
        <v>2.20606478290834</v>
      </c>
      <c r="AJ257" s="80">
        <v>921.85480706344003</v>
      </c>
      <c r="AK257" s="80">
        <v>498.60268149117098</v>
      </c>
      <c r="AL257" s="27">
        <v>6</v>
      </c>
      <c r="AM257" s="97">
        <f t="shared" si="3"/>
        <v>1.8749999999999999E-3</v>
      </c>
      <c r="AN257" s="27" t="s">
        <v>318</v>
      </c>
      <c r="AO257" s="27">
        <v>0</v>
      </c>
      <c r="AP257" s="27">
        <v>54</v>
      </c>
      <c r="AQ257" s="27">
        <v>2</v>
      </c>
      <c r="AR257" s="27">
        <f>SUM(AO257:AQ257)</f>
        <v>56</v>
      </c>
      <c r="AS257" s="27"/>
      <c r="AT257" s="27" t="s">
        <v>5178</v>
      </c>
      <c r="AU257" s="84" t="s">
        <v>4755</v>
      </c>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c r="BZ257" s="77"/>
      <c r="CA257" s="77"/>
      <c r="CB257" s="77"/>
      <c r="CC257" s="77"/>
      <c r="CD257" s="77"/>
      <c r="CE257" s="77"/>
      <c r="CF257" s="77"/>
      <c r="CG257" s="77"/>
      <c r="CH257" s="77"/>
      <c r="CI257" s="77"/>
      <c r="CJ257" s="77"/>
      <c r="CK257" s="77"/>
      <c r="CL257" s="77"/>
      <c r="CM257" s="77"/>
      <c r="CN257" s="77"/>
      <c r="CO257" s="77"/>
      <c r="CP257" s="77"/>
      <c r="CQ257" s="77"/>
      <c r="CR257" s="77"/>
      <c r="CS257" s="77"/>
      <c r="CT257" s="77"/>
      <c r="CU257" s="77"/>
      <c r="CV257" s="77"/>
      <c r="CW257" s="77"/>
      <c r="CX257" s="77"/>
      <c r="CY257" s="77"/>
      <c r="CZ257" s="77"/>
      <c r="DA257" s="77"/>
      <c r="DB257" s="77"/>
      <c r="DC257" s="77"/>
      <c r="DD257" s="77"/>
      <c r="DE257" s="77"/>
      <c r="DF257" s="77"/>
      <c r="DG257" s="77"/>
      <c r="DH257" s="77"/>
      <c r="DI257" s="77"/>
      <c r="DJ257" s="77"/>
      <c r="DK257" s="77"/>
      <c r="DL257" s="77"/>
      <c r="DM257" s="77"/>
      <c r="DN257" s="77"/>
      <c r="DO257" s="77"/>
      <c r="DP257" s="77"/>
      <c r="DQ257" s="77"/>
      <c r="DR257" s="77"/>
      <c r="DS257" s="77"/>
      <c r="DT257" s="77"/>
      <c r="DU257" s="77"/>
      <c r="DV257" s="77"/>
      <c r="DW257" s="77"/>
      <c r="DX257" s="77"/>
      <c r="DY257" s="77"/>
      <c r="DZ257" s="77"/>
      <c r="EA257" s="77"/>
      <c r="EB257" s="77"/>
      <c r="EC257" s="77"/>
      <c r="ED257" s="77"/>
      <c r="EE257" s="77"/>
      <c r="EF257" s="77"/>
      <c r="EG257" s="77"/>
      <c r="EH257" s="77"/>
      <c r="EI257" s="77"/>
      <c r="EJ257" s="77"/>
      <c r="EK257" s="77"/>
      <c r="EL257" s="77"/>
      <c r="EM257" s="77"/>
      <c r="EN257" s="77"/>
      <c r="EO257" s="77"/>
      <c r="EQ257" s="77"/>
      <c r="ER257" s="77"/>
      <c r="ES257" s="77"/>
      <c r="ET257" s="77"/>
      <c r="EU257" s="77"/>
      <c r="EV257" s="77"/>
      <c r="EW257" s="77"/>
      <c r="EX257" s="77"/>
      <c r="EY257" s="77"/>
      <c r="EZ257" s="77"/>
      <c r="FA257" s="77"/>
      <c r="FB257" s="77"/>
      <c r="FC257" s="77"/>
      <c r="FD257" s="77"/>
      <c r="FE257" s="77"/>
      <c r="FF257" s="77"/>
      <c r="FG257" s="77"/>
      <c r="FH257" s="77"/>
      <c r="FI257" s="77"/>
      <c r="FJ257" s="77"/>
      <c r="FK257" s="77"/>
      <c r="FL257" s="77"/>
      <c r="FM257" s="77"/>
      <c r="FN257" s="77"/>
      <c r="FO257" s="77"/>
      <c r="FP257" s="77"/>
      <c r="FQ257" s="77"/>
      <c r="FR257" s="77"/>
      <c r="FS257" s="77"/>
      <c r="FT257" s="77"/>
      <c r="FU257" s="77"/>
      <c r="FV257" s="77"/>
      <c r="FW257" s="77"/>
      <c r="FX257" s="77"/>
      <c r="FY257" s="77"/>
      <c r="FZ257" s="77"/>
      <c r="GA257" s="77"/>
      <c r="GB257" s="77"/>
      <c r="GC257" s="77"/>
      <c r="GD257" s="77"/>
      <c r="GE257" s="77"/>
      <c r="GF257" s="77"/>
      <c r="GG257" s="77"/>
      <c r="GH257" s="77"/>
      <c r="GI257" s="77"/>
      <c r="GJ257" s="77"/>
      <c r="GK257" s="77"/>
      <c r="GL257" s="77"/>
      <c r="GM257" s="77"/>
      <c r="GN257" s="77"/>
      <c r="GO257" s="77"/>
      <c r="GP257" s="77"/>
      <c r="GQ257" s="77"/>
      <c r="GR257" s="77"/>
      <c r="GS257" s="77"/>
      <c r="GT257" s="77"/>
      <c r="GU257" s="77"/>
      <c r="GV257" s="77"/>
      <c r="GW257" s="77"/>
      <c r="GX257" s="77"/>
      <c r="GY257" s="77"/>
      <c r="GZ257" s="77"/>
      <c r="HA257" s="77"/>
      <c r="HB257" s="77"/>
      <c r="HC257" s="77"/>
      <c r="HD257" s="77"/>
      <c r="HE257" s="77"/>
      <c r="HF257" s="77"/>
      <c r="HG257" s="77"/>
      <c r="HH257" s="77"/>
      <c r="HI257" s="77"/>
      <c r="HJ257" s="77"/>
      <c r="HK257" s="77"/>
      <c r="HL257" s="77"/>
      <c r="HM257" s="77"/>
      <c r="HN257" s="77"/>
      <c r="HO257" s="77"/>
      <c r="HP257" s="77"/>
      <c r="HQ257" s="77"/>
      <c r="HR257" s="77"/>
      <c r="HS257" s="77"/>
      <c r="HT257" s="77"/>
      <c r="HU257" s="77"/>
      <c r="HV257" s="77"/>
      <c r="HW257" s="77"/>
      <c r="HX257" s="77"/>
      <c r="HY257" s="77"/>
      <c r="HZ257" s="77"/>
      <c r="IA257" s="77"/>
      <c r="IB257" s="77"/>
      <c r="IC257" s="77"/>
      <c r="ID257" s="77"/>
      <c r="IE257" s="77"/>
      <c r="IF257" s="77"/>
      <c r="IG257" s="77"/>
      <c r="IH257" s="77"/>
      <c r="II257" s="77"/>
      <c r="IJ257" s="77"/>
      <c r="IK257" s="77"/>
      <c r="IL257" s="77"/>
      <c r="IM257" s="77"/>
      <c r="IN257" s="77"/>
      <c r="IO257" s="77"/>
      <c r="IP257" s="77"/>
      <c r="IQ257" s="77"/>
      <c r="IR257" s="77"/>
      <c r="IS257" s="77"/>
      <c r="IT257" s="77"/>
      <c r="IU257" s="77"/>
      <c r="IV257" s="77"/>
      <c r="IW257" s="77"/>
      <c r="IX257" s="77"/>
      <c r="IY257" s="77"/>
      <c r="IZ257" s="77"/>
      <c r="JA257" s="77"/>
      <c r="JB257" s="77"/>
      <c r="JC257" s="77"/>
      <c r="JD257" s="77"/>
      <c r="JE257" s="77"/>
      <c r="JF257" s="77"/>
      <c r="JG257" s="77"/>
      <c r="JH257" s="77"/>
      <c r="JI257" s="77"/>
      <c r="JJ257" s="77"/>
      <c r="JK257" s="77"/>
      <c r="JL257" s="77"/>
      <c r="JM257" s="77"/>
      <c r="JN257" s="77"/>
      <c r="JO257" s="77"/>
      <c r="JP257" s="77"/>
      <c r="JQ257" s="77"/>
      <c r="JR257" s="77"/>
      <c r="JS257" s="77"/>
      <c r="JT257" s="77"/>
      <c r="JU257" s="77"/>
      <c r="JV257" s="77"/>
      <c r="JW257" s="77"/>
      <c r="JX257" s="77"/>
      <c r="JY257" s="77"/>
      <c r="JZ257" s="77"/>
      <c r="KA257" s="77"/>
      <c r="KB257" s="77"/>
      <c r="KC257" s="77"/>
      <c r="KD257" s="77"/>
      <c r="KE257" s="77"/>
      <c r="KF257" s="77"/>
      <c r="KG257" s="77"/>
      <c r="KH257" s="77"/>
      <c r="KI257" s="77"/>
      <c r="KJ257" s="77"/>
      <c r="KK257" s="77"/>
      <c r="KL257" s="77"/>
      <c r="LW257" s="77"/>
      <c r="LX257" s="77"/>
      <c r="LY257" s="16"/>
      <c r="LZ257" s="16"/>
      <c r="MA257" s="16"/>
      <c r="MB257" s="16"/>
      <c r="MC257" s="16"/>
      <c r="MD257" s="16"/>
      <c r="ME257" s="16"/>
      <c r="MF257" s="16"/>
      <c r="MG257" s="16"/>
      <c r="MH257" s="16"/>
      <c r="MI257" s="16"/>
      <c r="MJ257" s="16"/>
      <c r="MK257" s="16"/>
      <c r="ML257" s="16"/>
      <c r="MM257" s="16"/>
      <c r="MN257" s="16"/>
      <c r="MO257" s="16"/>
      <c r="MP257" s="16"/>
      <c r="MQ257" s="16"/>
      <c r="MR257" s="16"/>
    </row>
    <row r="258" spans="1:421" ht="18.600000000000001" customHeight="1" x14ac:dyDescent="0.25">
      <c r="A258" s="119" t="s">
        <v>285</v>
      </c>
      <c r="B258" s="27" t="s">
        <v>1234</v>
      </c>
      <c r="C258" s="27" t="s">
        <v>1595</v>
      </c>
      <c r="D258" s="30" t="str">
        <f>HYPERLINK("https://twitter.com/KSAMOFA","https://twitter.com/KSAMOFA")</f>
        <v>https://twitter.com/KSAMOFA</v>
      </c>
      <c r="E258" s="30" t="str">
        <f>HYPERLINK("http://twiplomacy.com/info/asia/Saudi-Arabia","http://twiplomacy.com/info/asia/Saudi-Arabia")</f>
        <v>http://twiplomacy.com/info/asia/Saudi-Arabia</v>
      </c>
      <c r="F258" s="10" t="s">
        <v>154</v>
      </c>
      <c r="G258" s="10" t="s">
        <v>282</v>
      </c>
      <c r="H258" s="10" t="s">
        <v>795</v>
      </c>
      <c r="I258" s="10" t="s">
        <v>782</v>
      </c>
      <c r="J258" s="27" t="s">
        <v>996</v>
      </c>
      <c r="K258" s="15" t="s">
        <v>777</v>
      </c>
      <c r="L258" s="10" t="s">
        <v>771</v>
      </c>
      <c r="M258" s="10" t="s">
        <v>770</v>
      </c>
      <c r="N258" s="30" t="str">
        <f>HYPERLINK("https://twitter.com/KSAMOFA/statuses/39779254346584064","https://twitter.com/KSAMOFA/statuses/39779254346584064")</f>
        <v>https://twitter.com/KSAMOFA/statuses/39779254346584064</v>
      </c>
      <c r="O258" s="27" t="s">
        <v>5907</v>
      </c>
      <c r="P258" s="80">
        <v>6403</v>
      </c>
      <c r="Q258" s="80">
        <v>1077</v>
      </c>
      <c r="R258" s="27" t="s">
        <v>2994</v>
      </c>
      <c r="S258" s="10" t="s">
        <v>1596</v>
      </c>
      <c r="T258" s="10" t="s">
        <v>771</v>
      </c>
      <c r="U258" s="10" t="s">
        <v>771</v>
      </c>
      <c r="V258" s="10" t="s">
        <v>771</v>
      </c>
      <c r="W258" s="10"/>
      <c r="X258" s="27" t="s">
        <v>285</v>
      </c>
      <c r="Y258" s="27" t="s">
        <v>1234</v>
      </c>
      <c r="Z258" s="80">
        <v>3916</v>
      </c>
      <c r="AA258" s="27">
        <v>51</v>
      </c>
      <c r="AB258" s="80">
        <v>801615</v>
      </c>
      <c r="AC258" s="27">
        <v>54</v>
      </c>
      <c r="AD258" s="27" t="s">
        <v>3956</v>
      </c>
      <c r="AE258" s="27">
        <v>227944601</v>
      </c>
      <c r="AF258" s="27" t="s">
        <v>1595</v>
      </c>
      <c r="AG258" s="27"/>
      <c r="AH258" s="79">
        <v>1.99847094801223</v>
      </c>
      <c r="AI258" s="83">
        <v>2.58520900321543</v>
      </c>
      <c r="AJ258" s="80">
        <v>110.005443234837</v>
      </c>
      <c r="AK258" s="80">
        <v>28.355365474338999</v>
      </c>
      <c r="AL258" s="27">
        <v>118</v>
      </c>
      <c r="AM258" s="97">
        <f t="shared" si="3"/>
        <v>3.6874999999999998E-2</v>
      </c>
      <c r="AN258" s="27" t="s">
        <v>285</v>
      </c>
      <c r="AO258" s="27">
        <v>1</v>
      </c>
      <c r="AP258" s="27">
        <v>38</v>
      </c>
      <c r="AQ258" s="27">
        <v>1</v>
      </c>
      <c r="AR258" s="27">
        <f>SUM(AO258:AQ258)</f>
        <v>40</v>
      </c>
      <c r="AS258" s="27" t="s">
        <v>283</v>
      </c>
      <c r="AT258" s="39" t="s">
        <v>6909</v>
      </c>
      <c r="AU258" s="84" t="s">
        <v>284</v>
      </c>
      <c r="AV258" s="77"/>
      <c r="AW258" s="77"/>
      <c r="AX258" s="77"/>
      <c r="AY258" s="77"/>
      <c r="AZ258" s="77"/>
      <c r="BA258" s="77"/>
      <c r="BB258" s="77"/>
      <c r="BC258" s="77"/>
      <c r="BD258" s="77"/>
      <c r="BE258" s="77"/>
      <c r="BF258" s="77"/>
      <c r="BG258" s="77"/>
      <c r="BH258" s="77"/>
      <c r="BI258" s="77"/>
      <c r="BJ258" s="77"/>
      <c r="BK258" s="77"/>
      <c r="BL258" s="77"/>
      <c r="BM258" s="69"/>
      <c r="BN258" s="77"/>
      <c r="BO258" s="77"/>
      <c r="BP258" s="77"/>
      <c r="BQ258" s="77"/>
      <c r="BR258" s="77"/>
      <c r="BS258" s="77"/>
      <c r="BT258" s="77"/>
      <c r="BU258" s="77"/>
      <c r="BV258" s="77"/>
      <c r="BW258" s="77"/>
      <c r="BX258" s="77"/>
      <c r="BY258" s="77"/>
      <c r="BZ258" s="77"/>
      <c r="CA258" s="77"/>
      <c r="CB258" s="77"/>
      <c r="CC258" s="77"/>
      <c r="CD258" s="77"/>
      <c r="CE258" s="77"/>
      <c r="CF258" s="77"/>
      <c r="CG258" s="77"/>
      <c r="CH258" s="77"/>
      <c r="CI258" s="77"/>
      <c r="CJ258" s="77"/>
      <c r="CK258" s="77"/>
      <c r="CL258" s="77"/>
      <c r="CM258" s="77"/>
      <c r="CN258" s="77"/>
      <c r="CO258" s="77"/>
      <c r="CP258" s="77"/>
      <c r="CQ258" s="77"/>
      <c r="CR258" s="77"/>
      <c r="CS258" s="77"/>
      <c r="CT258" s="77"/>
      <c r="CU258" s="77"/>
      <c r="CV258" s="77"/>
      <c r="CW258" s="77"/>
      <c r="CX258" s="77"/>
      <c r="CY258" s="77"/>
      <c r="CZ258" s="77"/>
      <c r="DA258" s="77"/>
      <c r="DB258" s="77"/>
      <c r="DC258" s="77"/>
      <c r="DD258" s="77"/>
      <c r="DE258" s="77"/>
      <c r="DF258" s="77"/>
      <c r="DG258" s="77"/>
      <c r="DH258" s="77"/>
      <c r="DI258" s="77"/>
      <c r="DJ258" s="77"/>
      <c r="DK258" s="77"/>
      <c r="DL258" s="77"/>
      <c r="DM258" s="77"/>
      <c r="DN258" s="77"/>
      <c r="DO258" s="77"/>
      <c r="DP258" s="77"/>
      <c r="DQ258" s="77"/>
      <c r="DR258" s="77"/>
      <c r="DS258" s="77"/>
      <c r="DT258" s="77"/>
      <c r="DU258" s="77"/>
      <c r="DV258" s="77"/>
      <c r="DW258" s="77"/>
      <c r="DX258" s="77"/>
      <c r="DY258" s="77"/>
      <c r="DZ258" s="77"/>
      <c r="EA258" s="77"/>
      <c r="EB258" s="77"/>
      <c r="EC258" s="77"/>
      <c r="ED258" s="77"/>
      <c r="EE258" s="77"/>
      <c r="EF258" s="77"/>
      <c r="EG258" s="77"/>
      <c r="EH258" s="77"/>
      <c r="EI258" s="77"/>
      <c r="EJ258" s="77"/>
      <c r="EK258" s="77"/>
      <c r="EL258" s="77"/>
      <c r="EM258" s="77"/>
      <c r="EN258" s="77"/>
      <c r="EO258" s="77"/>
      <c r="EQ258" s="77"/>
      <c r="ER258" s="77"/>
      <c r="ES258" s="77"/>
      <c r="ET258" s="77"/>
      <c r="EU258" s="77"/>
      <c r="EV258" s="77"/>
      <c r="EW258" s="77"/>
      <c r="EX258" s="77"/>
      <c r="EY258" s="77"/>
      <c r="EZ258" s="77"/>
      <c r="FA258" s="77"/>
      <c r="FB258" s="77"/>
      <c r="FC258" s="77"/>
      <c r="FD258" s="77"/>
      <c r="FE258" s="77"/>
      <c r="FF258" s="77"/>
      <c r="FG258" s="77"/>
      <c r="FH258" s="77"/>
      <c r="FI258" s="77"/>
      <c r="FJ258" s="77"/>
      <c r="FK258" s="77"/>
      <c r="FL258" s="77"/>
      <c r="FM258" s="77"/>
      <c r="FN258" s="77"/>
      <c r="FO258" s="77"/>
      <c r="FP258" s="77"/>
      <c r="FQ258" s="77"/>
      <c r="FR258" s="77"/>
      <c r="FS258" s="77"/>
      <c r="FT258" s="77"/>
      <c r="FU258" s="77"/>
      <c r="FV258" s="77"/>
      <c r="FW258" s="77"/>
      <c r="FX258" s="77"/>
      <c r="FY258" s="77"/>
      <c r="FZ258" s="77"/>
      <c r="GA258" s="77"/>
      <c r="GB258" s="77"/>
      <c r="GC258" s="77"/>
      <c r="GD258" s="77"/>
      <c r="GE258" s="77"/>
      <c r="GF258" s="77"/>
      <c r="GG258" s="77"/>
      <c r="GH258" s="77"/>
      <c r="GI258" s="77"/>
      <c r="GJ258" s="77"/>
      <c r="GK258" s="77"/>
      <c r="ID258" s="16"/>
      <c r="IE258" s="16"/>
      <c r="IF258" s="77"/>
      <c r="IG258" s="77"/>
      <c r="IH258" s="77"/>
      <c r="II258" s="77"/>
      <c r="IJ258" s="77"/>
      <c r="IK258" s="77"/>
      <c r="IL258" s="77"/>
      <c r="IM258" s="77"/>
      <c r="IN258" s="77"/>
      <c r="IO258" s="77"/>
      <c r="IP258" s="77"/>
      <c r="IQ258" s="77"/>
      <c r="IR258" s="77"/>
      <c r="IS258" s="77"/>
      <c r="IT258" s="77"/>
      <c r="IU258" s="77"/>
      <c r="IV258" s="77"/>
      <c r="IW258" s="77"/>
      <c r="IX258" s="77"/>
      <c r="IY258" s="77"/>
      <c r="IZ258" s="77"/>
      <c r="JA258" s="77"/>
      <c r="JB258" s="77"/>
      <c r="JC258" s="77"/>
      <c r="JD258" s="77"/>
      <c r="JE258" s="77"/>
      <c r="JF258" s="77"/>
      <c r="JG258" s="77"/>
      <c r="JH258" s="77"/>
      <c r="JI258" s="77"/>
      <c r="JJ258" s="77"/>
      <c r="JK258" s="77"/>
      <c r="JL258" s="77"/>
      <c r="JM258" s="77"/>
      <c r="JN258" s="77"/>
      <c r="JO258" s="77"/>
      <c r="JP258" s="77"/>
      <c r="JQ258" s="77"/>
      <c r="JR258" s="77"/>
      <c r="JS258" s="77"/>
      <c r="JT258" s="77"/>
      <c r="JU258" s="77"/>
      <c r="JV258" s="77"/>
      <c r="JW258" s="77"/>
      <c r="JX258" s="77"/>
    </row>
    <row r="259" spans="1:421" ht="18.600000000000001" customHeight="1" x14ac:dyDescent="0.25">
      <c r="A259" s="119" t="s">
        <v>2289</v>
      </c>
      <c r="B259" s="27" t="s">
        <v>2290</v>
      </c>
      <c r="C259" s="27" t="s">
        <v>3537</v>
      </c>
      <c r="D259" s="30" t="str">
        <f>HYPERLINK("https://twitter.com/ByegmENG","https://twitter.com/ByegmENG")</f>
        <v>https://twitter.com/ByegmENG</v>
      </c>
      <c r="E259" s="30" t="str">
        <f>HYPERLINK("http://twiplomacy.com/info/europe/Turkey","http://twiplomacy.com/info/europe/Turkey")</f>
        <v>http://twiplomacy.com/info/europe/Turkey</v>
      </c>
      <c r="F259" s="20" t="s">
        <v>332</v>
      </c>
      <c r="G259" s="20" t="s">
        <v>536</v>
      </c>
      <c r="H259" s="10" t="s">
        <v>788</v>
      </c>
      <c r="I259" s="10" t="s">
        <v>782</v>
      </c>
      <c r="J259" s="27" t="s">
        <v>789</v>
      </c>
      <c r="K259" s="10" t="s">
        <v>777</v>
      </c>
      <c r="L259" s="10" t="s">
        <v>771</v>
      </c>
      <c r="M259" s="10" t="s">
        <v>770</v>
      </c>
      <c r="N259" s="30" t="str">
        <f>HYPERLINK("https://twitter.com/anadoluagency/status/540167096609828864","https://twitter.com/anadoluagency/status/540167096609828864")</f>
        <v>https://twitter.com/anadoluagency/status/540167096609828864</v>
      </c>
      <c r="O259" s="27" t="s">
        <v>5722</v>
      </c>
      <c r="P259" s="80">
        <v>238</v>
      </c>
      <c r="Q259" s="80">
        <v>143</v>
      </c>
      <c r="R259" s="27" t="s">
        <v>2994</v>
      </c>
      <c r="S259" s="30" t="str">
        <f>HYPERLINK("https://twitter.com/ByegmENG/lists","https://twitter.com/ByegmENG/lists")</f>
        <v>https://twitter.com/ByegmENG/lists</v>
      </c>
      <c r="T259" s="10" t="s">
        <v>771</v>
      </c>
      <c r="U259" s="10" t="s">
        <v>771</v>
      </c>
      <c r="V259" s="10" t="s">
        <v>771</v>
      </c>
      <c r="W259" s="20"/>
      <c r="X259" s="27" t="s">
        <v>2289</v>
      </c>
      <c r="Y259" s="27" t="s">
        <v>2290</v>
      </c>
      <c r="Z259" s="80">
        <v>3915</v>
      </c>
      <c r="AA259" s="27">
        <v>254</v>
      </c>
      <c r="AB259" s="80">
        <v>7281</v>
      </c>
      <c r="AC259" s="27">
        <v>14</v>
      </c>
      <c r="AD259" s="27" t="s">
        <v>3538</v>
      </c>
      <c r="AE259" s="27">
        <v>2903522393</v>
      </c>
      <c r="AF259" s="27" t="s">
        <v>3537</v>
      </c>
      <c r="AG259" s="27" t="s">
        <v>2257</v>
      </c>
      <c r="AH259" s="79">
        <v>7.5968992248061999</v>
      </c>
      <c r="AI259" s="83">
        <v>7.1955056179775303</v>
      </c>
      <c r="AJ259" s="80">
        <v>9.904296875</v>
      </c>
      <c r="AK259" s="80">
        <v>5.42578125</v>
      </c>
      <c r="AL259" s="27">
        <v>304</v>
      </c>
      <c r="AM259" s="97">
        <f t="shared" ref="AM259:AM288" si="4">SUM(AL259/3200)</f>
        <v>9.5000000000000001E-2</v>
      </c>
      <c r="AN259" s="27" t="s">
        <v>2289</v>
      </c>
      <c r="AO259" s="27">
        <v>13</v>
      </c>
      <c r="AP259" s="27">
        <v>5</v>
      </c>
      <c r="AQ259" s="27">
        <v>8</v>
      </c>
      <c r="AR259" s="27">
        <f>SUM(AO259:AQ259)</f>
        <v>26</v>
      </c>
      <c r="AS259" s="27" t="s">
        <v>5051</v>
      </c>
      <c r="AT259" s="27" t="s">
        <v>5052</v>
      </c>
      <c r="AU259" s="84" t="s">
        <v>4669</v>
      </c>
      <c r="AV259" s="77"/>
      <c r="AW259" s="77"/>
      <c r="AX259" s="77"/>
      <c r="AY259" s="77"/>
      <c r="AZ259" s="77"/>
      <c r="BA259" s="77"/>
      <c r="BB259" s="77"/>
      <c r="BC259" s="77"/>
      <c r="BD259" s="77"/>
      <c r="BE259" s="77"/>
      <c r="BF259" s="77"/>
      <c r="BG259" s="77"/>
      <c r="BH259" s="77"/>
      <c r="BI259" s="77"/>
      <c r="BJ259" s="77"/>
      <c r="BK259" s="77"/>
      <c r="BL259" s="77"/>
      <c r="BM259" s="77"/>
      <c r="BN259" s="77"/>
      <c r="BO259" s="77"/>
      <c r="BP259" s="77"/>
      <c r="CC259" s="77"/>
      <c r="CD259" s="77"/>
      <c r="CE259" s="77"/>
      <c r="CF259" s="77"/>
      <c r="CG259" s="77"/>
      <c r="CH259" s="77"/>
      <c r="CI259" s="77"/>
      <c r="CJ259" s="77"/>
      <c r="CK259" s="77"/>
      <c r="CL259" s="77"/>
      <c r="CM259" s="77"/>
      <c r="CN259" s="77"/>
      <c r="CO259" s="77"/>
      <c r="CP259" s="77"/>
      <c r="CQ259" s="77"/>
      <c r="CR259" s="77"/>
      <c r="CS259" s="77"/>
      <c r="CT259" s="77"/>
      <c r="CU259" s="77"/>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DX259" s="77"/>
      <c r="DY259" s="77"/>
      <c r="DZ259" s="77"/>
      <c r="EA259" s="77"/>
      <c r="EB259" s="77"/>
      <c r="EC259" s="77"/>
      <c r="ED259" s="77"/>
      <c r="EE259" s="77"/>
      <c r="EF259" s="77"/>
      <c r="EG259" s="77"/>
      <c r="EH259" s="77"/>
      <c r="EI259" s="77"/>
      <c r="EJ259" s="77"/>
      <c r="EK259" s="77"/>
      <c r="EL259" s="77"/>
      <c r="EM259" s="77"/>
      <c r="EN259" s="77"/>
      <c r="EO259" s="77"/>
      <c r="EP259" s="77"/>
      <c r="EQ259" s="77"/>
      <c r="ER259" s="77"/>
      <c r="ES259" s="77"/>
      <c r="ET259" s="77"/>
      <c r="EU259" s="77"/>
      <c r="EV259" s="77"/>
      <c r="EW259" s="77"/>
      <c r="EX259" s="77"/>
      <c r="EY259" s="77"/>
      <c r="EZ259" s="77"/>
      <c r="FA259" s="77"/>
      <c r="FB259" s="77"/>
      <c r="FC259" s="77"/>
      <c r="FD259" s="77"/>
      <c r="FE259" s="77"/>
      <c r="FF259" s="77"/>
      <c r="FG259" s="77"/>
      <c r="FH259" s="77"/>
      <c r="FI259" s="77"/>
      <c r="FJ259" s="77"/>
      <c r="FK259" s="77"/>
      <c r="FL259" s="77"/>
      <c r="FM259" s="77"/>
      <c r="FN259" s="77"/>
      <c r="FO259" s="77"/>
      <c r="FP259" s="77"/>
      <c r="FQ259" s="77"/>
      <c r="FR259" s="77"/>
      <c r="FS259" s="77"/>
      <c r="FT259" s="77"/>
      <c r="FU259" s="77"/>
      <c r="FV259" s="77"/>
      <c r="FW259" s="77"/>
      <c r="FX259" s="77"/>
      <c r="FY259" s="77"/>
      <c r="FZ259" s="77"/>
      <c r="GA259" s="77"/>
      <c r="GB259" s="77"/>
      <c r="GC259" s="77"/>
      <c r="GD259" s="77"/>
      <c r="GE259" s="77"/>
      <c r="GF259" s="77"/>
      <c r="GG259" s="77"/>
      <c r="GH259" s="77"/>
      <c r="GI259" s="77"/>
      <c r="GJ259" s="77"/>
      <c r="GK259" s="77"/>
      <c r="HL259" s="77"/>
      <c r="HM259" s="77"/>
      <c r="HN259" s="77"/>
      <c r="HO259" s="77"/>
      <c r="HP259" s="77"/>
      <c r="HQ259" s="77"/>
      <c r="HR259" s="77"/>
      <c r="HS259" s="77"/>
      <c r="HT259" s="77"/>
      <c r="HU259" s="77"/>
      <c r="HV259" s="77"/>
      <c r="HW259" s="77"/>
      <c r="HX259" s="77"/>
      <c r="HY259" s="77"/>
      <c r="HZ259" s="77"/>
      <c r="IA259" s="77"/>
      <c r="IB259" s="77"/>
      <c r="IC259" s="77"/>
      <c r="ID259" s="77"/>
      <c r="IE259" s="77"/>
      <c r="JY259" s="77"/>
      <c r="JZ259" s="77"/>
      <c r="KA259" s="77"/>
      <c r="KB259" s="77"/>
      <c r="KC259" s="77"/>
      <c r="KD259" s="77"/>
      <c r="KE259" s="77"/>
      <c r="KF259" s="77"/>
      <c r="KG259" s="77"/>
      <c r="KH259" s="77"/>
      <c r="KI259" s="77"/>
      <c r="KJ259" s="77"/>
      <c r="KK259" s="77"/>
      <c r="KL259" s="77"/>
      <c r="KM259" s="77"/>
      <c r="KN259" s="77"/>
      <c r="KO259" s="77"/>
      <c r="KP259" s="77"/>
      <c r="KQ259" s="77"/>
      <c r="KR259" s="77"/>
      <c r="KS259" s="77"/>
      <c r="KT259" s="77"/>
      <c r="KU259" s="77"/>
      <c r="KV259" s="77"/>
      <c r="KW259" s="77"/>
      <c r="KX259" s="77"/>
      <c r="KY259" s="77"/>
      <c r="KZ259" s="77"/>
      <c r="LA259" s="77"/>
      <c r="LB259" s="77"/>
      <c r="LC259" s="77"/>
      <c r="LD259" s="77"/>
      <c r="LE259" s="77"/>
      <c r="LF259" s="77"/>
      <c r="LG259" s="77"/>
      <c r="LH259" s="77"/>
      <c r="LI259" s="77"/>
      <c r="LJ259" s="77"/>
      <c r="LK259" s="77"/>
      <c r="LL259" s="77"/>
      <c r="LM259" s="77"/>
      <c r="LN259" s="77"/>
      <c r="LO259" s="77"/>
      <c r="LP259" s="77"/>
      <c r="LQ259" s="77"/>
      <c r="LR259" s="77"/>
      <c r="LS259" s="77"/>
      <c r="LT259" s="77"/>
      <c r="LU259" s="77"/>
      <c r="LV259" s="77"/>
      <c r="LW259" s="77"/>
      <c r="LX259" s="77"/>
      <c r="LY259" s="16"/>
      <c r="LZ259" s="16"/>
      <c r="MA259" s="16"/>
      <c r="MB259" s="16"/>
      <c r="MC259" s="16"/>
      <c r="MD259" s="16"/>
      <c r="ME259" s="16"/>
      <c r="MF259" s="16"/>
      <c r="MG259" s="16"/>
      <c r="MH259" s="16"/>
      <c r="MI259" s="16"/>
      <c r="MJ259" s="16"/>
      <c r="MK259" s="16"/>
      <c r="ML259" s="16"/>
      <c r="MM259" s="16"/>
      <c r="MN259" s="16"/>
      <c r="MO259" s="16"/>
      <c r="MP259" s="16"/>
      <c r="MQ259" s="16"/>
      <c r="MR259" s="16"/>
    </row>
    <row r="260" spans="1:421" ht="18.600000000000001" customHeight="1" x14ac:dyDescent="0.25">
      <c r="A260" s="119" t="s">
        <v>434</v>
      </c>
      <c r="B260" s="27" t="s">
        <v>1996</v>
      </c>
      <c r="C260" s="27" t="s">
        <v>3969</v>
      </c>
      <c r="D260" s="30" t="str">
        <f>HYPERLINK("https://twitter.com/Latvian_MFA","https://twitter.com/Latvian_MFA")</f>
        <v>https://twitter.com/Latvian_MFA</v>
      </c>
      <c r="E260" s="30" t="str">
        <f>HYPERLINK("http://twiplomacy.com/info/europe/Latvia","http://twiplomacy.com/info/europe/Latvia")</f>
        <v>http://twiplomacy.com/info/europe/Latvia</v>
      </c>
      <c r="F260" s="10" t="s">
        <v>332</v>
      </c>
      <c r="G260" s="10" t="s">
        <v>428</v>
      </c>
      <c r="H260" s="10" t="s">
        <v>795</v>
      </c>
      <c r="I260" s="10" t="s">
        <v>782</v>
      </c>
      <c r="J260" s="27" t="s">
        <v>789</v>
      </c>
      <c r="K260" s="15" t="s">
        <v>777</v>
      </c>
      <c r="L260" s="10" t="s">
        <v>771</v>
      </c>
      <c r="M260" s="10" t="s">
        <v>770</v>
      </c>
      <c r="N260" s="30" t="str">
        <f>HYPERLINK("https://twitter.com/Latvian_MFA/statuses/104184348001058816","https://twitter.com/Latvian_MFA/statuses/104184348001058816")</f>
        <v>https://twitter.com/Latvian_MFA/statuses/104184348001058816</v>
      </c>
      <c r="O260" s="27" t="s">
        <v>5910</v>
      </c>
      <c r="P260" s="80">
        <v>128</v>
      </c>
      <c r="Q260" s="80">
        <v>64</v>
      </c>
      <c r="R260" s="27" t="s">
        <v>2994</v>
      </c>
      <c r="S260" s="30" t="str">
        <f>HYPERLINK("https://twitter.com/Latvian_MFA/lists","https://twitter.com/Latvian_MFA/lists")</f>
        <v>https://twitter.com/Latvian_MFA/lists</v>
      </c>
      <c r="T260" s="10" t="s">
        <v>771</v>
      </c>
      <c r="U260" s="10" t="s">
        <v>771</v>
      </c>
      <c r="V260" s="10" t="s">
        <v>771</v>
      </c>
      <c r="W260" s="10"/>
      <c r="X260" s="27" t="s">
        <v>434</v>
      </c>
      <c r="Y260" s="27" t="s">
        <v>1996</v>
      </c>
      <c r="Z260" s="80">
        <v>3903</v>
      </c>
      <c r="AA260" s="27">
        <v>637</v>
      </c>
      <c r="AB260" s="80">
        <v>7622</v>
      </c>
      <c r="AC260" s="27">
        <v>98</v>
      </c>
      <c r="AD260" s="27" t="s">
        <v>3970</v>
      </c>
      <c r="AE260" s="27">
        <v>356777135</v>
      </c>
      <c r="AF260" s="27" t="s">
        <v>3969</v>
      </c>
      <c r="AG260" s="27" t="s">
        <v>428</v>
      </c>
      <c r="AH260" s="79">
        <v>2.26918604651163</v>
      </c>
      <c r="AI260" s="83">
        <v>4.0821744627054404</v>
      </c>
      <c r="AJ260" s="80">
        <v>6.1115335868187604</v>
      </c>
      <c r="AK260" s="80">
        <v>3.06463878326996</v>
      </c>
      <c r="AL260" s="27">
        <v>59</v>
      </c>
      <c r="AM260" s="97">
        <f t="shared" si="4"/>
        <v>1.8437499999999999E-2</v>
      </c>
      <c r="AN260" s="27" t="s">
        <v>434</v>
      </c>
      <c r="AO260" s="27">
        <v>42</v>
      </c>
      <c r="AP260" s="27">
        <v>28</v>
      </c>
      <c r="AQ260" s="27">
        <v>69</v>
      </c>
      <c r="AR260" s="27">
        <f>SUM(AO260:AQ260)</f>
        <v>139</v>
      </c>
      <c r="AS260" s="27" t="s">
        <v>6581</v>
      </c>
      <c r="AT260" s="27" t="s">
        <v>5251</v>
      </c>
      <c r="AU260" s="84" t="s">
        <v>4804</v>
      </c>
      <c r="AV260" s="77"/>
      <c r="AW260" s="77"/>
      <c r="AX260" s="77"/>
      <c r="AY260" s="77"/>
      <c r="AZ260" s="77"/>
      <c r="BA260" s="77"/>
      <c r="BB260" s="77"/>
      <c r="BC260" s="77"/>
      <c r="BD260" s="77"/>
      <c r="BE260" s="77"/>
      <c r="BF260" s="77"/>
      <c r="BG260" s="77"/>
      <c r="BH260" s="77"/>
      <c r="BI260" s="77"/>
      <c r="BJ260" s="77"/>
      <c r="BK260" s="77"/>
      <c r="BL260" s="77"/>
      <c r="BM260" s="77"/>
      <c r="BN260" s="77"/>
      <c r="BO260" s="77"/>
      <c r="BP260" s="77"/>
      <c r="BQ260" s="77"/>
      <c r="BR260" s="77"/>
      <c r="BS260" s="77"/>
      <c r="BT260" s="77"/>
      <c r="BU260" s="77"/>
      <c r="BV260" s="77"/>
      <c r="BW260" s="77"/>
      <c r="BX260" s="77"/>
      <c r="BY260" s="77"/>
      <c r="BZ260" s="77"/>
      <c r="CA260" s="77"/>
      <c r="CB260" s="77"/>
      <c r="CC260" s="77"/>
      <c r="CD260" s="77"/>
      <c r="CE260" s="77"/>
      <c r="CF260" s="77"/>
      <c r="CG260" s="77"/>
      <c r="CH260" s="77"/>
      <c r="CI260" s="77"/>
      <c r="CJ260" s="77"/>
      <c r="CK260" s="77"/>
      <c r="CL260" s="77"/>
      <c r="CM260" s="77"/>
      <c r="CN260" s="77"/>
      <c r="CO260" s="77"/>
      <c r="CP260" s="77"/>
      <c r="CQ260" s="77"/>
      <c r="CR260" s="77"/>
      <c r="CS260" s="77"/>
      <c r="CT260" s="77"/>
      <c r="CU260" s="77"/>
      <c r="CV260" s="77"/>
      <c r="CW260" s="77"/>
      <c r="CX260" s="77"/>
      <c r="CY260" s="77"/>
      <c r="CZ260" s="77"/>
      <c r="DA260" s="77"/>
      <c r="DB260" s="77"/>
      <c r="DC260" s="77"/>
      <c r="DD260" s="77"/>
      <c r="DE260" s="77"/>
      <c r="DF260" s="77"/>
      <c r="DG260" s="77"/>
      <c r="DH260" s="77"/>
      <c r="DI260" s="77"/>
      <c r="DJ260" s="77"/>
      <c r="DK260" s="77"/>
      <c r="DL260" s="77"/>
      <c r="DM260" s="77"/>
      <c r="DN260" s="77"/>
      <c r="DO260" s="77"/>
      <c r="DP260" s="77"/>
      <c r="DQ260" s="77"/>
      <c r="DR260" s="77"/>
      <c r="DS260" s="77"/>
      <c r="DT260" s="77"/>
      <c r="DU260" s="77"/>
      <c r="DV260" s="77"/>
      <c r="DW260" s="77"/>
      <c r="DX260" s="77"/>
      <c r="DY260" s="77"/>
      <c r="DZ260" s="77"/>
      <c r="EA260" s="77"/>
      <c r="EB260" s="77"/>
      <c r="EC260" s="77"/>
      <c r="ED260" s="77"/>
      <c r="EE260" s="77"/>
      <c r="EF260" s="77"/>
      <c r="EG260" s="77"/>
      <c r="EH260" s="77"/>
      <c r="EI260" s="77"/>
      <c r="EJ260" s="77"/>
      <c r="EK260" s="77"/>
      <c r="EL260" s="77"/>
      <c r="EM260" s="77"/>
      <c r="EN260" s="77"/>
      <c r="EO260" s="77"/>
      <c r="EP260" s="77"/>
      <c r="EQ260" s="77"/>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77"/>
      <c r="GM260" s="77"/>
      <c r="GN260" s="77"/>
      <c r="GO260" s="77"/>
      <c r="GP260" s="77"/>
      <c r="GQ260" s="77"/>
      <c r="GR260" s="77"/>
      <c r="GS260" s="77"/>
      <c r="GT260" s="77"/>
      <c r="GU260" s="77"/>
      <c r="GV260" s="77"/>
      <c r="GW260" s="77"/>
      <c r="GX260" s="77"/>
      <c r="GY260" s="77"/>
      <c r="GZ260" s="77"/>
      <c r="HA260" s="77"/>
      <c r="HB260" s="77"/>
      <c r="HC260" s="77"/>
      <c r="HD260" s="77"/>
      <c r="HE260" s="77"/>
      <c r="HF260" s="77"/>
      <c r="HG260" s="77"/>
      <c r="HH260" s="77"/>
      <c r="HI260" s="77"/>
      <c r="HJ260" s="77"/>
      <c r="HK260" s="77"/>
      <c r="HL260" s="77"/>
      <c r="HM260" s="77"/>
      <c r="HN260" s="77"/>
      <c r="HO260" s="77"/>
      <c r="HP260" s="77"/>
      <c r="HQ260" s="77"/>
      <c r="HR260" s="77"/>
      <c r="HS260" s="77"/>
      <c r="HT260" s="77"/>
      <c r="HU260" s="77"/>
      <c r="HV260" s="77"/>
      <c r="HW260" s="77"/>
      <c r="HX260" s="77"/>
      <c r="HY260" s="77"/>
      <c r="HZ260" s="77"/>
      <c r="IA260" s="77"/>
      <c r="IB260" s="77"/>
      <c r="IC260" s="77"/>
      <c r="ID260" s="77"/>
      <c r="IE260" s="77"/>
      <c r="IF260" s="77"/>
      <c r="IG260" s="77"/>
      <c r="IH260" s="77"/>
      <c r="II260" s="77"/>
      <c r="IJ260" s="77"/>
      <c r="IK260" s="77"/>
      <c r="IL260" s="77"/>
      <c r="IM260" s="77"/>
      <c r="IN260" s="77"/>
      <c r="IO260" s="77"/>
      <c r="IP260" s="77"/>
      <c r="IQ260" s="77"/>
      <c r="IR260" s="77"/>
      <c r="IS260" s="77"/>
      <c r="IT260" s="77"/>
      <c r="IU260" s="77"/>
      <c r="IV260" s="77"/>
      <c r="IW260" s="77"/>
      <c r="IX260" s="77"/>
      <c r="IY260" s="77"/>
      <c r="IZ260" s="77"/>
      <c r="JA260" s="77"/>
      <c r="JB260" s="77"/>
      <c r="JC260" s="77"/>
      <c r="JD260" s="77"/>
      <c r="JE260" s="77"/>
      <c r="JF260" s="77"/>
      <c r="JG260" s="77"/>
      <c r="JH260" s="77"/>
      <c r="JI260" s="77"/>
      <c r="JJ260" s="77"/>
      <c r="JK260" s="77"/>
      <c r="JL260" s="77"/>
      <c r="JM260" s="77"/>
      <c r="JN260" s="77"/>
      <c r="JO260" s="77"/>
      <c r="JP260" s="77"/>
      <c r="JQ260" s="77"/>
      <c r="JR260" s="77"/>
      <c r="JS260" s="77"/>
      <c r="JT260" s="77"/>
      <c r="JU260" s="77"/>
      <c r="JV260" s="77"/>
      <c r="JW260" s="77"/>
      <c r="JX260" s="77"/>
      <c r="JY260" s="77"/>
      <c r="JZ260" s="77"/>
      <c r="KA260" s="77"/>
      <c r="KB260" s="77"/>
      <c r="KC260" s="77"/>
      <c r="KD260" s="77"/>
      <c r="KE260" s="77"/>
      <c r="KF260" s="77"/>
      <c r="KG260" s="77"/>
      <c r="KH260" s="77"/>
      <c r="KI260" s="77"/>
      <c r="KJ260" s="77"/>
      <c r="KK260" s="77"/>
      <c r="KL260" s="77"/>
      <c r="KM260" s="77"/>
      <c r="KN260" s="77"/>
      <c r="KO260" s="77"/>
      <c r="KP260" s="77"/>
      <c r="KQ260" s="77"/>
      <c r="KR260" s="77"/>
      <c r="KS260" s="77"/>
      <c r="KT260" s="77"/>
      <c r="KU260" s="77"/>
      <c r="KV260" s="77"/>
      <c r="KW260" s="77"/>
      <c r="KX260" s="77"/>
      <c r="KY260" s="77"/>
      <c r="KZ260" s="77"/>
      <c r="LA260" s="77"/>
      <c r="LB260" s="77"/>
      <c r="LC260" s="77"/>
      <c r="LD260" s="77"/>
      <c r="LE260" s="77"/>
      <c r="LF260" s="77"/>
      <c r="LG260" s="77"/>
      <c r="LH260" s="77"/>
      <c r="LI260" s="77"/>
      <c r="LJ260" s="77"/>
      <c r="LK260" s="77"/>
      <c r="LL260" s="77"/>
      <c r="LM260" s="77"/>
      <c r="LN260" s="77"/>
      <c r="LO260" s="77"/>
      <c r="LP260" s="77"/>
      <c r="LQ260" s="77"/>
      <c r="LR260" s="77"/>
      <c r="LS260" s="77"/>
      <c r="LT260" s="77"/>
      <c r="LU260" s="77"/>
      <c r="LV260" s="77"/>
    </row>
    <row r="261" spans="1:421" ht="18.600000000000001" customHeight="1" x14ac:dyDescent="0.25">
      <c r="A261" s="119" t="s">
        <v>443</v>
      </c>
      <c r="B261" s="27" t="s">
        <v>2019</v>
      </c>
      <c r="C261" s="27" t="s">
        <v>2020</v>
      </c>
      <c r="D261" s="30" t="str">
        <f>HYPERLINK("https://twitter.com/LinkeviciusL","https://twitter.com/LinkeviciusL")</f>
        <v>https://twitter.com/LinkeviciusL</v>
      </c>
      <c r="E261" s="30" t="str">
        <f>HYPERLINK("http://twiplomacy.com/info/europe/Lithuania","http://twiplomacy.com/info/europe/Lithuania")</f>
        <v>http://twiplomacy.com/info/europe/Lithuania</v>
      </c>
      <c r="F261" s="10" t="s">
        <v>332</v>
      </c>
      <c r="G261" s="10" t="s">
        <v>439</v>
      </c>
      <c r="H261" s="10" t="s">
        <v>860</v>
      </c>
      <c r="I261" s="10" t="s">
        <v>773</v>
      </c>
      <c r="J261" s="27" t="s">
        <v>789</v>
      </c>
      <c r="K261" s="15" t="s">
        <v>777</v>
      </c>
      <c r="L261" s="10" t="s">
        <v>770</v>
      </c>
      <c r="M261" s="10" t="s">
        <v>770</v>
      </c>
      <c r="N261" s="30" t="str">
        <f>HYPERLINK("https://twitter.com/LinkeviciusL/statuses/285039288058519552","https://twitter.com/LinkeviciusL/statuses/285039288058519552")</f>
        <v>https://twitter.com/LinkeviciusL/statuses/285039288058519552</v>
      </c>
      <c r="O261" s="27" t="s">
        <v>2021</v>
      </c>
      <c r="P261" s="80">
        <v>893</v>
      </c>
      <c r="Q261" s="80">
        <v>110</v>
      </c>
      <c r="R261" s="27" t="s">
        <v>2994</v>
      </c>
      <c r="S261" s="10" t="s">
        <v>2022</v>
      </c>
      <c r="T261" s="10" t="s">
        <v>771</v>
      </c>
      <c r="U261" s="10" t="s">
        <v>771</v>
      </c>
      <c r="V261" s="10" t="s">
        <v>771</v>
      </c>
      <c r="W261" s="10"/>
      <c r="X261" s="27" t="s">
        <v>443</v>
      </c>
      <c r="Y261" s="27" t="s">
        <v>2019</v>
      </c>
      <c r="Z261" s="80">
        <v>3900</v>
      </c>
      <c r="AA261" s="27">
        <v>431</v>
      </c>
      <c r="AB261" s="80">
        <v>48711</v>
      </c>
      <c r="AC261" s="27">
        <v>748</v>
      </c>
      <c r="AD261" s="27" t="s">
        <v>3973</v>
      </c>
      <c r="AE261" s="27">
        <v>1042307696</v>
      </c>
      <c r="AF261" s="27" t="s">
        <v>2020</v>
      </c>
      <c r="AG261" s="27" t="s">
        <v>2023</v>
      </c>
      <c r="AH261" s="79">
        <v>3.1941031941031901</v>
      </c>
      <c r="AI261" s="83">
        <v>3.5555555555555598</v>
      </c>
      <c r="AJ261" s="80">
        <v>24.682182985553801</v>
      </c>
      <c r="AK261" s="80">
        <v>14.5366506153023</v>
      </c>
      <c r="AL261" s="27">
        <v>94</v>
      </c>
      <c r="AM261" s="97">
        <f t="shared" si="4"/>
        <v>2.9374999999999998E-2</v>
      </c>
      <c r="AN261" s="27" t="s">
        <v>443</v>
      </c>
      <c r="AO261" s="27">
        <v>25</v>
      </c>
      <c r="AP261" s="27">
        <v>38</v>
      </c>
      <c r="AQ261" s="27">
        <v>50</v>
      </c>
      <c r="AR261" s="27">
        <f>SUM(AO261:AQ261)</f>
        <v>113</v>
      </c>
      <c r="AS261" s="27" t="s">
        <v>6582</v>
      </c>
      <c r="AT261" s="27" t="s">
        <v>6775</v>
      </c>
      <c r="AU261" s="84" t="s">
        <v>6499</v>
      </c>
      <c r="AV261" s="69"/>
      <c r="AW261" s="69"/>
      <c r="AX261" s="69"/>
      <c r="AY261" s="69"/>
      <c r="AZ261" s="69"/>
      <c r="BA261" s="69"/>
      <c r="BB261" s="69"/>
      <c r="BC261" s="69"/>
      <c r="BD261" s="69"/>
      <c r="BE261" s="69"/>
      <c r="BF261" s="69"/>
      <c r="BG261" s="69"/>
      <c r="BH261" s="69"/>
      <c r="BI261" s="69"/>
      <c r="BJ261" s="69"/>
      <c r="BK261" s="69"/>
      <c r="BL261" s="69"/>
      <c r="BM261" s="69"/>
      <c r="BN261" s="77"/>
      <c r="BO261" s="77"/>
      <c r="BP261" s="77"/>
      <c r="BQ261" s="77"/>
      <c r="BR261" s="77"/>
      <c r="BS261" s="77"/>
      <c r="BT261" s="77"/>
      <c r="BU261" s="77"/>
      <c r="BV261" s="77"/>
      <c r="BW261" s="77"/>
      <c r="BX261" s="77"/>
      <c r="BY261" s="77"/>
      <c r="BZ261" s="77"/>
      <c r="CA261" s="77"/>
      <c r="CB261" s="77"/>
      <c r="CC261" s="77"/>
      <c r="CD261" s="77"/>
      <c r="CE261" s="77"/>
      <c r="CF261" s="77"/>
      <c r="CG261" s="77"/>
      <c r="CH261" s="77"/>
      <c r="CI261" s="77"/>
      <c r="CJ261" s="77"/>
      <c r="CK261" s="77"/>
      <c r="CL261" s="77"/>
      <c r="CM261" s="77"/>
      <c r="CN261" s="77"/>
      <c r="CO261" s="77"/>
      <c r="CP261" s="77"/>
      <c r="CQ261" s="77"/>
      <c r="CR261" s="77"/>
      <c r="CS261" s="77"/>
      <c r="CT261" s="77"/>
      <c r="CU261" s="77"/>
      <c r="CV261" s="77"/>
      <c r="CW261" s="77"/>
      <c r="CX261" s="77"/>
      <c r="CY261" s="77"/>
      <c r="CZ261" s="77"/>
      <c r="DA261" s="77"/>
      <c r="DB261" s="77"/>
      <c r="DC261" s="77"/>
      <c r="DD261" s="77"/>
      <c r="DE261" s="77"/>
      <c r="DF261" s="77"/>
      <c r="DG261" s="77"/>
      <c r="DH261" s="77"/>
      <c r="DI261" s="77"/>
      <c r="DJ261" s="77"/>
      <c r="DK261" s="77"/>
      <c r="DL261" s="77"/>
      <c r="DM261" s="77"/>
      <c r="DN261" s="77"/>
      <c r="DO261" s="77"/>
      <c r="DP261" s="77"/>
      <c r="DQ261" s="77"/>
      <c r="DR261" s="77"/>
      <c r="DS261" s="77"/>
      <c r="DT261" s="77"/>
      <c r="DU261" s="77"/>
      <c r="DV261" s="77"/>
      <c r="DW261" s="77"/>
      <c r="DX261" s="77"/>
      <c r="DY261" s="77"/>
      <c r="DZ261" s="77"/>
      <c r="EA261" s="77"/>
      <c r="EB261" s="77"/>
      <c r="EC261" s="77"/>
      <c r="ED261" s="77"/>
      <c r="EE261" s="77"/>
      <c r="EF261" s="77"/>
      <c r="EG261" s="77"/>
      <c r="EH261" s="77"/>
      <c r="EI261" s="77"/>
      <c r="EJ261" s="77"/>
      <c r="EK261" s="77"/>
      <c r="EL261" s="77"/>
      <c r="EM261" s="77"/>
      <c r="EN261" s="77"/>
      <c r="EO261" s="77"/>
      <c r="EP261" s="77"/>
      <c r="ER261" s="77"/>
      <c r="ES261" s="77"/>
      <c r="ET261" s="77"/>
      <c r="EU261" s="77"/>
      <c r="EV261" s="77"/>
      <c r="EW261" s="77"/>
      <c r="EX261" s="77"/>
      <c r="EY261" s="77"/>
      <c r="EZ261" s="77"/>
      <c r="FA261" s="77"/>
      <c r="FB261" s="77"/>
      <c r="FC261" s="77"/>
      <c r="FD261" s="77"/>
      <c r="FE261" s="77"/>
      <c r="FF261" s="77"/>
      <c r="FG261" s="77"/>
      <c r="FH261" s="77"/>
      <c r="FI261" s="77"/>
      <c r="FJ261" s="77"/>
      <c r="FK261" s="77"/>
      <c r="FL261" s="77"/>
      <c r="FM261" s="77"/>
      <c r="FN261" s="77"/>
      <c r="FO261" s="77"/>
      <c r="FP261" s="77"/>
      <c r="FQ261" s="77"/>
      <c r="FR261" s="77"/>
      <c r="FS261" s="77"/>
      <c r="FT261" s="77"/>
      <c r="FU261" s="77"/>
      <c r="FV261" s="77"/>
      <c r="FW261" s="77"/>
      <c r="FX261" s="77"/>
      <c r="FY261" s="77"/>
      <c r="FZ261" s="77"/>
      <c r="GA261" s="77"/>
      <c r="GB261" s="77"/>
      <c r="GC261" s="77"/>
      <c r="GD261" s="77"/>
      <c r="GE261" s="77"/>
      <c r="GF261" s="77"/>
      <c r="GG261" s="77"/>
      <c r="GH261" s="77"/>
      <c r="GI261" s="77"/>
      <c r="GJ261" s="77"/>
      <c r="GK261" s="77"/>
      <c r="HL261" s="77"/>
      <c r="HM261" s="77"/>
      <c r="HN261" s="77"/>
      <c r="HO261" s="77"/>
      <c r="HP261" s="77"/>
      <c r="HQ261" s="77"/>
      <c r="HR261" s="77"/>
      <c r="HS261" s="77"/>
      <c r="HT261" s="77"/>
      <c r="HU261" s="77"/>
      <c r="HV261" s="77"/>
      <c r="HW261" s="77"/>
      <c r="HX261" s="77"/>
      <c r="HY261" s="77"/>
      <c r="HZ261" s="77"/>
      <c r="IA261" s="77"/>
      <c r="IB261" s="77"/>
      <c r="IC261" s="77"/>
      <c r="KM261" s="77"/>
      <c r="KN261" s="77"/>
      <c r="KO261" s="77"/>
      <c r="KP261" s="77"/>
      <c r="KQ261" s="77"/>
      <c r="KR261" s="77"/>
      <c r="KS261" s="77"/>
      <c r="KT261" s="77"/>
      <c r="KU261" s="77"/>
      <c r="KV261" s="77"/>
      <c r="KW261" s="77"/>
      <c r="KX261" s="77"/>
      <c r="KY261" s="77"/>
      <c r="KZ261" s="77"/>
      <c r="LA261" s="77"/>
      <c r="LB261" s="77"/>
      <c r="LC261" s="77"/>
      <c r="LD261" s="77"/>
      <c r="LE261" s="77"/>
      <c r="LF261" s="77"/>
      <c r="LG261" s="77"/>
      <c r="LH261" s="77"/>
      <c r="LI261" s="77"/>
      <c r="LJ261" s="77"/>
      <c r="LK261" s="77"/>
      <c r="LL261" s="77"/>
      <c r="LM261" s="77"/>
      <c r="LN261" s="77"/>
      <c r="LO261" s="77"/>
      <c r="LP261" s="77"/>
      <c r="LQ261" s="77"/>
      <c r="LR261" s="77"/>
      <c r="LS261" s="77"/>
      <c r="LT261" s="77"/>
      <c r="LU261" s="77"/>
      <c r="LV261" s="77"/>
    </row>
    <row r="262" spans="1:421" ht="18.600000000000001" customHeight="1" x14ac:dyDescent="0.25">
      <c r="A262" s="119" t="s">
        <v>347</v>
      </c>
      <c r="B262" s="27" t="s">
        <v>1733</v>
      </c>
      <c r="C262" s="27" t="s">
        <v>1734</v>
      </c>
      <c r="D262" s="30" t="str">
        <f>HYPERLINK("https://twitter.com/CharlesMichel","https://twitter.com/CharlesMichel")</f>
        <v>https://twitter.com/CharlesMichel</v>
      </c>
      <c r="E262" s="30" t="str">
        <f>HYPERLINK("http://twiplomacy.com/info/europe/Belgium","http://twiplomacy.com/info/europe/Belgium")</f>
        <v>http://twiplomacy.com/info/europe/Belgium</v>
      </c>
      <c r="F262" s="10" t="s">
        <v>332</v>
      </c>
      <c r="G262" s="10" t="s">
        <v>345</v>
      </c>
      <c r="H262" s="10" t="s">
        <v>776</v>
      </c>
      <c r="I262" s="10" t="s">
        <v>773</v>
      </c>
      <c r="J262" s="27" t="s">
        <v>779</v>
      </c>
      <c r="K262" s="15" t="s">
        <v>777</v>
      </c>
      <c r="L262" s="10"/>
      <c r="M262" s="10" t="s">
        <v>770</v>
      </c>
      <c r="N262" s="30" t="str">
        <f>HYPERLINK("https://twitter.com/CharlesMichel/status/9334367304","https://twitter.com/CharlesMichel/status/9334367304")</f>
        <v>https://twitter.com/CharlesMichel/status/9334367304</v>
      </c>
      <c r="O262" s="27" t="s">
        <v>5780</v>
      </c>
      <c r="P262" s="80">
        <v>3969</v>
      </c>
      <c r="Q262" s="80">
        <v>1494</v>
      </c>
      <c r="R262" s="27" t="s">
        <v>2994</v>
      </c>
      <c r="S262" s="30" t="str">
        <f>HYPERLINK("https://twitter.com/CharlesMichel/lists","https://twitter.com/CharlesMichel/lists")</f>
        <v>https://twitter.com/CharlesMichel/lists</v>
      </c>
      <c r="T262" s="10">
        <v>1</v>
      </c>
      <c r="U262" s="10" t="s">
        <v>771</v>
      </c>
      <c r="V262" s="10" t="s">
        <v>771</v>
      </c>
      <c r="W262" s="10"/>
      <c r="X262" s="27" t="s">
        <v>347</v>
      </c>
      <c r="Y262" s="27" t="s">
        <v>1733</v>
      </c>
      <c r="Z262" s="80">
        <v>3896</v>
      </c>
      <c r="AA262" s="27">
        <v>5102</v>
      </c>
      <c r="AB262" s="80">
        <v>90779</v>
      </c>
      <c r="AC262" s="27">
        <v>2743</v>
      </c>
      <c r="AD262" s="27" t="s">
        <v>3577</v>
      </c>
      <c r="AE262" s="27">
        <v>98639150</v>
      </c>
      <c r="AF262" s="27" t="s">
        <v>1734</v>
      </c>
      <c r="AG262" s="27" t="s">
        <v>345</v>
      </c>
      <c r="AH262" s="79">
        <v>1.6771416272062001</v>
      </c>
      <c r="AI262" s="83">
        <v>2.15761234071093</v>
      </c>
      <c r="AJ262" s="80">
        <v>22.765903307887999</v>
      </c>
      <c r="AK262" s="80">
        <v>18.0725190839695</v>
      </c>
      <c r="AL262" s="27">
        <v>371</v>
      </c>
      <c r="AM262" s="97">
        <f t="shared" si="4"/>
        <v>0.1159375</v>
      </c>
      <c r="AN262" s="27" t="s">
        <v>347</v>
      </c>
      <c r="AO262" s="27">
        <v>35</v>
      </c>
      <c r="AP262" s="27">
        <v>19</v>
      </c>
      <c r="AQ262" s="27">
        <v>20</v>
      </c>
      <c r="AR262" s="27">
        <f>SUM(AO262:AQ262)</f>
        <v>74</v>
      </c>
      <c r="AS262" s="27" t="s">
        <v>6553</v>
      </c>
      <c r="AT262" s="27" t="s">
        <v>6280</v>
      </c>
      <c r="AU262" s="84" t="s">
        <v>6476</v>
      </c>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c r="BZ262" s="77"/>
      <c r="CA262" s="77"/>
      <c r="CB262" s="77"/>
      <c r="CC262" s="77"/>
      <c r="CD262" s="77"/>
      <c r="CE262" s="77"/>
      <c r="CF262" s="77"/>
      <c r="CG262" s="77"/>
      <c r="CH262" s="77"/>
      <c r="CI262" s="77"/>
      <c r="CJ262" s="77"/>
      <c r="CK262" s="77"/>
      <c r="CL262" s="77"/>
      <c r="CM262" s="77"/>
      <c r="CN262" s="77"/>
      <c r="CO262" s="77"/>
      <c r="CP262" s="77"/>
      <c r="CQ262" s="77"/>
      <c r="CR262" s="77"/>
      <c r="CS262" s="77"/>
      <c r="CT262" s="77"/>
      <c r="CU262" s="77"/>
      <c r="CV262" s="77"/>
      <c r="CW262" s="77"/>
      <c r="CX262" s="77"/>
      <c r="CY262" s="77"/>
      <c r="CZ262" s="77"/>
      <c r="DA262" s="77"/>
      <c r="DB262" s="77"/>
      <c r="DC262" s="77"/>
      <c r="DD262" s="77"/>
      <c r="DE262" s="77"/>
      <c r="DF262" s="77"/>
      <c r="DG262" s="77"/>
      <c r="DH262" s="77"/>
      <c r="DI262" s="77"/>
      <c r="DJ262" s="77"/>
      <c r="DK262" s="77"/>
      <c r="DL262" s="77"/>
      <c r="DM262" s="77"/>
      <c r="DN262" s="77"/>
      <c r="DO262" s="77"/>
      <c r="DP262" s="77"/>
      <c r="DQ262" s="77"/>
      <c r="DR262" s="77"/>
      <c r="DS262" s="77"/>
      <c r="DT262" s="77"/>
      <c r="DU262" s="77"/>
      <c r="DV262" s="77"/>
      <c r="DW262" s="77"/>
      <c r="DX262" s="77"/>
      <c r="DY262" s="77"/>
      <c r="DZ262" s="77"/>
      <c r="EA262" s="77"/>
      <c r="EB262" s="77"/>
      <c r="EC262" s="77"/>
      <c r="ED262" s="77"/>
      <c r="EE262" s="77"/>
      <c r="EF262" s="77"/>
      <c r="EG262" s="77"/>
      <c r="EH262" s="77"/>
      <c r="EI262" s="77"/>
      <c r="EJ262" s="77"/>
      <c r="EK262" s="77"/>
      <c r="EL262" s="77"/>
      <c r="EM262" s="77"/>
      <c r="EN262" s="77"/>
      <c r="EO262" s="77"/>
      <c r="EP262" s="77"/>
      <c r="ER262" s="77"/>
      <c r="ES262" s="77"/>
      <c r="ET262" s="77"/>
      <c r="EU262" s="77"/>
      <c r="EV262" s="77"/>
      <c r="EW262" s="77"/>
      <c r="EX262" s="77"/>
      <c r="EY262" s="77"/>
      <c r="EZ262" s="77"/>
      <c r="FA262" s="77"/>
      <c r="FB262" s="77"/>
      <c r="FC262" s="77"/>
      <c r="FD262" s="77"/>
      <c r="FE262" s="77"/>
      <c r="FF262" s="77"/>
      <c r="FG262" s="77"/>
      <c r="FH262" s="77"/>
      <c r="FI262" s="77"/>
      <c r="FJ262" s="77"/>
      <c r="FK262" s="77"/>
      <c r="FL262" s="77"/>
      <c r="FM262" s="77"/>
      <c r="FN262" s="77"/>
      <c r="FO262" s="77"/>
      <c r="FP262" s="77"/>
      <c r="FQ262" s="77"/>
      <c r="FR262" s="77"/>
      <c r="FS262" s="77"/>
      <c r="FT262" s="77"/>
      <c r="FU262" s="77"/>
      <c r="FV262" s="77"/>
      <c r="FW262" s="77"/>
      <c r="FX262" s="77"/>
      <c r="FY262" s="77"/>
      <c r="FZ262" s="77"/>
      <c r="GA262" s="77"/>
      <c r="GB262" s="77"/>
      <c r="GC262" s="77"/>
      <c r="GD262" s="77"/>
      <c r="GE262" s="77"/>
      <c r="GF262" s="77"/>
      <c r="GG262" s="77"/>
      <c r="GH262" s="77"/>
      <c r="GI262" s="77"/>
      <c r="GJ262" s="77"/>
      <c r="GK262" s="77"/>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77"/>
      <c r="HM262" s="77"/>
      <c r="HN262" s="77"/>
      <c r="HO262" s="77"/>
      <c r="HP262" s="77"/>
      <c r="HQ262" s="77"/>
      <c r="HR262" s="77"/>
      <c r="HS262" s="77"/>
      <c r="HT262" s="77"/>
      <c r="HU262" s="77"/>
      <c r="HV262" s="77"/>
      <c r="HW262" s="77"/>
      <c r="HX262" s="77"/>
      <c r="HY262" s="77"/>
      <c r="HZ262" s="77"/>
      <c r="IA262" s="77"/>
      <c r="IB262" s="77"/>
      <c r="IC262" s="77"/>
      <c r="IF262" s="77"/>
      <c r="IG262" s="77"/>
      <c r="IH262" s="77"/>
      <c r="II262" s="77"/>
      <c r="IJ262" s="77"/>
      <c r="IK262" s="77"/>
      <c r="IL262" s="77"/>
      <c r="IM262" s="77"/>
      <c r="IN262" s="77"/>
      <c r="IO262" s="77"/>
      <c r="IP262" s="77"/>
      <c r="IQ262" s="77"/>
      <c r="IR262" s="77"/>
      <c r="IS262" s="77"/>
      <c r="IT262" s="77"/>
      <c r="IU262" s="77"/>
      <c r="IV262" s="77"/>
      <c r="IW262" s="77"/>
      <c r="IX262" s="77"/>
      <c r="IY262" s="77"/>
      <c r="IZ262" s="77"/>
      <c r="JA262" s="77"/>
      <c r="JB262" s="77"/>
      <c r="JC262" s="77"/>
      <c r="JD262" s="77"/>
      <c r="JE262" s="77"/>
      <c r="JF262" s="77"/>
      <c r="JG262" s="77"/>
      <c r="JH262" s="77"/>
      <c r="JI262" s="77"/>
      <c r="JJ262" s="77"/>
      <c r="JK262" s="77"/>
      <c r="JL262" s="77"/>
      <c r="JM262" s="77"/>
      <c r="JN262" s="77"/>
      <c r="JO262" s="77"/>
      <c r="JP262" s="77"/>
      <c r="JQ262" s="77"/>
      <c r="JR262" s="77"/>
      <c r="JS262" s="77"/>
      <c r="JT262" s="77"/>
      <c r="JU262" s="77"/>
      <c r="JV262" s="77"/>
      <c r="JW262" s="77"/>
      <c r="JX262" s="77"/>
      <c r="LL262" s="77"/>
      <c r="LM262" s="77"/>
      <c r="LN262" s="77"/>
      <c r="LO262" s="77"/>
      <c r="LP262" s="77"/>
      <c r="LQ262" s="77"/>
      <c r="LR262" s="77"/>
      <c r="LS262" s="77"/>
      <c r="LT262" s="77"/>
      <c r="LU262" s="77"/>
      <c r="LV262" s="77"/>
      <c r="LW262" s="77"/>
      <c r="LX262" s="77"/>
    </row>
    <row r="263" spans="1:421" ht="18.600000000000001" customHeight="1" x14ac:dyDescent="0.25">
      <c r="A263" s="119" t="s">
        <v>537</v>
      </c>
      <c r="B263" s="27" t="s">
        <v>2250</v>
      </c>
      <c r="C263" s="27" t="s">
        <v>2251</v>
      </c>
      <c r="D263" s="30" t="str">
        <f>HYPERLINK("https://twitter.com/RT_Erdogan","https://twitter.com/RT_Erdogan")</f>
        <v>https://twitter.com/RT_Erdogan</v>
      </c>
      <c r="E263" s="30" t="str">
        <f>HYPERLINK("http://twiplomacy.com/info/europe/Turkey","http://twiplomacy.com/info/europe/Turkey")</f>
        <v>http://twiplomacy.com/info/europe/Turkey</v>
      </c>
      <c r="F263" s="10" t="s">
        <v>332</v>
      </c>
      <c r="G263" s="10" t="s">
        <v>536</v>
      </c>
      <c r="H263" s="10" t="s">
        <v>772</v>
      </c>
      <c r="I263" s="10" t="s">
        <v>773</v>
      </c>
      <c r="J263" s="27" t="s">
        <v>2254</v>
      </c>
      <c r="K263" s="15" t="s">
        <v>777</v>
      </c>
      <c r="L263" s="10" t="s">
        <v>771</v>
      </c>
      <c r="M263" s="10" t="s">
        <v>770</v>
      </c>
      <c r="N263" s="30" t="str">
        <f>HYPERLINK("https://twitter.com/RT_Erdogan/statuses/7290092917886976","https://twitter.com/RT_Erdogan/statuses/7290092917886976")</f>
        <v>https://twitter.com/RT_Erdogan/statuses/7290092917886976</v>
      </c>
      <c r="O263" s="11" t="s">
        <v>6074</v>
      </c>
      <c r="P263" s="80">
        <v>25860</v>
      </c>
      <c r="Q263" s="80">
        <v>28727</v>
      </c>
      <c r="R263" s="27" t="s">
        <v>2994</v>
      </c>
      <c r="S263" s="10" t="s">
        <v>2252</v>
      </c>
      <c r="T263" s="10" t="s">
        <v>771</v>
      </c>
      <c r="U263" s="10" t="s">
        <v>771</v>
      </c>
      <c r="V263" s="10" t="s">
        <v>771</v>
      </c>
      <c r="W263" s="10"/>
      <c r="X263" s="27" t="s">
        <v>537</v>
      </c>
      <c r="Y263" s="27" t="s">
        <v>2250</v>
      </c>
      <c r="Z263" s="80">
        <v>3881</v>
      </c>
      <c r="AA263" s="27">
        <v>2</v>
      </c>
      <c r="AB263" s="80">
        <v>8337036</v>
      </c>
      <c r="AC263" s="27">
        <v>2</v>
      </c>
      <c r="AD263" s="27" t="s">
        <v>4430</v>
      </c>
      <c r="AE263" s="27">
        <v>68034431</v>
      </c>
      <c r="AF263" s="27" t="s">
        <v>2251</v>
      </c>
      <c r="AG263" s="27" t="s">
        <v>2253</v>
      </c>
      <c r="AH263" s="79">
        <v>1.5879705400982</v>
      </c>
      <c r="AI263" s="83">
        <v>2.2449265220433898</v>
      </c>
      <c r="AJ263" s="80">
        <v>1297.6470775095299</v>
      </c>
      <c r="AK263" s="80">
        <v>1625.34466327827</v>
      </c>
      <c r="AL263" s="27">
        <v>180</v>
      </c>
      <c r="AM263" s="97">
        <f t="shared" si="4"/>
        <v>5.6250000000000001E-2</v>
      </c>
      <c r="AN263" s="27" t="s">
        <v>537</v>
      </c>
      <c r="AO263" s="27">
        <v>0</v>
      </c>
      <c r="AP263" s="27">
        <v>59</v>
      </c>
      <c r="AQ263" s="27">
        <v>2</v>
      </c>
      <c r="AR263" s="27">
        <f>SUM(AO263:AQ263)</f>
        <v>61</v>
      </c>
      <c r="AS263" s="27"/>
      <c r="AT263" s="27" t="s">
        <v>6849</v>
      </c>
      <c r="AU263" s="84" t="s">
        <v>4939</v>
      </c>
      <c r="AV263" s="77"/>
      <c r="AW263" s="77"/>
      <c r="AX263" s="77"/>
      <c r="AY263" s="77"/>
      <c r="AZ263" s="77"/>
      <c r="BA263" s="77"/>
      <c r="BB263" s="77"/>
      <c r="BC263" s="77"/>
      <c r="BD263" s="77"/>
      <c r="BE263" s="77"/>
      <c r="BF263" s="77"/>
      <c r="BG263" s="77"/>
      <c r="BH263" s="77"/>
      <c r="BI263" s="77"/>
      <c r="BJ263" s="77"/>
      <c r="BK263" s="77"/>
      <c r="BL263" s="77"/>
      <c r="BM263" s="77"/>
      <c r="BN263" s="77"/>
      <c r="BO263" s="77"/>
      <c r="BP263" s="77"/>
      <c r="BQ263" s="77"/>
      <c r="BR263" s="77"/>
      <c r="BS263" s="77"/>
      <c r="BT263" s="77"/>
      <c r="BU263" s="77"/>
      <c r="BV263" s="77"/>
      <c r="BW263" s="77"/>
      <c r="BX263" s="77"/>
      <c r="BY263" s="77"/>
      <c r="BZ263" s="77"/>
      <c r="CA263" s="77"/>
      <c r="CB263" s="77"/>
      <c r="CX263" s="77"/>
      <c r="CY263" s="77"/>
      <c r="CZ263" s="77"/>
      <c r="DA263" s="77"/>
      <c r="DB263" s="77"/>
      <c r="DC263" s="77"/>
      <c r="DD263" s="77"/>
      <c r="DE263" s="77"/>
      <c r="DF263" s="77"/>
      <c r="DG263" s="77"/>
      <c r="DH263" s="77"/>
      <c r="DI263" s="77"/>
      <c r="DJ263" s="77"/>
      <c r="DK263" s="77"/>
      <c r="DL263" s="77"/>
      <c r="DM263" s="77"/>
      <c r="DN263" s="77"/>
      <c r="DO263" s="77"/>
      <c r="DP263" s="77"/>
      <c r="DQ263" s="77"/>
      <c r="DR263" s="77"/>
      <c r="DS263" s="77"/>
      <c r="DT263" s="77"/>
      <c r="DU263" s="77"/>
      <c r="DV263" s="77"/>
      <c r="DW263" s="77"/>
      <c r="DX263" s="77"/>
      <c r="DY263" s="77"/>
      <c r="DZ263" s="77"/>
      <c r="EA263" s="77"/>
      <c r="EB263" s="77"/>
      <c r="EC263" s="77"/>
      <c r="ED263" s="77"/>
      <c r="EE263" s="77"/>
      <c r="EF263" s="77"/>
      <c r="EG263" s="77"/>
      <c r="EH263" s="77"/>
      <c r="EI263" s="77"/>
      <c r="EJ263" s="77"/>
      <c r="EK263" s="77"/>
      <c r="EL263" s="77"/>
      <c r="EP263" s="77"/>
      <c r="EQ263" s="77"/>
      <c r="ER263" s="77"/>
      <c r="ES263" s="77"/>
      <c r="ET263" s="77"/>
      <c r="EU263" s="77"/>
      <c r="EV263" s="77"/>
      <c r="EW263" s="77"/>
      <c r="EX263" s="77"/>
      <c r="EY263" s="77"/>
      <c r="EZ263" s="77"/>
      <c r="FA263" s="77"/>
      <c r="FB263" s="77"/>
      <c r="FC263" s="77"/>
      <c r="FD263" s="77"/>
      <c r="FE263" s="77"/>
      <c r="FF263" s="77"/>
      <c r="FG263" s="77"/>
      <c r="FH263" s="77"/>
      <c r="FI263" s="77"/>
      <c r="FJ263" s="77"/>
      <c r="FK263" s="77"/>
      <c r="FL263" s="77"/>
      <c r="FM263" s="77"/>
      <c r="FN263" s="77"/>
      <c r="FO263" s="77"/>
      <c r="FP263" s="77"/>
      <c r="FQ263" s="77"/>
      <c r="FR263" s="77"/>
      <c r="FS263" s="77"/>
      <c r="FT263" s="77"/>
      <c r="FU263" s="77"/>
      <c r="FV263" s="77"/>
      <c r="FW263" s="77"/>
      <c r="FX263" s="77"/>
      <c r="FY263" s="77"/>
      <c r="FZ263" s="77"/>
      <c r="GA263" s="77"/>
      <c r="GB263" s="77"/>
      <c r="GC263" s="77"/>
      <c r="GD263" s="77"/>
      <c r="GE263" s="77"/>
      <c r="GF263" s="77"/>
      <c r="GG263" s="77"/>
      <c r="GH263" s="77"/>
      <c r="GI263" s="77"/>
      <c r="GJ263" s="77"/>
      <c r="GK263" s="77"/>
      <c r="GL263" s="77"/>
      <c r="GM263" s="77"/>
      <c r="GN263" s="77"/>
      <c r="GO263" s="77"/>
      <c r="GP263" s="77"/>
      <c r="GQ263" s="77"/>
      <c r="GR263" s="77"/>
      <c r="GS263" s="77"/>
      <c r="GT263" s="77"/>
      <c r="GU263" s="77"/>
      <c r="GV263" s="77"/>
      <c r="GW263" s="77"/>
      <c r="GX263" s="77"/>
      <c r="GY263" s="77"/>
      <c r="GZ263" s="77"/>
      <c r="HA263" s="77"/>
      <c r="HB263" s="77"/>
      <c r="HC263" s="77"/>
      <c r="HD263" s="77"/>
      <c r="HE263" s="77"/>
      <c r="HF263" s="77"/>
      <c r="HG263" s="77"/>
      <c r="HH263" s="77"/>
      <c r="HI263" s="77"/>
      <c r="HJ263" s="77"/>
      <c r="HK263" s="77"/>
      <c r="HL263" s="77"/>
      <c r="HM263" s="77"/>
      <c r="HN263" s="77"/>
      <c r="HO263" s="77"/>
      <c r="HP263" s="77"/>
      <c r="HQ263" s="77"/>
      <c r="HR263" s="77"/>
      <c r="HS263" s="77"/>
      <c r="HT263" s="77"/>
      <c r="HU263" s="77"/>
      <c r="HV263" s="77"/>
      <c r="HW263" s="77"/>
      <c r="HX263" s="77"/>
      <c r="HY263" s="77"/>
      <c r="HZ263" s="77"/>
      <c r="IA263" s="77"/>
      <c r="IB263" s="77"/>
      <c r="IC263" s="77"/>
      <c r="JY263" s="77"/>
      <c r="JZ263" s="77"/>
      <c r="KA263" s="77"/>
      <c r="KB263" s="77"/>
      <c r="KC263" s="77"/>
      <c r="KD263" s="77"/>
      <c r="KE263" s="77"/>
      <c r="KF263" s="77"/>
      <c r="KG263" s="77"/>
      <c r="KH263" s="77"/>
      <c r="KI263" s="77"/>
      <c r="KJ263" s="77"/>
      <c r="KK263" s="77"/>
      <c r="KL263" s="77"/>
      <c r="LW263" s="77"/>
      <c r="LX263" s="77"/>
    </row>
    <row r="264" spans="1:421" ht="18.600000000000001" customHeight="1" x14ac:dyDescent="0.25">
      <c r="A264" s="119" t="s">
        <v>186</v>
      </c>
      <c r="B264" s="27" t="s">
        <v>1290</v>
      </c>
      <c r="C264" s="27" t="s">
        <v>4502</v>
      </c>
      <c r="D264" s="30" t="str">
        <f>HYPERLINK("https://twitter.com/SushmaSwaraj","https://twitter.com/SushmaSwaraj")</f>
        <v>https://twitter.com/SushmaSwaraj</v>
      </c>
      <c r="E264" s="30" t="str">
        <f>HYPERLINK("http://twiplomacy.com/info/asia/India","http://twiplomacy.com/info/asia/India")</f>
        <v>http://twiplomacy.com/info/asia/India</v>
      </c>
      <c r="F264" s="10" t="s">
        <v>154</v>
      </c>
      <c r="G264" s="10" t="s">
        <v>182</v>
      </c>
      <c r="H264" s="10" t="s">
        <v>860</v>
      </c>
      <c r="I264" s="10" t="s">
        <v>773</v>
      </c>
      <c r="J264" s="27" t="s">
        <v>789</v>
      </c>
      <c r="K264" s="15" t="s">
        <v>777</v>
      </c>
      <c r="L264" s="10" t="s">
        <v>771</v>
      </c>
      <c r="M264" s="10" t="s">
        <v>771</v>
      </c>
      <c r="N264" s="30" t="str">
        <f>HYPERLINK("https://twitter.com/SushmaSwaraj/statuses/7753830003380224","https://twitter.com/SushmaSwaraj/statuses/7753830003380224")</f>
        <v>https://twitter.com/SushmaSwaraj/statuses/7753830003380224</v>
      </c>
      <c r="O264" s="27" t="s">
        <v>6104</v>
      </c>
      <c r="P264" s="80">
        <v>14555</v>
      </c>
      <c r="Q264" s="80">
        <v>9161</v>
      </c>
      <c r="R264" s="27" t="s">
        <v>2994</v>
      </c>
      <c r="S264" s="30" t="str">
        <f>HYPERLINK("https://twitter.com/SushmaSwaraj/lists","https://twitter.com/SushmaSwaraj/lists")</f>
        <v>https://twitter.com/SushmaSwaraj/lists</v>
      </c>
      <c r="T264" s="10" t="s">
        <v>771</v>
      </c>
      <c r="U264" s="10" t="s">
        <v>771</v>
      </c>
      <c r="V264" s="10" t="s">
        <v>771</v>
      </c>
      <c r="W264" s="10"/>
      <c r="X264" s="27" t="s">
        <v>186</v>
      </c>
      <c r="Y264" s="27" t="s">
        <v>1290</v>
      </c>
      <c r="Z264" s="80">
        <v>3873</v>
      </c>
      <c r="AA264" s="27">
        <v>0</v>
      </c>
      <c r="AB264" s="80">
        <v>5101191</v>
      </c>
      <c r="AC264" s="27">
        <v>2</v>
      </c>
      <c r="AD264" s="27" t="s">
        <v>4503</v>
      </c>
      <c r="AE264" s="27">
        <v>219617448</v>
      </c>
      <c r="AF264" s="27" t="s">
        <v>4502</v>
      </c>
      <c r="AG264" s="27" t="s">
        <v>4504</v>
      </c>
      <c r="AH264" s="79">
        <v>1.95113350125945</v>
      </c>
      <c r="AI264" s="83">
        <v>1.7123436650353501</v>
      </c>
      <c r="AJ264" s="80">
        <v>138.04076973255101</v>
      </c>
      <c r="AK264" s="80">
        <v>186.804957599478</v>
      </c>
      <c r="AL264" s="27">
        <v>978</v>
      </c>
      <c r="AM264" s="97">
        <f t="shared" si="4"/>
        <v>0.30562499999999998</v>
      </c>
      <c r="AN264" s="27" t="s">
        <v>186</v>
      </c>
      <c r="AO264" s="27">
        <v>0</v>
      </c>
      <c r="AP264" s="27">
        <v>48</v>
      </c>
      <c r="AQ264" s="27">
        <v>0</v>
      </c>
      <c r="AR264" s="27">
        <f>SUM(AO264:AQ264)</f>
        <v>48</v>
      </c>
      <c r="AS264" s="27"/>
      <c r="AT264" s="27" t="s">
        <v>6348</v>
      </c>
      <c r="AU264" s="84"/>
      <c r="AV264" s="77"/>
      <c r="AW264" s="77"/>
      <c r="AX264" s="77"/>
      <c r="AY264" s="77"/>
      <c r="AZ264" s="77"/>
      <c r="BA264" s="77"/>
      <c r="BB264" s="77"/>
      <c r="BC264" s="77"/>
      <c r="BD264" s="77"/>
      <c r="BE264" s="77"/>
      <c r="BF264" s="77"/>
      <c r="BG264" s="77"/>
      <c r="BH264" s="77"/>
      <c r="BI264" s="77"/>
      <c r="BJ264" s="77"/>
      <c r="BK264" s="77"/>
      <c r="BL264" s="77"/>
      <c r="BM264" s="77"/>
      <c r="BN264" s="71"/>
      <c r="BO264" s="71"/>
      <c r="BP264" s="71"/>
      <c r="CK264" s="77"/>
      <c r="CL264" s="77"/>
      <c r="CM264" s="77"/>
      <c r="CN264" s="77"/>
      <c r="CO264" s="77"/>
      <c r="CP264" s="77"/>
      <c r="CQ264" s="77"/>
      <c r="CR264" s="77"/>
      <c r="CS264" s="77"/>
      <c r="CT264" s="77"/>
      <c r="CU264" s="77"/>
      <c r="CV264" s="77"/>
      <c r="CW264" s="77"/>
      <c r="CX264" s="77"/>
      <c r="CY264" s="77"/>
      <c r="CZ264" s="77"/>
      <c r="DA264" s="77"/>
      <c r="DB264" s="77"/>
      <c r="DC264" s="77"/>
      <c r="DD264" s="77"/>
      <c r="DE264" s="77"/>
      <c r="DF264" s="77"/>
      <c r="DG264" s="77"/>
      <c r="DH264" s="77"/>
      <c r="DI264" s="77"/>
      <c r="DJ264" s="77"/>
      <c r="DK264" s="77"/>
      <c r="DL264" s="77"/>
      <c r="DM264" s="77"/>
      <c r="DN264" s="77"/>
      <c r="DO264" s="77"/>
      <c r="DP264" s="77"/>
      <c r="DQ264" s="77"/>
      <c r="DR264" s="77"/>
      <c r="DS264" s="77"/>
      <c r="DT264" s="77"/>
      <c r="DU264" s="77"/>
      <c r="DV264" s="77"/>
      <c r="DW264" s="77"/>
      <c r="DX264" s="77"/>
      <c r="DY264" s="77"/>
      <c r="DZ264" s="77"/>
      <c r="EA264" s="77"/>
      <c r="EB264" s="77"/>
      <c r="EC264" s="77"/>
      <c r="ED264" s="77"/>
      <c r="EE264" s="77"/>
      <c r="EF264" s="77"/>
      <c r="EG264" s="77"/>
      <c r="EH264" s="77"/>
      <c r="EI264" s="77"/>
      <c r="EJ264" s="77"/>
      <c r="EK264" s="77"/>
      <c r="EL264" s="77"/>
      <c r="EM264" s="77"/>
      <c r="EN264" s="77"/>
      <c r="EO264" s="77"/>
      <c r="EP264" s="77"/>
      <c r="EQ264" s="77"/>
      <c r="ER264" s="77"/>
      <c r="ES264" s="77"/>
      <c r="ET264" s="77"/>
      <c r="EU264" s="77"/>
      <c r="EV264" s="77"/>
      <c r="EW264" s="77"/>
      <c r="EX264" s="77"/>
      <c r="EY264" s="77"/>
      <c r="EZ264" s="77"/>
      <c r="FA264" s="77"/>
      <c r="FB264" s="77"/>
      <c r="FC264" s="77"/>
      <c r="FD264" s="77"/>
      <c r="FE264" s="77"/>
      <c r="FF264" s="77"/>
      <c r="FG264" s="77"/>
      <c r="FH264" s="77"/>
      <c r="FI264" s="77"/>
      <c r="FJ264" s="77"/>
      <c r="FK264" s="77"/>
      <c r="FL264" s="77"/>
      <c r="FM264" s="77"/>
      <c r="FN264" s="77"/>
      <c r="FO264" s="77"/>
      <c r="FP264" s="77"/>
      <c r="FQ264" s="77"/>
      <c r="FR264" s="77"/>
      <c r="FS264" s="77"/>
      <c r="FT264" s="77"/>
      <c r="FU264" s="77"/>
      <c r="FV264" s="77"/>
      <c r="FW264" s="77"/>
      <c r="FX264" s="77"/>
      <c r="FY264" s="77"/>
      <c r="FZ264" s="77"/>
      <c r="GA264" s="77"/>
      <c r="GB264" s="77"/>
      <c r="GC264" s="77"/>
      <c r="GD264" s="77"/>
      <c r="GE264" s="77"/>
      <c r="GF264" s="77"/>
      <c r="GG264" s="77"/>
      <c r="GH264" s="77"/>
      <c r="GI264" s="77"/>
      <c r="GJ264" s="77"/>
      <c r="GK264" s="77"/>
      <c r="GL264" s="77"/>
      <c r="GM264" s="77"/>
      <c r="GN264" s="77"/>
      <c r="GO264" s="77"/>
      <c r="GP264" s="77"/>
      <c r="GQ264" s="77"/>
      <c r="GR264" s="77"/>
      <c r="GS264" s="77"/>
      <c r="GT264" s="77"/>
      <c r="GU264" s="77"/>
      <c r="GV264" s="77"/>
      <c r="GW264" s="77"/>
      <c r="GX264" s="77"/>
      <c r="GY264" s="77"/>
      <c r="GZ264" s="77"/>
      <c r="HA264" s="77"/>
      <c r="HB264" s="77"/>
      <c r="HC264" s="77"/>
      <c r="HD264" s="77"/>
      <c r="HE264" s="77"/>
      <c r="HF264" s="77"/>
      <c r="HG264" s="77"/>
      <c r="HH264" s="77"/>
      <c r="HI264" s="77"/>
      <c r="HJ264" s="77"/>
      <c r="HK264" s="77"/>
      <c r="HL264" s="77"/>
      <c r="HM264" s="77"/>
      <c r="HN264" s="77"/>
      <c r="HO264" s="77"/>
      <c r="HP264" s="77"/>
      <c r="HQ264" s="77"/>
      <c r="HR264" s="77"/>
      <c r="HS264" s="77"/>
      <c r="HT264" s="77"/>
      <c r="HU264" s="77"/>
      <c r="HV264" s="77"/>
      <c r="HW264" s="77"/>
      <c r="HX264" s="77"/>
      <c r="HY264" s="77"/>
      <c r="HZ264" s="77"/>
      <c r="IA264" s="77"/>
      <c r="IB264" s="77"/>
      <c r="IC264" s="77"/>
      <c r="ID264" s="77"/>
      <c r="IE264" s="77"/>
      <c r="IF264" s="16"/>
      <c r="IG264" s="16"/>
      <c r="IH264" s="16"/>
      <c r="II264" s="16"/>
      <c r="IJ264" s="16"/>
      <c r="IK264" s="16"/>
      <c r="IL264" s="16"/>
      <c r="IM264" s="16"/>
      <c r="IN264" s="16"/>
      <c r="IO264" s="16"/>
      <c r="IP264" s="16"/>
      <c r="IQ264" s="16"/>
      <c r="IR264" s="16"/>
      <c r="IS264" s="16"/>
      <c r="IT264" s="16"/>
      <c r="IU264" s="16"/>
      <c r="IV264" s="16"/>
      <c r="IW264" s="16"/>
      <c r="IX264" s="16"/>
      <c r="IY264" s="16"/>
      <c r="IZ264" s="16"/>
      <c r="JA264" s="16"/>
      <c r="JB264" s="16"/>
      <c r="JC264" s="16"/>
      <c r="JD264" s="16"/>
      <c r="JE264" s="16"/>
      <c r="JF264" s="16"/>
      <c r="JG264" s="16"/>
      <c r="JH264" s="16"/>
      <c r="JI264" s="16"/>
      <c r="JJ264" s="16"/>
      <c r="JK264" s="16"/>
      <c r="JL264" s="16"/>
      <c r="JM264" s="16"/>
      <c r="JN264" s="16"/>
      <c r="JO264" s="16"/>
      <c r="JP264" s="16"/>
      <c r="JQ264" s="16"/>
      <c r="JR264" s="16"/>
      <c r="JS264" s="16"/>
      <c r="JT264" s="16"/>
      <c r="JU264" s="16"/>
      <c r="JV264" s="16"/>
      <c r="JW264" s="16"/>
      <c r="JX264" s="16"/>
      <c r="JY264" s="77"/>
      <c r="JZ264" s="77"/>
      <c r="KA264" s="77"/>
      <c r="KB264" s="77"/>
      <c r="KC264" s="77"/>
      <c r="KD264" s="77"/>
      <c r="KE264" s="77"/>
      <c r="KF264" s="77"/>
      <c r="KG264" s="77"/>
      <c r="KH264" s="77"/>
      <c r="KI264" s="77"/>
      <c r="KJ264" s="77"/>
      <c r="KK264" s="77"/>
      <c r="KL264" s="77"/>
      <c r="KM264" s="77"/>
      <c r="KN264" s="77"/>
      <c r="KO264" s="77"/>
      <c r="KP264" s="77"/>
      <c r="KQ264" s="77"/>
      <c r="KR264" s="77"/>
      <c r="KS264" s="77"/>
      <c r="KT264" s="77"/>
      <c r="KU264" s="77"/>
      <c r="KV264" s="77"/>
      <c r="KW264" s="77"/>
      <c r="KX264" s="77"/>
      <c r="KY264" s="77"/>
      <c r="KZ264" s="77"/>
      <c r="LA264" s="77"/>
      <c r="LB264" s="77"/>
      <c r="LC264" s="77"/>
      <c r="LD264" s="77"/>
      <c r="LE264" s="77"/>
      <c r="LF264" s="77"/>
      <c r="LG264" s="77"/>
      <c r="LH264" s="77"/>
      <c r="LI264" s="77"/>
      <c r="LJ264" s="77"/>
      <c r="LK264" s="77"/>
    </row>
    <row r="265" spans="1:421" ht="18.600000000000001" customHeight="1" x14ac:dyDescent="0.25">
      <c r="A265" s="119" t="s">
        <v>1976</v>
      </c>
      <c r="B265" s="27" t="s">
        <v>1977</v>
      </c>
      <c r="C265" s="27" t="s">
        <v>1978</v>
      </c>
      <c r="D265" s="30" t="s">
        <v>1979</v>
      </c>
      <c r="E265" s="30" t="str">
        <f>HYPERLINK("http://twiplomacy.com/info/europe/Italy","http://twiplomacy.com/info/europe/Italy")</f>
        <v>http://twiplomacy.com/info/europe/Italy</v>
      </c>
      <c r="F265" s="10" t="s">
        <v>332</v>
      </c>
      <c r="G265" s="10" t="s">
        <v>424</v>
      </c>
      <c r="H265" s="10" t="s">
        <v>795</v>
      </c>
      <c r="I265" s="10" t="s">
        <v>782</v>
      </c>
      <c r="J265" s="27" t="s">
        <v>1852</v>
      </c>
      <c r="K265" s="15" t="s">
        <v>777</v>
      </c>
      <c r="L265" s="10" t="s">
        <v>771</v>
      </c>
      <c r="M265" s="10" t="s">
        <v>770</v>
      </c>
      <c r="N265" s="30" t="str">
        <f>HYPERLINK("https://twitter.com/ItalyMFA/statuses/209606798141964288","https://twitter.com/ItalyMFA/statuses/209606798141964288")</f>
        <v>https://twitter.com/ItalyMFA/statuses/209606798141964288</v>
      </c>
      <c r="O265" s="27" t="s">
        <v>5885</v>
      </c>
      <c r="P265" s="80">
        <v>1389</v>
      </c>
      <c r="Q265" s="80">
        <v>582</v>
      </c>
      <c r="R265" s="27" t="s">
        <v>2994</v>
      </c>
      <c r="S265" s="30" t="str">
        <f>HYPERLINK("https://twitter.com/ItalyMFA/lists","https://twitter.com/ItalyMFA/lists")</f>
        <v>https://twitter.com/ItalyMFA/lists</v>
      </c>
      <c r="T265" s="10">
        <v>9</v>
      </c>
      <c r="U265" s="10" t="s">
        <v>771</v>
      </c>
      <c r="V265" s="30" t="str">
        <f>HYPERLINK("https://twitter.com/ItalyMFA/lists/ambasciate","https://twitter.com/ItalyMFA/lists/ambasciate")</f>
        <v>https://twitter.com/ItalyMFA/lists/ambasciate</v>
      </c>
      <c r="W265" s="10">
        <v>70</v>
      </c>
      <c r="X265" s="27" t="s">
        <v>1976</v>
      </c>
      <c r="Y265" s="27" t="s">
        <v>1977</v>
      </c>
      <c r="Z265" s="80">
        <v>3865</v>
      </c>
      <c r="AA265" s="27">
        <v>484</v>
      </c>
      <c r="AB265" s="80">
        <v>36156</v>
      </c>
      <c r="AC265" s="27">
        <v>111</v>
      </c>
      <c r="AD265" s="27" t="s">
        <v>3866</v>
      </c>
      <c r="AE265" s="27">
        <v>599114492</v>
      </c>
      <c r="AF265" s="27" t="s">
        <v>1978</v>
      </c>
      <c r="AG265" s="27" t="s">
        <v>1980</v>
      </c>
      <c r="AH265" s="79">
        <v>2.7065826330532201</v>
      </c>
      <c r="AI265" s="83">
        <v>2.9540018399263999</v>
      </c>
      <c r="AJ265" s="80">
        <v>12.814035087719301</v>
      </c>
      <c r="AK265" s="80">
        <v>4.8927318295739397</v>
      </c>
      <c r="AL265" s="27">
        <v>55</v>
      </c>
      <c r="AM265" s="97">
        <f t="shared" si="4"/>
        <v>1.7187500000000001E-2</v>
      </c>
      <c r="AN265" s="27" t="s">
        <v>1976</v>
      </c>
      <c r="AO265" s="27">
        <v>50</v>
      </c>
      <c r="AP265" s="27">
        <v>28</v>
      </c>
      <c r="AQ265" s="27">
        <v>48</v>
      </c>
      <c r="AR265" s="27">
        <f>SUM(AO265:AQ265)</f>
        <v>126</v>
      </c>
      <c r="AS265" s="27" t="s">
        <v>6574</v>
      </c>
      <c r="AT265" s="27" t="s">
        <v>6754</v>
      </c>
      <c r="AU265" s="84" t="s">
        <v>4772</v>
      </c>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16"/>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16"/>
      <c r="MU265" s="16"/>
      <c r="MV265" s="16"/>
      <c r="MW265" s="16"/>
      <c r="MX265" s="16"/>
      <c r="MY265" s="16"/>
      <c r="MZ265" s="16"/>
      <c r="NA265" s="16"/>
      <c r="NB265" s="16"/>
      <c r="NC265" s="16"/>
    </row>
    <row r="266" spans="1:421" ht="18.600000000000001" customHeight="1" x14ac:dyDescent="0.25">
      <c r="A266" s="119" t="s">
        <v>1630</v>
      </c>
      <c r="B266" s="27" t="s">
        <v>4096</v>
      </c>
      <c r="C266" s="27" t="s">
        <v>6423</v>
      </c>
      <c r="D266" s="33" t="s">
        <v>3016</v>
      </c>
      <c r="E266" s="34" t="s">
        <v>1631</v>
      </c>
      <c r="F266" s="42" t="s">
        <v>154</v>
      </c>
      <c r="G266" s="42" t="s">
        <v>299</v>
      </c>
      <c r="H266" s="42" t="s">
        <v>795</v>
      </c>
      <c r="I266" s="42" t="s">
        <v>782</v>
      </c>
      <c r="J266" s="27" t="s">
        <v>814</v>
      </c>
      <c r="K266" s="15" t="s">
        <v>777</v>
      </c>
      <c r="L266" s="10"/>
      <c r="M266" s="10" t="s">
        <v>770</v>
      </c>
      <c r="N266" s="34" t="s">
        <v>1632</v>
      </c>
      <c r="O266" s="27" t="s">
        <v>5949</v>
      </c>
      <c r="P266" s="80">
        <v>47</v>
      </c>
      <c r="Q266" s="80">
        <v>0</v>
      </c>
      <c r="R266" s="27" t="s">
        <v>2995</v>
      </c>
      <c r="S266" s="86" t="s">
        <v>1633</v>
      </c>
      <c r="T266" s="10" t="s">
        <v>771</v>
      </c>
      <c r="U266" s="10" t="s">
        <v>771</v>
      </c>
      <c r="V266" s="10" t="s">
        <v>771</v>
      </c>
      <c r="W266" s="42"/>
      <c r="X266" s="27" t="s">
        <v>1630</v>
      </c>
      <c r="Y266" s="27" t="s">
        <v>4096</v>
      </c>
      <c r="Z266" s="80">
        <v>3830</v>
      </c>
      <c r="AA266" s="27">
        <v>866</v>
      </c>
      <c r="AB266" s="80">
        <v>1961</v>
      </c>
      <c r="AC266" s="27">
        <v>767</v>
      </c>
      <c r="AD266" s="27" t="s">
        <v>4097</v>
      </c>
      <c r="AE266" s="27">
        <v>3229081904</v>
      </c>
      <c r="AF266" s="27" t="s">
        <v>6423</v>
      </c>
      <c r="AG266" s="27"/>
      <c r="AH266" s="79">
        <v>11.2979351032448</v>
      </c>
      <c r="AI266" s="83">
        <v>12.832669322709201</v>
      </c>
      <c r="AJ266" s="80">
        <v>0.67292817679558004</v>
      </c>
      <c r="AK266" s="80">
        <v>0.58176795580110496</v>
      </c>
      <c r="AL266" s="27">
        <v>27</v>
      </c>
      <c r="AM266" s="97">
        <f t="shared" si="4"/>
        <v>8.4375000000000006E-3</v>
      </c>
      <c r="AN266" s="27" t="s">
        <v>1630</v>
      </c>
      <c r="AO266" s="27">
        <v>35</v>
      </c>
      <c r="AP266" s="27">
        <v>7</v>
      </c>
      <c r="AQ266" s="27">
        <v>5</v>
      </c>
      <c r="AR266" s="27">
        <f>SUM(AO266:AQ266)</f>
        <v>47</v>
      </c>
      <c r="AS266" s="27" t="s">
        <v>6588</v>
      </c>
      <c r="AT266" s="27" t="s">
        <v>5311</v>
      </c>
      <c r="AU266" s="84" t="s">
        <v>4848</v>
      </c>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c r="BX266" s="77"/>
      <c r="BY266" s="77"/>
      <c r="BZ266" s="77"/>
      <c r="CA266" s="77"/>
      <c r="CB266" s="77"/>
      <c r="CC266" s="77"/>
      <c r="CD266" s="77"/>
      <c r="CE266" s="77"/>
      <c r="CF266" s="77"/>
      <c r="CG266" s="77"/>
      <c r="CH266" s="77"/>
      <c r="CI266" s="77"/>
      <c r="CJ266" s="77"/>
      <c r="CK266" s="77"/>
      <c r="CL266" s="77"/>
      <c r="CM266" s="77"/>
      <c r="CN266" s="77"/>
      <c r="CO266" s="77"/>
      <c r="CP266" s="77"/>
      <c r="CQ266" s="77"/>
      <c r="CR266" s="77"/>
      <c r="CS266" s="77"/>
      <c r="CT266" s="77"/>
      <c r="CU266" s="77"/>
      <c r="CV266" s="77"/>
      <c r="CW266" s="77"/>
      <c r="CX266" s="77"/>
      <c r="CY266" s="77"/>
      <c r="CZ266" s="77"/>
      <c r="DA266" s="77"/>
      <c r="DB266" s="77"/>
      <c r="DC266" s="77"/>
      <c r="DD266" s="77"/>
      <c r="DE266" s="77"/>
      <c r="DF266" s="77"/>
      <c r="DG266" s="77"/>
      <c r="DH266" s="77"/>
      <c r="DI266" s="77"/>
      <c r="DJ266" s="77"/>
      <c r="DK266" s="77"/>
      <c r="DL266" s="77"/>
      <c r="DM266" s="77"/>
      <c r="DN266" s="77"/>
      <c r="DO266" s="77"/>
      <c r="DP266" s="77"/>
      <c r="DQ266" s="77"/>
      <c r="DR266" s="77"/>
      <c r="DS266" s="77"/>
      <c r="DT266" s="77"/>
      <c r="DU266" s="77"/>
      <c r="DV266" s="77"/>
      <c r="DW266" s="77"/>
      <c r="DX266" s="77"/>
      <c r="DY266" s="77"/>
      <c r="DZ266" s="77"/>
      <c r="EA266" s="77"/>
      <c r="EB266" s="77"/>
      <c r="EC266" s="77"/>
      <c r="ED266" s="77"/>
      <c r="EE266" s="77"/>
      <c r="EF266" s="77"/>
      <c r="EG266" s="77"/>
      <c r="EH266" s="77"/>
      <c r="EI266" s="77"/>
      <c r="EJ266" s="77"/>
      <c r="EK266" s="77"/>
      <c r="EL266" s="77"/>
      <c r="EM266" s="77"/>
      <c r="EN266" s="77"/>
      <c r="EO266" s="77"/>
      <c r="EP266" s="77"/>
      <c r="EQ266" s="77"/>
      <c r="ER266" s="77"/>
      <c r="ES266" s="77"/>
      <c r="ET266" s="77"/>
      <c r="EU266" s="77"/>
      <c r="EV266" s="77"/>
      <c r="EW266" s="77"/>
      <c r="EX266" s="77"/>
      <c r="EY266" s="77"/>
      <c r="EZ266" s="77"/>
      <c r="FA266" s="77"/>
      <c r="FB266" s="77"/>
      <c r="FC266" s="77"/>
      <c r="FD266" s="77"/>
      <c r="FE266" s="77"/>
      <c r="FF266" s="77"/>
      <c r="FG266" s="77"/>
      <c r="FH266" s="77"/>
      <c r="FI266" s="77"/>
      <c r="FJ266" s="77"/>
      <c r="FK266" s="77"/>
      <c r="FL266" s="77"/>
      <c r="FM266" s="77"/>
      <c r="FN266" s="77"/>
      <c r="FO266" s="77"/>
      <c r="FP266" s="77"/>
      <c r="FQ266" s="77"/>
      <c r="FR266" s="77"/>
      <c r="FS266" s="77"/>
      <c r="FT266" s="77"/>
      <c r="FU266" s="77"/>
      <c r="FV266" s="77"/>
      <c r="FW266" s="77"/>
      <c r="FX266" s="77"/>
      <c r="FY266" s="77"/>
      <c r="FZ266" s="77"/>
      <c r="GA266" s="77"/>
      <c r="GB266" s="77"/>
      <c r="GC266" s="77"/>
      <c r="GD266" s="77"/>
      <c r="GE266" s="77"/>
      <c r="GF266" s="77"/>
      <c r="GG266" s="77"/>
      <c r="GH266" s="77"/>
      <c r="GI266" s="77"/>
      <c r="GJ266" s="77"/>
      <c r="GK266" s="77"/>
      <c r="GL266" s="77"/>
      <c r="GM266" s="77"/>
      <c r="GN266" s="77"/>
      <c r="GO266" s="77"/>
      <c r="GP266" s="77"/>
      <c r="GQ266" s="77"/>
      <c r="GR266" s="77"/>
      <c r="GS266" s="77"/>
      <c r="GT266" s="77"/>
      <c r="GU266" s="77"/>
      <c r="GV266" s="77"/>
      <c r="GW266" s="77"/>
      <c r="GX266" s="77"/>
      <c r="GY266" s="77"/>
      <c r="GZ266" s="77"/>
      <c r="HA266" s="77"/>
      <c r="HB266" s="77"/>
      <c r="HC266" s="77"/>
      <c r="HD266" s="77"/>
      <c r="HE266" s="77"/>
      <c r="HF266" s="77"/>
      <c r="HG266" s="77"/>
      <c r="HH266" s="77"/>
      <c r="HI266" s="77"/>
      <c r="HJ266" s="77"/>
      <c r="HK266" s="77"/>
      <c r="HL266" s="77"/>
      <c r="HM266" s="77"/>
      <c r="HN266" s="77"/>
      <c r="HO266" s="77"/>
      <c r="HP266" s="77"/>
      <c r="HQ266" s="77"/>
      <c r="HR266" s="77"/>
      <c r="HS266" s="77"/>
      <c r="HT266" s="77"/>
      <c r="HU266" s="77"/>
      <c r="HV266" s="77"/>
      <c r="HW266" s="77"/>
      <c r="HX266" s="77"/>
      <c r="HY266" s="77"/>
      <c r="HZ266" s="77"/>
      <c r="IA266" s="77"/>
      <c r="IB266" s="77"/>
      <c r="IC266" s="77"/>
      <c r="ID266" s="16"/>
      <c r="IE266" s="16"/>
      <c r="IF266" s="77"/>
      <c r="IG266" s="77"/>
      <c r="IH266" s="77"/>
      <c r="II266" s="77"/>
      <c r="IJ266" s="77"/>
      <c r="IK266" s="77"/>
      <c r="IL266" s="77"/>
      <c r="IM266" s="77"/>
      <c r="IN266" s="77"/>
      <c r="IO266" s="77"/>
      <c r="IP266" s="77"/>
      <c r="IQ266" s="77"/>
      <c r="IR266" s="77"/>
      <c r="IS266" s="77"/>
      <c r="IT266" s="77"/>
      <c r="IU266" s="77"/>
      <c r="IV266" s="77"/>
      <c r="IW266" s="77"/>
      <c r="IX266" s="77"/>
      <c r="IY266" s="77"/>
      <c r="IZ266" s="77"/>
      <c r="JA266" s="77"/>
      <c r="JB266" s="77"/>
      <c r="JC266" s="77"/>
      <c r="JD266" s="77"/>
      <c r="JE266" s="77"/>
      <c r="JF266" s="77"/>
      <c r="JG266" s="77"/>
      <c r="JH266" s="77"/>
      <c r="JI266" s="77"/>
      <c r="JJ266" s="77"/>
      <c r="JK266" s="77"/>
      <c r="JL266" s="77"/>
      <c r="JM266" s="77"/>
      <c r="JN266" s="77"/>
      <c r="JO266" s="77"/>
      <c r="JP266" s="77"/>
      <c r="JQ266" s="77"/>
      <c r="JR266" s="77"/>
      <c r="JS266" s="77"/>
      <c r="JT266" s="77"/>
      <c r="JU266" s="77"/>
      <c r="JV266" s="77"/>
      <c r="JW266" s="77"/>
      <c r="JX266" s="77"/>
      <c r="KM266" s="16"/>
      <c r="KN266" s="16"/>
      <c r="KO266" s="16"/>
      <c r="KP266" s="16"/>
      <c r="KQ266" s="16"/>
      <c r="KR266" s="16"/>
      <c r="KS266" s="16"/>
      <c r="KT266" s="16"/>
      <c r="KU266" s="16"/>
      <c r="KV266" s="16"/>
      <c r="KW266" s="16"/>
      <c r="KX266" s="16"/>
      <c r="KY266" s="16"/>
      <c r="KZ266" s="16"/>
      <c r="LA266" s="16"/>
      <c r="LB266" s="16"/>
      <c r="LC266" s="16"/>
      <c r="LD266" s="16"/>
      <c r="LE266" s="16"/>
      <c r="LF266" s="16"/>
      <c r="LG266" s="16"/>
      <c r="LH266" s="16"/>
      <c r="LI266" s="16"/>
      <c r="LJ266" s="16"/>
      <c r="LK266" s="16"/>
      <c r="LY266" s="77"/>
      <c r="LZ266" s="77"/>
      <c r="MA266" s="77"/>
      <c r="MB266" s="77"/>
      <c r="MC266" s="77"/>
      <c r="MD266" s="77"/>
      <c r="ME266" s="77"/>
      <c r="MF266" s="77"/>
      <c r="MG266" s="77"/>
      <c r="MH266" s="77"/>
      <c r="MI266" s="77"/>
      <c r="MJ266" s="77"/>
      <c r="MK266" s="77"/>
      <c r="ML266" s="77"/>
      <c r="MM266" s="77"/>
      <c r="MN266" s="77"/>
      <c r="MO266" s="77"/>
      <c r="MP266" s="77"/>
      <c r="MQ266" s="77"/>
      <c r="MR266" s="77"/>
    </row>
    <row r="267" spans="1:421" ht="18.600000000000001" customHeight="1" x14ac:dyDescent="0.25">
      <c r="A267" s="119" t="s">
        <v>234</v>
      </c>
      <c r="B267" s="27" t="s">
        <v>1449</v>
      </c>
      <c r="C267" s="27" t="s">
        <v>1450</v>
      </c>
      <c r="D267" s="30" t="str">
        <f>HYPERLINK("https://twitter.com/kyrgyzpresident","https://twitter.com/kyrgyzpresident")</f>
        <v>https://twitter.com/kyrgyzpresident</v>
      </c>
      <c r="E267" s="30" t="str">
        <f>HYPERLINK("http://twiplomacy.com/info/asia/Kyrgyzstan","http://twiplomacy.com/info/asia/Kyrgyzstan")</f>
        <v>http://twiplomacy.com/info/asia/Kyrgyzstan</v>
      </c>
      <c r="F267" s="10" t="s">
        <v>154</v>
      </c>
      <c r="G267" s="10" t="s">
        <v>233</v>
      </c>
      <c r="H267" s="10" t="s">
        <v>772</v>
      </c>
      <c r="I267" s="10" t="s">
        <v>782</v>
      </c>
      <c r="J267" s="27" t="s">
        <v>1420</v>
      </c>
      <c r="K267" s="15" t="s">
        <v>777</v>
      </c>
      <c r="L267" s="10" t="s">
        <v>771</v>
      </c>
      <c r="M267" s="10" t="s">
        <v>771</v>
      </c>
      <c r="N267" s="30" t="str">
        <f>HYPERLINK("https://twitter.com/kyrgyzrepublic/statuses/18611103614","https://twitter.com/kyrgyzrepublic/statuses/18611103614")</f>
        <v>https://twitter.com/kyrgyzrepublic/statuses/18611103614</v>
      </c>
      <c r="O267" s="27" t="s">
        <v>5909</v>
      </c>
      <c r="P267" s="80">
        <v>10</v>
      </c>
      <c r="Q267" s="80">
        <v>2</v>
      </c>
      <c r="R267" s="27" t="s">
        <v>2995</v>
      </c>
      <c r="S267" s="30" t="str">
        <f>HYPERLINK("https://twitter.com/kyrgyzrepublic/lists","https://twitter.com/kyrgyzrepublic/lists")</f>
        <v>https://twitter.com/kyrgyzrepublic/lists</v>
      </c>
      <c r="T267" s="10" t="s">
        <v>771</v>
      </c>
      <c r="U267" s="10">
        <v>7</v>
      </c>
      <c r="V267" s="10" t="s">
        <v>771</v>
      </c>
      <c r="W267" s="73"/>
      <c r="X267" s="27" t="s">
        <v>234</v>
      </c>
      <c r="Y267" s="27" t="s">
        <v>1449</v>
      </c>
      <c r="Z267" s="80">
        <v>3823</v>
      </c>
      <c r="AA267" s="27">
        <v>0</v>
      </c>
      <c r="AB267" s="80">
        <v>2433</v>
      </c>
      <c r="AC267" s="27">
        <v>0</v>
      </c>
      <c r="AD267" s="27" t="s">
        <v>3964</v>
      </c>
      <c r="AE267" s="27">
        <v>992876924</v>
      </c>
      <c r="AF267" s="27" t="s">
        <v>1450</v>
      </c>
      <c r="AG267" s="27" t="s">
        <v>1451</v>
      </c>
      <c r="AH267" s="79">
        <v>3.0756234915527001</v>
      </c>
      <c r="AI267" s="83">
        <v>3.0854947166186402</v>
      </c>
      <c r="AJ267" s="80">
        <v>0.38928682653378999</v>
      </c>
      <c r="AK267" s="80">
        <v>0.117720336343818</v>
      </c>
      <c r="AL267" s="13">
        <v>0</v>
      </c>
      <c r="AM267" s="97">
        <f t="shared" si="4"/>
        <v>0</v>
      </c>
      <c r="AN267" s="27" t="s">
        <v>234</v>
      </c>
      <c r="AO267" s="27">
        <v>0</v>
      </c>
      <c r="AP267" s="27">
        <v>9</v>
      </c>
      <c r="AQ267" s="27">
        <v>0</v>
      </c>
      <c r="AR267" s="27">
        <f>SUM(AO267:AQ267)</f>
        <v>9</v>
      </c>
      <c r="AS267" s="27"/>
      <c r="AT267" s="27" t="s">
        <v>5248</v>
      </c>
      <c r="AU267" s="84"/>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77"/>
      <c r="BR267" s="77"/>
      <c r="BS267" s="77"/>
      <c r="BT267" s="77"/>
      <c r="BU267" s="77"/>
      <c r="BV267" s="77"/>
      <c r="BW267" s="77"/>
      <c r="BX267" s="77"/>
      <c r="BY267" s="77"/>
      <c r="BZ267" s="77"/>
      <c r="CA267" s="77"/>
      <c r="CB267" s="77"/>
      <c r="CC267" s="77"/>
      <c r="CD267" s="77"/>
      <c r="CE267" s="77"/>
      <c r="CF267" s="77"/>
      <c r="CG267" s="77"/>
      <c r="CH267" s="77"/>
      <c r="CI267" s="77"/>
      <c r="CJ267" s="77"/>
      <c r="CK267" s="77"/>
      <c r="CL267" s="77"/>
      <c r="CM267" s="77"/>
      <c r="CN267" s="77"/>
      <c r="CO267" s="77"/>
      <c r="CP267" s="77"/>
      <c r="CQ267" s="77"/>
      <c r="CR267" s="77"/>
      <c r="CS267" s="77"/>
      <c r="CT267" s="77"/>
      <c r="CU267" s="77"/>
      <c r="CV267" s="77"/>
      <c r="CW267" s="77"/>
      <c r="CX267" s="77"/>
      <c r="CY267" s="77"/>
      <c r="CZ267" s="77"/>
      <c r="DA267" s="77"/>
      <c r="DB267" s="77"/>
      <c r="DC267" s="77"/>
      <c r="DD267" s="77"/>
      <c r="DE267" s="77"/>
      <c r="DF267" s="77"/>
      <c r="DG267" s="77"/>
      <c r="DH267" s="77"/>
      <c r="DI267" s="77"/>
      <c r="DJ267" s="77"/>
      <c r="DK267" s="77"/>
      <c r="DL267" s="77"/>
      <c r="DM267" s="77"/>
      <c r="DN267" s="77"/>
      <c r="DO267" s="77"/>
      <c r="DP267" s="77"/>
      <c r="DQ267" s="77"/>
      <c r="DR267" s="77"/>
      <c r="DS267" s="77"/>
      <c r="DT267" s="77"/>
      <c r="DU267" s="77"/>
      <c r="DV267" s="77"/>
      <c r="DW267" s="77"/>
      <c r="DX267" s="77"/>
      <c r="DY267" s="77"/>
      <c r="DZ267" s="77"/>
      <c r="EA267" s="77"/>
      <c r="EB267" s="77"/>
      <c r="EC267" s="77"/>
      <c r="ED267" s="77"/>
      <c r="EE267" s="77"/>
      <c r="EF267" s="77"/>
      <c r="EG267" s="77"/>
      <c r="EH267" s="77"/>
      <c r="EI267" s="77"/>
      <c r="EJ267" s="77"/>
      <c r="EK267" s="77"/>
      <c r="EL267" s="77"/>
      <c r="EM267" s="77"/>
      <c r="EN267" s="77"/>
      <c r="EO267" s="77"/>
      <c r="EP267" s="77"/>
      <c r="EQ267" s="77"/>
      <c r="ER267" s="77"/>
      <c r="ES267" s="77"/>
      <c r="ET267" s="77"/>
      <c r="EU267" s="77"/>
      <c r="EV267" s="77"/>
      <c r="EW267" s="77"/>
      <c r="EX267" s="77"/>
      <c r="EY267" s="77"/>
      <c r="EZ267" s="77"/>
      <c r="FA267" s="77"/>
      <c r="FB267" s="77"/>
      <c r="FC267" s="77"/>
      <c r="FD267" s="77"/>
      <c r="FE267" s="77"/>
      <c r="FF267" s="77"/>
      <c r="FG267" s="77"/>
      <c r="FH267" s="77"/>
      <c r="FI267" s="77"/>
      <c r="FJ267" s="77"/>
      <c r="FK267" s="77"/>
      <c r="FL267" s="77"/>
      <c r="FM267" s="77"/>
      <c r="FN267" s="77"/>
      <c r="FO267" s="77"/>
      <c r="FP267" s="77"/>
      <c r="FQ267" s="77"/>
      <c r="FR267" s="77"/>
      <c r="FS267" s="77"/>
      <c r="FT267" s="77"/>
      <c r="FU267" s="77"/>
      <c r="FV267" s="77"/>
      <c r="FW267" s="77"/>
      <c r="FX267" s="77"/>
      <c r="FY267" s="77"/>
      <c r="FZ267" s="77"/>
      <c r="GA267" s="77"/>
      <c r="GB267" s="77"/>
      <c r="GC267" s="77"/>
      <c r="GD267" s="77"/>
      <c r="GE267" s="77"/>
      <c r="GF267" s="77"/>
      <c r="GG267" s="77"/>
      <c r="GH267" s="77"/>
      <c r="GI267" s="77"/>
      <c r="GJ267" s="77"/>
      <c r="GK267" s="77"/>
      <c r="HL267" s="77"/>
      <c r="HM267" s="77"/>
      <c r="HN267" s="77"/>
      <c r="HO267" s="77"/>
      <c r="HP267" s="77"/>
      <c r="HQ267" s="77"/>
      <c r="HR267" s="77"/>
      <c r="HS267" s="77"/>
      <c r="HT267" s="77"/>
      <c r="HU267" s="77"/>
      <c r="HV267" s="77"/>
      <c r="HW267" s="77"/>
      <c r="HX267" s="77"/>
      <c r="HY267" s="77"/>
      <c r="HZ267" s="77"/>
      <c r="IA267" s="77"/>
      <c r="IB267" s="77"/>
      <c r="IC267" s="77"/>
      <c r="JY267" s="77"/>
      <c r="JZ267" s="77"/>
      <c r="KA267" s="77"/>
      <c r="KB267" s="77"/>
      <c r="KC267" s="77"/>
      <c r="KD267" s="77"/>
      <c r="KE267" s="77"/>
      <c r="KF267" s="77"/>
      <c r="KG267" s="77"/>
      <c r="KH267" s="77"/>
      <c r="KI267" s="77"/>
      <c r="KJ267" s="77"/>
      <c r="KK267" s="77"/>
      <c r="KL267" s="77"/>
      <c r="KM267" s="77"/>
      <c r="KN267" s="77"/>
      <c r="KO267" s="77"/>
      <c r="KP267" s="77"/>
      <c r="KQ267" s="77"/>
      <c r="KR267" s="77"/>
      <c r="KS267" s="77"/>
      <c r="KT267" s="77"/>
      <c r="KU267" s="77"/>
      <c r="KV267" s="77"/>
      <c r="KW267" s="77"/>
      <c r="KX267" s="77"/>
      <c r="KY267" s="77"/>
      <c r="KZ267" s="77"/>
      <c r="LA267" s="77"/>
      <c r="LB267" s="77"/>
      <c r="LC267" s="77"/>
      <c r="LD267" s="77"/>
      <c r="LE267" s="77"/>
      <c r="LF267" s="77"/>
      <c r="LG267" s="77"/>
      <c r="LH267" s="77"/>
      <c r="LI267" s="77"/>
      <c r="LJ267" s="77"/>
      <c r="LK267" s="77"/>
      <c r="LL267" s="77"/>
      <c r="LM267" s="77"/>
      <c r="LN267" s="77"/>
      <c r="LO267" s="77"/>
      <c r="LP267" s="77"/>
      <c r="LQ267" s="77"/>
      <c r="LR267" s="77"/>
      <c r="LS267" s="77"/>
      <c r="LT267" s="77"/>
      <c r="LU267" s="77"/>
      <c r="LV267" s="77"/>
      <c r="LW267" s="77"/>
      <c r="LX267" s="77"/>
      <c r="LY267" s="77"/>
      <c r="LZ267" s="77"/>
      <c r="MA267" s="77"/>
      <c r="MB267" s="77"/>
      <c r="MC267" s="77"/>
      <c r="MD267" s="77"/>
      <c r="ME267" s="77"/>
      <c r="MF267" s="77"/>
      <c r="MG267" s="77"/>
      <c r="MH267" s="77"/>
      <c r="MI267" s="77"/>
      <c r="MJ267" s="77"/>
      <c r="MK267" s="77"/>
      <c r="ML267" s="77"/>
      <c r="MM267" s="77"/>
      <c r="MN267" s="77"/>
      <c r="MO267" s="77"/>
      <c r="MP267" s="77"/>
      <c r="MQ267" s="77"/>
      <c r="MR267" s="77"/>
      <c r="NE267" s="77"/>
      <c r="NF267" s="77"/>
      <c r="NG267" s="77"/>
      <c r="NH267" s="77"/>
      <c r="NI267" s="77"/>
      <c r="NJ267" s="77"/>
      <c r="NK267" s="77"/>
      <c r="NL267" s="77"/>
      <c r="NM267" s="77"/>
      <c r="NN267" s="77"/>
      <c r="NO267" s="77"/>
      <c r="NP267" s="77"/>
      <c r="NQ267" s="77"/>
      <c r="NR267" s="77"/>
      <c r="NS267" s="77"/>
      <c r="NT267" s="77"/>
      <c r="NU267" s="77"/>
      <c r="NV267" s="77"/>
      <c r="NW267" s="77"/>
      <c r="NX267" s="77"/>
      <c r="NY267" s="77"/>
      <c r="NZ267" s="77"/>
      <c r="OA267" s="77"/>
      <c r="OB267" s="77"/>
      <c r="OC267" s="77"/>
      <c r="OD267" s="77"/>
      <c r="OE267" s="77"/>
      <c r="OF267" s="77"/>
      <c r="OG267" s="77"/>
      <c r="OH267" s="77"/>
      <c r="OI267" s="77"/>
      <c r="OJ267" s="77"/>
      <c r="OK267" s="77"/>
      <c r="OL267" s="77"/>
      <c r="OM267" s="77"/>
      <c r="ON267" s="77"/>
      <c r="OO267" s="77"/>
      <c r="OP267" s="77"/>
      <c r="OQ267" s="77"/>
      <c r="OR267" s="77"/>
      <c r="OS267" s="77"/>
      <c r="OT267" s="77"/>
      <c r="OU267" s="77"/>
      <c r="OV267" s="77"/>
      <c r="OW267" s="77"/>
      <c r="OX267" s="77"/>
      <c r="OY267" s="77"/>
      <c r="OZ267" s="77"/>
      <c r="PA267" s="77"/>
      <c r="PB267" s="77"/>
      <c r="PC267" s="77"/>
      <c r="PD267" s="77"/>
      <c r="PE267" s="77"/>
    </row>
    <row r="268" spans="1:421" ht="18.600000000000001" customHeight="1" x14ac:dyDescent="0.25">
      <c r="A268" s="119" t="s">
        <v>1396</v>
      </c>
      <c r="B268" s="27" t="s">
        <v>1397</v>
      </c>
      <c r="C268" s="27" t="s">
        <v>6408</v>
      </c>
      <c r="D268" s="30" t="str">
        <f>HYPERLINK("https://twitter.com/Kantei_Saigai","https://twitter.com/Kantei_Saigai")</f>
        <v>https://twitter.com/Kantei_Saigai</v>
      </c>
      <c r="E268" s="30" t="str">
        <f>HYPERLINK("http://twiplomacy.com/info/asia/japan/","http://twiplomacy.com/info/asia/japan/")</f>
        <v>http://twiplomacy.com/info/asia/japan/</v>
      </c>
      <c r="F268" s="10" t="s">
        <v>154</v>
      </c>
      <c r="G268" s="10" t="s">
        <v>213</v>
      </c>
      <c r="H268" s="10" t="s">
        <v>788</v>
      </c>
      <c r="I268" s="10" t="s">
        <v>782</v>
      </c>
      <c r="J268" s="27" t="s">
        <v>1382</v>
      </c>
      <c r="K268" s="15" t="s">
        <v>777</v>
      </c>
      <c r="L268" s="10" t="s">
        <v>771</v>
      </c>
      <c r="M268" s="10" t="s">
        <v>771</v>
      </c>
      <c r="N268" s="30" t="str">
        <f>HYPERLINK("https://twitter.com/Kantei_Saigai/statuses/46823550736269313","https://twitter.com/Kantei_Saigai/statuses/46823550736269313")</f>
        <v>https://twitter.com/Kantei_Saigai/statuses/46823550736269313</v>
      </c>
      <c r="O268" s="27" t="s">
        <v>5896</v>
      </c>
      <c r="P268" s="80">
        <v>15765</v>
      </c>
      <c r="Q268" s="80">
        <v>3087</v>
      </c>
      <c r="R268" s="27" t="s">
        <v>2994</v>
      </c>
      <c r="S268" s="10" t="s">
        <v>1398</v>
      </c>
      <c r="T268" s="10" t="s">
        <v>771</v>
      </c>
      <c r="U268" s="10" t="s">
        <v>771</v>
      </c>
      <c r="V268" s="10" t="s">
        <v>771</v>
      </c>
      <c r="W268" s="10"/>
      <c r="X268" s="27" t="s">
        <v>1396</v>
      </c>
      <c r="Y268" s="27" t="s">
        <v>1397</v>
      </c>
      <c r="Z268" s="80">
        <v>3807</v>
      </c>
      <c r="AA268" s="27">
        <v>16</v>
      </c>
      <c r="AB268" s="80">
        <v>1723385</v>
      </c>
      <c r="AC268" s="27">
        <v>1</v>
      </c>
      <c r="AD268" s="27" t="s">
        <v>3921</v>
      </c>
      <c r="AE268" s="27">
        <v>265205959</v>
      </c>
      <c r="AF268" s="27" t="s">
        <v>6408</v>
      </c>
      <c r="AG268" s="27"/>
      <c r="AH268" s="79">
        <v>2.0282365476824702</v>
      </c>
      <c r="AI268" s="83">
        <v>1.7581168831168801</v>
      </c>
      <c r="AJ268" s="80">
        <v>181.36682342881599</v>
      </c>
      <c r="AK268" s="80">
        <v>38.029499786233401</v>
      </c>
      <c r="AL268" s="13">
        <v>0</v>
      </c>
      <c r="AM268" s="97">
        <f t="shared" si="4"/>
        <v>0</v>
      </c>
      <c r="AN268" s="27" t="s">
        <v>1396</v>
      </c>
      <c r="AO268" s="27">
        <v>0</v>
      </c>
      <c r="AP268" s="27">
        <v>8</v>
      </c>
      <c r="AQ268" s="27">
        <v>2</v>
      </c>
      <c r="AR268" s="27">
        <f>SUM(AO268:AQ268)</f>
        <v>10</v>
      </c>
      <c r="AS268" s="27"/>
      <c r="AT268" s="27" t="s">
        <v>5230</v>
      </c>
      <c r="AU268" s="84" t="s">
        <v>4791</v>
      </c>
      <c r="BQ268" s="77"/>
      <c r="BR268" s="77"/>
      <c r="BS268" s="77"/>
      <c r="BT268" s="77"/>
      <c r="BU268" s="77"/>
      <c r="BV268" s="77"/>
      <c r="BW268" s="77"/>
      <c r="BX268" s="77"/>
      <c r="BY268" s="77"/>
      <c r="BZ268" s="77"/>
      <c r="CA268" s="77"/>
      <c r="CB268" s="77"/>
      <c r="CC268" s="77"/>
      <c r="CD268" s="77"/>
      <c r="CE268" s="77"/>
      <c r="CF268" s="77"/>
      <c r="CG268" s="77"/>
      <c r="CH268" s="77"/>
      <c r="CI268" s="77"/>
      <c r="CJ268" s="77"/>
      <c r="CK268" s="77"/>
      <c r="CL268" s="77"/>
      <c r="CM268" s="77"/>
      <c r="CN268" s="77"/>
      <c r="CO268" s="77"/>
      <c r="CP268" s="77"/>
      <c r="CQ268" s="77"/>
      <c r="CR268" s="77"/>
      <c r="CS268" s="77"/>
      <c r="CT268" s="77"/>
      <c r="CU268" s="77"/>
      <c r="CV268" s="77"/>
      <c r="CW268" s="77"/>
      <c r="CX268" s="77"/>
      <c r="CY268" s="77"/>
      <c r="CZ268" s="77"/>
      <c r="DA268" s="77"/>
      <c r="DB268" s="77"/>
      <c r="DC268" s="77"/>
      <c r="DD268" s="77"/>
      <c r="DE268" s="77"/>
      <c r="DF268" s="77"/>
      <c r="DG268" s="77"/>
      <c r="DH268" s="77"/>
      <c r="DI268" s="77"/>
      <c r="DJ268" s="77"/>
      <c r="DK268" s="77"/>
      <c r="DL268" s="77"/>
      <c r="DM268" s="77"/>
      <c r="DN268" s="77"/>
      <c r="DO268" s="77"/>
      <c r="DP268" s="77"/>
      <c r="DQ268" s="77"/>
      <c r="DR268" s="77"/>
      <c r="DS268" s="77"/>
      <c r="DT268" s="77"/>
      <c r="DU268" s="77"/>
      <c r="DV268" s="77"/>
      <c r="DW268" s="77"/>
      <c r="DX268" s="77"/>
      <c r="DY268" s="77"/>
      <c r="DZ268" s="77"/>
      <c r="EA268" s="77"/>
      <c r="EB268" s="77"/>
      <c r="EC268" s="77"/>
      <c r="ED268" s="77"/>
      <c r="EE268" s="77"/>
      <c r="EF268" s="77"/>
      <c r="EG268" s="77"/>
      <c r="EH268" s="77"/>
      <c r="EI268" s="77"/>
      <c r="EJ268" s="77"/>
      <c r="EK268" s="77"/>
      <c r="EL268" s="77"/>
      <c r="EM268" s="77"/>
      <c r="EN268" s="77"/>
      <c r="EO268" s="77"/>
      <c r="EP268" s="77"/>
      <c r="ER268" s="77"/>
      <c r="ES268" s="77"/>
      <c r="ET268" s="77"/>
      <c r="EU268" s="77"/>
      <c r="EV268" s="77"/>
      <c r="EW268" s="77"/>
      <c r="EX268" s="77"/>
      <c r="EY268" s="77"/>
      <c r="EZ268" s="77"/>
      <c r="FA268" s="77"/>
      <c r="FB268" s="77"/>
      <c r="FC268" s="77"/>
      <c r="FD268" s="77"/>
      <c r="FE268" s="77"/>
      <c r="FF268" s="77"/>
      <c r="FG268" s="77"/>
      <c r="FH268" s="77"/>
      <c r="FI268" s="77"/>
      <c r="FJ268" s="77"/>
      <c r="FK268" s="77"/>
      <c r="FL268" s="77"/>
      <c r="FM268" s="77"/>
      <c r="FN268" s="77"/>
      <c r="FO268" s="77"/>
      <c r="FP268" s="77"/>
      <c r="FQ268" s="77"/>
      <c r="FR268" s="77"/>
      <c r="FS268" s="77"/>
      <c r="FT268" s="77"/>
      <c r="FU268" s="77"/>
      <c r="FV268" s="77"/>
      <c r="FW268" s="77"/>
      <c r="FX268" s="77"/>
      <c r="FY268" s="77"/>
      <c r="FZ268" s="77"/>
      <c r="GA268" s="77"/>
      <c r="GB268" s="77"/>
      <c r="GC268" s="77"/>
      <c r="GD268" s="77"/>
      <c r="GE268" s="77"/>
      <c r="GF268" s="77"/>
      <c r="GG268" s="77"/>
      <c r="GH268" s="77"/>
      <c r="GI268" s="77"/>
      <c r="GJ268" s="77"/>
      <c r="GK268" s="77"/>
      <c r="GL268" s="77"/>
      <c r="GM268" s="77"/>
      <c r="GN268" s="77"/>
      <c r="GO268" s="77"/>
      <c r="GP268" s="77"/>
      <c r="GQ268" s="77"/>
      <c r="GR268" s="77"/>
      <c r="GS268" s="77"/>
      <c r="GT268" s="77"/>
      <c r="GU268" s="77"/>
      <c r="GV268" s="77"/>
      <c r="GW268" s="77"/>
      <c r="GX268" s="77"/>
      <c r="GY268" s="77"/>
      <c r="GZ268" s="77"/>
      <c r="HA268" s="77"/>
      <c r="HB268" s="77"/>
      <c r="HC268" s="77"/>
      <c r="HD268" s="77"/>
      <c r="HE268" s="77"/>
      <c r="HF268" s="77"/>
      <c r="HG268" s="77"/>
      <c r="HH268" s="77"/>
      <c r="HI268" s="77"/>
      <c r="HJ268" s="77"/>
      <c r="HK268" s="77"/>
      <c r="HL268" s="77"/>
      <c r="HM268" s="77"/>
      <c r="HN268" s="77"/>
      <c r="HO268" s="77"/>
      <c r="HP268" s="77"/>
      <c r="HQ268" s="77"/>
      <c r="HR268" s="77"/>
      <c r="HS268" s="77"/>
      <c r="HT268" s="77"/>
      <c r="HU268" s="77"/>
      <c r="HV268" s="77"/>
      <c r="HW268" s="77"/>
      <c r="HX268" s="77"/>
      <c r="HY268" s="77"/>
      <c r="HZ268" s="77"/>
      <c r="IA268" s="77"/>
      <c r="IB268" s="77"/>
      <c r="IC268" s="77"/>
      <c r="KM268" s="77"/>
      <c r="KN268" s="77"/>
      <c r="KO268" s="77"/>
      <c r="KP268" s="77"/>
      <c r="KQ268" s="77"/>
      <c r="KR268" s="77"/>
      <c r="KS268" s="77"/>
      <c r="KT268" s="77"/>
      <c r="KU268" s="77"/>
      <c r="KV268" s="77"/>
      <c r="KW268" s="77"/>
      <c r="KX268" s="77"/>
      <c r="KY268" s="77"/>
      <c r="KZ268" s="77"/>
      <c r="LA268" s="77"/>
      <c r="LB268" s="77"/>
      <c r="LC268" s="77"/>
      <c r="LD268" s="77"/>
      <c r="LE268" s="77"/>
      <c r="LF268" s="77"/>
      <c r="LG268" s="77"/>
      <c r="LH268" s="77"/>
      <c r="LI268" s="77"/>
      <c r="LJ268" s="77"/>
      <c r="LK268" s="77"/>
      <c r="LL268" s="77"/>
      <c r="LM268" s="77"/>
      <c r="LN268" s="77"/>
      <c r="LO268" s="77"/>
      <c r="LP268" s="77"/>
      <c r="LQ268" s="77"/>
      <c r="LR268" s="77"/>
      <c r="LS268" s="77"/>
      <c r="LT268" s="77"/>
      <c r="LU268" s="77"/>
      <c r="LV268" s="77"/>
      <c r="LW268" s="77"/>
      <c r="LX268" s="77"/>
      <c r="LY268" s="77"/>
      <c r="LZ268" s="77"/>
      <c r="MA268" s="77"/>
      <c r="MB268" s="77"/>
      <c r="MC268" s="77"/>
      <c r="MD268" s="77"/>
      <c r="ME268" s="77"/>
      <c r="MF268" s="77"/>
      <c r="MG268" s="77"/>
      <c r="MH268" s="77"/>
      <c r="MI268" s="77"/>
      <c r="MJ268" s="77"/>
      <c r="MK268" s="77"/>
      <c r="ML268" s="77"/>
      <c r="MM268" s="77"/>
      <c r="MN268" s="77"/>
      <c r="MO268" s="77"/>
      <c r="MP268" s="77"/>
      <c r="MQ268" s="77"/>
      <c r="MR268" s="77"/>
      <c r="MT268" s="77"/>
      <c r="MU268" s="77"/>
      <c r="MV268" s="77"/>
      <c r="MW268" s="77"/>
      <c r="MX268" s="77"/>
      <c r="MY268" s="77"/>
      <c r="MZ268" s="77"/>
      <c r="NA268" s="77"/>
      <c r="NB268" s="77"/>
      <c r="NC268" s="77"/>
    </row>
    <row r="269" spans="1:421" ht="18.600000000000001" customHeight="1" x14ac:dyDescent="0.25">
      <c r="A269" s="119" t="s">
        <v>2618</v>
      </c>
      <c r="B269" s="27" t="s">
        <v>4567</v>
      </c>
      <c r="C269" s="27" t="s">
        <v>4568</v>
      </c>
      <c r="D269" s="30" t="str">
        <f>HYPERLINK("https://twitter.com/USApoRusski","https://twitter.com/USApoRusski")</f>
        <v>https://twitter.com/USApoRusski</v>
      </c>
      <c r="E269" s="30" t="str">
        <f>HYPERLINK("http://twiplomacy.com/info/north-america/United-States","http://twiplomacy.com/info/north-america/United-States")</f>
        <v>http://twiplomacy.com/info/north-america/United-States</v>
      </c>
      <c r="F269" s="10" t="s">
        <v>558</v>
      </c>
      <c r="G269" s="10" t="s">
        <v>633</v>
      </c>
      <c r="H269" s="10" t="s">
        <v>2539</v>
      </c>
      <c r="I269" s="10" t="s">
        <v>782</v>
      </c>
      <c r="J269" s="27" t="s">
        <v>789</v>
      </c>
      <c r="K269" s="15" t="s">
        <v>777</v>
      </c>
      <c r="L269" s="10" t="s">
        <v>771</v>
      </c>
      <c r="M269" s="10" t="s">
        <v>770</v>
      </c>
      <c r="N269" s="30" t="str">
        <f>HYPERLINK("https://twitter.com/USApoRusski/statuses/39989290742190080","https://twitter.com/USApoRusski/statuses/39989290742190080")</f>
        <v>https://twitter.com/USApoRusski/statuses/39989290742190080</v>
      </c>
      <c r="O269" s="27" t="s">
        <v>6123</v>
      </c>
      <c r="P269" s="80">
        <v>323</v>
      </c>
      <c r="Q269" s="80">
        <v>118</v>
      </c>
      <c r="R269" s="27" t="s">
        <v>2994</v>
      </c>
      <c r="S269" s="10" t="s">
        <v>2619</v>
      </c>
      <c r="T269" s="10" t="s">
        <v>771</v>
      </c>
      <c r="U269" s="10" t="s">
        <v>771</v>
      </c>
      <c r="V269" s="10" t="s">
        <v>771</v>
      </c>
      <c r="W269" s="10"/>
      <c r="X269" s="27" t="s">
        <v>2618</v>
      </c>
      <c r="Y269" s="27" t="s">
        <v>4567</v>
      </c>
      <c r="Z269" s="80">
        <v>3765</v>
      </c>
      <c r="AA269" s="27">
        <v>142</v>
      </c>
      <c r="AB269" s="80">
        <v>8505</v>
      </c>
      <c r="AC269" s="27">
        <v>6</v>
      </c>
      <c r="AD269" s="27" t="s">
        <v>4569</v>
      </c>
      <c r="AE269" s="27">
        <v>254120931</v>
      </c>
      <c r="AF269" s="27" t="s">
        <v>4568</v>
      </c>
      <c r="AG269" s="27"/>
      <c r="AH269" s="79">
        <v>1.98157894736842</v>
      </c>
      <c r="AI269" s="83">
        <v>2.2601398601398599</v>
      </c>
      <c r="AJ269" s="80">
        <v>7.6972445064527397</v>
      </c>
      <c r="AK269" s="80">
        <v>3.0917335193582098</v>
      </c>
      <c r="AL269" s="96">
        <v>27</v>
      </c>
      <c r="AM269" s="97">
        <f t="shared" si="4"/>
        <v>8.4375000000000006E-3</v>
      </c>
      <c r="AN269" s="27" t="s">
        <v>2618</v>
      </c>
      <c r="AO269" s="27">
        <v>7</v>
      </c>
      <c r="AP269" s="27">
        <v>4</v>
      </c>
      <c r="AQ269" s="27">
        <v>5</v>
      </c>
      <c r="AR269" s="27">
        <f>SUM(AO269:AQ269)</f>
        <v>16</v>
      </c>
      <c r="AS269" s="27" t="s">
        <v>5548</v>
      </c>
      <c r="AT269" s="27" t="s">
        <v>5549</v>
      </c>
      <c r="AU269" s="84" t="s">
        <v>4985</v>
      </c>
      <c r="AV269" s="75"/>
      <c r="AW269" s="75"/>
      <c r="AX269" s="75"/>
      <c r="AY269" s="75"/>
      <c r="AZ269" s="75"/>
      <c r="BA269" s="75"/>
      <c r="BB269" s="75"/>
      <c r="BC269" s="75"/>
      <c r="BD269" s="75"/>
      <c r="BE269" s="75"/>
      <c r="BF269" s="75"/>
      <c r="BG269" s="75"/>
      <c r="BH269" s="75"/>
      <c r="BI269" s="75"/>
      <c r="BJ269" s="75"/>
      <c r="BK269" s="75"/>
      <c r="BL269" s="75"/>
      <c r="BM269" s="77"/>
      <c r="BN269" s="61"/>
      <c r="BO269" s="61"/>
      <c r="BP269" s="61"/>
      <c r="BQ269" s="77"/>
      <c r="BR269" s="77"/>
      <c r="BS269" s="77"/>
      <c r="BT269" s="77"/>
      <c r="BU269" s="77"/>
      <c r="BV269" s="77"/>
      <c r="BW269" s="77"/>
      <c r="BX269" s="77"/>
      <c r="BY269" s="77"/>
      <c r="BZ269" s="77"/>
      <c r="CA269" s="77"/>
      <c r="CB269" s="77"/>
      <c r="CC269" s="77"/>
      <c r="CD269" s="77"/>
      <c r="CE269" s="77"/>
      <c r="CF269" s="77"/>
      <c r="CG269" s="77"/>
      <c r="CH269" s="77"/>
      <c r="CI269" s="77"/>
      <c r="CJ269" s="77"/>
      <c r="CK269" s="77"/>
      <c r="CL269" s="77"/>
      <c r="CM269" s="77"/>
      <c r="CN269" s="77"/>
      <c r="CO269" s="77"/>
      <c r="CP269" s="77"/>
      <c r="CQ269" s="77"/>
      <c r="CR269" s="77"/>
      <c r="CS269" s="77"/>
      <c r="CT269" s="77"/>
      <c r="CU269" s="77"/>
      <c r="CV269" s="77"/>
      <c r="CW269" s="77"/>
      <c r="CX269" s="77"/>
      <c r="CY269" s="77"/>
      <c r="CZ269" s="77"/>
      <c r="DA269" s="77"/>
      <c r="DB269" s="77"/>
      <c r="DC269" s="77"/>
      <c r="DD269" s="77"/>
      <c r="DE269" s="77"/>
      <c r="DF269" s="77"/>
      <c r="DG269" s="77"/>
      <c r="DH269" s="77"/>
      <c r="DI269" s="77"/>
      <c r="DJ269" s="77"/>
      <c r="DK269" s="77"/>
      <c r="DL269" s="77"/>
      <c r="DM269" s="77"/>
      <c r="DN269" s="77"/>
      <c r="DO269" s="77"/>
      <c r="DP269" s="77"/>
      <c r="DQ269" s="77"/>
      <c r="DR269" s="77"/>
      <c r="DS269" s="77"/>
      <c r="DT269" s="77"/>
      <c r="DU269" s="77"/>
      <c r="DV269" s="77"/>
      <c r="DW269" s="77"/>
      <c r="DX269" s="77"/>
      <c r="DY269" s="77"/>
      <c r="DZ269" s="77"/>
      <c r="EA269" s="77"/>
      <c r="EB269" s="77"/>
      <c r="EC269" s="77"/>
      <c r="ED269" s="77"/>
      <c r="EE269" s="77"/>
      <c r="EF269" s="77"/>
      <c r="EG269" s="77"/>
      <c r="EH269" s="77"/>
      <c r="EI269" s="77"/>
      <c r="EJ269" s="77"/>
      <c r="EK269" s="77"/>
      <c r="EL269" s="77"/>
      <c r="EM269" s="77"/>
      <c r="EN269" s="77"/>
      <c r="EO269" s="77"/>
      <c r="EQ269" s="77"/>
      <c r="ER269" s="77"/>
      <c r="ES269" s="77"/>
      <c r="ET269" s="77"/>
      <c r="EU269" s="77"/>
      <c r="EV269" s="77"/>
      <c r="EW269" s="77"/>
      <c r="EX269" s="77"/>
      <c r="EY269" s="77"/>
      <c r="EZ269" s="77"/>
      <c r="FA269" s="77"/>
      <c r="FB269" s="77"/>
      <c r="FC269" s="77"/>
      <c r="FD269" s="77"/>
      <c r="FE269" s="77"/>
      <c r="FF269" s="77"/>
      <c r="FG269" s="77"/>
      <c r="FH269" s="77"/>
      <c r="FI269" s="77"/>
      <c r="FJ269" s="77"/>
      <c r="FK269" s="77"/>
      <c r="FL269" s="77"/>
      <c r="FM269" s="77"/>
      <c r="FN269" s="77"/>
      <c r="FO269" s="77"/>
      <c r="FP269" s="77"/>
      <c r="FQ269" s="77"/>
      <c r="FR269" s="77"/>
      <c r="FS269" s="77"/>
      <c r="FT269" s="77"/>
      <c r="FU269" s="77"/>
      <c r="FV269" s="77"/>
      <c r="FW269" s="77"/>
      <c r="FX269" s="77"/>
      <c r="FY269" s="77"/>
      <c r="FZ269" s="77"/>
      <c r="GA269" s="77"/>
      <c r="GB269" s="77"/>
      <c r="GC269" s="77"/>
      <c r="GD269" s="77"/>
      <c r="GE269" s="77"/>
      <c r="GF269" s="77"/>
      <c r="GG269" s="77"/>
      <c r="GH269" s="77"/>
      <c r="GI269" s="77"/>
      <c r="GJ269" s="77"/>
      <c r="GK269" s="77"/>
      <c r="GL269" s="77"/>
      <c r="GM269" s="77"/>
      <c r="GN269" s="77"/>
      <c r="GO269" s="77"/>
      <c r="GP269" s="77"/>
      <c r="GQ269" s="77"/>
      <c r="GR269" s="77"/>
      <c r="GS269" s="77"/>
      <c r="GT269" s="77"/>
      <c r="GU269" s="77"/>
      <c r="GV269" s="77"/>
      <c r="GW269" s="77"/>
      <c r="GX269" s="77"/>
      <c r="GY269" s="77"/>
      <c r="GZ269" s="77"/>
      <c r="HA269" s="77"/>
      <c r="HB269" s="77"/>
      <c r="HC269" s="77"/>
      <c r="HD269" s="77"/>
      <c r="HE269" s="77"/>
      <c r="HF269" s="77"/>
      <c r="HG269" s="77"/>
      <c r="HH269" s="77"/>
      <c r="HI269" s="77"/>
      <c r="HJ269" s="77"/>
      <c r="HK269" s="77"/>
      <c r="HL269" s="77"/>
      <c r="HM269" s="77"/>
      <c r="HN269" s="77"/>
      <c r="HO269" s="77"/>
      <c r="HP269" s="77"/>
      <c r="HQ269" s="77"/>
      <c r="HR269" s="77"/>
      <c r="HS269" s="77"/>
      <c r="HT269" s="77"/>
      <c r="HU269" s="77"/>
      <c r="HV269" s="77"/>
      <c r="HW269" s="77"/>
      <c r="HX269" s="77"/>
      <c r="HY269" s="77"/>
      <c r="HZ269" s="77"/>
      <c r="IA269" s="77"/>
      <c r="IB269" s="77"/>
      <c r="IC269" s="77"/>
      <c r="IF269" s="77"/>
      <c r="IG269" s="77"/>
      <c r="IH269" s="77"/>
      <c r="II269" s="77"/>
      <c r="IJ269" s="77"/>
      <c r="IK269" s="77"/>
      <c r="IL269" s="77"/>
      <c r="IM269" s="77"/>
      <c r="IN269" s="77"/>
      <c r="IO269" s="77"/>
      <c r="IP269" s="77"/>
      <c r="IQ269" s="77"/>
      <c r="IR269" s="77"/>
      <c r="IS269" s="77"/>
      <c r="IT269" s="77"/>
      <c r="IU269" s="77"/>
      <c r="IV269" s="77"/>
      <c r="IW269" s="77"/>
      <c r="IX269" s="77"/>
      <c r="IY269" s="77"/>
      <c r="IZ269" s="77"/>
      <c r="JA269" s="77"/>
      <c r="JB269" s="77"/>
      <c r="JC269" s="77"/>
      <c r="JD269" s="77"/>
      <c r="JE269" s="77"/>
      <c r="JF269" s="77"/>
      <c r="JG269" s="77"/>
      <c r="JH269" s="77"/>
      <c r="JI269" s="77"/>
      <c r="JJ269" s="77"/>
      <c r="JK269" s="77"/>
      <c r="JL269" s="77"/>
      <c r="JM269" s="77"/>
      <c r="JN269" s="77"/>
      <c r="JO269" s="77"/>
      <c r="JP269" s="77"/>
      <c r="JQ269" s="77"/>
      <c r="JR269" s="77"/>
      <c r="JS269" s="77"/>
      <c r="JT269" s="77"/>
      <c r="JU269" s="77"/>
      <c r="JV269" s="77"/>
      <c r="JW269" s="77"/>
      <c r="JX269" s="77"/>
      <c r="KM269" s="77"/>
      <c r="KN269" s="77"/>
      <c r="KO269" s="77"/>
      <c r="KP269" s="77"/>
      <c r="KQ269" s="77"/>
      <c r="KR269" s="77"/>
      <c r="KS269" s="77"/>
      <c r="KT269" s="77"/>
      <c r="KU269" s="77"/>
      <c r="KV269" s="77"/>
      <c r="KW269" s="77"/>
      <c r="KX269" s="77"/>
      <c r="KY269" s="77"/>
      <c r="KZ269" s="77"/>
      <c r="LA269" s="77"/>
      <c r="LB269" s="77"/>
      <c r="LC269" s="77"/>
      <c r="LD269" s="77"/>
      <c r="LE269" s="77"/>
      <c r="LF269" s="77"/>
      <c r="LG269" s="77"/>
      <c r="LH269" s="77"/>
      <c r="LI269" s="77"/>
      <c r="LJ269" s="77"/>
      <c r="LK269" s="77"/>
      <c r="LL269" s="77"/>
      <c r="LM269" s="77"/>
      <c r="LN269" s="77"/>
      <c r="LO269" s="77"/>
      <c r="LP269" s="77"/>
      <c r="LQ269" s="77"/>
      <c r="LR269" s="77"/>
      <c r="LS269" s="77"/>
      <c r="LT269" s="77"/>
      <c r="LU269" s="77"/>
      <c r="LV269" s="77"/>
      <c r="MS269" s="77"/>
      <c r="MT269" s="77"/>
      <c r="MU269" s="77"/>
      <c r="MV269" s="77"/>
      <c r="MW269" s="77"/>
      <c r="MX269" s="77"/>
      <c r="MY269" s="77"/>
      <c r="MZ269" s="77"/>
      <c r="NA269" s="77"/>
      <c r="NB269" s="77"/>
      <c r="NC269" s="77"/>
    </row>
    <row r="270" spans="1:421" ht="18.600000000000001" customHeight="1" x14ac:dyDescent="0.25">
      <c r="A270" s="119" t="s">
        <v>220</v>
      </c>
      <c r="B270" s="27" t="s">
        <v>1406</v>
      </c>
      <c r="C270" s="27" t="s">
        <v>1407</v>
      </c>
      <c r="D270" s="30" t="str">
        <f>HYPERLINK("https://twitter.com/DrEnsour","https://twitter.com/DrEnsour")</f>
        <v>https://twitter.com/DrEnsour</v>
      </c>
      <c r="E270" s="30" t="str">
        <f>HYPERLINK("http://twiplomacy.com/info/asia/Jordan","http://twiplomacy.com/info/asia/Jordan")</f>
        <v>http://twiplomacy.com/info/asia/Jordan</v>
      </c>
      <c r="F270" s="10" t="s">
        <v>154</v>
      </c>
      <c r="G270" s="10" t="s">
        <v>217</v>
      </c>
      <c r="H270" s="10" t="s">
        <v>776</v>
      </c>
      <c r="I270" s="10" t="s">
        <v>773</v>
      </c>
      <c r="J270" s="27" t="s">
        <v>789</v>
      </c>
      <c r="K270" s="15" t="s">
        <v>777</v>
      </c>
      <c r="L270" s="10"/>
      <c r="M270" s="10" t="s">
        <v>770</v>
      </c>
      <c r="N270" s="30" t="str">
        <f>HYPERLINK("https://twitter.com/DrEnsour/statuses/37197612717187072","https://twitter.com/DrEnsour/statuses/37197612717187072")</f>
        <v>https://twitter.com/DrEnsour/statuses/37197612717187072</v>
      </c>
      <c r="O270" s="27" t="s">
        <v>5809</v>
      </c>
      <c r="P270" s="80">
        <v>20</v>
      </c>
      <c r="Q270" s="80">
        <v>11</v>
      </c>
      <c r="R270" s="27" t="s">
        <v>2995</v>
      </c>
      <c r="S270" s="10" t="s">
        <v>1408</v>
      </c>
      <c r="T270" s="10" t="s">
        <v>771</v>
      </c>
      <c r="U270" s="10" t="s">
        <v>771</v>
      </c>
      <c r="V270" s="10" t="s">
        <v>771</v>
      </c>
      <c r="W270" s="10"/>
      <c r="X270" s="27" t="s">
        <v>220</v>
      </c>
      <c r="Y270" s="27" t="s">
        <v>1406</v>
      </c>
      <c r="Z270" s="80">
        <v>3744</v>
      </c>
      <c r="AA270" s="27">
        <v>0</v>
      </c>
      <c r="AB270" s="80">
        <v>7870</v>
      </c>
      <c r="AC270" s="27">
        <v>0</v>
      </c>
      <c r="AD270" s="27" t="s">
        <v>3625</v>
      </c>
      <c r="AE270" s="27">
        <v>249951608</v>
      </c>
      <c r="AF270" s="27" t="s">
        <v>1407</v>
      </c>
      <c r="AG270" s="27" t="s">
        <v>217</v>
      </c>
      <c r="AH270" s="79">
        <v>1.9622641509434</v>
      </c>
      <c r="AI270" s="83">
        <v>2.8343558282208599</v>
      </c>
      <c r="AJ270" s="80">
        <v>0.71304885590599898</v>
      </c>
      <c r="AK270" s="80">
        <v>1.3447742733457</v>
      </c>
      <c r="AL270" s="13">
        <v>0</v>
      </c>
      <c r="AM270" s="97">
        <f t="shared" si="4"/>
        <v>0</v>
      </c>
      <c r="AN270" s="27" t="s">
        <v>220</v>
      </c>
      <c r="AO270" s="27">
        <v>0</v>
      </c>
      <c r="AP270" s="27">
        <v>5</v>
      </c>
      <c r="AQ270" s="27">
        <v>0</v>
      </c>
      <c r="AR270" s="27">
        <f>SUM(AO270:AQ270)</f>
        <v>5</v>
      </c>
      <c r="AS270" s="27"/>
      <c r="AT270" s="27" t="s">
        <v>5090</v>
      </c>
      <c r="AU270" s="84"/>
      <c r="AV270" s="77"/>
      <c r="AW270" s="77"/>
      <c r="AX270" s="77"/>
      <c r="AY270" s="77"/>
      <c r="AZ270" s="77"/>
      <c r="BA270" s="77"/>
      <c r="BB270" s="77"/>
      <c r="BC270" s="77"/>
      <c r="BD270" s="77"/>
      <c r="BE270" s="77"/>
      <c r="BF270" s="77"/>
      <c r="BG270" s="77"/>
      <c r="BH270" s="77"/>
      <c r="BI270" s="77"/>
      <c r="BJ270" s="77"/>
      <c r="BK270" s="77"/>
      <c r="BL270" s="77"/>
      <c r="BM270" s="77"/>
      <c r="BN270" s="77"/>
      <c r="BO270" s="77"/>
      <c r="BP270" s="77"/>
      <c r="BQ270" s="77"/>
      <c r="BR270" s="77"/>
      <c r="BS270" s="77"/>
      <c r="BT270" s="77"/>
      <c r="BU270" s="77"/>
      <c r="BV270" s="77"/>
      <c r="BW270" s="77"/>
      <c r="BX270" s="77"/>
      <c r="BY270" s="77"/>
      <c r="BZ270" s="77"/>
      <c r="CA270" s="77"/>
      <c r="CB270" s="77"/>
      <c r="CK270" s="77"/>
      <c r="CL270" s="77"/>
      <c r="CM270" s="77"/>
      <c r="CN270" s="77"/>
      <c r="CO270" s="77"/>
      <c r="CP270" s="77"/>
      <c r="CQ270" s="77"/>
      <c r="CR270" s="77"/>
      <c r="CS270" s="77"/>
      <c r="CT270" s="77"/>
      <c r="CU270" s="77"/>
      <c r="CV270" s="77"/>
      <c r="CW270" s="77"/>
      <c r="CX270" s="77"/>
      <c r="CY270" s="77"/>
      <c r="CZ270" s="77"/>
      <c r="DA270" s="77"/>
      <c r="DB270" s="77"/>
      <c r="DC270" s="77"/>
      <c r="DD270" s="77"/>
      <c r="DE270" s="77"/>
      <c r="DF270" s="77"/>
      <c r="DG270" s="77"/>
      <c r="DH270" s="77"/>
      <c r="DI270" s="77"/>
      <c r="DJ270" s="77"/>
      <c r="DK270" s="77"/>
      <c r="DL270" s="77"/>
      <c r="DM270" s="77"/>
      <c r="DN270" s="77"/>
      <c r="DO270" s="77"/>
      <c r="DP270" s="77"/>
      <c r="DQ270" s="77"/>
      <c r="DR270" s="77"/>
      <c r="DS270" s="77"/>
      <c r="DT270" s="77"/>
      <c r="DU270" s="77"/>
      <c r="DV270" s="77"/>
      <c r="DW270" s="77"/>
      <c r="DX270" s="77"/>
      <c r="DY270" s="77"/>
      <c r="DZ270" s="77"/>
      <c r="EA270" s="77"/>
      <c r="EB270" s="77"/>
      <c r="EC270" s="77"/>
      <c r="ED270" s="77"/>
      <c r="EE270" s="77"/>
      <c r="EF270" s="77"/>
      <c r="EG270" s="77"/>
      <c r="EH270" s="77"/>
      <c r="EI270" s="77"/>
      <c r="EJ270" s="77"/>
      <c r="EK270" s="77"/>
      <c r="EL270" s="77"/>
      <c r="EP270" s="77"/>
      <c r="ER270" s="77"/>
      <c r="ES270" s="77"/>
      <c r="ET270" s="77"/>
      <c r="EU270" s="77"/>
      <c r="EV270" s="77"/>
      <c r="EW270" s="77"/>
      <c r="EX270" s="77"/>
      <c r="EY270" s="77"/>
      <c r="EZ270" s="77"/>
      <c r="FA270" s="77"/>
      <c r="FB270" s="77"/>
      <c r="FC270" s="77"/>
      <c r="FD270" s="77"/>
      <c r="FE270" s="77"/>
      <c r="FF270" s="77"/>
      <c r="FG270" s="77"/>
      <c r="FH270" s="77"/>
      <c r="FI270" s="77"/>
      <c r="FJ270" s="77"/>
      <c r="FK270" s="77"/>
      <c r="FL270" s="77"/>
      <c r="FM270" s="77"/>
      <c r="FN270" s="77"/>
      <c r="FO270" s="77"/>
      <c r="FP270" s="77"/>
      <c r="FQ270" s="77"/>
      <c r="FR270" s="77"/>
      <c r="FS270" s="77"/>
      <c r="FT270" s="77"/>
      <c r="FU270" s="77"/>
      <c r="FV270" s="77"/>
      <c r="FW270" s="77"/>
      <c r="FX270" s="77"/>
      <c r="FY270" s="77"/>
      <c r="FZ270" s="77"/>
      <c r="GA270" s="77"/>
      <c r="GB270" s="77"/>
      <c r="GC270" s="77"/>
      <c r="GD270" s="77"/>
      <c r="GE270" s="77"/>
      <c r="GF270" s="77"/>
      <c r="GG270" s="77"/>
      <c r="GH270" s="77"/>
      <c r="GI270" s="77"/>
      <c r="GJ270" s="77"/>
      <c r="GK270" s="77"/>
      <c r="GL270" s="77"/>
      <c r="GM270" s="77"/>
      <c r="GN270" s="77"/>
      <c r="GO270" s="77"/>
      <c r="GP270" s="77"/>
      <c r="GQ270" s="77"/>
      <c r="GR270" s="77"/>
      <c r="GS270" s="77"/>
      <c r="GT270" s="77"/>
      <c r="GU270" s="77"/>
      <c r="GV270" s="77"/>
      <c r="GW270" s="77"/>
      <c r="GX270" s="77"/>
      <c r="GY270" s="77"/>
      <c r="GZ270" s="77"/>
      <c r="HA270" s="77"/>
      <c r="HB270" s="77"/>
      <c r="HC270" s="77"/>
      <c r="HD270" s="77"/>
      <c r="HE270" s="77"/>
      <c r="HF270" s="77"/>
      <c r="HG270" s="77"/>
      <c r="HH270" s="77"/>
      <c r="HI270" s="77"/>
      <c r="HJ270" s="77"/>
      <c r="HK270" s="77"/>
      <c r="HL270" s="16"/>
      <c r="HM270" s="16"/>
      <c r="HN270" s="16"/>
      <c r="HO270" s="16"/>
      <c r="HP270" s="16"/>
      <c r="HQ270" s="16"/>
      <c r="HR270" s="16"/>
      <c r="HS270" s="16"/>
      <c r="HT270" s="16"/>
      <c r="HU270" s="16"/>
      <c r="HV270" s="16"/>
      <c r="HW270" s="16"/>
      <c r="HX270" s="16"/>
      <c r="HY270" s="16"/>
      <c r="HZ270" s="16"/>
      <c r="IA270" s="16"/>
      <c r="IB270" s="16"/>
      <c r="IC270" s="16"/>
      <c r="ID270" s="77"/>
      <c r="IE270" s="77"/>
      <c r="IF270" s="77"/>
      <c r="IG270" s="77"/>
      <c r="IH270" s="77"/>
      <c r="II270" s="77"/>
      <c r="IJ270" s="77"/>
      <c r="IK270" s="77"/>
      <c r="IL270" s="77"/>
      <c r="IM270" s="77"/>
      <c r="IN270" s="77"/>
      <c r="IO270" s="77"/>
      <c r="IP270" s="77"/>
      <c r="IQ270" s="77"/>
      <c r="IR270" s="77"/>
      <c r="IS270" s="77"/>
      <c r="IT270" s="77"/>
      <c r="IU270" s="77"/>
      <c r="IV270" s="77"/>
      <c r="IW270" s="77"/>
      <c r="IX270" s="77"/>
      <c r="IY270" s="77"/>
      <c r="IZ270" s="77"/>
      <c r="JA270" s="77"/>
      <c r="JB270" s="77"/>
      <c r="JC270" s="77"/>
      <c r="JD270" s="77"/>
      <c r="JE270" s="77"/>
      <c r="JF270" s="77"/>
      <c r="JG270" s="77"/>
      <c r="JH270" s="77"/>
      <c r="JI270" s="77"/>
      <c r="JJ270" s="77"/>
      <c r="JK270" s="77"/>
      <c r="JL270" s="77"/>
      <c r="JM270" s="77"/>
      <c r="JN270" s="77"/>
      <c r="JO270" s="77"/>
      <c r="JP270" s="77"/>
      <c r="JQ270" s="77"/>
      <c r="JR270" s="77"/>
      <c r="JS270" s="77"/>
      <c r="JT270" s="77"/>
      <c r="JU270" s="77"/>
      <c r="JV270" s="77"/>
      <c r="JW270" s="77"/>
      <c r="JX270" s="77"/>
      <c r="JY270" s="16"/>
      <c r="JZ270" s="16"/>
      <c r="KA270" s="16"/>
      <c r="KB270" s="16"/>
      <c r="KC270" s="16"/>
      <c r="KD270" s="16"/>
      <c r="KE270" s="16"/>
      <c r="KF270" s="16"/>
      <c r="KG270" s="16"/>
      <c r="KH270" s="16"/>
      <c r="KI270" s="16"/>
      <c r="KJ270" s="16"/>
      <c r="KK270" s="16"/>
      <c r="KL270" s="16"/>
      <c r="KM270" s="77"/>
      <c r="KN270" s="77"/>
      <c r="KO270" s="77"/>
      <c r="KP270" s="77"/>
      <c r="KQ270" s="77"/>
      <c r="KR270" s="77"/>
      <c r="KS270" s="77"/>
      <c r="KT270" s="77"/>
      <c r="KU270" s="77"/>
      <c r="KV270" s="77"/>
      <c r="KW270" s="77"/>
      <c r="KX270" s="77"/>
      <c r="KY270" s="77"/>
      <c r="KZ270" s="77"/>
      <c r="LA270" s="77"/>
      <c r="LB270" s="77"/>
      <c r="LC270" s="77"/>
      <c r="LD270" s="77"/>
      <c r="LE270" s="77"/>
      <c r="LF270" s="77"/>
      <c r="LG270" s="77"/>
      <c r="LH270" s="77"/>
      <c r="LI270" s="77"/>
      <c r="LJ270" s="77"/>
      <c r="LK270" s="77"/>
      <c r="MT270" s="77"/>
      <c r="MU270" s="77"/>
      <c r="MV270" s="77"/>
      <c r="MW270" s="77"/>
      <c r="MX270" s="77"/>
      <c r="MY270" s="77"/>
      <c r="MZ270" s="77"/>
      <c r="NA270" s="77"/>
      <c r="NB270" s="77"/>
      <c r="NC270" s="77"/>
    </row>
    <row r="271" spans="1:421" ht="18.600000000000001" customHeight="1" x14ac:dyDescent="0.25">
      <c r="A271" s="119" t="s">
        <v>361</v>
      </c>
      <c r="B271" s="27" t="s">
        <v>1770</v>
      </c>
      <c r="C271" s="27" t="s">
        <v>1771</v>
      </c>
      <c r="D271" s="30" t="str">
        <f>HYPERLINK("https://twitter.com/MVEP_hr","https://twitter.com/MVEP_hr")</f>
        <v>https://twitter.com/MVEP_hr</v>
      </c>
      <c r="E271" s="30" t="str">
        <f>HYPERLINK("http://twiplomacy.com/info/europe/Croatia","http://twiplomacy.com/info/europe/Croatia")</f>
        <v>http://twiplomacy.com/info/europe/Croatia</v>
      </c>
      <c r="F271" s="10" t="s">
        <v>332</v>
      </c>
      <c r="G271" s="10" t="s">
        <v>358</v>
      </c>
      <c r="H271" s="10" t="s">
        <v>795</v>
      </c>
      <c r="I271" s="10" t="s">
        <v>782</v>
      </c>
      <c r="J271" s="27" t="s">
        <v>789</v>
      </c>
      <c r="K271" s="15" t="s">
        <v>777</v>
      </c>
      <c r="L271" s="10" t="s">
        <v>771</v>
      </c>
      <c r="M271" s="10" t="s">
        <v>770</v>
      </c>
      <c r="N271" s="30" t="str">
        <f>HYPERLINK("https://twitter.com/MVEP_hr/statuses/241167210716995584","https://twitter.com/MVEP_hr/statuses/241167210716995584")</f>
        <v>https://twitter.com/MVEP_hr/statuses/241167210716995584</v>
      </c>
      <c r="O271" s="27" t="s">
        <v>5980</v>
      </c>
      <c r="P271" s="80">
        <v>32</v>
      </c>
      <c r="Q271" s="80">
        <v>20</v>
      </c>
      <c r="R271" s="27" t="s">
        <v>2995</v>
      </c>
      <c r="S271" s="30" t="str">
        <f>HYPERLINK("https://twitter.com/MVEP_hr/lists","https://twitter.com/MVEP_hr/lists")</f>
        <v>https://twitter.com/MVEP_hr/lists</v>
      </c>
      <c r="T271" s="10">
        <v>1</v>
      </c>
      <c r="U271" s="10" t="s">
        <v>771</v>
      </c>
      <c r="V271" s="30" t="str">
        <f>HYPERLINK("https://twitter.com/MVEP_hr/mvep/members","https://twitter.com/MVEP_hr/mvep/members")</f>
        <v>https://twitter.com/MVEP_hr/mvep/members</v>
      </c>
      <c r="W271" s="10">
        <v>0</v>
      </c>
      <c r="X271" s="27" t="s">
        <v>361</v>
      </c>
      <c r="Y271" s="27" t="s">
        <v>1770</v>
      </c>
      <c r="Z271" s="80">
        <v>3733</v>
      </c>
      <c r="AA271" s="27">
        <v>2206</v>
      </c>
      <c r="AB271" s="80">
        <v>12220</v>
      </c>
      <c r="AC271" s="27">
        <v>442</v>
      </c>
      <c r="AD271" s="27" t="s">
        <v>4176</v>
      </c>
      <c r="AE271" s="27">
        <v>791606834</v>
      </c>
      <c r="AF271" s="27" t="s">
        <v>1771</v>
      </c>
      <c r="AG271" s="27" t="s">
        <v>1772</v>
      </c>
      <c r="AH271" s="79">
        <v>2.7837434750186398</v>
      </c>
      <c r="AI271" s="83">
        <v>2.9052346570397098</v>
      </c>
      <c r="AJ271" s="80">
        <v>0.94450317124735705</v>
      </c>
      <c r="AK271" s="80">
        <v>1.19238900634249</v>
      </c>
      <c r="AL271" s="27">
        <v>616</v>
      </c>
      <c r="AM271" s="97">
        <f t="shared" si="4"/>
        <v>0.1925</v>
      </c>
      <c r="AN271" s="27" t="s">
        <v>361</v>
      </c>
      <c r="AO271" s="27">
        <v>61</v>
      </c>
      <c r="AP271" s="27">
        <v>11</v>
      </c>
      <c r="AQ271" s="27">
        <v>61</v>
      </c>
      <c r="AR271" s="27">
        <f>SUM(AO271:AQ271)</f>
        <v>133</v>
      </c>
      <c r="AS271" s="27" t="s">
        <v>6594</v>
      </c>
      <c r="AT271" s="27" t="s">
        <v>6325</v>
      </c>
      <c r="AU271" s="84" t="s">
        <v>4874</v>
      </c>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71"/>
      <c r="BR271" s="71"/>
      <c r="BS271" s="71"/>
      <c r="BT271" s="71"/>
      <c r="BU271" s="71"/>
      <c r="BV271" s="71"/>
      <c r="BW271" s="71"/>
      <c r="BX271" s="71"/>
      <c r="BY271" s="71"/>
      <c r="BZ271" s="71"/>
      <c r="CA271" s="71"/>
      <c r="CB271" s="71"/>
      <c r="CC271" s="77"/>
      <c r="CD271" s="77"/>
      <c r="CE271" s="77"/>
      <c r="CF271" s="77"/>
      <c r="CG271" s="77"/>
      <c r="CH271" s="77"/>
      <c r="CI271" s="77"/>
      <c r="CJ271" s="77"/>
      <c r="CK271" s="77"/>
      <c r="CL271" s="77"/>
      <c r="CM271" s="77"/>
      <c r="CN271" s="77"/>
      <c r="CO271" s="77"/>
      <c r="CP271" s="77"/>
      <c r="CQ271" s="77"/>
      <c r="CR271" s="77"/>
      <c r="CS271" s="77"/>
      <c r="CT271" s="77"/>
      <c r="CU271" s="77"/>
      <c r="CV271" s="77"/>
      <c r="CW271" s="77"/>
      <c r="EM271" s="77"/>
      <c r="EN271" s="77"/>
      <c r="EO271" s="77"/>
      <c r="EP271" s="77"/>
      <c r="EQ271" s="77"/>
      <c r="GL271" s="77"/>
      <c r="GM271" s="77"/>
      <c r="GN271" s="77"/>
      <c r="GO271" s="77"/>
      <c r="GP271" s="77"/>
      <c r="GQ271" s="77"/>
      <c r="GR271" s="77"/>
      <c r="GS271" s="77"/>
      <c r="GT271" s="77"/>
      <c r="GU271" s="77"/>
      <c r="GV271" s="77"/>
      <c r="GW271" s="77"/>
      <c r="GX271" s="77"/>
      <c r="GY271" s="77"/>
      <c r="GZ271" s="77"/>
      <c r="HA271" s="77"/>
      <c r="HB271" s="77"/>
      <c r="HC271" s="77"/>
      <c r="HD271" s="77"/>
      <c r="HE271" s="77"/>
      <c r="HF271" s="77"/>
      <c r="HG271" s="77"/>
      <c r="HH271" s="77"/>
      <c r="HI271" s="77"/>
      <c r="HJ271" s="77"/>
      <c r="HK271" s="77"/>
      <c r="HL271" s="77"/>
      <c r="HM271" s="77"/>
      <c r="HN271" s="77"/>
      <c r="HO271" s="77"/>
      <c r="HP271" s="77"/>
      <c r="HQ271" s="77"/>
      <c r="HR271" s="77"/>
      <c r="HS271" s="77"/>
      <c r="HT271" s="77"/>
      <c r="HU271" s="77"/>
      <c r="HV271" s="77"/>
      <c r="HW271" s="77"/>
      <c r="HX271" s="77"/>
      <c r="HY271" s="77"/>
      <c r="HZ271" s="77"/>
      <c r="IA271" s="77"/>
      <c r="IB271" s="77"/>
      <c r="IC271" s="77"/>
      <c r="KM271" s="77"/>
      <c r="KN271" s="77"/>
      <c r="KO271" s="77"/>
      <c r="KP271" s="77"/>
      <c r="KQ271" s="77"/>
      <c r="KR271" s="77"/>
      <c r="KS271" s="77"/>
      <c r="KT271" s="77"/>
      <c r="KU271" s="77"/>
      <c r="KV271" s="77"/>
      <c r="KW271" s="77"/>
      <c r="KX271" s="77"/>
      <c r="KY271" s="77"/>
      <c r="KZ271" s="77"/>
      <c r="LA271" s="77"/>
      <c r="LB271" s="77"/>
      <c r="LC271" s="77"/>
      <c r="LD271" s="77"/>
      <c r="LE271" s="77"/>
      <c r="LF271" s="77"/>
      <c r="LG271" s="77"/>
      <c r="LH271" s="77"/>
      <c r="LI271" s="77"/>
      <c r="LJ271" s="77"/>
      <c r="LK271" s="77"/>
      <c r="LL271" s="77"/>
      <c r="LM271" s="77"/>
      <c r="LN271" s="77"/>
      <c r="LO271" s="77"/>
      <c r="LP271" s="77"/>
      <c r="LQ271" s="77"/>
      <c r="LR271" s="77"/>
      <c r="LS271" s="77"/>
      <c r="LT271" s="77"/>
      <c r="LU271" s="77"/>
      <c r="LV271" s="77"/>
      <c r="LW271" s="77"/>
      <c r="LX271" s="77"/>
      <c r="LY271" s="77"/>
      <c r="LZ271" s="77"/>
      <c r="MA271" s="77"/>
      <c r="MB271" s="77"/>
      <c r="MC271" s="77"/>
      <c r="MD271" s="77"/>
      <c r="ME271" s="77"/>
      <c r="MF271" s="77"/>
      <c r="MG271" s="77"/>
      <c r="MH271" s="77"/>
      <c r="MI271" s="77"/>
      <c r="MJ271" s="77"/>
      <c r="MK271" s="77"/>
      <c r="ML271" s="77"/>
      <c r="MM271" s="77"/>
      <c r="MN271" s="77"/>
      <c r="MO271" s="77"/>
      <c r="MP271" s="77"/>
      <c r="MQ271" s="77"/>
      <c r="MR271" s="77"/>
    </row>
    <row r="272" spans="1:421" ht="18.600000000000001" customHeight="1" x14ac:dyDescent="0.25">
      <c r="A272" s="119" t="s">
        <v>657</v>
      </c>
      <c r="B272" s="27" t="s">
        <v>2649</v>
      </c>
      <c r="C272" s="27" t="s">
        <v>3894</v>
      </c>
      <c r="D272" s="30" t="str">
        <f>HYPERLINK("https://twitter.com/johnkeypm","https://twitter.com/johnkeypm")</f>
        <v>https://twitter.com/johnkeypm</v>
      </c>
      <c r="E272" s="30" t="str">
        <f>HYPERLINK("http://twiplomacy.com/info/oceania/New-Zealand","http://twiplomacy.com/info/oceania/New-Zealand")</f>
        <v>http://twiplomacy.com/info/oceania/New-Zealand</v>
      </c>
      <c r="F272" s="10" t="s">
        <v>643</v>
      </c>
      <c r="G272" s="10" t="s">
        <v>656</v>
      </c>
      <c r="H272" s="10" t="s">
        <v>776</v>
      </c>
      <c r="I272" s="10" t="s">
        <v>773</v>
      </c>
      <c r="J272" s="27" t="s">
        <v>789</v>
      </c>
      <c r="K272" s="15" t="s">
        <v>777</v>
      </c>
      <c r="L272" s="10" t="s">
        <v>770</v>
      </c>
      <c r="M272" s="10" t="s">
        <v>770</v>
      </c>
      <c r="N272" s="30" t="str">
        <f>HYPERLINK("https://twitter.com/johnkeypm/statuses/1542432530","https://twitter.com/johnkeypm/statuses/1542432530")</f>
        <v>https://twitter.com/johnkeypm/statuses/1542432530</v>
      </c>
      <c r="O272" s="27" t="s">
        <v>2650</v>
      </c>
      <c r="P272" s="80">
        <v>1401</v>
      </c>
      <c r="Q272" s="80">
        <v>350</v>
      </c>
      <c r="R272" s="27" t="s">
        <v>2994</v>
      </c>
      <c r="S272" s="10" t="s">
        <v>2651</v>
      </c>
      <c r="T272" s="10" t="s">
        <v>771</v>
      </c>
      <c r="U272" s="10" t="s">
        <v>771</v>
      </c>
      <c r="V272" s="10" t="s">
        <v>771</v>
      </c>
      <c r="W272" s="10"/>
      <c r="X272" s="27" t="s">
        <v>657</v>
      </c>
      <c r="Y272" s="27" t="s">
        <v>2649</v>
      </c>
      <c r="Z272" s="80">
        <v>3721</v>
      </c>
      <c r="AA272" s="27">
        <v>2401</v>
      </c>
      <c r="AB272" s="80">
        <v>214257</v>
      </c>
      <c r="AC272" s="27">
        <v>38</v>
      </c>
      <c r="AD272" s="27" t="s">
        <v>3895</v>
      </c>
      <c r="AE272" s="27">
        <v>17380167</v>
      </c>
      <c r="AF272" s="27" t="s">
        <v>3894</v>
      </c>
      <c r="AG272" s="27" t="s">
        <v>656</v>
      </c>
      <c r="AH272" s="79">
        <v>1.36500366837858</v>
      </c>
      <c r="AI272" s="83">
        <v>1.5743842364531999</v>
      </c>
      <c r="AJ272" s="80">
        <v>13.535846516324501</v>
      </c>
      <c r="AK272" s="80">
        <v>18.5149781218445</v>
      </c>
      <c r="AL272" s="27">
        <v>9</v>
      </c>
      <c r="AM272" s="97">
        <f t="shared" si="4"/>
        <v>2.8124999999999999E-3</v>
      </c>
      <c r="AN272" s="27" t="s">
        <v>657</v>
      </c>
      <c r="AO272" s="27">
        <v>11</v>
      </c>
      <c r="AP272" s="27">
        <v>29</v>
      </c>
      <c r="AQ272" s="27">
        <v>7</v>
      </c>
      <c r="AR272" s="27">
        <f>SUM(AO272:AQ272)</f>
        <v>47</v>
      </c>
      <c r="AS272" s="27" t="s">
        <v>6647</v>
      </c>
      <c r="AT272" s="27" t="s">
        <v>6301</v>
      </c>
      <c r="AU272" s="84" t="s">
        <v>4779</v>
      </c>
      <c r="AV272" s="77"/>
      <c r="AW272" s="77"/>
      <c r="AX272" s="77"/>
      <c r="AY272" s="77"/>
      <c r="AZ272" s="77"/>
      <c r="BA272" s="77"/>
      <c r="BB272" s="77"/>
      <c r="BC272" s="77"/>
      <c r="BD272" s="77"/>
      <c r="BE272" s="77"/>
      <c r="BF272" s="77"/>
      <c r="BG272" s="77"/>
      <c r="BH272" s="77"/>
      <c r="BI272" s="77"/>
      <c r="BJ272" s="77"/>
      <c r="BK272" s="77"/>
      <c r="BL272" s="77"/>
      <c r="BM272" s="65"/>
      <c r="BQ272" s="77"/>
      <c r="BR272" s="77"/>
      <c r="BS272" s="77"/>
      <c r="BT272" s="77"/>
      <c r="BU272" s="77"/>
      <c r="BV272" s="77"/>
      <c r="BW272" s="77"/>
      <c r="BX272" s="77"/>
      <c r="BY272" s="77"/>
      <c r="BZ272" s="77"/>
      <c r="CA272" s="77"/>
      <c r="CB272" s="77"/>
      <c r="CC272" s="77"/>
      <c r="CD272" s="77"/>
      <c r="CE272" s="77"/>
      <c r="CF272" s="77"/>
      <c r="CG272" s="77"/>
      <c r="CH272" s="77"/>
      <c r="CI272" s="77"/>
      <c r="CJ272" s="77"/>
      <c r="CK272" s="77"/>
      <c r="CL272" s="77"/>
      <c r="CM272" s="77"/>
      <c r="CN272" s="77"/>
      <c r="CO272" s="77"/>
      <c r="CP272" s="77"/>
      <c r="CQ272" s="77"/>
      <c r="CR272" s="77"/>
      <c r="CS272" s="77"/>
      <c r="CT272" s="77"/>
      <c r="CU272" s="77"/>
      <c r="CV272" s="77"/>
      <c r="CW272" s="77"/>
      <c r="CX272" s="77"/>
      <c r="CY272" s="77"/>
      <c r="CZ272" s="77"/>
      <c r="DA272" s="77"/>
      <c r="DB272" s="77"/>
      <c r="DC272" s="77"/>
      <c r="DD272" s="77"/>
      <c r="DE272" s="77"/>
      <c r="DF272" s="77"/>
      <c r="DG272" s="77"/>
      <c r="DH272" s="77"/>
      <c r="DI272" s="77"/>
      <c r="DJ272" s="77"/>
      <c r="DK272" s="77"/>
      <c r="DL272" s="77"/>
      <c r="DM272" s="77"/>
      <c r="DN272" s="77"/>
      <c r="DO272" s="77"/>
      <c r="DP272" s="77"/>
      <c r="DQ272" s="77"/>
      <c r="DR272" s="77"/>
      <c r="DS272" s="77"/>
      <c r="DT272" s="77"/>
      <c r="DU272" s="77"/>
      <c r="DV272" s="77"/>
      <c r="DW272" s="77"/>
      <c r="DX272" s="77"/>
      <c r="DY272" s="77"/>
      <c r="DZ272" s="77"/>
      <c r="EA272" s="77"/>
      <c r="EB272" s="77"/>
      <c r="EC272" s="77"/>
      <c r="ED272" s="77"/>
      <c r="EE272" s="77"/>
      <c r="EF272" s="77"/>
      <c r="EG272" s="77"/>
      <c r="EH272" s="77"/>
      <c r="EI272" s="77"/>
      <c r="EJ272" s="77"/>
      <c r="EK272" s="77"/>
      <c r="EL272" s="77"/>
      <c r="EP272" s="77"/>
      <c r="EQ272" s="77"/>
      <c r="ER272" s="77"/>
      <c r="ES272" s="77"/>
      <c r="ET272" s="77"/>
      <c r="EU272" s="77"/>
      <c r="EV272" s="77"/>
      <c r="EW272" s="77"/>
      <c r="EX272" s="77"/>
      <c r="EY272" s="77"/>
      <c r="EZ272" s="77"/>
      <c r="FA272" s="77"/>
      <c r="FB272" s="77"/>
      <c r="FC272" s="77"/>
      <c r="FD272" s="77"/>
      <c r="FE272" s="77"/>
      <c r="FF272" s="77"/>
      <c r="FG272" s="77"/>
      <c r="FH272" s="77"/>
      <c r="FI272" s="77"/>
      <c r="FJ272" s="77"/>
      <c r="FK272" s="77"/>
      <c r="FL272" s="77"/>
      <c r="FM272" s="77"/>
      <c r="FN272" s="77"/>
      <c r="FO272" s="77"/>
      <c r="FP272" s="77"/>
      <c r="FQ272" s="77"/>
      <c r="FR272" s="77"/>
      <c r="FS272" s="77"/>
      <c r="FT272" s="77"/>
      <c r="FU272" s="77"/>
      <c r="FV272" s="77"/>
      <c r="FW272" s="77"/>
      <c r="FX272" s="77"/>
      <c r="FY272" s="77"/>
      <c r="FZ272" s="77"/>
      <c r="GA272" s="77"/>
      <c r="GB272" s="77"/>
      <c r="GC272" s="77"/>
      <c r="GD272" s="77"/>
      <c r="GE272" s="77"/>
      <c r="GF272" s="77"/>
      <c r="GG272" s="77"/>
      <c r="GH272" s="77"/>
      <c r="GI272" s="77"/>
      <c r="GJ272" s="77"/>
      <c r="GK272" s="77"/>
      <c r="GL272" s="77"/>
      <c r="GM272" s="77"/>
      <c r="GN272" s="77"/>
      <c r="GO272" s="77"/>
      <c r="GP272" s="77"/>
      <c r="GQ272" s="77"/>
      <c r="GR272" s="77"/>
      <c r="GS272" s="77"/>
      <c r="GT272" s="77"/>
      <c r="GU272" s="77"/>
      <c r="GV272" s="77"/>
      <c r="GW272" s="77"/>
      <c r="GX272" s="77"/>
      <c r="GY272" s="77"/>
      <c r="GZ272" s="77"/>
      <c r="HA272" s="77"/>
      <c r="HB272" s="77"/>
      <c r="HC272" s="77"/>
      <c r="HD272" s="77"/>
      <c r="HE272" s="77"/>
      <c r="HF272" s="77"/>
      <c r="HG272" s="77"/>
      <c r="HH272" s="77"/>
      <c r="HI272" s="77"/>
      <c r="HJ272" s="77"/>
      <c r="HK272" s="77"/>
      <c r="HL272" s="77"/>
      <c r="HM272" s="77"/>
      <c r="HN272" s="77"/>
      <c r="HO272" s="77"/>
      <c r="HP272" s="77"/>
      <c r="HQ272" s="77"/>
      <c r="HR272" s="77"/>
      <c r="HS272" s="77"/>
      <c r="HT272" s="77"/>
      <c r="HU272" s="77"/>
      <c r="HV272" s="77"/>
      <c r="HW272" s="77"/>
      <c r="HX272" s="77"/>
      <c r="HY272" s="77"/>
      <c r="HZ272" s="77"/>
      <c r="IA272" s="77"/>
      <c r="IB272" s="77"/>
      <c r="IC272" s="77"/>
      <c r="ID272" s="77"/>
      <c r="IE272" s="77"/>
      <c r="IF272" s="77"/>
      <c r="IG272" s="77"/>
      <c r="IH272" s="77"/>
      <c r="II272" s="77"/>
      <c r="IJ272" s="77"/>
      <c r="IK272" s="77"/>
      <c r="IL272" s="77"/>
      <c r="IM272" s="77"/>
      <c r="IN272" s="77"/>
      <c r="IO272" s="77"/>
      <c r="IP272" s="77"/>
      <c r="IQ272" s="77"/>
      <c r="IR272" s="77"/>
      <c r="IS272" s="77"/>
      <c r="IT272" s="77"/>
      <c r="IU272" s="77"/>
      <c r="IV272" s="77"/>
      <c r="IW272" s="77"/>
      <c r="IX272" s="77"/>
      <c r="IY272" s="77"/>
      <c r="IZ272" s="77"/>
      <c r="JA272" s="77"/>
      <c r="JB272" s="77"/>
      <c r="JC272" s="77"/>
      <c r="JD272" s="77"/>
      <c r="JE272" s="77"/>
      <c r="JF272" s="77"/>
      <c r="JG272" s="77"/>
      <c r="JH272" s="77"/>
      <c r="JI272" s="77"/>
      <c r="JJ272" s="77"/>
      <c r="JK272" s="77"/>
      <c r="JL272" s="77"/>
      <c r="JM272" s="77"/>
      <c r="JN272" s="77"/>
      <c r="JO272" s="77"/>
      <c r="JP272" s="77"/>
      <c r="JQ272" s="77"/>
      <c r="JR272" s="77"/>
      <c r="JS272" s="77"/>
      <c r="JT272" s="77"/>
      <c r="JU272" s="77"/>
      <c r="JV272" s="77"/>
      <c r="JW272" s="77"/>
      <c r="JX272" s="77"/>
      <c r="KM272" s="77"/>
      <c r="KN272" s="77"/>
      <c r="KO272" s="77"/>
      <c r="KP272" s="77"/>
      <c r="KQ272" s="77"/>
      <c r="KR272" s="77"/>
      <c r="KS272" s="77"/>
      <c r="KT272" s="77"/>
      <c r="KU272" s="77"/>
      <c r="KV272" s="77"/>
      <c r="KW272" s="77"/>
      <c r="KX272" s="77"/>
      <c r="KY272" s="77"/>
      <c r="KZ272" s="77"/>
      <c r="LA272" s="77"/>
      <c r="LB272" s="77"/>
      <c r="LC272" s="77"/>
      <c r="LD272" s="77"/>
      <c r="LE272" s="77"/>
      <c r="LF272" s="77"/>
      <c r="LG272" s="77"/>
      <c r="LH272" s="77"/>
      <c r="LI272" s="77"/>
      <c r="LJ272" s="77"/>
      <c r="LK272" s="77"/>
      <c r="LY272" s="77"/>
      <c r="LZ272" s="77"/>
      <c r="MA272" s="77"/>
      <c r="MB272" s="77"/>
      <c r="MC272" s="77"/>
      <c r="MD272" s="77"/>
      <c r="ME272" s="77"/>
      <c r="MF272" s="77"/>
      <c r="MG272" s="77"/>
      <c r="MH272" s="77"/>
      <c r="MI272" s="77"/>
      <c r="MJ272" s="77"/>
      <c r="MK272" s="77"/>
      <c r="ML272" s="77"/>
      <c r="MM272" s="77"/>
      <c r="MN272" s="77"/>
      <c r="MO272" s="77"/>
      <c r="MP272" s="77"/>
      <c r="MQ272" s="77"/>
      <c r="MR272" s="77"/>
    </row>
    <row r="273" spans="1:421" ht="18.600000000000001" customHeight="1" x14ac:dyDescent="0.25">
      <c r="A273" s="119" t="s">
        <v>241</v>
      </c>
      <c r="B273" s="27" t="s">
        <v>1464</v>
      </c>
      <c r="C273" s="27" t="s">
        <v>1465</v>
      </c>
      <c r="D273" s="30" t="str">
        <f>HYPERLINK("https://twitter.com/PMOMalaysia","https://twitter.com/PMOMalaysia")</f>
        <v>https://twitter.com/PMOMalaysia</v>
      </c>
      <c r="E273" s="30" t="str">
        <f>HYPERLINK("http://twiplomacy.com/info/asia/Malaysia","http://twiplomacy.com/info/asia/Malaysia")</f>
        <v>http://twiplomacy.com/info/asia/Malaysia</v>
      </c>
      <c r="F273" s="10" t="s">
        <v>154</v>
      </c>
      <c r="G273" s="10" t="s">
        <v>239</v>
      </c>
      <c r="H273" s="10" t="s">
        <v>788</v>
      </c>
      <c r="I273" s="10" t="s">
        <v>782</v>
      </c>
      <c r="J273" s="27" t="s">
        <v>789</v>
      </c>
      <c r="K273" s="15" t="s">
        <v>777</v>
      </c>
      <c r="L273" s="10" t="s">
        <v>771</v>
      </c>
      <c r="M273" s="10" t="s">
        <v>770</v>
      </c>
      <c r="N273" s="30" t="str">
        <f>HYPERLINK("https://twitter.com/PMOMalaysia/statuses/25860548627","https://twitter.com/PMOMalaysia/statuses/25860548627")</f>
        <v>https://twitter.com/PMOMalaysia/statuses/25860548627</v>
      </c>
      <c r="O273" s="27" t="s">
        <v>1466</v>
      </c>
      <c r="P273" s="80">
        <v>1325</v>
      </c>
      <c r="Q273" s="80">
        <v>66</v>
      </c>
      <c r="R273" s="27" t="s">
        <v>2995</v>
      </c>
      <c r="S273" s="30" t="str">
        <f>HYPERLINK("https://twitter.com/PMOMalaysia/lists","https://twitter.com/PMOMalaysia/lists")</f>
        <v>https://twitter.com/PMOMalaysia/lists</v>
      </c>
      <c r="T273" s="10">
        <v>3</v>
      </c>
      <c r="U273" s="10" t="s">
        <v>771</v>
      </c>
      <c r="V273" s="10" t="s">
        <v>771</v>
      </c>
      <c r="W273" s="10"/>
      <c r="X273" s="27" t="s">
        <v>241</v>
      </c>
      <c r="Y273" s="27" t="s">
        <v>1464</v>
      </c>
      <c r="Z273" s="80">
        <v>3668</v>
      </c>
      <c r="AA273" s="27">
        <v>4991</v>
      </c>
      <c r="AB273" s="80">
        <v>121354</v>
      </c>
      <c r="AC273" s="27">
        <v>12</v>
      </c>
      <c r="AD273" s="27" t="s">
        <v>4273</v>
      </c>
      <c r="AE273" s="27">
        <v>196484517</v>
      </c>
      <c r="AF273" s="27" t="s">
        <v>1465</v>
      </c>
      <c r="AG273" s="27" t="s">
        <v>1467</v>
      </c>
      <c r="AH273" s="79">
        <v>1.7962781586679699</v>
      </c>
      <c r="AI273" s="83">
        <v>1.6262677484787</v>
      </c>
      <c r="AJ273" s="80">
        <v>24.477667916808699</v>
      </c>
      <c r="AK273" s="80">
        <v>8.53596999659052</v>
      </c>
      <c r="AL273" s="27">
        <v>270</v>
      </c>
      <c r="AM273" s="97">
        <f t="shared" si="4"/>
        <v>8.4375000000000006E-2</v>
      </c>
      <c r="AN273" s="27" t="s">
        <v>241</v>
      </c>
      <c r="AO273" s="27">
        <v>15</v>
      </c>
      <c r="AP273" s="27">
        <v>6</v>
      </c>
      <c r="AQ273" s="27">
        <v>2</v>
      </c>
      <c r="AR273" s="27">
        <f>SUM(AO273:AQ273)</f>
        <v>23</v>
      </c>
      <c r="AS273" s="27" t="s">
        <v>5400</v>
      </c>
      <c r="AT273" s="27" t="s">
        <v>5401</v>
      </c>
      <c r="AU273" s="84" t="s">
        <v>4892</v>
      </c>
      <c r="AV273" s="55"/>
      <c r="AW273" s="55"/>
      <c r="AX273" s="55"/>
      <c r="AY273" s="55"/>
      <c r="AZ273" s="55"/>
      <c r="BA273" s="55"/>
      <c r="BB273" s="55"/>
      <c r="BC273" s="55"/>
      <c r="BD273" s="55"/>
      <c r="BE273" s="55"/>
      <c r="BF273" s="55"/>
      <c r="BG273" s="55"/>
      <c r="BH273" s="55"/>
      <c r="BI273" s="55"/>
      <c r="BJ273" s="55"/>
      <c r="BK273" s="55"/>
      <c r="BL273" s="55"/>
      <c r="BN273" s="77"/>
      <c r="BO273" s="77"/>
      <c r="BP273" s="77"/>
      <c r="BQ273" s="74"/>
      <c r="BR273" s="74"/>
      <c r="BS273" s="74"/>
      <c r="BT273" s="74"/>
      <c r="BU273" s="74"/>
      <c r="BV273" s="74"/>
      <c r="BW273" s="74"/>
      <c r="BX273" s="74"/>
      <c r="BY273" s="74"/>
      <c r="BZ273" s="74"/>
      <c r="CA273" s="74"/>
      <c r="CB273" s="74"/>
      <c r="CC273" s="77"/>
      <c r="CD273" s="77"/>
      <c r="CE273" s="77"/>
      <c r="CF273" s="77"/>
      <c r="CG273" s="77"/>
      <c r="CH273" s="77"/>
      <c r="CI273" s="77"/>
      <c r="CJ273" s="77"/>
      <c r="CK273" s="77"/>
      <c r="CL273" s="77"/>
      <c r="CM273" s="77"/>
      <c r="CN273" s="77"/>
      <c r="CO273" s="77"/>
      <c r="CP273" s="77"/>
      <c r="CQ273" s="77"/>
      <c r="CR273" s="77"/>
      <c r="CS273" s="77"/>
      <c r="CT273" s="77"/>
      <c r="CU273" s="77"/>
      <c r="CV273" s="77"/>
      <c r="CW273" s="77"/>
      <c r="CX273" s="77"/>
      <c r="CY273" s="77"/>
      <c r="CZ273" s="77"/>
      <c r="DA273" s="77"/>
      <c r="DB273" s="77"/>
      <c r="DC273" s="77"/>
      <c r="DD273" s="77"/>
      <c r="DE273" s="77"/>
      <c r="DF273" s="77"/>
      <c r="DG273" s="77"/>
      <c r="DH273" s="77"/>
      <c r="DI273" s="77"/>
      <c r="DJ273" s="77"/>
      <c r="DK273" s="77"/>
      <c r="DL273" s="77"/>
      <c r="DM273" s="77"/>
      <c r="DN273" s="77"/>
      <c r="DO273" s="77"/>
      <c r="DP273" s="77"/>
      <c r="DQ273" s="77"/>
      <c r="DR273" s="77"/>
      <c r="DS273" s="77"/>
      <c r="DT273" s="77"/>
      <c r="DU273" s="77"/>
      <c r="DV273" s="77"/>
      <c r="DW273" s="77"/>
      <c r="DX273" s="77"/>
      <c r="DY273" s="77"/>
      <c r="DZ273" s="77"/>
      <c r="EA273" s="77"/>
      <c r="EB273" s="77"/>
      <c r="EC273" s="77"/>
      <c r="ED273" s="77"/>
      <c r="EE273" s="77"/>
      <c r="EF273" s="77"/>
      <c r="EG273" s="77"/>
      <c r="EH273" s="77"/>
      <c r="EI273" s="77"/>
      <c r="EJ273" s="77"/>
      <c r="EK273" s="77"/>
      <c r="EL273" s="77"/>
      <c r="EP273" s="77"/>
      <c r="EQ273" s="77"/>
      <c r="GL273" s="77"/>
      <c r="GM273" s="77"/>
      <c r="GN273" s="77"/>
      <c r="GO273" s="77"/>
      <c r="GP273" s="77"/>
      <c r="GQ273" s="77"/>
      <c r="GR273" s="77"/>
      <c r="GS273" s="77"/>
      <c r="GT273" s="77"/>
      <c r="GU273" s="77"/>
      <c r="GV273" s="77"/>
      <c r="GW273" s="77"/>
      <c r="GX273" s="77"/>
      <c r="GY273" s="77"/>
      <c r="GZ273" s="77"/>
      <c r="HA273" s="77"/>
      <c r="HB273" s="77"/>
      <c r="HC273" s="77"/>
      <c r="HD273" s="77"/>
      <c r="HE273" s="77"/>
      <c r="HF273" s="77"/>
      <c r="HG273" s="77"/>
      <c r="HH273" s="77"/>
      <c r="HI273" s="77"/>
      <c r="HJ273" s="77"/>
      <c r="HK273" s="77"/>
      <c r="HL273" s="77"/>
      <c r="HM273" s="77"/>
      <c r="HN273" s="77"/>
      <c r="HO273" s="77"/>
      <c r="HP273" s="77"/>
      <c r="HQ273" s="77"/>
      <c r="HR273" s="77"/>
      <c r="HS273" s="77"/>
      <c r="HT273" s="77"/>
      <c r="HU273" s="77"/>
      <c r="HV273" s="77"/>
      <c r="HW273" s="77"/>
      <c r="HX273" s="77"/>
      <c r="HY273" s="77"/>
      <c r="HZ273" s="77"/>
      <c r="IA273" s="77"/>
      <c r="IB273" s="77"/>
      <c r="IC273" s="77"/>
      <c r="ID273" s="77"/>
      <c r="IE273" s="77"/>
      <c r="IF273" s="77"/>
      <c r="IG273" s="77"/>
      <c r="IH273" s="77"/>
      <c r="II273" s="77"/>
      <c r="IJ273" s="77"/>
      <c r="IK273" s="77"/>
      <c r="IL273" s="77"/>
      <c r="IM273" s="77"/>
      <c r="IN273" s="77"/>
      <c r="IO273" s="77"/>
      <c r="IP273" s="77"/>
      <c r="IQ273" s="77"/>
      <c r="IR273" s="77"/>
      <c r="IS273" s="77"/>
      <c r="IT273" s="77"/>
      <c r="IU273" s="77"/>
      <c r="IV273" s="77"/>
      <c r="IW273" s="77"/>
      <c r="IX273" s="77"/>
      <c r="IY273" s="77"/>
      <c r="IZ273" s="77"/>
      <c r="JA273" s="77"/>
      <c r="JB273" s="77"/>
      <c r="JC273" s="77"/>
      <c r="JD273" s="77"/>
      <c r="JE273" s="77"/>
      <c r="JF273" s="77"/>
      <c r="JG273" s="77"/>
      <c r="JH273" s="77"/>
      <c r="JI273" s="77"/>
      <c r="JJ273" s="77"/>
      <c r="JK273" s="77"/>
      <c r="JL273" s="77"/>
      <c r="JM273" s="77"/>
      <c r="JN273" s="77"/>
      <c r="JO273" s="77"/>
      <c r="JP273" s="77"/>
      <c r="JQ273" s="77"/>
      <c r="JR273" s="77"/>
      <c r="JS273" s="77"/>
      <c r="JT273" s="77"/>
      <c r="JU273" s="77"/>
      <c r="JV273" s="77"/>
      <c r="JW273" s="77"/>
      <c r="JX273" s="77"/>
      <c r="JY273" s="77"/>
      <c r="JZ273" s="77"/>
      <c r="KA273" s="77"/>
      <c r="KB273" s="77"/>
      <c r="KC273" s="77"/>
      <c r="KD273" s="77"/>
      <c r="KE273" s="77"/>
      <c r="KF273" s="77"/>
      <c r="KG273" s="77"/>
      <c r="KH273" s="77"/>
      <c r="KI273" s="77"/>
      <c r="KJ273" s="77"/>
      <c r="KK273" s="77"/>
      <c r="KL273" s="77"/>
      <c r="KM273" s="77"/>
      <c r="KN273" s="77"/>
      <c r="KO273" s="77"/>
      <c r="KP273" s="77"/>
      <c r="KQ273" s="77"/>
      <c r="KR273" s="77"/>
      <c r="KS273" s="77"/>
      <c r="KT273" s="77"/>
      <c r="KU273" s="77"/>
      <c r="KV273" s="77"/>
      <c r="KW273" s="77"/>
      <c r="KX273" s="77"/>
      <c r="KY273" s="77"/>
      <c r="KZ273" s="77"/>
      <c r="LA273" s="77"/>
      <c r="LB273" s="77"/>
      <c r="LC273" s="77"/>
      <c r="LD273" s="77"/>
      <c r="LE273" s="77"/>
      <c r="LF273" s="77"/>
      <c r="LG273" s="77"/>
      <c r="LH273" s="77"/>
      <c r="LI273" s="77"/>
      <c r="LJ273" s="77"/>
      <c r="LK273" s="77"/>
      <c r="LL273" s="77"/>
      <c r="LM273" s="77"/>
      <c r="LN273" s="77"/>
      <c r="LO273" s="77"/>
      <c r="LP273" s="77"/>
      <c r="LQ273" s="77"/>
      <c r="LR273" s="77"/>
      <c r="LS273" s="77"/>
      <c r="LT273" s="77"/>
      <c r="LU273" s="77"/>
      <c r="LV273" s="77"/>
      <c r="LW273" s="77"/>
      <c r="LX273" s="77"/>
      <c r="LY273" s="77"/>
      <c r="LZ273" s="77"/>
      <c r="MA273" s="77"/>
      <c r="MB273" s="77"/>
      <c r="MC273" s="77"/>
      <c r="MD273" s="77"/>
      <c r="ME273" s="77"/>
      <c r="MF273" s="77"/>
      <c r="MG273" s="77"/>
      <c r="MH273" s="77"/>
      <c r="MI273" s="77"/>
      <c r="MJ273" s="77"/>
      <c r="MK273" s="77"/>
      <c r="ML273" s="77"/>
      <c r="MM273" s="77"/>
      <c r="MN273" s="77"/>
      <c r="MO273" s="77"/>
      <c r="MP273" s="77"/>
      <c r="MQ273" s="77"/>
      <c r="MR273" s="77"/>
    </row>
    <row r="274" spans="1:421" ht="18.600000000000001" customHeight="1" x14ac:dyDescent="0.25">
      <c r="A274" s="119" t="s">
        <v>349</v>
      </c>
      <c r="B274" s="27" t="s">
        <v>1739</v>
      </c>
      <c r="C274" s="27" t="s">
        <v>3512</v>
      </c>
      <c r="D274" s="30" t="str">
        <f>HYPERLINK("https://twitter.com/BelgiumMFA","https://twitter.com/BelgiumMFA")</f>
        <v>https://twitter.com/BelgiumMFA</v>
      </c>
      <c r="E274" s="30" t="str">
        <f>HYPERLINK("http://twiplomacy.com/info/europe/Belgium","http://twiplomacy.com/info/europe/Belgium")</f>
        <v>http://twiplomacy.com/info/europe/Belgium</v>
      </c>
      <c r="F274" s="10" t="s">
        <v>332</v>
      </c>
      <c r="G274" s="10" t="s">
        <v>345</v>
      </c>
      <c r="H274" s="10" t="s">
        <v>795</v>
      </c>
      <c r="I274" s="10" t="s">
        <v>782</v>
      </c>
      <c r="J274" s="27" t="s">
        <v>789</v>
      </c>
      <c r="K274" s="10" t="s">
        <v>777</v>
      </c>
      <c r="L274" s="10" t="s">
        <v>771</v>
      </c>
      <c r="M274" s="10" t="s">
        <v>770</v>
      </c>
      <c r="N274" s="30" t="str">
        <f>HYPERLINK("https://twitter.com/MFABelgiumMedia/statuses/165057991937236992","https://twitter.com/MFABelgiumMedia/statuses/165057991937236992")</f>
        <v>https://twitter.com/MFABelgiumMedia/statuses/165057991937236992</v>
      </c>
      <c r="O274" s="27" t="s">
        <v>5707</v>
      </c>
      <c r="P274" s="80">
        <v>221</v>
      </c>
      <c r="Q274" s="80">
        <v>143</v>
      </c>
      <c r="R274" s="27" t="s">
        <v>2994</v>
      </c>
      <c r="S274" s="30" t="str">
        <f>HYPERLINK("https://twitter.com/BelgiumMFA/lists","https://twitter.com/BelgiumMFA/lists")</f>
        <v>https://twitter.com/BelgiumMFA/lists</v>
      </c>
      <c r="T274" s="10" t="s">
        <v>771</v>
      </c>
      <c r="U274" s="10">
        <v>1</v>
      </c>
      <c r="V274" s="10" t="s">
        <v>771</v>
      </c>
      <c r="W274" s="10"/>
      <c r="X274" s="27" t="s">
        <v>349</v>
      </c>
      <c r="Y274" s="27" t="s">
        <v>1739</v>
      </c>
      <c r="Z274" s="80">
        <v>3564</v>
      </c>
      <c r="AA274" s="27">
        <v>271</v>
      </c>
      <c r="AB274" s="80">
        <v>12044</v>
      </c>
      <c r="AC274" s="27">
        <v>585</v>
      </c>
      <c r="AD274" s="27" t="s">
        <v>3513</v>
      </c>
      <c r="AE274" s="27">
        <v>380824639</v>
      </c>
      <c r="AF274" s="27" t="s">
        <v>3512</v>
      </c>
      <c r="AG274" s="27" t="s">
        <v>916</v>
      </c>
      <c r="AH274" s="79">
        <v>2.1232876712328799</v>
      </c>
      <c r="AI274" s="83">
        <v>3.1264822134387402</v>
      </c>
      <c r="AJ274" s="80">
        <v>7.6008771929824599</v>
      </c>
      <c r="AK274" s="80">
        <v>3.2768640350877201</v>
      </c>
      <c r="AL274" s="27">
        <v>106</v>
      </c>
      <c r="AM274" s="97">
        <f t="shared" si="4"/>
        <v>3.3125000000000002E-2</v>
      </c>
      <c r="AN274" s="27" t="s">
        <v>349</v>
      </c>
      <c r="AO274" s="27">
        <v>10</v>
      </c>
      <c r="AP274" s="27">
        <v>72</v>
      </c>
      <c r="AQ274" s="27">
        <v>31</v>
      </c>
      <c r="AR274" s="27">
        <f>SUM(AO274:AQ274)</f>
        <v>113</v>
      </c>
      <c r="AS274" s="27" t="s">
        <v>5039</v>
      </c>
      <c r="AT274" s="27" t="s">
        <v>5040</v>
      </c>
      <c r="AU274" s="84" t="s">
        <v>4660</v>
      </c>
      <c r="AV274" s="16"/>
      <c r="AW274" s="16"/>
      <c r="AX274" s="16"/>
      <c r="AY274" s="16"/>
      <c r="AZ274" s="16"/>
      <c r="BA274" s="16"/>
      <c r="BB274" s="16"/>
      <c r="BC274" s="16"/>
      <c r="BD274" s="16"/>
      <c r="BE274" s="16"/>
      <c r="BF274" s="16"/>
      <c r="BG274" s="16"/>
      <c r="BH274" s="16"/>
      <c r="BI274" s="16"/>
      <c r="BJ274" s="16"/>
      <c r="BK274" s="16"/>
      <c r="BL274" s="16"/>
      <c r="BM274" s="65"/>
      <c r="BN274" s="71"/>
      <c r="BO274" s="71"/>
      <c r="BP274" s="71"/>
      <c r="BQ274" s="77"/>
      <c r="BR274" s="77"/>
      <c r="BS274" s="77"/>
      <c r="BT274" s="77"/>
      <c r="BU274" s="77"/>
      <c r="BV274" s="77"/>
      <c r="BW274" s="77"/>
      <c r="BX274" s="77"/>
      <c r="BY274" s="77"/>
      <c r="BZ274" s="77"/>
      <c r="CA274" s="77"/>
      <c r="CB274" s="77"/>
      <c r="CC274" s="77"/>
      <c r="CD274" s="77"/>
      <c r="CE274" s="77"/>
      <c r="CF274" s="77"/>
      <c r="CG274" s="77"/>
      <c r="CH274" s="77"/>
      <c r="CI274" s="77"/>
      <c r="CJ274" s="77"/>
      <c r="CK274" s="77"/>
      <c r="CL274" s="77"/>
      <c r="CM274" s="77"/>
      <c r="CN274" s="77"/>
      <c r="CO274" s="77"/>
      <c r="CP274" s="77"/>
      <c r="CQ274" s="77"/>
      <c r="CR274" s="77"/>
      <c r="CS274" s="77"/>
      <c r="CT274" s="77"/>
      <c r="CU274" s="77"/>
      <c r="CV274" s="77"/>
      <c r="CW274" s="77"/>
      <c r="EM274" s="77"/>
      <c r="EN274" s="77"/>
      <c r="EO274" s="77"/>
      <c r="EQ274" s="16"/>
      <c r="ER274" s="77"/>
      <c r="ES274" s="77"/>
      <c r="ET274" s="77"/>
      <c r="EU274" s="77"/>
      <c r="EV274" s="77"/>
      <c r="EW274" s="77"/>
      <c r="EX274" s="77"/>
      <c r="EY274" s="77"/>
      <c r="EZ274" s="77"/>
      <c r="FA274" s="77"/>
      <c r="FB274" s="77"/>
      <c r="FC274" s="77"/>
      <c r="FD274" s="77"/>
      <c r="FE274" s="77"/>
      <c r="FF274" s="77"/>
      <c r="FG274" s="77"/>
      <c r="FH274" s="77"/>
      <c r="FI274" s="77"/>
      <c r="FJ274" s="77"/>
      <c r="FK274" s="77"/>
      <c r="FL274" s="77"/>
      <c r="FM274" s="77"/>
      <c r="FN274" s="77"/>
      <c r="FO274" s="77"/>
      <c r="FP274" s="77"/>
      <c r="FQ274" s="77"/>
      <c r="FR274" s="77"/>
      <c r="FS274" s="77"/>
      <c r="FT274" s="77"/>
      <c r="FU274" s="77"/>
      <c r="FV274" s="77"/>
      <c r="FW274" s="77"/>
      <c r="FX274" s="77"/>
      <c r="FY274" s="77"/>
      <c r="FZ274" s="77"/>
      <c r="GA274" s="77"/>
      <c r="GB274" s="77"/>
      <c r="GC274" s="77"/>
      <c r="GD274" s="77"/>
      <c r="GE274" s="77"/>
      <c r="GF274" s="77"/>
      <c r="GG274" s="77"/>
      <c r="GH274" s="77"/>
      <c r="GI274" s="77"/>
      <c r="GJ274" s="77"/>
      <c r="GK274" s="77"/>
      <c r="HL274" s="77"/>
      <c r="HM274" s="77"/>
      <c r="HN274" s="77"/>
      <c r="HO274" s="77"/>
      <c r="HP274" s="77"/>
      <c r="HQ274" s="77"/>
      <c r="HR274" s="77"/>
      <c r="HS274" s="77"/>
      <c r="HT274" s="77"/>
      <c r="HU274" s="77"/>
      <c r="HV274" s="77"/>
      <c r="HW274" s="77"/>
      <c r="HX274" s="77"/>
      <c r="HY274" s="77"/>
      <c r="HZ274" s="77"/>
      <c r="IA274" s="77"/>
      <c r="IB274" s="77"/>
      <c r="IC274" s="77"/>
      <c r="ID274" s="16"/>
      <c r="IE274" s="16"/>
      <c r="IF274" s="77"/>
      <c r="IG274" s="77"/>
      <c r="IH274" s="77"/>
      <c r="II274" s="77"/>
      <c r="IJ274" s="77"/>
      <c r="IK274" s="77"/>
      <c r="IL274" s="77"/>
      <c r="IM274" s="77"/>
      <c r="IN274" s="77"/>
      <c r="IO274" s="77"/>
      <c r="IP274" s="77"/>
      <c r="IQ274" s="77"/>
      <c r="IR274" s="77"/>
      <c r="IS274" s="77"/>
      <c r="IT274" s="77"/>
      <c r="IU274" s="77"/>
      <c r="IV274" s="77"/>
      <c r="IW274" s="77"/>
      <c r="IX274" s="77"/>
      <c r="IY274" s="77"/>
      <c r="IZ274" s="77"/>
      <c r="JA274" s="77"/>
      <c r="JB274" s="77"/>
      <c r="JC274" s="77"/>
      <c r="JD274" s="77"/>
      <c r="JE274" s="77"/>
      <c r="JF274" s="77"/>
      <c r="JG274" s="77"/>
      <c r="JH274" s="77"/>
      <c r="JI274" s="77"/>
      <c r="JJ274" s="77"/>
      <c r="JK274" s="77"/>
      <c r="JL274" s="77"/>
      <c r="JM274" s="77"/>
      <c r="JN274" s="77"/>
      <c r="JO274" s="77"/>
      <c r="JP274" s="77"/>
      <c r="JQ274" s="77"/>
      <c r="JR274" s="77"/>
      <c r="JS274" s="77"/>
      <c r="JT274" s="77"/>
      <c r="JU274" s="77"/>
      <c r="JV274" s="77"/>
      <c r="JW274" s="77"/>
      <c r="JX274" s="77"/>
      <c r="LL274" s="77"/>
      <c r="LM274" s="77"/>
      <c r="LN274" s="77"/>
      <c r="LO274" s="77"/>
      <c r="LP274" s="77"/>
      <c r="LQ274" s="77"/>
      <c r="LR274" s="77"/>
      <c r="LS274" s="77"/>
      <c r="LT274" s="77"/>
      <c r="LU274" s="77"/>
      <c r="LV274" s="77"/>
      <c r="LY274" s="77"/>
      <c r="LZ274" s="77"/>
      <c r="MA274" s="77"/>
      <c r="MB274" s="77"/>
      <c r="MC274" s="77"/>
      <c r="MD274" s="77"/>
      <c r="ME274" s="77"/>
      <c r="MF274" s="77"/>
      <c r="MG274" s="77"/>
      <c r="MH274" s="77"/>
      <c r="MI274" s="77"/>
      <c r="MJ274" s="77"/>
      <c r="MK274" s="77"/>
      <c r="ML274" s="77"/>
      <c r="MM274" s="77"/>
      <c r="MN274" s="77"/>
      <c r="MO274" s="77"/>
      <c r="MP274" s="77"/>
      <c r="MQ274" s="77"/>
      <c r="MR274" s="77"/>
      <c r="ND274" s="77"/>
    </row>
    <row r="275" spans="1:421" ht="18.600000000000001" customHeight="1" x14ac:dyDescent="0.25">
      <c r="A275" s="119" t="s">
        <v>322</v>
      </c>
      <c r="B275" s="27" t="s">
        <v>1677</v>
      </c>
      <c r="C275" s="27" t="s">
        <v>1678</v>
      </c>
      <c r="D275" s="30" t="str">
        <f>HYPERLINK("https://twitter.com/MBZNews","https://twitter.com/MBZNews")</f>
        <v>https://twitter.com/MBZNews</v>
      </c>
      <c r="E275" s="30" t="str">
        <f>HYPERLINK("http://twiplomacy.com/info/asia/United-Arab-Emirates","http://twiplomacy.com/info/asia/United-Arab-Emirates")</f>
        <v>http://twiplomacy.com/info/asia/United-Arab-Emirates</v>
      </c>
      <c r="F275" s="10" t="s">
        <v>154</v>
      </c>
      <c r="G275" s="10" t="s">
        <v>317</v>
      </c>
      <c r="H275" s="10" t="s">
        <v>1588</v>
      </c>
      <c r="I275" s="10" t="s">
        <v>782</v>
      </c>
      <c r="J275" s="27" t="s">
        <v>789</v>
      </c>
      <c r="K275" s="15" t="s">
        <v>777</v>
      </c>
      <c r="L275" s="10" t="s">
        <v>771</v>
      </c>
      <c r="M275" s="10" t="s">
        <v>770</v>
      </c>
      <c r="N275" s="30" t="str">
        <f>HYPERLINK("https://twitter.com/MBZNews/statuses/161341143223771136","https://twitter.com/MBZNews/statuses/161341143223771136")</f>
        <v>https://twitter.com/MBZNews/statuses/161341143223771136</v>
      </c>
      <c r="O275" s="27" t="s">
        <v>1679</v>
      </c>
      <c r="P275" s="80">
        <v>2821</v>
      </c>
      <c r="Q275" s="80">
        <v>156</v>
      </c>
      <c r="R275" s="27" t="s">
        <v>2994</v>
      </c>
      <c r="S275" s="10" t="s">
        <v>1680</v>
      </c>
      <c r="T275" s="10" t="s">
        <v>771</v>
      </c>
      <c r="U275" s="10" t="s">
        <v>771</v>
      </c>
      <c r="V275" s="10" t="s">
        <v>771</v>
      </c>
      <c r="W275" s="10"/>
      <c r="X275" s="27" t="s">
        <v>322</v>
      </c>
      <c r="Y275" s="27" t="s">
        <v>1677</v>
      </c>
      <c r="Z275" s="80">
        <v>3551</v>
      </c>
      <c r="AA275" s="27">
        <v>0</v>
      </c>
      <c r="AB275" s="80">
        <v>1036441</v>
      </c>
      <c r="AC275" s="27">
        <v>0</v>
      </c>
      <c r="AD275" s="27" t="s">
        <v>4040</v>
      </c>
      <c r="AE275" s="27">
        <v>471010707</v>
      </c>
      <c r="AF275" s="27" t="s">
        <v>1678</v>
      </c>
      <c r="AG275" s="27" t="s">
        <v>1676</v>
      </c>
      <c r="AH275" s="79">
        <v>2.2733674775928301</v>
      </c>
      <c r="AI275" s="83">
        <v>2.37903225806452</v>
      </c>
      <c r="AJ275" s="80">
        <v>103.990755007704</v>
      </c>
      <c r="AK275" s="80">
        <v>64.187365177195701</v>
      </c>
      <c r="AL275" s="27">
        <v>4</v>
      </c>
      <c r="AM275" s="97">
        <f t="shared" si="4"/>
        <v>1.25E-3</v>
      </c>
      <c r="AN275" s="27" t="s">
        <v>322</v>
      </c>
      <c r="AO275" s="27">
        <v>0</v>
      </c>
      <c r="AP275" s="27">
        <v>19</v>
      </c>
      <c r="AQ275" s="27">
        <v>0</v>
      </c>
      <c r="AR275" s="27">
        <f>SUM(AO275:AQ275)</f>
        <v>19</v>
      </c>
      <c r="AS275" s="27"/>
      <c r="AT275" s="27" t="s">
        <v>6785</v>
      </c>
      <c r="AU275" s="84"/>
      <c r="AV275" s="77"/>
      <c r="AW275" s="77"/>
      <c r="AX275" s="77"/>
      <c r="AY275" s="77"/>
      <c r="AZ275" s="77"/>
      <c r="BA275" s="77"/>
      <c r="BB275" s="77"/>
      <c r="BC275" s="77"/>
      <c r="BD275" s="77"/>
      <c r="BE275" s="77"/>
      <c r="BF275" s="77"/>
      <c r="BG275" s="77"/>
      <c r="BH275" s="77"/>
      <c r="BI275" s="77"/>
      <c r="BJ275" s="77"/>
      <c r="BK275" s="77"/>
      <c r="BL275" s="77"/>
      <c r="BM275" s="77"/>
      <c r="BN275" s="77"/>
      <c r="BO275" s="77"/>
      <c r="BP275" s="77"/>
      <c r="BQ275" s="77"/>
      <c r="BR275" s="77"/>
      <c r="BS275" s="77"/>
      <c r="BT275" s="77"/>
      <c r="BU275" s="77"/>
      <c r="BV275" s="77"/>
      <c r="BW275" s="77"/>
      <c r="BX275" s="77"/>
      <c r="BY275" s="77"/>
      <c r="BZ275" s="77"/>
      <c r="CA275" s="77"/>
      <c r="CB275" s="77"/>
      <c r="CC275" s="77"/>
      <c r="CD275" s="77"/>
      <c r="CE275" s="77"/>
      <c r="CF275" s="77"/>
      <c r="CG275" s="77"/>
      <c r="CH275" s="77"/>
      <c r="CI275" s="77"/>
      <c r="CJ275" s="77"/>
      <c r="CK275" s="77"/>
      <c r="CL275" s="77"/>
      <c r="CM275" s="77"/>
      <c r="CN275" s="77"/>
      <c r="CO275" s="77"/>
      <c r="CP275" s="77"/>
      <c r="CQ275" s="77"/>
      <c r="CR275" s="77"/>
      <c r="CS275" s="77"/>
      <c r="CT275" s="77"/>
      <c r="CU275" s="77"/>
      <c r="CV275" s="77"/>
      <c r="CW275" s="77"/>
      <c r="CX275" s="77"/>
      <c r="CY275" s="77"/>
      <c r="CZ275" s="77"/>
      <c r="DA275" s="77"/>
      <c r="DB275" s="77"/>
      <c r="DC275" s="77"/>
      <c r="DD275" s="77"/>
      <c r="DE275" s="77"/>
      <c r="DF275" s="77"/>
      <c r="DG275" s="77"/>
      <c r="DH275" s="77"/>
      <c r="DI275" s="77"/>
      <c r="DJ275" s="77"/>
      <c r="DK275" s="77"/>
      <c r="DL275" s="77"/>
      <c r="DM275" s="77"/>
      <c r="DN275" s="77"/>
      <c r="DO275" s="77"/>
      <c r="DP275" s="77"/>
      <c r="DQ275" s="77"/>
      <c r="DR275" s="77"/>
      <c r="DS275" s="77"/>
      <c r="DT275" s="77"/>
      <c r="DU275" s="77"/>
      <c r="DV275" s="77"/>
      <c r="DW275" s="77"/>
      <c r="DX275" s="77"/>
      <c r="DY275" s="77"/>
      <c r="DZ275" s="77"/>
      <c r="EA275" s="77"/>
      <c r="EB275" s="77"/>
      <c r="EC275" s="77"/>
      <c r="ED275" s="77"/>
      <c r="EE275" s="77"/>
      <c r="EF275" s="77"/>
      <c r="EG275" s="77"/>
      <c r="EH275" s="77"/>
      <c r="EI275" s="77"/>
      <c r="EJ275" s="77"/>
      <c r="EK275" s="77"/>
      <c r="EL275" s="77"/>
      <c r="EP275" s="77"/>
      <c r="EQ275" s="77"/>
      <c r="ER275" s="77"/>
      <c r="ES275" s="77"/>
      <c r="ET275" s="77"/>
      <c r="EU275" s="77"/>
      <c r="EV275" s="77"/>
      <c r="EW275" s="77"/>
      <c r="EX275" s="77"/>
      <c r="EY275" s="77"/>
      <c r="EZ275" s="77"/>
      <c r="FA275" s="77"/>
      <c r="FB275" s="77"/>
      <c r="FC275" s="77"/>
      <c r="FD275" s="77"/>
      <c r="FE275" s="77"/>
      <c r="FF275" s="77"/>
      <c r="FG275" s="77"/>
      <c r="FH275" s="77"/>
      <c r="FI275" s="77"/>
      <c r="FJ275" s="77"/>
      <c r="FK275" s="77"/>
      <c r="FL275" s="77"/>
      <c r="FM275" s="77"/>
      <c r="FN275" s="77"/>
      <c r="FO275" s="77"/>
      <c r="FP275" s="77"/>
      <c r="FQ275" s="77"/>
      <c r="FR275" s="77"/>
      <c r="FS275" s="77"/>
      <c r="FT275" s="77"/>
      <c r="FU275" s="77"/>
      <c r="FV275" s="77"/>
      <c r="FW275" s="77"/>
      <c r="FX275" s="77"/>
      <c r="FY275" s="77"/>
      <c r="FZ275" s="77"/>
      <c r="GA275" s="77"/>
      <c r="GB275" s="77"/>
      <c r="GC275" s="77"/>
      <c r="GD275" s="77"/>
      <c r="GE275" s="77"/>
      <c r="GF275" s="77"/>
      <c r="GG275" s="77"/>
      <c r="GH275" s="77"/>
      <c r="GI275" s="77"/>
      <c r="GJ275" s="77"/>
      <c r="GK275" s="77"/>
      <c r="GL275" s="77"/>
      <c r="GM275" s="77"/>
      <c r="GN275" s="77"/>
      <c r="GO275" s="77"/>
      <c r="GP275" s="77"/>
      <c r="GQ275" s="77"/>
      <c r="GR275" s="77"/>
      <c r="GS275" s="77"/>
      <c r="GT275" s="77"/>
      <c r="GU275" s="77"/>
      <c r="GV275" s="77"/>
      <c r="GW275" s="77"/>
      <c r="GX275" s="77"/>
      <c r="GY275" s="77"/>
      <c r="GZ275" s="77"/>
      <c r="HA275" s="77"/>
      <c r="HB275" s="77"/>
      <c r="HC275" s="77"/>
      <c r="HD275" s="77"/>
      <c r="HE275" s="77"/>
      <c r="HF275" s="77"/>
      <c r="HG275" s="77"/>
      <c r="HH275" s="77"/>
      <c r="HI275" s="77"/>
      <c r="HJ275" s="77"/>
      <c r="HK275" s="77"/>
      <c r="HL275" s="77"/>
      <c r="HM275" s="77"/>
      <c r="HN275" s="77"/>
      <c r="HO275" s="77"/>
      <c r="HP275" s="77"/>
      <c r="HQ275" s="77"/>
      <c r="HR275" s="77"/>
      <c r="HS275" s="77"/>
      <c r="HT275" s="77"/>
      <c r="HU275" s="77"/>
      <c r="HV275" s="77"/>
      <c r="HW275" s="77"/>
      <c r="HX275" s="77"/>
      <c r="HY275" s="77"/>
      <c r="HZ275" s="77"/>
      <c r="IA275" s="77"/>
      <c r="IB275" s="77"/>
      <c r="IC275" s="77"/>
      <c r="ID275" s="77"/>
      <c r="IE275" s="77"/>
      <c r="JY275" s="77"/>
      <c r="JZ275" s="77"/>
      <c r="KA275" s="77"/>
      <c r="KB275" s="77"/>
      <c r="KC275" s="77"/>
      <c r="KD275" s="77"/>
      <c r="KE275" s="77"/>
      <c r="KF275" s="77"/>
      <c r="KG275" s="77"/>
      <c r="KH275" s="77"/>
      <c r="KI275" s="77"/>
      <c r="KJ275" s="77"/>
      <c r="KK275" s="77"/>
      <c r="KL275" s="77"/>
      <c r="KM275" s="77"/>
      <c r="KN275" s="77"/>
      <c r="KO275" s="77"/>
      <c r="KP275" s="77"/>
      <c r="KQ275" s="77"/>
      <c r="KR275" s="77"/>
      <c r="KS275" s="77"/>
      <c r="KT275" s="77"/>
      <c r="KU275" s="77"/>
      <c r="KV275" s="77"/>
      <c r="KW275" s="77"/>
      <c r="KX275" s="77"/>
      <c r="KY275" s="77"/>
      <c r="KZ275" s="77"/>
      <c r="LA275" s="77"/>
      <c r="LB275" s="77"/>
      <c r="LC275" s="77"/>
      <c r="LD275" s="77"/>
      <c r="LE275" s="77"/>
      <c r="LF275" s="77"/>
      <c r="LG275" s="77"/>
      <c r="LH275" s="77"/>
      <c r="LI275" s="77"/>
      <c r="LJ275" s="77"/>
      <c r="LK275" s="77"/>
      <c r="LL275" s="77"/>
      <c r="LM275" s="77"/>
      <c r="LN275" s="77"/>
      <c r="LO275" s="77"/>
      <c r="LP275" s="77"/>
      <c r="LQ275" s="77"/>
      <c r="LR275" s="77"/>
      <c r="LS275" s="77"/>
      <c r="LT275" s="77"/>
      <c r="LU275" s="77"/>
      <c r="LV275" s="77"/>
      <c r="LW275" s="77"/>
      <c r="LX275" s="77"/>
      <c r="MS275" s="77"/>
    </row>
    <row r="276" spans="1:421" ht="18.600000000000001" customHeight="1" x14ac:dyDescent="0.25">
      <c r="A276" s="119" t="s">
        <v>168</v>
      </c>
      <c r="B276" s="27" t="s">
        <v>1227</v>
      </c>
      <c r="C276" s="27" t="s">
        <v>6371</v>
      </c>
      <c r="D276" s="30" t="str">
        <f>HYPERLINK("https://twitter.com/BahrainCPnews","https://twitter.com/BahrainCPnews")</f>
        <v>https://twitter.com/BahrainCPnews</v>
      </c>
      <c r="E276" s="30" t="str">
        <f>HYPERLINK("http://twiplomacy.com/info/asia/Bahrain","http://twiplomacy.com/info/asia/Bahrain")</f>
        <v>http://twiplomacy.com/info/asia/Bahrain</v>
      </c>
      <c r="F276" s="10" t="s">
        <v>154</v>
      </c>
      <c r="G276" s="10" t="s">
        <v>167</v>
      </c>
      <c r="H276" s="10" t="s">
        <v>1228</v>
      </c>
      <c r="I276" s="10" t="s">
        <v>782</v>
      </c>
      <c r="J276" s="27" t="s">
        <v>789</v>
      </c>
      <c r="K276" s="10" t="s">
        <v>777</v>
      </c>
      <c r="L276" s="10" t="s">
        <v>771</v>
      </c>
      <c r="M276" s="10" t="s">
        <v>770</v>
      </c>
      <c r="N276" s="30" t="str">
        <f>HYPERLINK("https://twitter.com/BahrainCPnews/status/200595159006707714","https://twitter.com/BahrainCPnews/status/200595159006707714")</f>
        <v>https://twitter.com/BahrainCPnews/status/200595159006707714</v>
      </c>
      <c r="O276" s="27" t="s">
        <v>5699</v>
      </c>
      <c r="P276" s="80">
        <v>688</v>
      </c>
      <c r="Q276" s="80">
        <v>14</v>
      </c>
      <c r="R276" s="27" t="s">
        <v>2994</v>
      </c>
      <c r="S276" s="30" t="str">
        <f>HYPERLINK("https://twitter.com/BahrainCPnews/lists","https://twitter.com/BahrainCPnews/lists")</f>
        <v>https://twitter.com/BahrainCPnews/lists</v>
      </c>
      <c r="T276" s="10" t="s">
        <v>771</v>
      </c>
      <c r="U276" s="10" t="s">
        <v>771</v>
      </c>
      <c r="V276" s="10" t="s">
        <v>771</v>
      </c>
      <c r="W276" s="10"/>
      <c r="X276" s="27" t="s">
        <v>168</v>
      </c>
      <c r="Y276" s="27" t="s">
        <v>1227</v>
      </c>
      <c r="Z276" s="80">
        <v>3543</v>
      </c>
      <c r="AA276" s="27">
        <v>0</v>
      </c>
      <c r="AB276" s="80">
        <v>26837</v>
      </c>
      <c r="AC276" s="27">
        <v>0</v>
      </c>
      <c r="AD276" s="27" t="s">
        <v>3497</v>
      </c>
      <c r="AE276" s="27">
        <v>575765924</v>
      </c>
      <c r="AF276" s="27" t="s">
        <v>6371</v>
      </c>
      <c r="AG276" s="27" t="s">
        <v>167</v>
      </c>
      <c r="AH276" s="79">
        <v>2.4384033035099799</v>
      </c>
      <c r="AI276" s="83">
        <v>2.3445255474452602</v>
      </c>
      <c r="AJ276" s="80">
        <v>17.680996884735201</v>
      </c>
      <c r="AK276" s="80">
        <v>2.0183800623053001</v>
      </c>
      <c r="AL276" s="96">
        <v>3</v>
      </c>
      <c r="AM276" s="97">
        <f t="shared" si="4"/>
        <v>9.3749999999999997E-4</v>
      </c>
      <c r="AN276" s="27" t="s">
        <v>168</v>
      </c>
      <c r="AO276" s="27">
        <v>0</v>
      </c>
      <c r="AP276" s="27">
        <v>4</v>
      </c>
      <c r="AQ276" s="27">
        <v>0</v>
      </c>
      <c r="AR276" s="27">
        <f>SUM(AO276:AQ276)</f>
        <v>4</v>
      </c>
      <c r="AS276" s="27"/>
      <c r="AT276" s="27" t="s">
        <v>5030</v>
      </c>
      <c r="AU276" s="84"/>
      <c r="BM276" s="77"/>
      <c r="BN276" s="77"/>
      <c r="BO276" s="77"/>
      <c r="BP276" s="77"/>
      <c r="BQ276" s="77"/>
      <c r="BR276" s="77"/>
      <c r="BS276" s="77"/>
      <c r="BT276" s="77"/>
      <c r="BU276" s="77"/>
      <c r="BV276" s="77"/>
      <c r="BW276" s="77"/>
      <c r="BX276" s="77"/>
      <c r="BY276" s="77"/>
      <c r="BZ276" s="77"/>
      <c r="CA276" s="77"/>
      <c r="CB276" s="77"/>
      <c r="CC276" s="77"/>
      <c r="CD276" s="77"/>
      <c r="CE276" s="77"/>
      <c r="CF276" s="77"/>
      <c r="CG276" s="77"/>
      <c r="CH276" s="77"/>
      <c r="CI276" s="77"/>
      <c r="CJ276" s="77"/>
      <c r="CK276" s="77"/>
      <c r="CL276" s="77"/>
      <c r="CM276" s="77"/>
      <c r="CN276" s="77"/>
      <c r="CO276" s="77"/>
      <c r="CP276" s="77"/>
      <c r="CQ276" s="77"/>
      <c r="CR276" s="77"/>
      <c r="CS276" s="77"/>
      <c r="CT276" s="77"/>
      <c r="CU276" s="77"/>
      <c r="CV276" s="77"/>
      <c r="CW276" s="77"/>
      <c r="CX276" s="77"/>
      <c r="CY276" s="77"/>
      <c r="CZ276" s="77"/>
      <c r="DA276" s="77"/>
      <c r="DB276" s="77"/>
      <c r="DC276" s="77"/>
      <c r="DD276" s="77"/>
      <c r="DE276" s="77"/>
      <c r="DF276" s="77"/>
      <c r="DG276" s="77"/>
      <c r="DH276" s="77"/>
      <c r="DI276" s="77"/>
      <c r="DJ276" s="77"/>
      <c r="DK276" s="77"/>
      <c r="DL276" s="77"/>
      <c r="DM276" s="77"/>
      <c r="DN276" s="77"/>
      <c r="DO276" s="77"/>
      <c r="DP276" s="77"/>
      <c r="DQ276" s="77"/>
      <c r="DR276" s="77"/>
      <c r="DS276" s="77"/>
      <c r="DT276" s="77"/>
      <c r="DU276" s="77"/>
      <c r="DV276" s="77"/>
      <c r="DW276" s="77"/>
      <c r="DX276" s="77"/>
      <c r="DY276" s="77"/>
      <c r="DZ276" s="77"/>
      <c r="EA276" s="77"/>
      <c r="EB276" s="77"/>
      <c r="EC276" s="77"/>
      <c r="ED276" s="77"/>
      <c r="EE276" s="77"/>
      <c r="EF276" s="77"/>
      <c r="EG276" s="77"/>
      <c r="EH276" s="77"/>
      <c r="EI276" s="77"/>
      <c r="EJ276" s="77"/>
      <c r="EK276" s="77"/>
      <c r="EL276" s="77"/>
      <c r="EM276" s="77"/>
      <c r="EN276" s="77"/>
      <c r="EO276" s="77"/>
      <c r="EP276" s="77"/>
      <c r="EQ276" s="77"/>
      <c r="ER276" s="77"/>
      <c r="ES276" s="77"/>
      <c r="ET276" s="77"/>
      <c r="EU276" s="77"/>
      <c r="EV276" s="77"/>
      <c r="EW276" s="77"/>
      <c r="EX276" s="77"/>
      <c r="EY276" s="77"/>
      <c r="EZ276" s="77"/>
      <c r="FA276" s="77"/>
      <c r="FB276" s="77"/>
      <c r="FC276" s="77"/>
      <c r="FD276" s="77"/>
      <c r="FE276" s="77"/>
      <c r="FF276" s="77"/>
      <c r="FG276" s="77"/>
      <c r="FH276" s="77"/>
      <c r="FI276" s="77"/>
      <c r="FJ276" s="77"/>
      <c r="FK276" s="77"/>
      <c r="FL276" s="77"/>
      <c r="FM276" s="77"/>
      <c r="FN276" s="77"/>
      <c r="FO276" s="77"/>
      <c r="FP276" s="77"/>
      <c r="FQ276" s="77"/>
      <c r="FR276" s="77"/>
      <c r="FS276" s="77"/>
      <c r="FT276" s="77"/>
      <c r="FU276" s="77"/>
      <c r="FV276" s="77"/>
      <c r="FW276" s="77"/>
      <c r="FX276" s="77"/>
      <c r="FY276" s="77"/>
      <c r="FZ276" s="77"/>
      <c r="GA276" s="77"/>
      <c r="GB276" s="77"/>
      <c r="GC276" s="77"/>
      <c r="GD276" s="77"/>
      <c r="GE276" s="77"/>
      <c r="GF276" s="77"/>
      <c r="GG276" s="77"/>
      <c r="GH276" s="77"/>
      <c r="GI276" s="77"/>
      <c r="GJ276" s="77"/>
      <c r="GK276" s="77"/>
      <c r="GL276" s="77"/>
      <c r="GM276" s="77"/>
      <c r="GN276" s="77"/>
      <c r="GO276" s="77"/>
      <c r="GP276" s="77"/>
      <c r="GQ276" s="77"/>
      <c r="GR276" s="77"/>
      <c r="GS276" s="77"/>
      <c r="GT276" s="77"/>
      <c r="GU276" s="77"/>
      <c r="GV276" s="77"/>
      <c r="GW276" s="77"/>
      <c r="GX276" s="77"/>
      <c r="GY276" s="77"/>
      <c r="GZ276" s="77"/>
      <c r="HA276" s="77"/>
      <c r="HB276" s="77"/>
      <c r="HC276" s="77"/>
      <c r="HD276" s="77"/>
      <c r="HE276" s="77"/>
      <c r="HF276" s="77"/>
      <c r="HG276" s="77"/>
      <c r="HH276" s="77"/>
      <c r="HI276" s="77"/>
      <c r="HJ276" s="77"/>
      <c r="HK276" s="77"/>
      <c r="IF276" s="77"/>
      <c r="IG276" s="77"/>
      <c r="IH276" s="77"/>
      <c r="II276" s="77"/>
      <c r="IJ276" s="77"/>
      <c r="IK276" s="77"/>
      <c r="IL276" s="77"/>
      <c r="IM276" s="77"/>
      <c r="IN276" s="77"/>
      <c r="IO276" s="77"/>
      <c r="IP276" s="77"/>
      <c r="IQ276" s="77"/>
      <c r="IR276" s="77"/>
      <c r="IS276" s="77"/>
      <c r="IT276" s="77"/>
      <c r="IU276" s="77"/>
      <c r="IV276" s="77"/>
      <c r="IW276" s="77"/>
      <c r="IX276" s="77"/>
      <c r="IY276" s="77"/>
      <c r="IZ276" s="77"/>
      <c r="JA276" s="77"/>
      <c r="JB276" s="77"/>
      <c r="JC276" s="77"/>
      <c r="JD276" s="77"/>
      <c r="JE276" s="77"/>
      <c r="JF276" s="77"/>
      <c r="JG276" s="77"/>
      <c r="JH276" s="77"/>
      <c r="JI276" s="77"/>
      <c r="JJ276" s="77"/>
      <c r="JK276" s="77"/>
      <c r="JL276" s="77"/>
      <c r="JM276" s="77"/>
      <c r="JN276" s="77"/>
      <c r="JO276" s="77"/>
      <c r="JP276" s="77"/>
      <c r="JQ276" s="77"/>
      <c r="JR276" s="77"/>
      <c r="JS276" s="77"/>
      <c r="JT276" s="77"/>
      <c r="JU276" s="77"/>
      <c r="JV276" s="77"/>
      <c r="JW276" s="77"/>
      <c r="JX276" s="77"/>
      <c r="JY276" s="77"/>
      <c r="JZ276" s="77"/>
      <c r="KA276" s="77"/>
      <c r="KB276" s="77"/>
      <c r="KC276" s="77"/>
      <c r="KD276" s="77"/>
      <c r="KE276" s="77"/>
      <c r="KF276" s="77"/>
      <c r="KG276" s="77"/>
      <c r="KH276" s="77"/>
      <c r="KI276" s="77"/>
      <c r="KJ276" s="77"/>
      <c r="KK276" s="77"/>
      <c r="KL276" s="77"/>
      <c r="LL276" s="77"/>
      <c r="LM276" s="77"/>
      <c r="LN276" s="77"/>
      <c r="LO276" s="77"/>
      <c r="LP276" s="77"/>
      <c r="LQ276" s="77"/>
      <c r="LR276" s="77"/>
      <c r="LS276" s="77"/>
      <c r="LT276" s="77"/>
      <c r="LU276" s="77"/>
      <c r="LV276" s="77"/>
      <c r="LW276" s="77"/>
      <c r="LX276" s="77"/>
      <c r="MS276" s="77"/>
      <c r="ND276" s="16"/>
    </row>
    <row r="277" spans="1:421" ht="18.600000000000001" customHeight="1" x14ac:dyDescent="0.25">
      <c r="A277" s="119" t="s">
        <v>538</v>
      </c>
      <c r="B277" s="27" t="s">
        <v>2255</v>
      </c>
      <c r="C277" s="27"/>
      <c r="D277" s="30" t="str">
        <f>HYPERLINK("https://twitter.com/tcbestepe","https://twitter.com/tcbestepe")</f>
        <v>https://twitter.com/tcbestepe</v>
      </c>
      <c r="E277" s="30" t="str">
        <f>HYPERLINK("http://twiplomacy.com/info/europe/Turkey","http://twiplomacy.com/info/europe/Turkey")</f>
        <v>http://twiplomacy.com/info/europe/Turkey</v>
      </c>
      <c r="F277" s="10" t="s">
        <v>332</v>
      </c>
      <c r="G277" s="10" t="s">
        <v>536</v>
      </c>
      <c r="H277" s="10" t="s">
        <v>781</v>
      </c>
      <c r="I277" s="10" t="s">
        <v>782</v>
      </c>
      <c r="J277" s="27" t="s">
        <v>2254</v>
      </c>
      <c r="K277" s="15" t="s">
        <v>777</v>
      </c>
      <c r="L277" s="10" t="s">
        <v>771</v>
      </c>
      <c r="M277" s="10" t="s">
        <v>771</v>
      </c>
      <c r="N277" s="30" t="str">
        <f>HYPERLINK("https://twitter.com/tcbestepe/statuses/52630947484549122","https://twitter.com/tcbestepe/statuses/52630947484549122")</f>
        <v>https://twitter.com/tcbestepe/statuses/52630947484549122</v>
      </c>
      <c r="O277" s="11" t="s">
        <v>6107</v>
      </c>
      <c r="P277" s="80">
        <v>6707</v>
      </c>
      <c r="Q277" s="80">
        <v>12432</v>
      </c>
      <c r="R277" s="27" t="s">
        <v>2994</v>
      </c>
      <c r="S277" s="10" t="s">
        <v>2256</v>
      </c>
      <c r="T277" s="10" t="s">
        <v>771</v>
      </c>
      <c r="U277" s="10" t="s">
        <v>771</v>
      </c>
      <c r="V277" s="10" t="s">
        <v>771</v>
      </c>
      <c r="W277" s="10"/>
      <c r="X277" s="27" t="s">
        <v>538</v>
      </c>
      <c r="Y277" s="27" t="s">
        <v>2255</v>
      </c>
      <c r="Z277" s="80">
        <v>3488</v>
      </c>
      <c r="AA277" s="27">
        <v>4</v>
      </c>
      <c r="AB277" s="80">
        <v>3128058</v>
      </c>
      <c r="AC277" s="27">
        <v>0</v>
      </c>
      <c r="AD277" s="27" t="s">
        <v>4515</v>
      </c>
      <c r="AE277" s="27">
        <v>272613386</v>
      </c>
      <c r="AF277" s="27"/>
      <c r="AG277" s="27" t="s">
        <v>2257</v>
      </c>
      <c r="AH277" s="79">
        <v>1.8722490606548601</v>
      </c>
      <c r="AI277" s="83">
        <v>1.9051008303677299</v>
      </c>
      <c r="AJ277" s="80">
        <v>280.03275039745603</v>
      </c>
      <c r="AK277" s="80">
        <v>416.08775834658201</v>
      </c>
      <c r="AL277" s="27">
        <v>2</v>
      </c>
      <c r="AM277" s="97">
        <f t="shared" si="4"/>
        <v>6.2500000000000001E-4</v>
      </c>
      <c r="AN277" s="27" t="s">
        <v>538</v>
      </c>
      <c r="AO277" s="27">
        <v>1</v>
      </c>
      <c r="AP277" s="27">
        <v>20</v>
      </c>
      <c r="AQ277" s="27">
        <v>2</v>
      </c>
      <c r="AR277" s="27">
        <f>SUM(AO277:AQ277)</f>
        <v>23</v>
      </c>
      <c r="AS277" s="27" t="s">
        <v>3239</v>
      </c>
      <c r="AT277" s="27" t="s">
        <v>5511</v>
      </c>
      <c r="AU277" s="84" t="s">
        <v>4966</v>
      </c>
      <c r="AV277" s="76"/>
      <c r="AW277" s="76"/>
      <c r="AX277" s="76"/>
      <c r="AY277" s="76"/>
      <c r="AZ277" s="76"/>
      <c r="BA277" s="76"/>
      <c r="BB277" s="76"/>
      <c r="BC277" s="76"/>
      <c r="BD277" s="76"/>
      <c r="BE277" s="76"/>
      <c r="BF277" s="76"/>
      <c r="BG277" s="76"/>
      <c r="BH277" s="76"/>
      <c r="BI277" s="76"/>
      <c r="BJ277" s="76"/>
      <c r="BK277" s="76"/>
      <c r="BL277" s="76"/>
      <c r="BM277" s="71"/>
      <c r="BN277" s="71"/>
      <c r="BO277" s="71"/>
      <c r="BP277" s="71"/>
      <c r="BQ277" s="77"/>
      <c r="BR277" s="77"/>
      <c r="BS277" s="77"/>
      <c r="BT277" s="77"/>
      <c r="BU277" s="77"/>
      <c r="BV277" s="77"/>
      <c r="BW277" s="77"/>
      <c r="BX277" s="77"/>
      <c r="BY277" s="77"/>
      <c r="BZ277" s="77"/>
      <c r="CA277" s="77"/>
      <c r="CB277" s="77"/>
      <c r="EM277" s="77"/>
      <c r="EN277" s="77"/>
      <c r="EO277" s="77"/>
      <c r="EP277" s="77"/>
      <c r="EQ277" s="77"/>
      <c r="ER277" s="77"/>
      <c r="ES277" s="77"/>
      <c r="ET277" s="77"/>
      <c r="EU277" s="77"/>
      <c r="EV277" s="77"/>
      <c r="EW277" s="77"/>
      <c r="EX277" s="77"/>
      <c r="EY277" s="77"/>
      <c r="EZ277" s="77"/>
      <c r="FA277" s="77"/>
      <c r="FB277" s="77"/>
      <c r="FC277" s="77"/>
      <c r="FD277" s="77"/>
      <c r="FE277" s="77"/>
      <c r="FF277" s="77"/>
      <c r="FG277" s="77"/>
      <c r="FH277" s="77"/>
      <c r="FI277" s="77"/>
      <c r="FJ277" s="77"/>
      <c r="FK277" s="77"/>
      <c r="FL277" s="77"/>
      <c r="FM277" s="77"/>
      <c r="FN277" s="77"/>
      <c r="FO277" s="77"/>
      <c r="FP277" s="77"/>
      <c r="FQ277" s="77"/>
      <c r="FR277" s="77"/>
      <c r="FS277" s="77"/>
      <c r="FT277" s="77"/>
      <c r="FU277" s="77"/>
      <c r="FV277" s="77"/>
      <c r="FW277" s="77"/>
      <c r="FX277" s="77"/>
      <c r="FY277" s="77"/>
      <c r="FZ277" s="77"/>
      <c r="GA277" s="77"/>
      <c r="GB277" s="77"/>
      <c r="GC277" s="77"/>
      <c r="GD277" s="77"/>
      <c r="GE277" s="77"/>
      <c r="GF277" s="77"/>
      <c r="GG277" s="77"/>
      <c r="GH277" s="77"/>
      <c r="GI277" s="77"/>
      <c r="GJ277" s="77"/>
      <c r="GK277" s="77"/>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77"/>
      <c r="HM277" s="77"/>
      <c r="HN277" s="77"/>
      <c r="HO277" s="77"/>
      <c r="HP277" s="77"/>
      <c r="HQ277" s="77"/>
      <c r="HR277" s="77"/>
      <c r="HS277" s="77"/>
      <c r="HT277" s="77"/>
      <c r="HU277" s="77"/>
      <c r="HV277" s="77"/>
      <c r="HW277" s="77"/>
      <c r="HX277" s="77"/>
      <c r="HY277" s="77"/>
      <c r="HZ277" s="77"/>
      <c r="IA277" s="77"/>
      <c r="IB277" s="77"/>
      <c r="IC277" s="77"/>
      <c r="ID277" s="77"/>
      <c r="IE277" s="77"/>
      <c r="IF277" s="77"/>
      <c r="IG277" s="77"/>
      <c r="IH277" s="77"/>
      <c r="II277" s="77"/>
      <c r="IJ277" s="77"/>
      <c r="IK277" s="77"/>
      <c r="IL277" s="77"/>
      <c r="IM277" s="77"/>
      <c r="IN277" s="77"/>
      <c r="IO277" s="77"/>
      <c r="IP277" s="77"/>
      <c r="IQ277" s="77"/>
      <c r="IR277" s="77"/>
      <c r="IS277" s="77"/>
      <c r="IT277" s="77"/>
      <c r="IU277" s="77"/>
      <c r="IV277" s="77"/>
      <c r="IW277" s="77"/>
      <c r="IX277" s="77"/>
      <c r="IY277" s="77"/>
      <c r="IZ277" s="77"/>
      <c r="JA277" s="77"/>
      <c r="JB277" s="77"/>
      <c r="JC277" s="77"/>
      <c r="JD277" s="77"/>
      <c r="JE277" s="77"/>
      <c r="JF277" s="77"/>
      <c r="JG277" s="77"/>
      <c r="JH277" s="77"/>
      <c r="JI277" s="77"/>
      <c r="JJ277" s="77"/>
      <c r="JK277" s="77"/>
      <c r="JL277" s="77"/>
      <c r="JM277" s="77"/>
      <c r="JN277" s="77"/>
      <c r="JO277" s="77"/>
      <c r="JP277" s="77"/>
      <c r="JQ277" s="77"/>
      <c r="JR277" s="77"/>
      <c r="JS277" s="77"/>
      <c r="JT277" s="77"/>
      <c r="JU277" s="77"/>
      <c r="JV277" s="77"/>
      <c r="JW277" s="77"/>
      <c r="JX277" s="77"/>
      <c r="JY277" s="77"/>
      <c r="JZ277" s="77"/>
      <c r="KA277" s="77"/>
      <c r="KB277" s="77"/>
      <c r="KC277" s="77"/>
      <c r="KD277" s="77"/>
      <c r="KE277" s="77"/>
      <c r="KF277" s="77"/>
      <c r="KG277" s="77"/>
      <c r="KH277" s="77"/>
      <c r="KI277" s="77"/>
      <c r="KJ277" s="77"/>
      <c r="KK277" s="77"/>
      <c r="KL277" s="77"/>
      <c r="KM277" s="77"/>
      <c r="KN277" s="77"/>
      <c r="KO277" s="77"/>
      <c r="KP277" s="77"/>
      <c r="KQ277" s="77"/>
      <c r="KR277" s="77"/>
      <c r="KS277" s="77"/>
      <c r="KT277" s="77"/>
      <c r="KU277" s="77"/>
      <c r="KV277" s="77"/>
      <c r="KW277" s="77"/>
      <c r="KX277" s="77"/>
      <c r="KY277" s="77"/>
      <c r="KZ277" s="77"/>
      <c r="LA277" s="77"/>
      <c r="LB277" s="77"/>
      <c r="LC277" s="77"/>
      <c r="LD277" s="77"/>
      <c r="LE277" s="77"/>
      <c r="LF277" s="77"/>
      <c r="LG277" s="77"/>
      <c r="LH277" s="77"/>
      <c r="LI277" s="77"/>
      <c r="LJ277" s="77"/>
      <c r="LK277" s="77"/>
      <c r="LL277" s="77"/>
      <c r="LM277" s="77"/>
      <c r="LN277" s="77"/>
      <c r="LO277" s="77"/>
      <c r="LP277" s="77"/>
      <c r="LQ277" s="77"/>
      <c r="LR277" s="77"/>
      <c r="LS277" s="77"/>
      <c r="LT277" s="77"/>
      <c r="LU277" s="77"/>
      <c r="LV277" s="77"/>
    </row>
    <row r="278" spans="1:421" ht="18.600000000000001" customHeight="1" x14ac:dyDescent="0.25">
      <c r="A278" s="119" t="s">
        <v>344</v>
      </c>
      <c r="B278" s="27" t="s">
        <v>1725</v>
      </c>
      <c r="C278" s="27" t="s">
        <v>1726</v>
      </c>
      <c r="D278" s="30" t="str">
        <f>HYPERLINK("https://twitter.com/BelarusMFA","https://twitter.com/BelarusMFA")</f>
        <v>https://twitter.com/BelarusMFA</v>
      </c>
      <c r="E278" s="30" t="str">
        <f>HYPERLINK("http://twiplomacy.com/info/europe/Belarus","http://twiplomacy.com/info/europe/Belarus")</f>
        <v>http://twiplomacy.com/info/europe/Belarus</v>
      </c>
      <c r="F278" s="10" t="s">
        <v>332</v>
      </c>
      <c r="G278" s="10" t="s">
        <v>342</v>
      </c>
      <c r="H278" s="10" t="s">
        <v>795</v>
      </c>
      <c r="I278" s="10" t="s">
        <v>782</v>
      </c>
      <c r="J278" s="27" t="s">
        <v>789</v>
      </c>
      <c r="K278" s="10" t="s">
        <v>777</v>
      </c>
      <c r="L278" s="10" t="s">
        <v>771</v>
      </c>
      <c r="M278" s="10" t="s">
        <v>770</v>
      </c>
      <c r="N278" s="30" t="str">
        <f>HYPERLINK("https://twitter.com/BelarusMFA/statuses/69049359718821889","https://twitter.com/BelarusMFA/statuses/69049359718821889")</f>
        <v>https://twitter.com/BelarusMFA/statuses/69049359718821889</v>
      </c>
      <c r="O278" s="27" t="s">
        <v>5705</v>
      </c>
      <c r="P278" s="80">
        <v>108</v>
      </c>
      <c r="Q278" s="80">
        <v>12</v>
      </c>
      <c r="R278" s="27" t="s">
        <v>2994</v>
      </c>
      <c r="S278" s="12" t="s">
        <v>1727</v>
      </c>
      <c r="T278" s="10">
        <v>1</v>
      </c>
      <c r="U278" s="10">
        <v>1</v>
      </c>
      <c r="V278" s="12" t="s">
        <v>6885</v>
      </c>
      <c r="W278" s="10">
        <v>48</v>
      </c>
      <c r="X278" s="27" t="s">
        <v>344</v>
      </c>
      <c r="Y278" s="27" t="s">
        <v>1725</v>
      </c>
      <c r="Z278" s="80">
        <v>3466</v>
      </c>
      <c r="AA278" s="27">
        <v>449</v>
      </c>
      <c r="AB278" s="80">
        <v>5690</v>
      </c>
      <c r="AC278" s="27">
        <v>156</v>
      </c>
      <c r="AD278" s="27" t="s">
        <v>3509</v>
      </c>
      <c r="AE278" s="27">
        <v>297925007</v>
      </c>
      <c r="AF278" s="27" t="s">
        <v>1726</v>
      </c>
      <c r="AG278" s="27" t="s">
        <v>1728</v>
      </c>
      <c r="AH278" s="79">
        <v>1.90859030837004</v>
      </c>
      <c r="AI278" s="83">
        <v>2.1521014009339599</v>
      </c>
      <c r="AJ278" s="80">
        <v>2.4567843866171</v>
      </c>
      <c r="AK278" s="80">
        <v>0.63894052044609695</v>
      </c>
      <c r="AL278" s="27">
        <v>197</v>
      </c>
      <c r="AM278" s="97">
        <f t="shared" si="4"/>
        <v>6.1562499999999999E-2</v>
      </c>
      <c r="AN278" s="27" t="s">
        <v>344</v>
      </c>
      <c r="AO278" s="27">
        <v>85</v>
      </c>
      <c r="AP278" s="27">
        <v>9</v>
      </c>
      <c r="AQ278" s="27">
        <v>69</v>
      </c>
      <c r="AR278" s="27">
        <f>SUM(AO278:AQ278)</f>
        <v>163</v>
      </c>
      <c r="AS278" s="27" t="s">
        <v>6544</v>
      </c>
      <c r="AT278" s="27" t="s">
        <v>5038</v>
      </c>
      <c r="AU278" s="84" t="s">
        <v>4659</v>
      </c>
      <c r="AV278" s="77"/>
      <c r="AW278" s="77"/>
      <c r="AX278" s="77"/>
      <c r="AY278" s="77"/>
      <c r="AZ278" s="77"/>
      <c r="BA278" s="77"/>
      <c r="BB278" s="77"/>
      <c r="BC278" s="77"/>
      <c r="BD278" s="77"/>
      <c r="BE278" s="77"/>
      <c r="BF278" s="77"/>
      <c r="BG278" s="77"/>
      <c r="BH278" s="77"/>
      <c r="BI278" s="77"/>
      <c r="BJ278" s="77"/>
      <c r="BK278" s="77"/>
      <c r="BL278" s="77"/>
      <c r="BM278" s="77"/>
      <c r="BN278" s="77"/>
      <c r="BO278" s="77"/>
      <c r="BP278" s="77"/>
      <c r="BQ278" s="77"/>
      <c r="BR278" s="77"/>
      <c r="BS278" s="77"/>
      <c r="BT278" s="77"/>
      <c r="BU278" s="77"/>
      <c r="BV278" s="77"/>
      <c r="BW278" s="77"/>
      <c r="BX278" s="77"/>
      <c r="BY278" s="77"/>
      <c r="BZ278" s="77"/>
      <c r="CA278" s="77"/>
      <c r="CB278" s="77"/>
      <c r="CK278" s="77"/>
      <c r="CL278" s="77"/>
      <c r="CM278" s="77"/>
      <c r="CN278" s="77"/>
      <c r="CO278" s="77"/>
      <c r="CP278" s="77"/>
      <c r="CQ278" s="77"/>
      <c r="CR278" s="77"/>
      <c r="CS278" s="77"/>
      <c r="CT278" s="77"/>
      <c r="CU278" s="77"/>
      <c r="CV278" s="77"/>
      <c r="CW278" s="77"/>
      <c r="EM278" s="77"/>
      <c r="EN278" s="77"/>
      <c r="EO278" s="77"/>
      <c r="EP278" s="77"/>
      <c r="EQ278" s="77"/>
      <c r="HL278" s="77"/>
      <c r="HM278" s="77"/>
      <c r="HN278" s="77"/>
      <c r="HO278" s="77"/>
      <c r="HP278" s="77"/>
      <c r="HQ278" s="77"/>
      <c r="HR278" s="77"/>
      <c r="HS278" s="77"/>
      <c r="HT278" s="77"/>
      <c r="HU278" s="77"/>
      <c r="HV278" s="77"/>
      <c r="HW278" s="77"/>
      <c r="HX278" s="77"/>
      <c r="HY278" s="77"/>
      <c r="HZ278" s="77"/>
      <c r="IA278" s="77"/>
      <c r="IB278" s="77"/>
      <c r="IC278" s="77"/>
      <c r="ID278" s="77"/>
      <c r="IE278" s="77"/>
      <c r="IF278" s="77"/>
      <c r="IG278" s="77"/>
      <c r="IH278" s="77"/>
      <c r="II278" s="77"/>
      <c r="IJ278" s="77"/>
      <c r="IK278" s="77"/>
      <c r="IL278" s="77"/>
      <c r="IM278" s="77"/>
      <c r="IN278" s="77"/>
      <c r="IO278" s="77"/>
      <c r="IP278" s="77"/>
      <c r="IQ278" s="77"/>
      <c r="IR278" s="77"/>
      <c r="IS278" s="77"/>
      <c r="IT278" s="77"/>
      <c r="IU278" s="77"/>
      <c r="IV278" s="77"/>
      <c r="IW278" s="77"/>
      <c r="IX278" s="77"/>
      <c r="IY278" s="77"/>
      <c r="IZ278" s="77"/>
      <c r="JA278" s="77"/>
      <c r="JB278" s="77"/>
      <c r="JC278" s="77"/>
      <c r="JD278" s="77"/>
      <c r="JE278" s="77"/>
      <c r="JF278" s="77"/>
      <c r="JG278" s="77"/>
      <c r="JH278" s="77"/>
      <c r="JI278" s="77"/>
      <c r="JJ278" s="77"/>
      <c r="JK278" s="77"/>
      <c r="JL278" s="77"/>
      <c r="JM278" s="77"/>
      <c r="JN278" s="77"/>
      <c r="JO278" s="77"/>
      <c r="JP278" s="77"/>
      <c r="JQ278" s="77"/>
      <c r="JR278" s="77"/>
      <c r="JS278" s="77"/>
      <c r="JT278" s="77"/>
      <c r="JU278" s="77"/>
      <c r="JV278" s="77"/>
      <c r="JW278" s="77"/>
      <c r="JX278" s="77"/>
      <c r="JY278" s="77"/>
      <c r="JZ278" s="77"/>
      <c r="KA278" s="77"/>
      <c r="KB278" s="77"/>
      <c r="KC278" s="77"/>
      <c r="KD278" s="77"/>
      <c r="KE278" s="77"/>
      <c r="KF278" s="77"/>
      <c r="KG278" s="77"/>
      <c r="KH278" s="77"/>
      <c r="KI278" s="77"/>
      <c r="KJ278" s="77"/>
      <c r="KK278" s="77"/>
      <c r="KL278" s="77"/>
      <c r="KM278" s="77"/>
      <c r="KN278" s="77"/>
      <c r="KO278" s="77"/>
      <c r="KP278" s="77"/>
      <c r="KQ278" s="77"/>
      <c r="KR278" s="77"/>
      <c r="KS278" s="77"/>
      <c r="KT278" s="77"/>
      <c r="KU278" s="77"/>
      <c r="KV278" s="77"/>
      <c r="KW278" s="77"/>
      <c r="KX278" s="77"/>
      <c r="KY278" s="77"/>
      <c r="KZ278" s="77"/>
      <c r="LA278" s="77"/>
      <c r="LB278" s="77"/>
      <c r="LC278" s="77"/>
      <c r="LD278" s="77"/>
      <c r="LE278" s="77"/>
      <c r="LF278" s="77"/>
      <c r="LG278" s="77"/>
      <c r="LH278" s="77"/>
      <c r="LI278" s="77"/>
      <c r="LJ278" s="77"/>
      <c r="LK278" s="77"/>
      <c r="LL278" s="77"/>
      <c r="LM278" s="77"/>
      <c r="LN278" s="77"/>
      <c r="LO278" s="77"/>
      <c r="LP278" s="77"/>
      <c r="LQ278" s="77"/>
      <c r="LR278" s="77"/>
      <c r="LS278" s="77"/>
      <c r="LT278" s="77"/>
      <c r="LU278" s="77"/>
      <c r="LV278" s="77"/>
      <c r="LW278" s="77"/>
      <c r="LX278" s="77"/>
    </row>
    <row r="279" spans="1:421" s="24" customFormat="1" ht="18.600000000000001" customHeight="1" x14ac:dyDescent="0.25">
      <c r="A279" s="119" t="s">
        <v>196</v>
      </c>
      <c r="B279" s="27" t="s">
        <v>1320</v>
      </c>
      <c r="C279" s="27" t="s">
        <v>1321</v>
      </c>
      <c r="D279" s="30" t="str">
        <f>HYPERLINK("https://twitter.com/HassanRouhani","https://twitter.com/HassanRouhani")</f>
        <v>https://twitter.com/HassanRouhani</v>
      </c>
      <c r="E279" s="30" t="str">
        <f>HYPERLINK("http://twiplomacy.com/info/asia/Iran","http://twiplomacy.com/info/asia/Iran")</f>
        <v>http://twiplomacy.com/info/asia/Iran</v>
      </c>
      <c r="F279" s="10" t="s">
        <v>154</v>
      </c>
      <c r="G279" s="10" t="s">
        <v>194</v>
      </c>
      <c r="H279" s="10" t="s">
        <v>772</v>
      </c>
      <c r="I279" s="10" t="s">
        <v>773</v>
      </c>
      <c r="J279" s="27" t="s">
        <v>789</v>
      </c>
      <c r="K279" s="15" t="s">
        <v>777</v>
      </c>
      <c r="L279" s="10" t="s">
        <v>771</v>
      </c>
      <c r="M279" s="10" t="s">
        <v>770</v>
      </c>
      <c r="N279" s="30" t="str">
        <f>HYPERLINK("https://twitter.com/HassanRouhani/statuses/330996375540080640","https://twitter.com/HassanRouhani/statuses/330996375540080640")</f>
        <v>https://twitter.com/HassanRouhani/statuses/330996375540080640</v>
      </c>
      <c r="O279" s="27" t="s">
        <v>5860</v>
      </c>
      <c r="P279" s="80">
        <v>4928</v>
      </c>
      <c r="Q279" s="80">
        <v>1893</v>
      </c>
      <c r="R279" s="27" t="s">
        <v>2995</v>
      </c>
      <c r="S279" s="10" t="s">
        <v>1322</v>
      </c>
      <c r="T279" s="10" t="s">
        <v>771</v>
      </c>
      <c r="U279" s="10" t="s">
        <v>771</v>
      </c>
      <c r="V279" s="10" t="s">
        <v>771</v>
      </c>
      <c r="W279" s="10"/>
      <c r="X279" s="27" t="s">
        <v>196</v>
      </c>
      <c r="Y279" s="27" t="s">
        <v>1320</v>
      </c>
      <c r="Z279" s="80">
        <v>3430</v>
      </c>
      <c r="AA279" s="27">
        <v>5</v>
      </c>
      <c r="AB279" s="80">
        <v>481797</v>
      </c>
      <c r="AC279" s="27">
        <v>146</v>
      </c>
      <c r="AD279" s="27" t="s">
        <v>3804</v>
      </c>
      <c r="AE279" s="27">
        <v>1404590618</v>
      </c>
      <c r="AF279" s="27" t="s">
        <v>1321</v>
      </c>
      <c r="AG279" s="27" t="s">
        <v>1319</v>
      </c>
      <c r="AH279" s="79">
        <v>3.1381518755718201</v>
      </c>
      <c r="AI279" s="83">
        <v>3.0311320754716999</v>
      </c>
      <c r="AJ279" s="80">
        <v>79.705387848681696</v>
      </c>
      <c r="AK279" s="80">
        <v>79.4837600305694</v>
      </c>
      <c r="AL279" s="27">
        <v>123</v>
      </c>
      <c r="AM279" s="97">
        <f t="shared" si="4"/>
        <v>3.8437499999999999E-2</v>
      </c>
      <c r="AN279" s="27" t="s">
        <v>196</v>
      </c>
      <c r="AO279" s="27">
        <v>1</v>
      </c>
      <c r="AP279" s="27">
        <v>44</v>
      </c>
      <c r="AQ279" s="27">
        <v>2</v>
      </c>
      <c r="AR279" s="27">
        <f>SUM(AO279:AQ279)</f>
        <v>47</v>
      </c>
      <c r="AS279" s="27" t="s">
        <v>195</v>
      </c>
      <c r="AT279" s="27" t="s">
        <v>5176</v>
      </c>
      <c r="AU279" s="84" t="s">
        <v>4753</v>
      </c>
      <c r="AV279" s="77"/>
      <c r="AW279" s="77"/>
      <c r="AX279" s="77"/>
      <c r="AY279" s="77"/>
      <c r="AZ279" s="77"/>
      <c r="BA279" s="77"/>
      <c r="BB279" s="77"/>
      <c r="BC279" s="77"/>
      <c r="BD279" s="77"/>
      <c r="BE279" s="77"/>
      <c r="BF279" s="77"/>
      <c r="BG279" s="77"/>
      <c r="BH279" s="77"/>
      <c r="BI279" s="77"/>
      <c r="BJ279" s="77"/>
      <c r="BK279" s="77"/>
      <c r="BL279" s="77"/>
      <c r="BM279" s="77"/>
      <c r="BN279" s="71"/>
      <c r="BO279" s="71"/>
      <c r="BP279" s="71"/>
      <c r="BQ279" s="77"/>
      <c r="BR279" s="77"/>
      <c r="BS279" s="77"/>
      <c r="BT279" s="77"/>
      <c r="BU279" s="77"/>
      <c r="BV279" s="77"/>
      <c r="BW279" s="77"/>
      <c r="BX279" s="77"/>
      <c r="BY279" s="77"/>
      <c r="BZ279" s="77"/>
      <c r="CA279" s="77"/>
      <c r="CB279" s="77"/>
      <c r="EM279" s="77"/>
      <c r="EN279" s="77"/>
      <c r="EO279" s="77"/>
      <c r="EP279" s="77"/>
      <c r="ER279" s="77"/>
      <c r="ES279" s="77"/>
      <c r="ET279" s="77"/>
      <c r="EU279" s="77"/>
      <c r="EV279" s="77"/>
      <c r="EW279" s="77"/>
      <c r="EX279" s="77"/>
      <c r="EY279" s="77"/>
      <c r="EZ279" s="77"/>
      <c r="FA279" s="77"/>
      <c r="FB279" s="77"/>
      <c r="FC279" s="77"/>
      <c r="FD279" s="77"/>
      <c r="FE279" s="77"/>
      <c r="FF279" s="77"/>
      <c r="FG279" s="77"/>
      <c r="FH279" s="77"/>
      <c r="FI279" s="77"/>
      <c r="FJ279" s="77"/>
      <c r="FK279" s="77"/>
      <c r="FL279" s="77"/>
      <c r="FM279" s="77"/>
      <c r="FN279" s="77"/>
      <c r="FO279" s="77"/>
      <c r="FP279" s="77"/>
      <c r="FQ279" s="77"/>
      <c r="FR279" s="77"/>
      <c r="FS279" s="77"/>
      <c r="FT279" s="77"/>
      <c r="FU279" s="77"/>
      <c r="FV279" s="77"/>
      <c r="FW279" s="77"/>
      <c r="FX279" s="77"/>
      <c r="FY279" s="77"/>
      <c r="FZ279" s="77"/>
      <c r="GA279" s="77"/>
      <c r="GB279" s="77"/>
      <c r="GC279" s="77"/>
      <c r="GD279" s="77"/>
      <c r="GE279" s="77"/>
      <c r="GF279" s="77"/>
      <c r="GG279" s="77"/>
      <c r="GH279" s="77"/>
      <c r="GI279" s="77"/>
      <c r="GJ279" s="77"/>
      <c r="GK279" s="77"/>
      <c r="GL279" s="77"/>
      <c r="GM279" s="77"/>
      <c r="GN279" s="77"/>
      <c r="GO279" s="77"/>
      <c r="GP279" s="77"/>
      <c r="GQ279" s="77"/>
      <c r="GR279" s="77"/>
      <c r="GS279" s="77"/>
      <c r="GT279" s="77"/>
      <c r="GU279" s="77"/>
      <c r="GV279" s="77"/>
      <c r="GW279" s="77"/>
      <c r="GX279" s="77"/>
      <c r="GY279" s="77"/>
      <c r="GZ279" s="77"/>
      <c r="HA279" s="77"/>
      <c r="HB279" s="77"/>
      <c r="HC279" s="77"/>
      <c r="HD279" s="77"/>
      <c r="HE279" s="77"/>
      <c r="HF279" s="77"/>
      <c r="HG279" s="77"/>
      <c r="HH279" s="77"/>
      <c r="HI279" s="77"/>
      <c r="HJ279" s="77"/>
      <c r="HK279" s="77"/>
      <c r="HL279" s="77"/>
      <c r="HM279" s="77"/>
      <c r="HN279" s="77"/>
      <c r="HO279" s="77"/>
      <c r="HP279" s="77"/>
      <c r="HQ279" s="77"/>
      <c r="HR279" s="77"/>
      <c r="HS279" s="77"/>
      <c r="HT279" s="77"/>
      <c r="HU279" s="77"/>
      <c r="HV279" s="77"/>
      <c r="HW279" s="77"/>
      <c r="HX279" s="77"/>
      <c r="HY279" s="77"/>
      <c r="HZ279" s="77"/>
      <c r="IA279" s="77"/>
      <c r="IB279" s="77"/>
      <c r="IC279" s="77"/>
      <c r="ID279" s="77"/>
      <c r="IE279" s="77"/>
      <c r="IF279" s="77"/>
      <c r="IG279" s="77"/>
      <c r="IH279" s="77"/>
      <c r="II279" s="77"/>
      <c r="IJ279" s="77"/>
      <c r="IK279" s="77"/>
      <c r="IL279" s="77"/>
      <c r="IM279" s="77"/>
      <c r="IN279" s="77"/>
      <c r="IO279" s="77"/>
      <c r="IP279" s="77"/>
      <c r="IQ279" s="77"/>
      <c r="IR279" s="77"/>
      <c r="IS279" s="77"/>
      <c r="IT279" s="77"/>
      <c r="IU279" s="77"/>
      <c r="IV279" s="77"/>
      <c r="IW279" s="77"/>
      <c r="IX279" s="77"/>
      <c r="IY279" s="77"/>
      <c r="IZ279" s="77"/>
      <c r="JA279" s="77"/>
      <c r="JB279" s="77"/>
      <c r="JC279" s="77"/>
      <c r="JD279" s="77"/>
      <c r="JE279" s="77"/>
      <c r="JF279" s="77"/>
      <c r="JG279" s="77"/>
      <c r="JH279" s="77"/>
      <c r="JI279" s="77"/>
      <c r="JJ279" s="77"/>
      <c r="JK279" s="77"/>
      <c r="JL279" s="77"/>
      <c r="JM279" s="77"/>
      <c r="JN279" s="77"/>
      <c r="JO279" s="77"/>
      <c r="JP279" s="77"/>
      <c r="JQ279" s="77"/>
      <c r="JR279" s="77"/>
      <c r="JS279" s="77"/>
      <c r="JT279" s="77"/>
      <c r="JU279" s="77"/>
      <c r="JV279" s="77"/>
      <c r="JW279" s="77"/>
      <c r="JX279" s="77"/>
      <c r="JY279" s="77"/>
      <c r="JZ279" s="77"/>
      <c r="KA279" s="77"/>
      <c r="KB279" s="77"/>
      <c r="KC279" s="77"/>
      <c r="KD279" s="77"/>
      <c r="KE279" s="77"/>
      <c r="KF279" s="77"/>
      <c r="KG279" s="77"/>
      <c r="KH279" s="77"/>
      <c r="KI279" s="77"/>
      <c r="KJ279" s="77"/>
      <c r="KK279" s="77"/>
      <c r="KL279" s="77"/>
      <c r="KM279" s="77"/>
      <c r="KN279" s="77"/>
      <c r="KO279" s="77"/>
      <c r="KP279" s="77"/>
      <c r="KQ279" s="77"/>
      <c r="KR279" s="77"/>
      <c r="KS279" s="77"/>
      <c r="KT279" s="77"/>
      <c r="KU279" s="77"/>
      <c r="KV279" s="77"/>
      <c r="KW279" s="77"/>
      <c r="KX279" s="77"/>
      <c r="KY279" s="77"/>
      <c r="KZ279" s="77"/>
      <c r="LA279" s="77"/>
      <c r="LB279" s="77"/>
      <c r="LC279" s="77"/>
      <c r="LD279" s="77"/>
      <c r="LE279" s="77"/>
      <c r="LF279" s="77"/>
      <c r="LG279" s="77"/>
      <c r="LH279" s="77"/>
      <c r="LI279" s="77"/>
      <c r="LJ279" s="77"/>
      <c r="LK279" s="77"/>
      <c r="LL279" s="77"/>
      <c r="LM279" s="77"/>
      <c r="LN279" s="77"/>
      <c r="LO279" s="77"/>
      <c r="LP279" s="77"/>
      <c r="LQ279" s="77"/>
      <c r="LR279" s="77"/>
      <c r="LS279" s="77"/>
      <c r="LT279" s="77"/>
      <c r="LU279" s="77"/>
      <c r="LV279" s="77"/>
    </row>
    <row r="280" spans="1:421" ht="18.600000000000001" customHeight="1" x14ac:dyDescent="0.25">
      <c r="A280" s="119" t="s">
        <v>3271</v>
      </c>
      <c r="B280" s="27" t="s">
        <v>3554</v>
      </c>
      <c r="C280" s="27" t="s">
        <v>6374</v>
      </c>
      <c r="D280" s="30" t="str">
        <f>HYPERLINK("https://twitter.com/CancilleriaARG","https://twitter.com/CancilleriaARG")</f>
        <v>https://twitter.com/CancilleriaARG</v>
      </c>
      <c r="E280" s="30" t="str">
        <f>HYPERLINK("http://twiplomacy.com/info/south-america/Argentina","http://twiplomacy.com/info/south-america/Argentina")</f>
        <v>http://twiplomacy.com/info/south-america/Argentina</v>
      </c>
      <c r="F280" s="10" t="s">
        <v>668</v>
      </c>
      <c r="G280" s="10" t="s">
        <v>667</v>
      </c>
      <c r="H280" s="10" t="s">
        <v>795</v>
      </c>
      <c r="I280" s="10" t="s">
        <v>782</v>
      </c>
      <c r="J280" s="27" t="s">
        <v>2226</v>
      </c>
      <c r="K280" s="15" t="s">
        <v>777</v>
      </c>
      <c r="L280" s="10" t="s">
        <v>771</v>
      </c>
      <c r="M280" s="10" t="s">
        <v>770</v>
      </c>
      <c r="N280" s="12" t="s">
        <v>3273</v>
      </c>
      <c r="O280" s="27" t="s">
        <v>5727</v>
      </c>
      <c r="P280" s="80">
        <v>783</v>
      </c>
      <c r="Q280" s="80">
        <v>764</v>
      </c>
      <c r="R280" s="27" t="s">
        <v>2994</v>
      </c>
      <c r="S280" s="10" t="s">
        <v>3272</v>
      </c>
      <c r="T280" s="10" t="s">
        <v>771</v>
      </c>
      <c r="U280" s="10" t="s">
        <v>771</v>
      </c>
      <c r="V280" s="10" t="s">
        <v>771</v>
      </c>
      <c r="W280" s="10"/>
      <c r="X280" s="27" t="s">
        <v>3271</v>
      </c>
      <c r="Y280" s="27" t="s">
        <v>3554</v>
      </c>
      <c r="Z280" s="80">
        <v>3389</v>
      </c>
      <c r="AA280" s="27">
        <v>165</v>
      </c>
      <c r="AB280" s="80">
        <v>58504</v>
      </c>
      <c r="AC280" s="27">
        <v>355</v>
      </c>
      <c r="AD280" s="27" t="s">
        <v>3555</v>
      </c>
      <c r="AE280" s="27">
        <v>171650522</v>
      </c>
      <c r="AF280" s="27" t="s">
        <v>6374</v>
      </c>
      <c r="AG280" s="27" t="s">
        <v>667</v>
      </c>
      <c r="AH280" s="79">
        <v>1.6092117758784401</v>
      </c>
      <c r="AI280" s="83">
        <v>1.5894006934125799</v>
      </c>
      <c r="AJ280" s="80">
        <v>11.235664076951499</v>
      </c>
      <c r="AK280" s="80">
        <v>8.9707732149463606</v>
      </c>
      <c r="AL280" s="27">
        <v>61</v>
      </c>
      <c r="AM280" s="97">
        <f t="shared" si="4"/>
        <v>1.90625E-2</v>
      </c>
      <c r="AN280" s="27" t="s">
        <v>3271</v>
      </c>
      <c r="AO280" s="27">
        <v>36</v>
      </c>
      <c r="AP280" s="27">
        <v>18</v>
      </c>
      <c r="AQ280" s="27">
        <v>34</v>
      </c>
      <c r="AR280" s="27">
        <f>SUM(AO280:AQ280)</f>
        <v>88</v>
      </c>
      <c r="AS280" s="27" t="s">
        <v>6548</v>
      </c>
      <c r="AT280" s="27" t="s">
        <v>5058</v>
      </c>
      <c r="AU280" s="84" t="s">
        <v>6471</v>
      </c>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c r="BZ280" s="77"/>
      <c r="CA280" s="77"/>
      <c r="CB280" s="77"/>
      <c r="CC280" s="77"/>
      <c r="CD280" s="77"/>
      <c r="CE280" s="77"/>
      <c r="CF280" s="77"/>
      <c r="CG280" s="77"/>
      <c r="CH280" s="77"/>
      <c r="CI280" s="77"/>
      <c r="CJ280" s="77"/>
      <c r="CK280" s="77"/>
      <c r="CL280" s="77"/>
      <c r="CM280" s="77"/>
      <c r="CN280" s="77"/>
      <c r="CO280" s="77"/>
      <c r="CP280" s="77"/>
      <c r="CQ280" s="77"/>
      <c r="CR280" s="77"/>
      <c r="CS280" s="77"/>
      <c r="CT280" s="77"/>
      <c r="CU280" s="77"/>
      <c r="CV280" s="77"/>
      <c r="CW280" s="77"/>
      <c r="CX280" s="77"/>
      <c r="CY280" s="77"/>
      <c r="CZ280" s="77"/>
      <c r="DA280" s="77"/>
      <c r="DB280" s="77"/>
      <c r="DC280" s="77"/>
      <c r="DD280" s="77"/>
      <c r="DE280" s="77"/>
      <c r="DF280" s="77"/>
      <c r="DG280" s="77"/>
      <c r="DH280" s="77"/>
      <c r="DI280" s="77"/>
      <c r="DJ280" s="77"/>
      <c r="DK280" s="77"/>
      <c r="DL280" s="77"/>
      <c r="DM280" s="77"/>
      <c r="DN280" s="77"/>
      <c r="DO280" s="77"/>
      <c r="DP280" s="77"/>
      <c r="DQ280" s="77"/>
      <c r="DR280" s="77"/>
      <c r="DS280" s="77"/>
      <c r="DT280" s="77"/>
      <c r="DU280" s="77"/>
      <c r="DV280" s="77"/>
      <c r="DW280" s="77"/>
      <c r="DX280" s="77"/>
      <c r="DY280" s="77"/>
      <c r="DZ280" s="77"/>
      <c r="EA280" s="77"/>
      <c r="EB280" s="77"/>
      <c r="EC280" s="77"/>
      <c r="ED280" s="77"/>
      <c r="EE280" s="77"/>
      <c r="EF280" s="77"/>
      <c r="EG280" s="77"/>
      <c r="EH280" s="77"/>
      <c r="EI280" s="77"/>
      <c r="EJ280" s="77"/>
      <c r="EK280" s="77"/>
      <c r="EL280" s="77"/>
      <c r="EM280" s="77"/>
      <c r="EN280" s="77"/>
      <c r="EO280" s="77"/>
      <c r="EP280" s="77"/>
      <c r="ER280" s="77"/>
      <c r="ES280" s="77"/>
      <c r="ET280" s="77"/>
      <c r="EU280" s="77"/>
      <c r="EV280" s="77"/>
      <c r="EW280" s="77"/>
      <c r="EX280" s="77"/>
      <c r="EY280" s="77"/>
      <c r="EZ280" s="77"/>
      <c r="FA280" s="77"/>
      <c r="FB280" s="77"/>
      <c r="FC280" s="77"/>
      <c r="FD280" s="77"/>
      <c r="FE280" s="77"/>
      <c r="FF280" s="77"/>
      <c r="FG280" s="77"/>
      <c r="FH280" s="77"/>
      <c r="FI280" s="77"/>
      <c r="FJ280" s="77"/>
      <c r="FK280" s="77"/>
      <c r="FL280" s="77"/>
      <c r="FM280" s="77"/>
      <c r="FN280" s="77"/>
      <c r="FO280" s="77"/>
      <c r="FP280" s="77"/>
      <c r="FQ280" s="77"/>
      <c r="FR280" s="77"/>
      <c r="FS280" s="77"/>
      <c r="FT280" s="77"/>
      <c r="FU280" s="77"/>
      <c r="FV280" s="77"/>
      <c r="FW280" s="77"/>
      <c r="FX280" s="77"/>
      <c r="FY280" s="77"/>
      <c r="FZ280" s="77"/>
      <c r="GA280" s="77"/>
      <c r="GB280" s="77"/>
      <c r="GC280" s="77"/>
      <c r="GD280" s="77"/>
      <c r="GE280" s="77"/>
      <c r="GF280" s="77"/>
      <c r="GG280" s="77"/>
      <c r="GH280" s="77"/>
      <c r="GI280" s="77"/>
      <c r="GJ280" s="77"/>
      <c r="GK280" s="77"/>
      <c r="GL280" s="77"/>
      <c r="GM280" s="77"/>
      <c r="GN280" s="77"/>
      <c r="GO280" s="77"/>
      <c r="GP280" s="77"/>
      <c r="GQ280" s="77"/>
      <c r="GR280" s="77"/>
      <c r="GS280" s="77"/>
      <c r="GT280" s="77"/>
      <c r="GU280" s="77"/>
      <c r="GV280" s="77"/>
      <c r="GW280" s="77"/>
      <c r="GX280" s="77"/>
      <c r="GY280" s="77"/>
      <c r="GZ280" s="77"/>
      <c r="HA280" s="77"/>
      <c r="HB280" s="77"/>
      <c r="HC280" s="77"/>
      <c r="HD280" s="77"/>
      <c r="HE280" s="77"/>
      <c r="HF280" s="77"/>
      <c r="HG280" s="77"/>
      <c r="HH280" s="77"/>
      <c r="HI280" s="77"/>
      <c r="HJ280" s="77"/>
      <c r="HK280" s="77"/>
      <c r="HL280" s="77"/>
      <c r="HM280" s="77"/>
      <c r="HN280" s="77"/>
      <c r="HO280" s="77"/>
      <c r="HP280" s="77"/>
      <c r="HQ280" s="77"/>
      <c r="HR280" s="77"/>
      <c r="HS280" s="77"/>
      <c r="HT280" s="77"/>
      <c r="HU280" s="77"/>
      <c r="HV280" s="77"/>
      <c r="HW280" s="77"/>
      <c r="HX280" s="77"/>
      <c r="HY280" s="77"/>
      <c r="HZ280" s="77"/>
      <c r="IA280" s="77"/>
      <c r="IB280" s="77"/>
      <c r="IC280" s="77"/>
      <c r="ID280" s="77"/>
      <c r="IE280" s="77"/>
      <c r="IF280" s="77"/>
      <c r="IG280" s="77"/>
      <c r="IH280" s="77"/>
      <c r="II280" s="77"/>
      <c r="IJ280" s="77"/>
      <c r="IK280" s="77"/>
      <c r="IL280" s="77"/>
      <c r="IM280" s="77"/>
      <c r="IN280" s="77"/>
      <c r="IO280" s="77"/>
      <c r="IP280" s="77"/>
      <c r="IQ280" s="77"/>
      <c r="IR280" s="77"/>
      <c r="IS280" s="77"/>
      <c r="IT280" s="77"/>
      <c r="IU280" s="77"/>
      <c r="IV280" s="77"/>
      <c r="IW280" s="77"/>
      <c r="IX280" s="77"/>
      <c r="IY280" s="77"/>
      <c r="IZ280" s="77"/>
      <c r="JA280" s="77"/>
      <c r="JB280" s="77"/>
      <c r="JC280" s="77"/>
      <c r="JD280" s="77"/>
      <c r="JE280" s="77"/>
      <c r="JF280" s="77"/>
      <c r="JG280" s="77"/>
      <c r="JH280" s="77"/>
      <c r="JI280" s="77"/>
      <c r="JJ280" s="77"/>
      <c r="JK280" s="77"/>
      <c r="JL280" s="77"/>
      <c r="JM280" s="77"/>
      <c r="JN280" s="77"/>
      <c r="JO280" s="77"/>
      <c r="JP280" s="77"/>
      <c r="JQ280" s="77"/>
      <c r="JR280" s="77"/>
      <c r="JS280" s="77"/>
      <c r="JT280" s="77"/>
      <c r="JU280" s="77"/>
      <c r="JV280" s="77"/>
      <c r="JW280" s="77"/>
      <c r="JX280" s="77"/>
      <c r="JY280" s="77"/>
      <c r="JZ280" s="77"/>
      <c r="KA280" s="77"/>
      <c r="KB280" s="77"/>
      <c r="KC280" s="77"/>
      <c r="KD280" s="77"/>
      <c r="KE280" s="77"/>
      <c r="KF280" s="77"/>
      <c r="KG280" s="77"/>
      <c r="KH280" s="77"/>
      <c r="KI280" s="77"/>
      <c r="KJ280" s="77"/>
      <c r="KK280" s="77"/>
      <c r="KL280" s="77"/>
      <c r="KM280" s="77"/>
      <c r="KN280" s="77"/>
      <c r="KO280" s="77"/>
      <c r="KP280" s="77"/>
      <c r="KQ280" s="77"/>
      <c r="KR280" s="77"/>
      <c r="KS280" s="77"/>
      <c r="KT280" s="77"/>
      <c r="KU280" s="77"/>
      <c r="KV280" s="77"/>
      <c r="KW280" s="77"/>
      <c r="KX280" s="77"/>
      <c r="KY280" s="77"/>
      <c r="KZ280" s="77"/>
      <c r="LA280" s="77"/>
      <c r="LB280" s="77"/>
      <c r="LC280" s="77"/>
      <c r="LD280" s="77"/>
      <c r="LE280" s="77"/>
      <c r="LF280" s="77"/>
      <c r="LG280" s="77"/>
      <c r="LH280" s="77"/>
      <c r="LI280" s="77"/>
      <c r="LJ280" s="77"/>
      <c r="LK280" s="77"/>
    </row>
    <row r="281" spans="1:421" ht="18.600000000000001" customHeight="1" x14ac:dyDescent="0.25">
      <c r="A281" s="119" t="s">
        <v>674</v>
      </c>
      <c r="B281" s="27" t="s">
        <v>2693</v>
      </c>
      <c r="C281" s="27" t="s">
        <v>2694</v>
      </c>
      <c r="D281" s="30" t="str">
        <f>HYPERLINK("https://twitter.com/casacivilbr","https://twitter.com/casacivilbr")</f>
        <v>https://twitter.com/casacivilbr</v>
      </c>
      <c r="E281" s="30" t="str">
        <f>HYPERLINK("http://twiplomacy.com/info/south-america/Brazil","http://twiplomacy.com/info/south-america/Brazil")</f>
        <v>http://twiplomacy.com/info/south-america/Brazil</v>
      </c>
      <c r="F281" s="10" t="s">
        <v>668</v>
      </c>
      <c r="G281" s="10" t="s">
        <v>673</v>
      </c>
      <c r="H281" s="10" t="s">
        <v>781</v>
      </c>
      <c r="I281" s="10" t="s">
        <v>782</v>
      </c>
      <c r="J281" s="27" t="s">
        <v>785</v>
      </c>
      <c r="K281" s="10" t="s">
        <v>777</v>
      </c>
      <c r="L281" s="10" t="s">
        <v>771</v>
      </c>
      <c r="M281" s="10" t="s">
        <v>770</v>
      </c>
      <c r="N281" s="30" t="str">
        <f>HYPERLINK("https://twitter.com/CasaCivilBR/statuses/361935873446653953","https://twitter.com/CasaCivilBR/statuses/361935873446653953")</f>
        <v>https://twitter.com/CasaCivilBR/statuses/361935873446653953</v>
      </c>
      <c r="O281" s="27" t="s">
        <v>5734</v>
      </c>
      <c r="P281" s="80">
        <v>58</v>
      </c>
      <c r="Q281" s="80">
        <v>0</v>
      </c>
      <c r="R281" s="27" t="s">
        <v>2994</v>
      </c>
      <c r="S281" s="30" t="str">
        <f>HYPERLINK("https://twitter.com/casacivilbr/lists","https://twitter.com/casacivilbr/lists")</f>
        <v>https://twitter.com/casacivilbr/lists</v>
      </c>
      <c r="T281" s="10" t="s">
        <v>771</v>
      </c>
      <c r="U281" s="10">
        <v>1</v>
      </c>
      <c r="V281" s="10" t="s">
        <v>771</v>
      </c>
      <c r="W281" s="10"/>
      <c r="X281" s="27" t="s">
        <v>674</v>
      </c>
      <c r="Y281" s="27" t="s">
        <v>2693</v>
      </c>
      <c r="Z281" s="80">
        <v>3378</v>
      </c>
      <c r="AA281" s="27">
        <v>147</v>
      </c>
      <c r="AB281" s="80">
        <v>35421</v>
      </c>
      <c r="AC281" s="27">
        <v>53</v>
      </c>
      <c r="AD281" s="27" t="s">
        <v>3571</v>
      </c>
      <c r="AE281" s="27">
        <v>1623608509</v>
      </c>
      <c r="AF281" s="27" t="s">
        <v>2694</v>
      </c>
      <c r="AG281" s="27" t="s">
        <v>2692</v>
      </c>
      <c r="AH281" s="79">
        <v>3.3412462908011902</v>
      </c>
      <c r="AI281" s="83">
        <v>3.25609756097561</v>
      </c>
      <c r="AJ281" s="80">
        <v>1.22370299857211</v>
      </c>
      <c r="AK281" s="80">
        <v>0.54593050928129505</v>
      </c>
      <c r="AL281" s="27">
        <v>23</v>
      </c>
      <c r="AM281" s="97">
        <f t="shared" si="4"/>
        <v>7.1875000000000003E-3</v>
      </c>
      <c r="AN281" s="27" t="s">
        <v>674</v>
      </c>
      <c r="AO281" s="27">
        <v>1</v>
      </c>
      <c r="AP281" s="27">
        <v>4</v>
      </c>
      <c r="AQ281" s="27">
        <v>3</v>
      </c>
      <c r="AR281" s="27">
        <f>SUM(AO281:AQ281)</f>
        <v>8</v>
      </c>
      <c r="AS281" s="27" t="s">
        <v>5572</v>
      </c>
      <c r="AT281" s="27" t="s">
        <v>5062</v>
      </c>
      <c r="AU281" s="84" t="s">
        <v>6475</v>
      </c>
      <c r="AV281" s="77"/>
      <c r="AW281" s="77"/>
      <c r="AX281" s="77"/>
      <c r="AY281" s="77"/>
      <c r="AZ281" s="77"/>
      <c r="BA281" s="77"/>
      <c r="BB281" s="77"/>
      <c r="BC281" s="77"/>
      <c r="BD281" s="77"/>
      <c r="BE281" s="77"/>
      <c r="BF281" s="77"/>
      <c r="BG281" s="77"/>
      <c r="BH281" s="77"/>
      <c r="BI281" s="77"/>
      <c r="BJ281" s="77"/>
      <c r="BK281" s="77"/>
      <c r="BL281" s="77"/>
      <c r="BM281" s="71"/>
      <c r="BN281" s="77"/>
      <c r="BO281" s="77"/>
      <c r="BP281" s="77"/>
      <c r="BQ281" s="77"/>
      <c r="BR281" s="77"/>
      <c r="BS281" s="77"/>
      <c r="BT281" s="77"/>
      <c r="BU281" s="77"/>
      <c r="BV281" s="77"/>
      <c r="BW281" s="77"/>
      <c r="BX281" s="77"/>
      <c r="BY281" s="77"/>
      <c r="BZ281" s="77"/>
      <c r="CA281" s="77"/>
      <c r="CB281" s="77"/>
      <c r="CX281" s="77"/>
      <c r="CY281" s="77"/>
      <c r="CZ281" s="77"/>
      <c r="DA281" s="77"/>
      <c r="DB281" s="77"/>
      <c r="DC281" s="77"/>
      <c r="DD281" s="77"/>
      <c r="DE281" s="77"/>
      <c r="DF281" s="77"/>
      <c r="DG281" s="77"/>
      <c r="DH281" s="77"/>
      <c r="DI281" s="77"/>
      <c r="DJ281" s="77"/>
      <c r="DK281" s="77"/>
      <c r="DL281" s="77"/>
      <c r="DM281" s="77"/>
      <c r="DN281" s="77"/>
      <c r="DO281" s="77"/>
      <c r="DP281" s="77"/>
      <c r="DQ281" s="77"/>
      <c r="DR281" s="77"/>
      <c r="DS281" s="77"/>
      <c r="DT281" s="77"/>
      <c r="DU281" s="77"/>
      <c r="DV281" s="77"/>
      <c r="DW281" s="77"/>
      <c r="DX281" s="77"/>
      <c r="DY281" s="77"/>
      <c r="DZ281" s="77"/>
      <c r="EA281" s="77"/>
      <c r="EB281" s="77"/>
      <c r="EC281" s="77"/>
      <c r="ED281" s="77"/>
      <c r="EE281" s="77"/>
      <c r="EF281" s="77"/>
      <c r="EG281" s="77"/>
      <c r="EH281" s="77"/>
      <c r="EI281" s="77"/>
      <c r="EJ281" s="77"/>
      <c r="EK281" s="77"/>
      <c r="EL281" s="77"/>
      <c r="EM281" s="77"/>
      <c r="EN281" s="77"/>
      <c r="EO281" s="77"/>
      <c r="EP281" s="77"/>
      <c r="EQ281" s="77"/>
      <c r="ER281" s="77"/>
      <c r="ES281" s="77"/>
      <c r="ET281" s="77"/>
      <c r="EU281" s="77"/>
      <c r="EV281" s="77"/>
      <c r="EW281" s="77"/>
      <c r="EX281" s="77"/>
      <c r="EY281" s="77"/>
      <c r="EZ281" s="77"/>
      <c r="FA281" s="77"/>
      <c r="FB281" s="77"/>
      <c r="FC281" s="77"/>
      <c r="FD281" s="77"/>
      <c r="FE281" s="77"/>
      <c r="FF281" s="77"/>
      <c r="FG281" s="77"/>
      <c r="FH281" s="77"/>
      <c r="FI281" s="77"/>
      <c r="FJ281" s="77"/>
      <c r="FK281" s="77"/>
      <c r="FL281" s="77"/>
      <c r="FM281" s="77"/>
      <c r="FN281" s="77"/>
      <c r="FO281" s="77"/>
      <c r="FP281" s="77"/>
      <c r="FQ281" s="77"/>
      <c r="FR281" s="77"/>
      <c r="FS281" s="77"/>
      <c r="FT281" s="77"/>
      <c r="FU281" s="77"/>
      <c r="FV281" s="77"/>
      <c r="FW281" s="77"/>
      <c r="FX281" s="77"/>
      <c r="FY281" s="77"/>
      <c r="FZ281" s="77"/>
      <c r="GA281" s="77"/>
      <c r="GB281" s="77"/>
      <c r="GC281" s="77"/>
      <c r="GD281" s="77"/>
      <c r="GE281" s="77"/>
      <c r="GF281" s="77"/>
      <c r="GG281" s="77"/>
      <c r="GH281" s="77"/>
      <c r="GI281" s="77"/>
      <c r="GJ281" s="77"/>
      <c r="GK281" s="77"/>
      <c r="GL281" s="77"/>
      <c r="GM281" s="77"/>
      <c r="GN281" s="77"/>
      <c r="GO281" s="77"/>
      <c r="GP281" s="77"/>
      <c r="GQ281" s="77"/>
      <c r="GR281" s="77"/>
      <c r="GS281" s="77"/>
      <c r="GT281" s="77"/>
      <c r="GU281" s="77"/>
      <c r="GV281" s="77"/>
      <c r="GW281" s="77"/>
      <c r="GX281" s="77"/>
      <c r="GY281" s="77"/>
      <c r="GZ281" s="77"/>
      <c r="HA281" s="77"/>
      <c r="HB281" s="77"/>
      <c r="HC281" s="77"/>
      <c r="HD281" s="77"/>
      <c r="HE281" s="77"/>
      <c r="HF281" s="77"/>
      <c r="HG281" s="77"/>
      <c r="HH281" s="77"/>
      <c r="HI281" s="77"/>
      <c r="HJ281" s="77"/>
      <c r="HK281" s="77"/>
      <c r="HL281" s="77"/>
      <c r="HM281" s="77"/>
      <c r="HN281" s="77"/>
      <c r="HO281" s="77"/>
      <c r="HP281" s="77"/>
      <c r="HQ281" s="77"/>
      <c r="HR281" s="77"/>
      <c r="HS281" s="77"/>
      <c r="HT281" s="77"/>
      <c r="HU281" s="77"/>
      <c r="HV281" s="77"/>
      <c r="HW281" s="77"/>
      <c r="HX281" s="77"/>
      <c r="HY281" s="77"/>
      <c r="HZ281" s="77"/>
      <c r="IA281" s="77"/>
      <c r="IB281" s="77"/>
      <c r="IC281" s="77"/>
      <c r="ID281" s="16"/>
      <c r="IE281" s="16"/>
      <c r="KM281" s="77"/>
      <c r="KN281" s="77"/>
      <c r="KO281" s="77"/>
      <c r="KP281" s="77"/>
      <c r="KQ281" s="77"/>
      <c r="KR281" s="77"/>
      <c r="KS281" s="77"/>
      <c r="KT281" s="77"/>
      <c r="KU281" s="77"/>
      <c r="KV281" s="77"/>
      <c r="KW281" s="77"/>
      <c r="KX281" s="77"/>
      <c r="KY281" s="77"/>
      <c r="KZ281" s="77"/>
      <c r="LA281" s="77"/>
      <c r="LB281" s="77"/>
      <c r="LC281" s="77"/>
      <c r="LD281" s="77"/>
      <c r="LE281" s="77"/>
      <c r="LF281" s="77"/>
      <c r="LG281" s="77"/>
      <c r="LH281" s="77"/>
      <c r="LI281" s="77"/>
      <c r="LJ281" s="77"/>
      <c r="LK281" s="77"/>
      <c r="LY281" s="77"/>
      <c r="LZ281" s="77"/>
      <c r="MA281" s="77"/>
      <c r="MB281" s="77"/>
      <c r="MC281" s="77"/>
      <c r="MD281" s="77"/>
      <c r="ME281" s="77"/>
      <c r="MF281" s="77"/>
      <c r="MG281" s="77"/>
      <c r="MH281" s="77"/>
      <c r="MI281" s="77"/>
      <c r="MJ281" s="77"/>
      <c r="MK281" s="77"/>
      <c r="ML281" s="77"/>
      <c r="MM281" s="77"/>
      <c r="MN281" s="77"/>
      <c r="MO281" s="77"/>
      <c r="MP281" s="77"/>
      <c r="MQ281" s="77"/>
      <c r="MR281" s="77"/>
      <c r="ND281" s="77"/>
    </row>
    <row r="282" spans="1:421" ht="18.600000000000001" customHeight="1" x14ac:dyDescent="0.25">
      <c r="A282" s="119" t="s">
        <v>307</v>
      </c>
      <c r="B282" s="27" t="s">
        <v>1638</v>
      </c>
      <c r="C282" s="27" t="s">
        <v>1639</v>
      </c>
      <c r="D282" s="30" t="str">
        <f>HYPERLINK("https://twitter.com/Presidency_Sy","https://twitter.com/Presidency_Sy")</f>
        <v>https://twitter.com/Presidency_Sy</v>
      </c>
      <c r="E282" s="30" t="str">
        <f>HYPERLINK("http://twiplomacy.com/info/asia/Syria","http://twiplomacy.com/info/asia/Syria")</f>
        <v>http://twiplomacy.com/info/asia/Syria</v>
      </c>
      <c r="F282" s="10" t="s">
        <v>154</v>
      </c>
      <c r="G282" s="10" t="s">
        <v>306</v>
      </c>
      <c r="H282" s="10" t="s">
        <v>781</v>
      </c>
      <c r="I282" s="10" t="s">
        <v>782</v>
      </c>
      <c r="J282" s="27" t="s">
        <v>789</v>
      </c>
      <c r="K282" s="15" t="s">
        <v>777</v>
      </c>
      <c r="L282" s="10" t="s">
        <v>771</v>
      </c>
      <c r="M282" s="10" t="s">
        <v>771</v>
      </c>
      <c r="N282" s="30" t="str">
        <f>HYPERLINK("https://twitter.com/Presidency_Sy/statuses/324459330315374593","https://twitter.com/Presidency_Sy/statuses/324459330315374593")</f>
        <v>https://twitter.com/Presidency_Sy/statuses/324459330315374593</v>
      </c>
      <c r="O282" s="27" t="s">
        <v>6043</v>
      </c>
      <c r="P282" s="80">
        <v>201</v>
      </c>
      <c r="Q282" s="80">
        <v>147</v>
      </c>
      <c r="R282" s="27" t="s">
        <v>2995</v>
      </c>
      <c r="S282" s="10" t="s">
        <v>1640</v>
      </c>
      <c r="T282" s="10" t="s">
        <v>771</v>
      </c>
      <c r="U282" s="10" t="s">
        <v>771</v>
      </c>
      <c r="V282" s="10" t="s">
        <v>771</v>
      </c>
      <c r="W282" s="10"/>
      <c r="X282" s="27" t="s">
        <v>307</v>
      </c>
      <c r="Y282" s="27" t="s">
        <v>1638</v>
      </c>
      <c r="Z282" s="80">
        <v>3370</v>
      </c>
      <c r="AA282" s="27">
        <v>0</v>
      </c>
      <c r="AB282" s="80">
        <v>24199</v>
      </c>
      <c r="AC282" s="27">
        <v>0</v>
      </c>
      <c r="AD282" s="27" t="s">
        <v>4343</v>
      </c>
      <c r="AE282" s="27">
        <v>1353802260</v>
      </c>
      <c r="AF282" s="27" t="s">
        <v>1639</v>
      </c>
      <c r="AG282" s="27"/>
      <c r="AH282" s="79">
        <v>3.0278526504941601</v>
      </c>
      <c r="AI282" s="83">
        <v>3.0873320537428</v>
      </c>
      <c r="AJ282" s="80">
        <v>15.8678893378924</v>
      </c>
      <c r="AK282" s="80">
        <v>12.8495492695058</v>
      </c>
      <c r="AL282" s="13">
        <v>0</v>
      </c>
      <c r="AM282" s="97">
        <f t="shared" si="4"/>
        <v>0</v>
      </c>
      <c r="AN282" s="27" t="s">
        <v>307</v>
      </c>
      <c r="AO282" s="27">
        <v>0</v>
      </c>
      <c r="AP282" s="27">
        <v>4</v>
      </c>
      <c r="AQ282" s="27">
        <v>0</v>
      </c>
      <c r="AR282" s="27">
        <f>SUM(AO282:AQ282)</f>
        <v>4</v>
      </c>
      <c r="AS282" s="27"/>
      <c r="AT282" s="27" t="s">
        <v>5431</v>
      </c>
      <c r="AU282" s="84"/>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77"/>
      <c r="CD282" s="77"/>
      <c r="CE282" s="77"/>
      <c r="CF282" s="77"/>
      <c r="CG282" s="77"/>
      <c r="CH282" s="77"/>
      <c r="CI282" s="77"/>
      <c r="CJ282" s="77"/>
      <c r="CK282" s="77"/>
      <c r="CL282" s="77"/>
      <c r="CM282" s="77"/>
      <c r="CN282" s="77"/>
      <c r="CO282" s="77"/>
      <c r="CP282" s="77"/>
      <c r="CQ282" s="77"/>
      <c r="CR282" s="77"/>
      <c r="CS282" s="77"/>
      <c r="CT282" s="77"/>
      <c r="CU282" s="77"/>
      <c r="CV282" s="77"/>
      <c r="CW282" s="77"/>
      <c r="CX282" s="77"/>
      <c r="CY282" s="77"/>
      <c r="CZ282" s="77"/>
      <c r="DA282" s="77"/>
      <c r="DB282" s="77"/>
      <c r="DC282" s="77"/>
      <c r="DD282" s="77"/>
      <c r="DE282" s="77"/>
      <c r="DF282" s="77"/>
      <c r="DG282" s="77"/>
      <c r="DH282" s="77"/>
      <c r="DI282" s="77"/>
      <c r="DJ282" s="77"/>
      <c r="DK282" s="77"/>
      <c r="DL282" s="77"/>
      <c r="DM282" s="77"/>
      <c r="DN282" s="77"/>
      <c r="DO282" s="77"/>
      <c r="DP282" s="77"/>
      <c r="DQ282" s="77"/>
      <c r="DR282" s="77"/>
      <c r="DS282" s="77"/>
      <c r="DT282" s="77"/>
      <c r="DU282" s="77"/>
      <c r="DV282" s="77"/>
      <c r="DW282" s="77"/>
      <c r="DX282" s="77"/>
      <c r="DY282" s="77"/>
      <c r="DZ282" s="77"/>
      <c r="EA282" s="77"/>
      <c r="EB282" s="77"/>
      <c r="EC282" s="77"/>
      <c r="ED282" s="77"/>
      <c r="EE282" s="77"/>
      <c r="EF282" s="77"/>
      <c r="EG282" s="77"/>
      <c r="EH282" s="77"/>
      <c r="EI282" s="77"/>
      <c r="EJ282" s="77"/>
      <c r="EK282" s="77"/>
      <c r="EL282" s="77"/>
      <c r="EM282" s="77"/>
      <c r="EN282" s="77"/>
      <c r="EO282" s="77"/>
      <c r="EP282" s="77"/>
      <c r="ER282" s="77"/>
      <c r="ES282" s="77"/>
      <c r="ET282" s="77"/>
      <c r="EU282" s="77"/>
      <c r="EV282" s="77"/>
      <c r="EW282" s="77"/>
      <c r="EX282" s="77"/>
      <c r="EY282" s="77"/>
      <c r="EZ282" s="77"/>
      <c r="FA282" s="77"/>
      <c r="FB282" s="77"/>
      <c r="FC282" s="77"/>
      <c r="FD282" s="77"/>
      <c r="FE282" s="77"/>
      <c r="FF282" s="77"/>
      <c r="FG282" s="77"/>
      <c r="FH282" s="77"/>
      <c r="FI282" s="77"/>
      <c r="FJ282" s="77"/>
      <c r="FK282" s="77"/>
      <c r="FL282" s="77"/>
      <c r="FM282" s="77"/>
      <c r="FN282" s="77"/>
      <c r="FO282" s="77"/>
      <c r="FP282" s="77"/>
      <c r="FQ282" s="77"/>
      <c r="FR282" s="77"/>
      <c r="FS282" s="77"/>
      <c r="FT282" s="77"/>
      <c r="FU282" s="77"/>
      <c r="FV282" s="77"/>
      <c r="FW282" s="77"/>
      <c r="FX282" s="77"/>
      <c r="FY282" s="77"/>
      <c r="FZ282" s="77"/>
      <c r="GA282" s="77"/>
      <c r="GB282" s="77"/>
      <c r="GC282" s="77"/>
      <c r="GD282" s="77"/>
      <c r="GE282" s="77"/>
      <c r="GF282" s="77"/>
      <c r="GG282" s="77"/>
      <c r="GH282" s="77"/>
      <c r="GI282" s="77"/>
      <c r="GJ282" s="77"/>
      <c r="GK282" s="77"/>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77"/>
      <c r="HM282" s="77"/>
      <c r="HN282" s="77"/>
      <c r="HO282" s="77"/>
      <c r="HP282" s="77"/>
      <c r="HQ282" s="77"/>
      <c r="HR282" s="77"/>
      <c r="HS282" s="77"/>
      <c r="HT282" s="77"/>
      <c r="HU282" s="77"/>
      <c r="HV282" s="77"/>
      <c r="HW282" s="77"/>
      <c r="HX282" s="77"/>
      <c r="HY282" s="77"/>
      <c r="HZ282" s="77"/>
      <c r="IA282" s="77"/>
      <c r="IB282" s="77"/>
      <c r="IC282" s="77"/>
      <c r="ID282" s="77"/>
      <c r="IE282" s="77"/>
      <c r="JY282" s="77"/>
      <c r="JZ282" s="77"/>
      <c r="KA282" s="77"/>
      <c r="KB282" s="77"/>
      <c r="KC282" s="77"/>
      <c r="KD282" s="77"/>
      <c r="KE282" s="77"/>
      <c r="KF282" s="77"/>
      <c r="KG282" s="77"/>
      <c r="KH282" s="77"/>
      <c r="KI282" s="77"/>
      <c r="KJ282" s="77"/>
      <c r="KK282" s="77"/>
      <c r="KL282" s="77"/>
      <c r="KM282" s="77"/>
      <c r="KN282" s="77"/>
      <c r="KO282" s="77"/>
      <c r="KP282" s="77"/>
      <c r="KQ282" s="77"/>
      <c r="KR282" s="77"/>
      <c r="KS282" s="77"/>
      <c r="KT282" s="77"/>
      <c r="KU282" s="77"/>
      <c r="KV282" s="77"/>
      <c r="KW282" s="77"/>
      <c r="KX282" s="77"/>
      <c r="KY282" s="77"/>
      <c r="KZ282" s="77"/>
      <c r="LA282" s="77"/>
      <c r="LB282" s="77"/>
      <c r="LC282" s="77"/>
      <c r="LD282" s="77"/>
      <c r="LE282" s="77"/>
      <c r="LF282" s="77"/>
      <c r="LG282" s="77"/>
      <c r="LH282" s="77"/>
      <c r="LI282" s="77"/>
      <c r="LJ282" s="77"/>
      <c r="LK282" s="77"/>
      <c r="LL282" s="77"/>
      <c r="LM282" s="77"/>
      <c r="LN282" s="77"/>
      <c r="LO282" s="77"/>
      <c r="LP282" s="77"/>
      <c r="LQ282" s="77"/>
      <c r="LR282" s="77"/>
      <c r="LS282" s="77"/>
      <c r="LT282" s="77"/>
      <c r="LU282" s="77"/>
      <c r="LV282" s="77"/>
      <c r="LW282" s="77"/>
      <c r="LX282" s="77"/>
    </row>
    <row r="283" spans="1:421" ht="18.600000000000001" customHeight="1" x14ac:dyDescent="0.25">
      <c r="A283" s="119" t="s">
        <v>225</v>
      </c>
      <c r="B283" s="27" t="s">
        <v>1416</v>
      </c>
      <c r="C283" s="27" t="s">
        <v>1417</v>
      </c>
      <c r="D283" s="30" t="str">
        <f>HYPERLINK("https://twitter.com/AkordaPress","https://twitter.com/AkordaPress")</f>
        <v>https://twitter.com/AkordaPress</v>
      </c>
      <c r="E283" s="30" t="str">
        <f>HYPERLINK("http://twiplomacy.com/info/asia/Kazakhstan","http://twiplomacy.com/info/asia/Kazakhstan")</f>
        <v>http://twiplomacy.com/info/asia/Kazakhstan</v>
      </c>
      <c r="F283" s="10" t="s">
        <v>154</v>
      </c>
      <c r="G283" s="10" t="s">
        <v>224</v>
      </c>
      <c r="H283" s="10" t="s">
        <v>781</v>
      </c>
      <c r="I283" s="10" t="s">
        <v>782</v>
      </c>
      <c r="J283" s="27" t="s">
        <v>1420</v>
      </c>
      <c r="K283" s="15" t="s">
        <v>777</v>
      </c>
      <c r="L283" s="10" t="s">
        <v>771</v>
      </c>
      <c r="M283" s="10" t="s">
        <v>771</v>
      </c>
      <c r="N283" s="30" t="str">
        <f>HYPERLINK("https://twitter.com/AkordaPress/statuses/228148727389491201","https://twitter.com/AkordaPress/statuses/228148727389491201")</f>
        <v>https://twitter.com/AkordaPress/statuses/228148727389491201</v>
      </c>
      <c r="O283" s="30" t="str">
        <f>HYPERLINK("https://twitter.com/AkordaPress/statuses/250089525370576896","https://twitter.com/AkordaPress/statuses/250089525370576896")</f>
        <v>https://twitter.com/AkordaPress/statuses/250089525370576896</v>
      </c>
      <c r="P283" s="46">
        <v>103</v>
      </c>
      <c r="Q283" s="46">
        <v>4</v>
      </c>
      <c r="R283" s="27" t="s">
        <v>2995</v>
      </c>
      <c r="S283" s="10" t="s">
        <v>1418</v>
      </c>
      <c r="T283" s="10" t="s">
        <v>771</v>
      </c>
      <c r="U283" s="10" t="s">
        <v>771</v>
      </c>
      <c r="V283" s="10" t="s">
        <v>771</v>
      </c>
      <c r="W283" s="10"/>
      <c r="X283" s="27" t="s">
        <v>225</v>
      </c>
      <c r="Y283" s="27" t="s">
        <v>1416</v>
      </c>
      <c r="Z283" s="80">
        <v>3363</v>
      </c>
      <c r="AA283" s="27">
        <v>0</v>
      </c>
      <c r="AB283" s="80">
        <v>134065</v>
      </c>
      <c r="AC283" s="27">
        <v>0</v>
      </c>
      <c r="AD283" s="27" t="s">
        <v>3443</v>
      </c>
      <c r="AE283" s="27">
        <v>635586094</v>
      </c>
      <c r="AF283" s="27" t="s">
        <v>1417</v>
      </c>
      <c r="AG283" s="27" t="s">
        <v>1419</v>
      </c>
      <c r="AH283" s="79">
        <v>2.4246575342465801</v>
      </c>
      <c r="AI283" s="83">
        <v>2.4711316397228602</v>
      </c>
      <c r="AJ283" s="80">
        <v>5.3725856697819303</v>
      </c>
      <c r="AK283" s="80">
        <v>2.1691588785046698</v>
      </c>
      <c r="AL283" s="13">
        <v>0</v>
      </c>
      <c r="AM283" s="97">
        <f t="shared" si="4"/>
        <v>0</v>
      </c>
      <c r="AN283" s="27" t="s">
        <v>225</v>
      </c>
      <c r="AO283" s="27">
        <v>0</v>
      </c>
      <c r="AP283" s="27">
        <v>11</v>
      </c>
      <c r="AQ283" s="27">
        <v>0</v>
      </c>
      <c r="AR283" s="27">
        <f>SUM(AO283:AQ283)</f>
        <v>11</v>
      </c>
      <c r="AS283" s="27"/>
      <c r="AT283" s="27" t="s">
        <v>5010</v>
      </c>
      <c r="AU283" s="84"/>
      <c r="AV283" s="77"/>
      <c r="AW283" s="77"/>
      <c r="AX283" s="77"/>
      <c r="AY283" s="77"/>
      <c r="AZ283" s="77"/>
      <c r="BA283" s="77"/>
      <c r="BB283" s="77"/>
      <c r="BC283" s="77"/>
      <c r="BD283" s="77"/>
      <c r="BE283" s="77"/>
      <c r="BF283" s="77"/>
      <c r="BG283" s="77"/>
      <c r="BH283" s="77"/>
      <c r="BI283" s="77"/>
      <c r="BJ283" s="77"/>
      <c r="BK283" s="77"/>
      <c r="BL283" s="77"/>
      <c r="BM283" s="77"/>
      <c r="BN283" s="77"/>
      <c r="BO283" s="77"/>
      <c r="BP283" s="77"/>
      <c r="BQ283" s="77"/>
      <c r="BR283" s="77"/>
      <c r="BS283" s="77"/>
      <c r="BT283" s="77"/>
      <c r="BU283" s="77"/>
      <c r="BV283" s="77"/>
      <c r="BW283" s="77"/>
      <c r="BX283" s="77"/>
      <c r="BY283" s="77"/>
      <c r="BZ283" s="77"/>
      <c r="CA283" s="77"/>
      <c r="CB283" s="77"/>
      <c r="CC283" s="77"/>
      <c r="CD283" s="77"/>
      <c r="CE283" s="77"/>
      <c r="CF283" s="77"/>
      <c r="CG283" s="77"/>
      <c r="CH283" s="77"/>
      <c r="CI283" s="77"/>
      <c r="CJ283" s="77"/>
      <c r="CK283" s="77"/>
      <c r="CL283" s="77"/>
      <c r="CM283" s="77"/>
      <c r="CN283" s="77"/>
      <c r="CO283" s="77"/>
      <c r="CP283" s="77"/>
      <c r="CQ283" s="77"/>
      <c r="CR283" s="77"/>
      <c r="CS283" s="77"/>
      <c r="CT283" s="77"/>
      <c r="CU283" s="77"/>
      <c r="CV283" s="77"/>
      <c r="CW283" s="77"/>
      <c r="CX283" s="77"/>
      <c r="CY283" s="77"/>
      <c r="CZ283" s="77"/>
      <c r="DA283" s="77"/>
      <c r="DB283" s="77"/>
      <c r="DC283" s="77"/>
      <c r="DD283" s="77"/>
      <c r="DE283" s="77"/>
      <c r="DF283" s="77"/>
      <c r="DG283" s="77"/>
      <c r="DH283" s="77"/>
      <c r="DI283" s="77"/>
      <c r="DJ283" s="77"/>
      <c r="DK283" s="77"/>
      <c r="DL283" s="77"/>
      <c r="DM283" s="77"/>
      <c r="DN283" s="77"/>
      <c r="DO283" s="77"/>
      <c r="DP283" s="77"/>
      <c r="DQ283" s="77"/>
      <c r="DR283" s="77"/>
      <c r="DS283" s="77"/>
      <c r="DT283" s="77"/>
      <c r="DU283" s="77"/>
      <c r="DV283" s="77"/>
      <c r="DW283" s="77"/>
      <c r="DX283" s="77"/>
      <c r="DY283" s="77"/>
      <c r="DZ283" s="77"/>
      <c r="EA283" s="77"/>
      <c r="EB283" s="77"/>
      <c r="EC283" s="77"/>
      <c r="ED283" s="77"/>
      <c r="EE283" s="77"/>
      <c r="EF283" s="77"/>
      <c r="EG283" s="77"/>
      <c r="EH283" s="77"/>
      <c r="EI283" s="77"/>
      <c r="EJ283" s="77"/>
      <c r="EK283" s="77"/>
      <c r="EL283" s="77"/>
      <c r="EM283" s="77"/>
      <c r="EN283" s="77"/>
      <c r="EO283" s="77"/>
      <c r="EP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77"/>
      <c r="GM283" s="77"/>
      <c r="GN283" s="77"/>
      <c r="GO283" s="77"/>
      <c r="GP283" s="77"/>
      <c r="GQ283" s="77"/>
      <c r="GR283" s="77"/>
      <c r="GS283" s="77"/>
      <c r="GT283" s="77"/>
      <c r="GU283" s="77"/>
      <c r="GV283" s="77"/>
      <c r="GW283" s="77"/>
      <c r="GX283" s="77"/>
      <c r="GY283" s="77"/>
      <c r="GZ283" s="77"/>
      <c r="HA283" s="77"/>
      <c r="HB283" s="77"/>
      <c r="HC283" s="77"/>
      <c r="HD283" s="77"/>
      <c r="HE283" s="77"/>
      <c r="HF283" s="77"/>
      <c r="HG283" s="77"/>
      <c r="HH283" s="77"/>
      <c r="HI283" s="77"/>
      <c r="HJ283" s="77"/>
      <c r="HK283" s="77"/>
      <c r="HL283" s="77"/>
      <c r="HM283" s="77"/>
      <c r="HN283" s="77"/>
      <c r="HO283" s="77"/>
      <c r="HP283" s="77"/>
      <c r="HQ283" s="77"/>
      <c r="HR283" s="77"/>
      <c r="HS283" s="77"/>
      <c r="HT283" s="77"/>
      <c r="HU283" s="77"/>
      <c r="HV283" s="77"/>
      <c r="HW283" s="77"/>
      <c r="HX283" s="77"/>
      <c r="HY283" s="77"/>
      <c r="HZ283" s="77"/>
      <c r="IA283" s="77"/>
      <c r="IB283" s="77"/>
      <c r="IC283" s="77"/>
      <c r="JY283" s="77"/>
      <c r="JZ283" s="77"/>
      <c r="KA283" s="77"/>
      <c r="KB283" s="77"/>
      <c r="KC283" s="77"/>
      <c r="KD283" s="77"/>
      <c r="KE283" s="77"/>
      <c r="KF283" s="77"/>
      <c r="KG283" s="77"/>
      <c r="KH283" s="77"/>
      <c r="KI283" s="77"/>
      <c r="KJ283" s="77"/>
      <c r="KK283" s="77"/>
      <c r="KL283" s="77"/>
      <c r="KM283" s="77"/>
      <c r="KN283" s="77"/>
      <c r="KO283" s="77"/>
      <c r="KP283" s="77"/>
      <c r="KQ283" s="77"/>
      <c r="KR283" s="77"/>
      <c r="KS283" s="77"/>
      <c r="KT283" s="77"/>
      <c r="KU283" s="77"/>
      <c r="KV283" s="77"/>
      <c r="KW283" s="77"/>
      <c r="KX283" s="77"/>
      <c r="KY283" s="77"/>
      <c r="KZ283" s="77"/>
      <c r="LA283" s="77"/>
      <c r="LB283" s="77"/>
      <c r="LC283" s="77"/>
      <c r="LD283" s="77"/>
      <c r="LE283" s="77"/>
      <c r="LF283" s="77"/>
      <c r="LG283" s="77"/>
      <c r="LH283" s="77"/>
      <c r="LI283" s="77"/>
      <c r="LJ283" s="77"/>
      <c r="LK283" s="77"/>
      <c r="LL283" s="77"/>
      <c r="LM283" s="77"/>
      <c r="LN283" s="77"/>
      <c r="LO283" s="77"/>
      <c r="LP283" s="77"/>
      <c r="LQ283" s="77"/>
      <c r="LR283" s="77"/>
      <c r="LS283" s="77"/>
      <c r="LT283" s="77"/>
      <c r="LU283" s="77"/>
      <c r="LV283" s="77"/>
      <c r="LY283" s="77"/>
      <c r="LZ283" s="77"/>
      <c r="MA283" s="77"/>
      <c r="MB283" s="77"/>
      <c r="MC283" s="77"/>
      <c r="MD283" s="77"/>
      <c r="ME283" s="77"/>
      <c r="MF283" s="77"/>
      <c r="MG283" s="77"/>
      <c r="MH283" s="77"/>
      <c r="MI283" s="77"/>
      <c r="MJ283" s="77"/>
      <c r="MK283" s="77"/>
      <c r="ML283" s="77"/>
      <c r="MM283" s="77"/>
      <c r="MN283" s="77"/>
      <c r="MO283" s="77"/>
      <c r="MP283" s="77"/>
      <c r="MQ283" s="77"/>
      <c r="MR283" s="77"/>
    </row>
    <row r="284" spans="1:421" ht="18.600000000000001" customHeight="1" x14ac:dyDescent="0.25">
      <c r="A284" s="119" t="s">
        <v>2990</v>
      </c>
      <c r="B284" s="27" t="s">
        <v>2991</v>
      </c>
      <c r="C284" s="27" t="s">
        <v>3882</v>
      </c>
      <c r="D284" s="31" t="s">
        <v>3055</v>
      </c>
      <c r="E284" s="30" t="str">
        <f>HYPERLINK("http://twiplomacy.com/info/europe/France","http://twiplomacy.com/info/europe/France")</f>
        <v>http://twiplomacy.com/info/europe/France</v>
      </c>
      <c r="F284" s="10" t="s">
        <v>332</v>
      </c>
      <c r="G284" s="10" t="s">
        <v>395</v>
      </c>
      <c r="H284" s="10" t="s">
        <v>860</v>
      </c>
      <c r="I284" s="10" t="s">
        <v>773</v>
      </c>
      <c r="J284" s="27" t="s">
        <v>779</v>
      </c>
      <c r="K284" s="15" t="s">
        <v>777</v>
      </c>
      <c r="L284" s="10"/>
      <c r="M284" s="42" t="s">
        <v>770</v>
      </c>
      <c r="N284" s="30" t="s">
        <v>3137</v>
      </c>
      <c r="O284" s="27" t="s">
        <v>3172</v>
      </c>
      <c r="P284" s="80">
        <v>6044</v>
      </c>
      <c r="Q284" s="80">
        <v>12</v>
      </c>
      <c r="R284" s="27" t="s">
        <v>2994</v>
      </c>
      <c r="S284" s="12" t="s">
        <v>3147</v>
      </c>
      <c r="T284" s="10">
        <v>1</v>
      </c>
      <c r="U284" s="10">
        <v>1</v>
      </c>
      <c r="V284" s="10" t="s">
        <v>771</v>
      </c>
      <c r="W284" s="10"/>
      <c r="X284" s="27" t="s">
        <v>2990</v>
      </c>
      <c r="Y284" s="27" t="s">
        <v>2991</v>
      </c>
      <c r="Z284" s="80">
        <v>3356</v>
      </c>
      <c r="AA284" s="27">
        <v>537</v>
      </c>
      <c r="AB284" s="80">
        <v>209720</v>
      </c>
      <c r="AC284" s="27">
        <v>64</v>
      </c>
      <c r="AD284" s="27" t="s">
        <v>3883</v>
      </c>
      <c r="AE284" s="27">
        <v>28332028</v>
      </c>
      <c r="AF284" s="27" t="s">
        <v>3882</v>
      </c>
      <c r="AG284" s="27" t="s">
        <v>1897</v>
      </c>
      <c r="AH284" s="79">
        <v>1.29725550831078</v>
      </c>
      <c r="AI284" s="83">
        <v>1.45295698924731</v>
      </c>
      <c r="AJ284" s="80">
        <v>24.117164424023599</v>
      </c>
      <c r="AK284" s="80">
        <v>6.3980964883492</v>
      </c>
      <c r="AL284" s="27">
        <v>456</v>
      </c>
      <c r="AM284" s="97">
        <f t="shared" si="4"/>
        <v>0.14249999999999999</v>
      </c>
      <c r="AN284" s="27" t="s">
        <v>2990</v>
      </c>
      <c r="AO284" s="27">
        <v>7</v>
      </c>
      <c r="AP284" s="27">
        <v>43</v>
      </c>
      <c r="AQ284" s="27">
        <v>14</v>
      </c>
      <c r="AR284" s="27">
        <f>SUM(AO284:AQ284)</f>
        <v>64</v>
      </c>
      <c r="AS284" s="27" t="s">
        <v>5216</v>
      </c>
      <c r="AT284" s="27" t="s">
        <v>6300</v>
      </c>
      <c r="AU284" s="84" t="s">
        <v>4776</v>
      </c>
      <c r="AV284" s="77"/>
      <c r="AW284" s="77"/>
      <c r="AX284" s="77"/>
      <c r="AY284" s="77"/>
      <c r="AZ284" s="77"/>
      <c r="BA284" s="77"/>
      <c r="BB284" s="77"/>
      <c r="BC284" s="77"/>
      <c r="BD284" s="77"/>
      <c r="BE284" s="77"/>
      <c r="BF284" s="77"/>
      <c r="BG284" s="77"/>
      <c r="BH284" s="77"/>
      <c r="BI284" s="77"/>
      <c r="BJ284" s="77"/>
      <c r="BK284" s="77"/>
      <c r="BL284" s="77"/>
      <c r="BM284" s="77"/>
      <c r="BN284" s="77"/>
      <c r="BO284" s="77"/>
      <c r="BP284" s="77"/>
      <c r="BQ284" s="16"/>
      <c r="BR284" s="16"/>
      <c r="BS284" s="16"/>
      <c r="BT284" s="16"/>
      <c r="BU284" s="16"/>
      <c r="BV284" s="16"/>
      <c r="BW284" s="16"/>
      <c r="BX284" s="16"/>
      <c r="BY284" s="16"/>
      <c r="BZ284" s="16"/>
      <c r="CA284" s="16"/>
      <c r="CB284" s="16"/>
      <c r="CC284" s="77"/>
      <c r="CD284" s="77"/>
      <c r="CE284" s="77"/>
      <c r="CF284" s="77"/>
      <c r="CG284" s="77"/>
      <c r="CH284" s="77"/>
      <c r="CI284" s="77"/>
      <c r="CJ284" s="77"/>
      <c r="CK284" s="77"/>
      <c r="CL284" s="77"/>
      <c r="CM284" s="77"/>
      <c r="CN284" s="77"/>
      <c r="CO284" s="77"/>
      <c r="CP284" s="77"/>
      <c r="CQ284" s="77"/>
      <c r="CR284" s="77"/>
      <c r="CS284" s="77"/>
      <c r="CT284" s="77"/>
      <c r="CU284" s="77"/>
      <c r="CV284" s="77"/>
      <c r="CW284" s="77"/>
      <c r="CX284" s="77"/>
      <c r="CY284" s="77"/>
      <c r="CZ284" s="77"/>
      <c r="DA284" s="77"/>
      <c r="DB284" s="77"/>
      <c r="DC284" s="77"/>
      <c r="DD284" s="77"/>
      <c r="DE284" s="77"/>
      <c r="DF284" s="77"/>
      <c r="DG284" s="77"/>
      <c r="DH284" s="77"/>
      <c r="DI284" s="77"/>
      <c r="DJ284" s="77"/>
      <c r="DK284" s="77"/>
      <c r="DL284" s="77"/>
      <c r="DM284" s="77"/>
      <c r="DN284" s="77"/>
      <c r="DO284" s="77"/>
      <c r="DP284" s="77"/>
      <c r="DQ284" s="77"/>
      <c r="DR284" s="77"/>
      <c r="DS284" s="77"/>
      <c r="DT284" s="77"/>
      <c r="DU284" s="77"/>
      <c r="DV284" s="77"/>
      <c r="DW284" s="77"/>
      <c r="DX284" s="77"/>
      <c r="DY284" s="77"/>
      <c r="DZ284" s="77"/>
      <c r="EA284" s="77"/>
      <c r="EB284" s="77"/>
      <c r="EC284" s="77"/>
      <c r="ED284" s="77"/>
      <c r="EE284" s="77"/>
      <c r="EF284" s="77"/>
      <c r="EG284" s="77"/>
      <c r="EH284" s="77"/>
      <c r="EI284" s="77"/>
      <c r="EJ284" s="77"/>
      <c r="EK284" s="77"/>
      <c r="EL284" s="77"/>
      <c r="EM284" s="77"/>
      <c r="EN284" s="77"/>
      <c r="EO284" s="77"/>
      <c r="EP284" s="77"/>
      <c r="EQ284" s="77"/>
      <c r="ER284" s="77"/>
      <c r="ES284" s="77"/>
      <c r="ET284" s="77"/>
      <c r="EU284" s="77"/>
      <c r="EV284" s="77"/>
      <c r="EW284" s="77"/>
      <c r="EX284" s="77"/>
      <c r="EY284" s="77"/>
      <c r="EZ284" s="77"/>
      <c r="FA284" s="77"/>
      <c r="FB284" s="77"/>
      <c r="FC284" s="77"/>
      <c r="FD284" s="77"/>
      <c r="FE284" s="77"/>
      <c r="FF284" s="77"/>
      <c r="FG284" s="77"/>
      <c r="FH284" s="77"/>
      <c r="FI284" s="77"/>
      <c r="FJ284" s="77"/>
      <c r="FK284" s="77"/>
      <c r="FL284" s="77"/>
      <c r="FM284" s="77"/>
      <c r="FN284" s="77"/>
      <c r="FO284" s="77"/>
      <c r="FP284" s="77"/>
      <c r="FQ284" s="77"/>
      <c r="FR284" s="77"/>
      <c r="FS284" s="77"/>
      <c r="FT284" s="77"/>
      <c r="FU284" s="77"/>
      <c r="FV284" s="77"/>
      <c r="FW284" s="77"/>
      <c r="FX284" s="77"/>
      <c r="FY284" s="77"/>
      <c r="FZ284" s="77"/>
      <c r="GA284" s="77"/>
      <c r="GB284" s="77"/>
      <c r="GC284" s="77"/>
      <c r="GD284" s="77"/>
      <c r="GE284" s="77"/>
      <c r="GF284" s="77"/>
      <c r="GG284" s="77"/>
      <c r="GH284" s="77"/>
      <c r="GI284" s="77"/>
      <c r="GJ284" s="77"/>
      <c r="GK284" s="77"/>
      <c r="GL284" s="77"/>
      <c r="GM284" s="77"/>
      <c r="GN284" s="77"/>
      <c r="GO284" s="77"/>
      <c r="GP284" s="77"/>
      <c r="GQ284" s="77"/>
      <c r="GR284" s="77"/>
      <c r="GS284" s="77"/>
      <c r="GT284" s="77"/>
      <c r="GU284" s="77"/>
      <c r="GV284" s="77"/>
      <c r="GW284" s="77"/>
      <c r="GX284" s="77"/>
      <c r="GY284" s="77"/>
      <c r="GZ284" s="77"/>
      <c r="HA284" s="77"/>
      <c r="HB284" s="77"/>
      <c r="HC284" s="77"/>
      <c r="HD284" s="77"/>
      <c r="HE284" s="77"/>
      <c r="HF284" s="77"/>
      <c r="HG284" s="77"/>
      <c r="HH284" s="77"/>
      <c r="HI284" s="77"/>
      <c r="HJ284" s="77"/>
      <c r="HK284" s="77"/>
      <c r="HL284" s="77"/>
      <c r="HM284" s="77"/>
      <c r="HN284" s="77"/>
      <c r="HO284" s="77"/>
      <c r="HP284" s="77"/>
      <c r="HQ284" s="77"/>
      <c r="HR284" s="77"/>
      <c r="HS284" s="77"/>
      <c r="HT284" s="77"/>
      <c r="HU284" s="77"/>
      <c r="HV284" s="77"/>
      <c r="HW284" s="77"/>
      <c r="HX284" s="77"/>
      <c r="HY284" s="77"/>
      <c r="HZ284" s="77"/>
      <c r="IA284" s="77"/>
      <c r="IB284" s="77"/>
      <c r="IC284" s="77"/>
      <c r="IF284" s="77"/>
      <c r="IG284" s="77"/>
      <c r="IH284" s="77"/>
      <c r="II284" s="77"/>
      <c r="IJ284" s="77"/>
      <c r="IK284" s="77"/>
      <c r="IL284" s="77"/>
      <c r="IM284" s="77"/>
      <c r="IN284" s="77"/>
      <c r="IO284" s="77"/>
      <c r="IP284" s="77"/>
      <c r="IQ284" s="77"/>
      <c r="IR284" s="77"/>
      <c r="IS284" s="77"/>
      <c r="IT284" s="77"/>
      <c r="IU284" s="77"/>
      <c r="IV284" s="77"/>
      <c r="IW284" s="77"/>
      <c r="IX284" s="77"/>
      <c r="IY284" s="77"/>
      <c r="IZ284" s="77"/>
      <c r="JA284" s="77"/>
      <c r="JB284" s="77"/>
      <c r="JC284" s="77"/>
      <c r="JD284" s="77"/>
      <c r="JE284" s="77"/>
      <c r="JF284" s="77"/>
      <c r="JG284" s="77"/>
      <c r="JH284" s="77"/>
      <c r="JI284" s="77"/>
      <c r="JJ284" s="77"/>
      <c r="JK284" s="77"/>
      <c r="JL284" s="77"/>
      <c r="JM284" s="77"/>
      <c r="JN284" s="77"/>
      <c r="JO284" s="77"/>
      <c r="JP284" s="77"/>
      <c r="JQ284" s="77"/>
      <c r="JR284" s="77"/>
      <c r="JS284" s="77"/>
      <c r="JT284" s="77"/>
      <c r="JU284" s="77"/>
      <c r="JV284" s="77"/>
      <c r="JW284" s="77"/>
      <c r="JX284" s="77"/>
      <c r="LL284" s="77"/>
      <c r="LM284" s="77"/>
      <c r="LN284" s="77"/>
      <c r="LO284" s="77"/>
      <c r="LP284" s="77"/>
      <c r="LQ284" s="77"/>
      <c r="LR284" s="77"/>
      <c r="LS284" s="77"/>
      <c r="LT284" s="77"/>
      <c r="LU284" s="77"/>
      <c r="LV284" s="77"/>
      <c r="MS284" s="77"/>
      <c r="MT284" s="77"/>
      <c r="MU284" s="77"/>
      <c r="MV284" s="77"/>
      <c r="MW284" s="77"/>
      <c r="MX284" s="77"/>
      <c r="MY284" s="77"/>
      <c r="MZ284" s="77"/>
      <c r="NA284" s="77"/>
      <c r="NB284" s="77"/>
      <c r="NC284" s="77"/>
    </row>
    <row r="285" spans="1:421" ht="18.600000000000001" customHeight="1" x14ac:dyDescent="0.25">
      <c r="A285" s="119" t="s">
        <v>649</v>
      </c>
      <c r="B285" s="27" t="s">
        <v>2641</v>
      </c>
      <c r="C285" s="27"/>
      <c r="D285" s="30" t="str">
        <f>HYPERLINK("https://twitter.com/InokeRatu","https://twitter.com/InokeRatu")</f>
        <v>https://twitter.com/InokeRatu</v>
      </c>
      <c r="E285" s="30" t="str">
        <f>HYPERLINK("http://twiplomacy.com/info/oceania/Fiji","http://twiplomacy.com/info/oceania/Fiji")</f>
        <v>http://twiplomacy.com/info/oceania/Fiji</v>
      </c>
      <c r="F285" s="10" t="s">
        <v>643</v>
      </c>
      <c r="G285" s="10" t="s">
        <v>647</v>
      </c>
      <c r="H285" s="10" t="s">
        <v>860</v>
      </c>
      <c r="I285" s="10" t="s">
        <v>773</v>
      </c>
      <c r="J285" s="27" t="s">
        <v>789</v>
      </c>
      <c r="K285" s="15" t="s">
        <v>777</v>
      </c>
      <c r="L285" s="15"/>
      <c r="M285" s="10" t="s">
        <v>771</v>
      </c>
      <c r="N285" s="30" t="str">
        <f>HYPERLINK("https://twitter.com/InokeRatu/statuses/444587425277284352","https://twitter.com/InokeRatu/statuses/444587425277284352")</f>
        <v>https://twitter.com/InokeRatu/statuses/444587425277284352</v>
      </c>
      <c r="O285" s="27" t="s">
        <v>5876</v>
      </c>
      <c r="P285" s="80">
        <v>28</v>
      </c>
      <c r="Q285" s="80">
        <v>0</v>
      </c>
      <c r="R285" s="27" t="s">
        <v>2995</v>
      </c>
      <c r="S285" s="10" t="s">
        <v>2642</v>
      </c>
      <c r="T285" s="10" t="s">
        <v>771</v>
      </c>
      <c r="U285" s="10" t="s">
        <v>771</v>
      </c>
      <c r="V285" s="10" t="s">
        <v>771</v>
      </c>
      <c r="W285" s="10"/>
      <c r="X285" s="27" t="s">
        <v>649</v>
      </c>
      <c r="Y285" s="27" t="s">
        <v>2641</v>
      </c>
      <c r="Z285" s="80">
        <v>3353</v>
      </c>
      <c r="AA285" s="27">
        <v>420</v>
      </c>
      <c r="AB285" s="80">
        <v>1819</v>
      </c>
      <c r="AC285" s="27">
        <v>88</v>
      </c>
      <c r="AD285" s="27" t="s">
        <v>3838</v>
      </c>
      <c r="AE285" s="27">
        <v>2196688813</v>
      </c>
      <c r="AF285" s="27"/>
      <c r="AG285" s="27" t="s">
        <v>647</v>
      </c>
      <c r="AH285" s="79">
        <v>3.7338530066815099</v>
      </c>
      <c r="AI285" s="83">
        <v>4.60485021398003</v>
      </c>
      <c r="AJ285" s="80">
        <v>1.9823165340406701</v>
      </c>
      <c r="AK285" s="80">
        <v>2.9549071618037099</v>
      </c>
      <c r="AL285" s="27">
        <v>90</v>
      </c>
      <c r="AM285" s="97">
        <f t="shared" si="4"/>
        <v>2.8125000000000001E-2</v>
      </c>
      <c r="AN285" s="27" t="s">
        <v>649</v>
      </c>
      <c r="AO285" s="27">
        <v>10</v>
      </c>
      <c r="AP285" s="27">
        <v>12</v>
      </c>
      <c r="AQ285" s="27">
        <v>4</v>
      </c>
      <c r="AR285" s="27">
        <f>SUM(AO285:AQ285)</f>
        <v>26</v>
      </c>
      <c r="AS285" s="27" t="s">
        <v>5196</v>
      </c>
      <c r="AT285" s="27" t="s">
        <v>5197</v>
      </c>
      <c r="AU285" s="84" t="s">
        <v>4764</v>
      </c>
      <c r="AV285" s="77"/>
      <c r="AW285" s="77"/>
      <c r="AX285" s="77"/>
      <c r="AY285" s="77"/>
      <c r="AZ285" s="77"/>
      <c r="BA285" s="77"/>
      <c r="BB285" s="77"/>
      <c r="BC285" s="77"/>
      <c r="BD285" s="77"/>
      <c r="BE285" s="77"/>
      <c r="BF285" s="77"/>
      <c r="BG285" s="77"/>
      <c r="BH285" s="77"/>
      <c r="BI285" s="77"/>
      <c r="BJ285" s="77"/>
      <c r="BK285" s="77"/>
      <c r="BL285" s="77"/>
      <c r="BM285" s="71"/>
      <c r="BN285" s="77"/>
      <c r="BO285" s="77"/>
      <c r="BP285" s="77"/>
      <c r="BQ285" s="77"/>
      <c r="BR285" s="77"/>
      <c r="BS285" s="77"/>
      <c r="BT285" s="77"/>
      <c r="BU285" s="77"/>
      <c r="BV285" s="77"/>
      <c r="BW285" s="77"/>
      <c r="BX285" s="77"/>
      <c r="BY285" s="77"/>
      <c r="BZ285" s="77"/>
      <c r="CA285" s="77"/>
      <c r="CB285" s="77"/>
      <c r="CC285" s="77"/>
      <c r="CD285" s="77"/>
      <c r="CE285" s="77"/>
      <c r="CF285" s="77"/>
      <c r="CG285" s="77"/>
      <c r="CH285" s="77"/>
      <c r="CI285" s="77"/>
      <c r="CJ285" s="77"/>
      <c r="CK285" s="77"/>
      <c r="CL285" s="77"/>
      <c r="CM285" s="77"/>
      <c r="CN285" s="77"/>
      <c r="CO285" s="77"/>
      <c r="CP285" s="77"/>
      <c r="CQ285" s="77"/>
      <c r="CR285" s="77"/>
      <c r="CS285" s="77"/>
      <c r="CT285" s="77"/>
      <c r="CU285" s="77"/>
      <c r="CV285" s="77"/>
      <c r="CW285" s="77"/>
      <c r="CX285" s="77"/>
      <c r="CY285" s="77"/>
      <c r="CZ285" s="77"/>
      <c r="DA285" s="77"/>
      <c r="DB285" s="77"/>
      <c r="DC285" s="77"/>
      <c r="DD285" s="77"/>
      <c r="DE285" s="77"/>
      <c r="DF285" s="77"/>
      <c r="DG285" s="77"/>
      <c r="DH285" s="77"/>
      <c r="DI285" s="77"/>
      <c r="DJ285" s="77"/>
      <c r="DK285" s="77"/>
      <c r="DL285" s="77"/>
      <c r="DM285" s="77"/>
      <c r="DN285" s="77"/>
      <c r="DO285" s="77"/>
      <c r="DP285" s="77"/>
      <c r="DQ285" s="77"/>
      <c r="DR285" s="77"/>
      <c r="DS285" s="77"/>
      <c r="DT285" s="77"/>
      <c r="DU285" s="77"/>
      <c r="DV285" s="77"/>
      <c r="DW285" s="77"/>
      <c r="DX285" s="77"/>
      <c r="DY285" s="77"/>
      <c r="DZ285" s="77"/>
      <c r="EA285" s="77"/>
      <c r="EB285" s="77"/>
      <c r="EC285" s="77"/>
      <c r="ED285" s="77"/>
      <c r="EE285" s="77"/>
      <c r="EF285" s="77"/>
      <c r="EG285" s="77"/>
      <c r="EH285" s="77"/>
      <c r="EI285" s="77"/>
      <c r="EJ285" s="77"/>
      <c r="EK285" s="77"/>
      <c r="EL285" s="77"/>
      <c r="EP285" s="77"/>
      <c r="EQ285" s="77"/>
      <c r="GL285" s="77"/>
      <c r="GM285" s="77"/>
      <c r="GN285" s="77"/>
      <c r="GO285" s="77"/>
      <c r="GP285" s="77"/>
      <c r="GQ285" s="77"/>
      <c r="GR285" s="77"/>
      <c r="GS285" s="77"/>
      <c r="GT285" s="77"/>
      <c r="GU285" s="77"/>
      <c r="GV285" s="77"/>
      <c r="GW285" s="77"/>
      <c r="GX285" s="77"/>
      <c r="GY285" s="77"/>
      <c r="GZ285" s="77"/>
      <c r="HA285" s="77"/>
      <c r="HB285" s="77"/>
      <c r="HC285" s="77"/>
      <c r="HD285" s="77"/>
      <c r="HE285" s="77"/>
      <c r="HF285" s="77"/>
      <c r="HG285" s="77"/>
      <c r="HH285" s="77"/>
      <c r="HI285" s="77"/>
      <c r="HJ285" s="77"/>
      <c r="HK285" s="77"/>
      <c r="JY285" s="77"/>
      <c r="JZ285" s="77"/>
      <c r="KA285" s="77"/>
      <c r="KB285" s="77"/>
      <c r="KC285" s="77"/>
      <c r="KD285" s="77"/>
      <c r="KE285" s="77"/>
      <c r="KF285" s="77"/>
      <c r="KG285" s="77"/>
      <c r="KH285" s="77"/>
      <c r="KI285" s="77"/>
      <c r="KJ285" s="77"/>
      <c r="KK285" s="77"/>
      <c r="KL285" s="77"/>
      <c r="LL285" s="77"/>
      <c r="LM285" s="77"/>
      <c r="LN285" s="77"/>
      <c r="LO285" s="77"/>
      <c r="LP285" s="77"/>
      <c r="LQ285" s="77"/>
      <c r="LR285" s="77"/>
      <c r="LS285" s="77"/>
      <c r="LT285" s="77"/>
      <c r="LU285" s="77"/>
      <c r="LV285" s="77"/>
      <c r="LW285" s="77"/>
      <c r="LX285" s="77"/>
      <c r="LY285" s="77"/>
      <c r="LZ285" s="77"/>
      <c r="MA285" s="77"/>
      <c r="MB285" s="77"/>
      <c r="MC285" s="77"/>
      <c r="MD285" s="77"/>
      <c r="ME285" s="77"/>
      <c r="MF285" s="77"/>
      <c r="MG285" s="77"/>
      <c r="MH285" s="77"/>
      <c r="MI285" s="77"/>
      <c r="MJ285" s="77"/>
      <c r="MK285" s="77"/>
      <c r="ML285" s="77"/>
      <c r="MM285" s="77"/>
      <c r="MN285" s="77"/>
      <c r="MO285" s="77"/>
      <c r="MP285" s="77"/>
      <c r="MQ285" s="77"/>
      <c r="MR285" s="77"/>
      <c r="MS285" s="77"/>
      <c r="MT285" s="77"/>
      <c r="MU285" s="77"/>
      <c r="MV285" s="77"/>
      <c r="MW285" s="77"/>
      <c r="MX285" s="77"/>
      <c r="MY285" s="77"/>
      <c r="MZ285" s="77"/>
      <c r="NA285" s="77"/>
      <c r="NB285" s="77"/>
      <c r="NC285" s="77"/>
      <c r="ND285" s="77"/>
    </row>
    <row r="286" spans="1:421" ht="18.600000000000001" customHeight="1" x14ac:dyDescent="0.25">
      <c r="A286" s="119" t="s">
        <v>1383</v>
      </c>
      <c r="B286" s="27" t="s">
        <v>1384</v>
      </c>
      <c r="C286" s="27" t="s">
        <v>1385</v>
      </c>
      <c r="D286" s="30" t="str">
        <f>HYPERLINK("https://twitter.com/JPN_PMO","https://twitter.com/JPN_PMO")</f>
        <v>https://twitter.com/JPN_PMO</v>
      </c>
      <c r="E286" s="30" t="str">
        <f>HYPERLINK("http://twiplomacy.com/info/asia/japan/","http://twiplomacy.com/info/asia/japan/")</f>
        <v>http://twiplomacy.com/info/asia/japan/</v>
      </c>
      <c r="F286" s="10" t="s">
        <v>154</v>
      </c>
      <c r="G286" s="10" t="s">
        <v>213</v>
      </c>
      <c r="H286" s="10" t="s">
        <v>788</v>
      </c>
      <c r="I286" s="10" t="s">
        <v>782</v>
      </c>
      <c r="J286" s="27" t="s">
        <v>1382</v>
      </c>
      <c r="K286" s="15" t="s">
        <v>777</v>
      </c>
      <c r="L286" s="10" t="s">
        <v>771</v>
      </c>
      <c r="M286" s="10" t="s">
        <v>770</v>
      </c>
      <c r="N286" s="30" t="str">
        <f>HYPERLINK("https://twitter.com/jpn_pmo/statuses/47994581312225282","https://twitter.com/jpn_pmo/statuses/47994581312225282")</f>
        <v>https://twitter.com/jpn_pmo/statuses/47994581312225282</v>
      </c>
      <c r="O286" s="20" t="s">
        <v>1386</v>
      </c>
      <c r="P286" s="46">
        <v>1211</v>
      </c>
      <c r="Q286" s="46">
        <v>56</v>
      </c>
      <c r="R286" s="27" t="s">
        <v>2994</v>
      </c>
      <c r="S286" s="10" t="s">
        <v>1387</v>
      </c>
      <c r="T286" s="10" t="s">
        <v>771</v>
      </c>
      <c r="U286" s="10" t="s">
        <v>771</v>
      </c>
      <c r="V286" s="10" t="s">
        <v>771</v>
      </c>
      <c r="W286" s="73"/>
      <c r="X286" s="27" t="s">
        <v>1383</v>
      </c>
      <c r="Y286" s="27" t="s">
        <v>1384</v>
      </c>
      <c r="Z286" s="80">
        <v>3347</v>
      </c>
      <c r="AA286" s="27">
        <v>20</v>
      </c>
      <c r="AB286" s="80">
        <v>178881</v>
      </c>
      <c r="AC286" s="27">
        <v>2</v>
      </c>
      <c r="AD286" s="27" t="s">
        <v>3900</v>
      </c>
      <c r="AE286" s="27">
        <v>266991549</v>
      </c>
      <c r="AF286" s="27" t="s">
        <v>1385</v>
      </c>
      <c r="AG286" s="27"/>
      <c r="AH286" s="79">
        <v>1.78601921024546</v>
      </c>
      <c r="AI286" s="83">
        <v>1.7394101876675601</v>
      </c>
      <c r="AJ286" s="80">
        <v>6.6697276757441397</v>
      </c>
      <c r="AK286" s="80">
        <v>2.5832805573147599</v>
      </c>
      <c r="AL286" s="13">
        <v>0</v>
      </c>
      <c r="AM286" s="97">
        <f t="shared" si="4"/>
        <v>0</v>
      </c>
      <c r="AN286" s="27" t="s">
        <v>1383</v>
      </c>
      <c r="AO286" s="27">
        <v>0</v>
      </c>
      <c r="AP286" s="27">
        <v>54</v>
      </c>
      <c r="AQ286" s="27">
        <v>6</v>
      </c>
      <c r="AR286" s="27">
        <f>SUM(AO286:AQ286)</f>
        <v>60</v>
      </c>
      <c r="AS286" s="27"/>
      <c r="AT286" s="27" t="s">
        <v>5609</v>
      </c>
      <c r="AU286" s="84" t="s">
        <v>4782</v>
      </c>
      <c r="AV286" s="77"/>
      <c r="AW286" s="77"/>
      <c r="AX286" s="77"/>
      <c r="AY286" s="77"/>
      <c r="AZ286" s="77"/>
      <c r="BA286" s="77"/>
      <c r="BB286" s="77"/>
      <c r="BC286" s="77"/>
      <c r="BD286" s="77"/>
      <c r="BE286" s="77"/>
      <c r="BF286" s="77"/>
      <c r="BG286" s="77"/>
      <c r="BH286" s="77"/>
      <c r="BI286" s="77"/>
      <c r="BJ286" s="77"/>
      <c r="BK286" s="77"/>
      <c r="BL286" s="77"/>
      <c r="BM286" s="77"/>
      <c r="BN286" s="77"/>
      <c r="BO286" s="77"/>
      <c r="BP286" s="77"/>
      <c r="BQ286" s="77"/>
      <c r="BR286" s="77"/>
      <c r="BS286" s="77"/>
      <c r="BT286" s="77"/>
      <c r="BU286" s="77"/>
      <c r="BV286" s="77"/>
      <c r="BW286" s="77"/>
      <c r="BX286" s="77"/>
      <c r="BY286" s="77"/>
      <c r="BZ286" s="77"/>
      <c r="CA286" s="77"/>
      <c r="CB286" s="77"/>
      <c r="CK286" s="77"/>
      <c r="CL286" s="77"/>
      <c r="CM286" s="77"/>
      <c r="CN286" s="77"/>
      <c r="CO286" s="77"/>
      <c r="CP286" s="77"/>
      <c r="CQ286" s="77"/>
      <c r="CR286" s="77"/>
      <c r="CS286" s="77"/>
      <c r="CT286" s="77"/>
      <c r="CU286" s="77"/>
      <c r="CV286" s="77"/>
      <c r="CW286" s="77"/>
      <c r="CX286" s="77"/>
      <c r="CY286" s="77"/>
      <c r="CZ286" s="77"/>
      <c r="DA286" s="77"/>
      <c r="DB286" s="77"/>
      <c r="DC286" s="77"/>
      <c r="DD286" s="77"/>
      <c r="DE286" s="77"/>
      <c r="DF286" s="77"/>
      <c r="DG286" s="77"/>
      <c r="DH286" s="77"/>
      <c r="DI286" s="77"/>
      <c r="DJ286" s="77"/>
      <c r="DK286" s="77"/>
      <c r="DL286" s="77"/>
      <c r="DM286" s="77"/>
      <c r="DN286" s="77"/>
      <c r="DO286" s="77"/>
      <c r="DP286" s="77"/>
      <c r="DQ286" s="77"/>
      <c r="DR286" s="77"/>
      <c r="DS286" s="77"/>
      <c r="DT286" s="77"/>
      <c r="DU286" s="77"/>
      <c r="DV286" s="77"/>
      <c r="DW286" s="77"/>
      <c r="DX286" s="77"/>
      <c r="DY286" s="77"/>
      <c r="DZ286" s="77"/>
      <c r="EA286" s="77"/>
      <c r="EB286" s="77"/>
      <c r="EC286" s="77"/>
      <c r="ED286" s="77"/>
      <c r="EE286" s="77"/>
      <c r="EF286" s="77"/>
      <c r="EG286" s="77"/>
      <c r="EH286" s="77"/>
      <c r="EI286" s="77"/>
      <c r="EJ286" s="77"/>
      <c r="EK286" s="77"/>
      <c r="EL286" s="77"/>
      <c r="EM286" s="77"/>
      <c r="EN286" s="77"/>
      <c r="EO286" s="77"/>
      <c r="EP286" s="77"/>
      <c r="EQ286" s="77"/>
      <c r="ER286" s="77"/>
      <c r="ES286" s="77"/>
      <c r="ET286" s="77"/>
      <c r="EU286" s="77"/>
      <c r="EV286" s="77"/>
      <c r="EW286" s="77"/>
      <c r="EX286" s="77"/>
      <c r="EY286" s="77"/>
      <c r="EZ286" s="77"/>
      <c r="FA286" s="77"/>
      <c r="FB286" s="77"/>
      <c r="FC286" s="77"/>
      <c r="FD286" s="77"/>
      <c r="FE286" s="77"/>
      <c r="FF286" s="77"/>
      <c r="FG286" s="77"/>
      <c r="FH286" s="77"/>
      <c r="FI286" s="77"/>
      <c r="FJ286" s="77"/>
      <c r="FK286" s="77"/>
      <c r="FL286" s="77"/>
      <c r="FM286" s="77"/>
      <c r="FN286" s="77"/>
      <c r="FO286" s="77"/>
      <c r="FP286" s="77"/>
      <c r="FQ286" s="77"/>
      <c r="FR286" s="77"/>
      <c r="FS286" s="77"/>
      <c r="FT286" s="77"/>
      <c r="FU286" s="77"/>
      <c r="FV286" s="77"/>
      <c r="FW286" s="77"/>
      <c r="FX286" s="77"/>
      <c r="FY286" s="77"/>
      <c r="FZ286" s="77"/>
      <c r="GA286" s="77"/>
      <c r="GB286" s="77"/>
      <c r="GC286" s="77"/>
      <c r="GD286" s="77"/>
      <c r="GE286" s="77"/>
      <c r="GF286" s="77"/>
      <c r="GG286" s="77"/>
      <c r="GH286" s="77"/>
      <c r="GI286" s="77"/>
      <c r="GJ286" s="77"/>
      <c r="GK286" s="77"/>
      <c r="GL286" s="77"/>
      <c r="GM286" s="77"/>
      <c r="GN286" s="77"/>
      <c r="GO286" s="77"/>
      <c r="GP286" s="77"/>
      <c r="GQ286" s="77"/>
      <c r="GR286" s="77"/>
      <c r="GS286" s="77"/>
      <c r="GT286" s="77"/>
      <c r="GU286" s="77"/>
      <c r="GV286" s="77"/>
      <c r="GW286" s="77"/>
      <c r="GX286" s="77"/>
      <c r="GY286" s="77"/>
      <c r="GZ286" s="77"/>
      <c r="HA286" s="77"/>
      <c r="HB286" s="77"/>
      <c r="HC286" s="77"/>
      <c r="HD286" s="77"/>
      <c r="HE286" s="77"/>
      <c r="HF286" s="77"/>
      <c r="HG286" s="77"/>
      <c r="HH286" s="77"/>
      <c r="HI286" s="77"/>
      <c r="HJ286" s="77"/>
      <c r="HK286" s="77"/>
      <c r="HL286" s="77"/>
      <c r="HM286" s="77"/>
      <c r="HN286" s="77"/>
      <c r="HO286" s="77"/>
      <c r="HP286" s="77"/>
      <c r="HQ286" s="77"/>
      <c r="HR286" s="77"/>
      <c r="HS286" s="77"/>
      <c r="HT286" s="77"/>
      <c r="HU286" s="77"/>
      <c r="HV286" s="77"/>
      <c r="HW286" s="77"/>
      <c r="HX286" s="77"/>
      <c r="HY286" s="77"/>
      <c r="HZ286" s="77"/>
      <c r="IA286" s="77"/>
      <c r="IB286" s="77"/>
      <c r="IC286" s="77"/>
      <c r="ID286" s="77"/>
      <c r="IE286" s="77"/>
      <c r="KM286" s="16"/>
      <c r="KN286" s="16"/>
      <c r="KO286" s="16"/>
      <c r="KP286" s="16"/>
      <c r="KQ286" s="16"/>
      <c r="KR286" s="16"/>
      <c r="KS286" s="16"/>
      <c r="KT286" s="16"/>
      <c r="KU286" s="16"/>
      <c r="KV286" s="16"/>
      <c r="KW286" s="16"/>
      <c r="KX286" s="16"/>
      <c r="KY286" s="16"/>
      <c r="KZ286" s="16"/>
      <c r="LA286" s="16"/>
      <c r="LB286" s="16"/>
      <c r="LC286" s="16"/>
      <c r="LD286" s="16"/>
      <c r="LE286" s="16"/>
      <c r="LF286" s="16"/>
      <c r="LG286" s="16"/>
      <c r="LH286" s="16"/>
      <c r="LI286" s="16"/>
      <c r="LJ286" s="16"/>
      <c r="LK286" s="16"/>
      <c r="LW286" s="77"/>
      <c r="LX286" s="77"/>
      <c r="LY286" s="77"/>
      <c r="LZ286" s="77"/>
      <c r="MA286" s="77"/>
      <c r="MB286" s="77"/>
      <c r="MC286" s="77"/>
      <c r="MD286" s="77"/>
      <c r="ME286" s="77"/>
      <c r="MF286" s="77"/>
      <c r="MG286" s="77"/>
      <c r="MH286" s="77"/>
      <c r="MI286" s="77"/>
      <c r="MJ286" s="77"/>
      <c r="MK286" s="77"/>
      <c r="ML286" s="77"/>
      <c r="MM286" s="77"/>
      <c r="MN286" s="77"/>
      <c r="MO286" s="77"/>
      <c r="MP286" s="77"/>
      <c r="MQ286" s="77"/>
      <c r="MR286" s="77"/>
      <c r="MS286" s="77"/>
    </row>
    <row r="287" spans="1:421" ht="18.600000000000001" customHeight="1" x14ac:dyDescent="0.25">
      <c r="A287" s="119" t="s">
        <v>605</v>
      </c>
      <c r="B287" s="27" t="s">
        <v>2475</v>
      </c>
      <c r="C287" s="27" t="s">
        <v>2499</v>
      </c>
      <c r="D287" s="30" t="str">
        <f>HYPERLINK("https://twitter.com/Presidencia_HN","https://twitter.com/Presidencia_HN")</f>
        <v>https://twitter.com/Presidencia_HN</v>
      </c>
      <c r="E287" s="30" t="str">
        <f>HYPERLINK("http://twiplomacy.com/info/north-america/Honduras","http://twiplomacy.com/info/north-america/Honduras")</f>
        <v>http://twiplomacy.com/info/north-america/Honduras</v>
      </c>
      <c r="F287" s="10" t="s">
        <v>558</v>
      </c>
      <c r="G287" s="10" t="s">
        <v>603</v>
      </c>
      <c r="H287" s="10" t="s">
        <v>781</v>
      </c>
      <c r="I287" s="10" t="s">
        <v>782</v>
      </c>
      <c r="J287" s="27" t="s">
        <v>2226</v>
      </c>
      <c r="K287" s="15" t="s">
        <v>777</v>
      </c>
      <c r="L287" s="10" t="s">
        <v>771</v>
      </c>
      <c r="M287" s="10" t="s">
        <v>770</v>
      </c>
      <c r="N287" s="30" t="str">
        <f>HYPERLINK("https://twitter.com/JuanOrlandoH/statuses/413846187981422593","https://twitter.com/JuanOrlandoH/statuses/413846187981422593")</f>
        <v>https://twitter.com/JuanOrlandoH/statuses/413846187981422593</v>
      </c>
      <c r="O287" s="27" t="s">
        <v>6039</v>
      </c>
      <c r="P287" s="80">
        <v>563</v>
      </c>
      <c r="Q287" s="80">
        <v>558</v>
      </c>
      <c r="R287" s="27" t="s">
        <v>2995</v>
      </c>
      <c r="S287" s="30" t="str">
        <f>HYPERLINK("https://twitter.com/Presidencia_HN/lists","https://twitter.com/Presidencia_HN/lists")</f>
        <v>https://twitter.com/Presidencia_HN/lists</v>
      </c>
      <c r="T287" s="10">
        <v>4</v>
      </c>
      <c r="U287" s="10" t="s">
        <v>771</v>
      </c>
      <c r="V287" s="30" t="str">
        <f>HYPERLINK("https://twitter.com/Presidencia_HN/lists/equipo-redes","https://twitter.com/Presidencia_HN/lists/equipo-redes")</f>
        <v>https://twitter.com/Presidencia_HN/lists/equipo-redes</v>
      </c>
      <c r="W287" s="10">
        <v>0</v>
      </c>
      <c r="X287" s="27" t="s">
        <v>605</v>
      </c>
      <c r="Y287" s="27" t="s">
        <v>2475</v>
      </c>
      <c r="Z287" s="80">
        <v>3346</v>
      </c>
      <c r="AA287" s="27">
        <v>307</v>
      </c>
      <c r="AB287" s="80">
        <v>42127</v>
      </c>
      <c r="AC287" s="27">
        <v>440</v>
      </c>
      <c r="AD287" s="27" t="s">
        <v>4332</v>
      </c>
      <c r="AE287" s="27">
        <v>1145775630</v>
      </c>
      <c r="AF287" s="27" t="s">
        <v>2499</v>
      </c>
      <c r="AG287" s="27" t="s">
        <v>603</v>
      </c>
      <c r="AH287" s="79">
        <v>2.8285472972973</v>
      </c>
      <c r="AI287" s="83">
        <v>28.514285714285698</v>
      </c>
      <c r="AJ287" s="80">
        <v>41.836593317033397</v>
      </c>
      <c r="AK287" s="80">
        <v>12.3064384678077</v>
      </c>
      <c r="AL287" s="27">
        <v>11</v>
      </c>
      <c r="AM287" s="97">
        <f t="shared" si="4"/>
        <v>3.4375E-3</v>
      </c>
      <c r="AN287" s="27" t="s">
        <v>605</v>
      </c>
      <c r="AO287" s="27">
        <v>25</v>
      </c>
      <c r="AP287" s="27">
        <v>6</v>
      </c>
      <c r="AQ287" s="27">
        <v>7</v>
      </c>
      <c r="AR287" s="27">
        <f>SUM(AO287:AQ287)</f>
        <v>38</v>
      </c>
      <c r="AS287" s="27" t="s">
        <v>6247</v>
      </c>
      <c r="AT287" s="27" t="s">
        <v>5628</v>
      </c>
      <c r="AU287" s="84" t="s">
        <v>4911</v>
      </c>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77"/>
      <c r="BR287" s="77"/>
      <c r="BS287" s="77"/>
      <c r="BT287" s="77"/>
      <c r="BU287" s="77"/>
      <c r="BV287" s="77"/>
      <c r="BW287" s="77"/>
      <c r="BX287" s="77"/>
      <c r="BY287" s="77"/>
      <c r="BZ287" s="77"/>
      <c r="CA287" s="77"/>
      <c r="CB287" s="77"/>
      <c r="CC287" s="77"/>
      <c r="CD287" s="77"/>
      <c r="CE287" s="77"/>
      <c r="CF287" s="77"/>
      <c r="CG287" s="77"/>
      <c r="CH287" s="77"/>
      <c r="CI287" s="77"/>
      <c r="CJ287" s="77"/>
      <c r="CK287" s="77"/>
      <c r="CL287" s="77"/>
      <c r="CM287" s="77"/>
      <c r="CN287" s="77"/>
      <c r="CO287" s="77"/>
      <c r="CP287" s="77"/>
      <c r="CQ287" s="77"/>
      <c r="CR287" s="77"/>
      <c r="CS287" s="77"/>
      <c r="CT287" s="77"/>
      <c r="CU287" s="77"/>
      <c r="CV287" s="77"/>
      <c r="CW287" s="77"/>
      <c r="CX287" s="77"/>
      <c r="CY287" s="77"/>
      <c r="CZ287" s="77"/>
      <c r="DA287" s="77"/>
      <c r="DB287" s="77"/>
      <c r="DC287" s="77"/>
      <c r="DD287" s="77"/>
      <c r="DE287" s="77"/>
      <c r="DF287" s="77"/>
      <c r="DG287" s="77"/>
      <c r="DH287" s="77"/>
      <c r="DI287" s="77"/>
      <c r="DJ287" s="77"/>
      <c r="DK287" s="77"/>
      <c r="DL287" s="77"/>
      <c r="DM287" s="77"/>
      <c r="DN287" s="77"/>
      <c r="DO287" s="77"/>
      <c r="DP287" s="77"/>
      <c r="DQ287" s="77"/>
      <c r="DR287" s="77"/>
      <c r="DS287" s="77"/>
      <c r="DT287" s="77"/>
      <c r="DU287" s="77"/>
      <c r="DV287" s="77"/>
      <c r="DW287" s="77"/>
      <c r="DX287" s="77"/>
      <c r="DY287" s="77"/>
      <c r="DZ287" s="77"/>
      <c r="EA287" s="77"/>
      <c r="EB287" s="77"/>
      <c r="EC287" s="77"/>
      <c r="ED287" s="77"/>
      <c r="EE287" s="77"/>
      <c r="EF287" s="77"/>
      <c r="EG287" s="77"/>
      <c r="EH287" s="77"/>
      <c r="EI287" s="77"/>
      <c r="EJ287" s="77"/>
      <c r="EK287" s="77"/>
      <c r="EL287" s="77"/>
      <c r="EM287" s="77"/>
      <c r="EN287" s="77"/>
      <c r="EO287" s="77"/>
      <c r="EP287" s="77"/>
      <c r="EQ287" s="77"/>
      <c r="ER287" s="77"/>
      <c r="ES287" s="77"/>
      <c r="ET287" s="77"/>
      <c r="EU287" s="77"/>
      <c r="EV287" s="77"/>
      <c r="EW287" s="77"/>
      <c r="EX287" s="77"/>
      <c r="EY287" s="77"/>
      <c r="EZ287" s="77"/>
      <c r="FA287" s="77"/>
      <c r="FB287" s="77"/>
      <c r="FC287" s="77"/>
      <c r="FD287" s="77"/>
      <c r="FE287" s="77"/>
      <c r="FF287" s="77"/>
      <c r="FG287" s="77"/>
      <c r="FH287" s="77"/>
      <c r="FI287" s="77"/>
      <c r="FJ287" s="77"/>
      <c r="FK287" s="77"/>
      <c r="FL287" s="77"/>
      <c r="FM287" s="77"/>
      <c r="FN287" s="77"/>
      <c r="FO287" s="77"/>
      <c r="FP287" s="77"/>
      <c r="FQ287" s="77"/>
      <c r="FR287" s="77"/>
      <c r="FS287" s="77"/>
      <c r="FT287" s="77"/>
      <c r="FU287" s="77"/>
      <c r="FV287" s="77"/>
      <c r="FW287" s="77"/>
      <c r="FX287" s="77"/>
      <c r="FY287" s="77"/>
      <c r="FZ287" s="77"/>
      <c r="GA287" s="77"/>
      <c r="GB287" s="77"/>
      <c r="GC287" s="77"/>
      <c r="GD287" s="77"/>
      <c r="GE287" s="77"/>
      <c r="GF287" s="77"/>
      <c r="GG287" s="77"/>
      <c r="GH287" s="77"/>
      <c r="GI287" s="77"/>
      <c r="GJ287" s="77"/>
      <c r="GK287" s="77"/>
      <c r="HL287" s="77"/>
      <c r="HM287" s="77"/>
      <c r="HN287" s="77"/>
      <c r="HO287" s="77"/>
      <c r="HP287" s="77"/>
      <c r="HQ287" s="77"/>
      <c r="HR287" s="77"/>
      <c r="HS287" s="77"/>
      <c r="HT287" s="77"/>
      <c r="HU287" s="77"/>
      <c r="HV287" s="77"/>
      <c r="HW287" s="77"/>
      <c r="HX287" s="77"/>
      <c r="HY287" s="77"/>
      <c r="HZ287" s="77"/>
      <c r="IA287" s="77"/>
      <c r="IB287" s="77"/>
      <c r="IC287" s="77"/>
      <c r="ID287" s="77"/>
      <c r="IE287" s="77"/>
      <c r="IF287" s="77"/>
      <c r="IG287" s="77"/>
      <c r="IH287" s="77"/>
      <c r="II287" s="77"/>
      <c r="IJ287" s="77"/>
      <c r="IK287" s="77"/>
      <c r="IL287" s="77"/>
      <c r="IM287" s="77"/>
      <c r="IN287" s="77"/>
      <c r="IO287" s="77"/>
      <c r="IP287" s="77"/>
      <c r="IQ287" s="77"/>
      <c r="IR287" s="77"/>
      <c r="IS287" s="77"/>
      <c r="IT287" s="77"/>
      <c r="IU287" s="77"/>
      <c r="IV287" s="77"/>
      <c r="IW287" s="77"/>
      <c r="IX287" s="77"/>
      <c r="IY287" s="77"/>
      <c r="IZ287" s="77"/>
      <c r="JA287" s="77"/>
      <c r="JB287" s="77"/>
      <c r="JC287" s="77"/>
      <c r="JD287" s="77"/>
      <c r="JE287" s="77"/>
      <c r="JF287" s="77"/>
      <c r="JG287" s="77"/>
      <c r="JH287" s="77"/>
      <c r="JI287" s="77"/>
      <c r="JJ287" s="77"/>
      <c r="JK287" s="77"/>
      <c r="JL287" s="77"/>
      <c r="JM287" s="77"/>
      <c r="JN287" s="77"/>
      <c r="JO287" s="77"/>
      <c r="JP287" s="77"/>
      <c r="JQ287" s="77"/>
      <c r="JR287" s="77"/>
      <c r="JS287" s="77"/>
      <c r="JT287" s="77"/>
      <c r="JU287" s="77"/>
      <c r="JV287" s="77"/>
      <c r="JW287" s="77"/>
      <c r="JX287" s="77"/>
      <c r="MS287" s="77"/>
      <c r="ND287" s="77"/>
    </row>
    <row r="288" spans="1:421" ht="18.600000000000001" customHeight="1" x14ac:dyDescent="0.25">
      <c r="A288" s="119" t="s">
        <v>472</v>
      </c>
      <c r="B288" s="27" t="s">
        <v>3632</v>
      </c>
      <c r="C288" s="27" t="s">
        <v>3633</v>
      </c>
      <c r="D288" s="30" t="str">
        <f>HYPERLINK("https://twitter.com/MinBuZa_news","https://twitter.com/DutchMFA")</f>
        <v>https://twitter.com/DutchMFA</v>
      </c>
      <c r="E288" s="30" t="str">
        <f>HYPERLINK("http://twiplomacy.com/info/europe/Netherlands","http://twiplomacy.com/info/europe/Netherlands")</f>
        <v>http://twiplomacy.com/info/europe/Netherlands</v>
      </c>
      <c r="F288" s="10" t="s">
        <v>332</v>
      </c>
      <c r="G288" s="10" t="s">
        <v>467</v>
      </c>
      <c r="H288" s="10" t="s">
        <v>795</v>
      </c>
      <c r="I288" s="10" t="s">
        <v>782</v>
      </c>
      <c r="J288" s="27" t="s">
        <v>789</v>
      </c>
      <c r="K288" s="15" t="s">
        <v>777</v>
      </c>
      <c r="L288" s="10" t="s">
        <v>771</v>
      </c>
      <c r="M288" s="10" t="s">
        <v>771</v>
      </c>
      <c r="N288" s="30" t="str">
        <f>HYPERLINK("https://twitter.com/DutchMFA/statuses/7479573388","https://twitter.com/DutchMFA/statuses/7479573388")</f>
        <v>https://twitter.com/DutchMFA/statuses/7479573388</v>
      </c>
      <c r="O288" s="27" t="s">
        <v>5810</v>
      </c>
      <c r="P288" s="80">
        <v>378</v>
      </c>
      <c r="Q288" s="80">
        <v>104</v>
      </c>
      <c r="R288" s="27" t="s">
        <v>2994</v>
      </c>
      <c r="S288" s="30" t="str">
        <f>HYPERLINK("https://twitter.com/DutchMFA/lists","https://twitter.com/DutchMFA/lists")</f>
        <v>https://twitter.com/DutchMFA/lists</v>
      </c>
      <c r="T288" s="10">
        <v>4</v>
      </c>
      <c r="U288" s="10">
        <v>3</v>
      </c>
      <c r="V288" s="12" t="s">
        <v>2085</v>
      </c>
      <c r="W288" s="10">
        <v>5</v>
      </c>
      <c r="X288" s="27" t="s">
        <v>472</v>
      </c>
      <c r="Y288" s="27" t="s">
        <v>3632</v>
      </c>
      <c r="Z288" s="80">
        <v>3342</v>
      </c>
      <c r="AA288" s="27">
        <v>1669</v>
      </c>
      <c r="AB288" s="80">
        <v>14242</v>
      </c>
      <c r="AC288" s="27">
        <v>667</v>
      </c>
      <c r="AD288" s="27" t="s">
        <v>3634</v>
      </c>
      <c r="AE288" s="27">
        <v>98853413</v>
      </c>
      <c r="AF288" s="27" t="s">
        <v>3633</v>
      </c>
      <c r="AG288" s="27" t="s">
        <v>2086</v>
      </c>
      <c r="AH288" s="79">
        <v>1.43927648578811</v>
      </c>
      <c r="AI288" s="83">
        <v>1.5154349859681899</v>
      </c>
      <c r="AJ288" s="80">
        <v>7.3341889117043104</v>
      </c>
      <c r="AK288" s="80">
        <v>2.8008213552361401</v>
      </c>
      <c r="AL288" s="27">
        <v>43</v>
      </c>
      <c r="AM288" s="97">
        <f t="shared" si="4"/>
        <v>1.34375E-2</v>
      </c>
      <c r="AN288" s="27" t="s">
        <v>472</v>
      </c>
      <c r="AO288" s="27">
        <v>128</v>
      </c>
      <c r="AP288" s="27">
        <v>8</v>
      </c>
      <c r="AQ288" s="27">
        <v>91</v>
      </c>
      <c r="AR288" s="27">
        <f>SUM(AO288:AQ288)</f>
        <v>227</v>
      </c>
      <c r="AS288" s="27" t="s">
        <v>6560</v>
      </c>
      <c r="AT288" s="27" t="s">
        <v>6282</v>
      </c>
      <c r="AU288" s="84" t="s">
        <v>6153</v>
      </c>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7"/>
      <c r="BX288" s="77"/>
      <c r="BY288" s="77"/>
      <c r="BZ288" s="77"/>
      <c r="CA288" s="77"/>
      <c r="CB288" s="77"/>
      <c r="CC288" s="77"/>
      <c r="CD288" s="77"/>
      <c r="CE288" s="77"/>
      <c r="CF288" s="77"/>
      <c r="CG288" s="77"/>
      <c r="CH288" s="77"/>
      <c r="CI288" s="77"/>
      <c r="CJ288" s="77"/>
      <c r="CK288" s="77"/>
      <c r="CL288" s="77"/>
      <c r="CM288" s="77"/>
      <c r="CN288" s="77"/>
      <c r="CO288" s="77"/>
      <c r="CP288" s="77"/>
      <c r="CQ288" s="77"/>
      <c r="CR288" s="77"/>
      <c r="CS288" s="77"/>
      <c r="CT288" s="77"/>
      <c r="CU288" s="77"/>
      <c r="CV288" s="77"/>
      <c r="CW288" s="77"/>
      <c r="EM288" s="77"/>
      <c r="EN288" s="77"/>
      <c r="EO288" s="77"/>
      <c r="EP288" s="77"/>
      <c r="EQ288" s="77"/>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77"/>
      <c r="GM288" s="77"/>
      <c r="GN288" s="77"/>
      <c r="GO288" s="77"/>
      <c r="GP288" s="77"/>
      <c r="GQ288" s="77"/>
      <c r="GR288" s="77"/>
      <c r="GS288" s="77"/>
      <c r="GT288" s="77"/>
      <c r="GU288" s="77"/>
      <c r="GV288" s="77"/>
      <c r="GW288" s="77"/>
      <c r="GX288" s="77"/>
      <c r="GY288" s="77"/>
      <c r="GZ288" s="77"/>
      <c r="HA288" s="77"/>
      <c r="HB288" s="77"/>
      <c r="HC288" s="77"/>
      <c r="HD288" s="77"/>
      <c r="HE288" s="77"/>
      <c r="HF288" s="77"/>
      <c r="HG288" s="77"/>
      <c r="HH288" s="77"/>
      <c r="HI288" s="77"/>
      <c r="HJ288" s="77"/>
      <c r="HK288" s="77"/>
      <c r="HL288" s="77"/>
      <c r="HM288" s="77"/>
      <c r="HN288" s="77"/>
      <c r="HO288" s="77"/>
      <c r="HP288" s="77"/>
      <c r="HQ288" s="77"/>
      <c r="HR288" s="77"/>
      <c r="HS288" s="77"/>
      <c r="HT288" s="77"/>
      <c r="HU288" s="77"/>
      <c r="HV288" s="77"/>
      <c r="HW288" s="77"/>
      <c r="HX288" s="77"/>
      <c r="HY288" s="77"/>
      <c r="HZ288" s="77"/>
      <c r="IA288" s="77"/>
      <c r="IB288" s="77"/>
      <c r="IC288" s="77"/>
      <c r="ID288" s="77"/>
      <c r="IE288" s="77"/>
      <c r="IF288" s="77"/>
      <c r="IG288" s="77"/>
      <c r="IH288" s="77"/>
      <c r="II288" s="77"/>
      <c r="IJ288" s="77"/>
      <c r="IK288" s="77"/>
      <c r="IL288" s="77"/>
      <c r="IM288" s="77"/>
      <c r="IN288" s="77"/>
      <c r="IO288" s="77"/>
      <c r="IP288" s="77"/>
      <c r="IQ288" s="77"/>
      <c r="IR288" s="77"/>
      <c r="IS288" s="77"/>
      <c r="IT288" s="77"/>
      <c r="IU288" s="77"/>
      <c r="IV288" s="77"/>
      <c r="IW288" s="77"/>
      <c r="IX288" s="77"/>
      <c r="IY288" s="77"/>
      <c r="IZ288" s="77"/>
      <c r="JA288" s="77"/>
      <c r="JB288" s="77"/>
      <c r="JC288" s="77"/>
      <c r="JD288" s="77"/>
      <c r="JE288" s="77"/>
      <c r="JF288" s="77"/>
      <c r="JG288" s="77"/>
      <c r="JH288" s="77"/>
      <c r="JI288" s="77"/>
      <c r="JJ288" s="77"/>
      <c r="JK288" s="77"/>
      <c r="JL288" s="77"/>
      <c r="JM288" s="77"/>
      <c r="JN288" s="77"/>
      <c r="JO288" s="77"/>
      <c r="JP288" s="77"/>
      <c r="JQ288" s="77"/>
      <c r="JR288" s="77"/>
      <c r="JS288" s="77"/>
      <c r="JT288" s="77"/>
      <c r="JU288" s="77"/>
      <c r="JV288" s="77"/>
      <c r="JW288" s="77"/>
      <c r="JX288" s="77"/>
      <c r="JY288" s="77"/>
      <c r="JZ288" s="77"/>
      <c r="KA288" s="77"/>
      <c r="KB288" s="77"/>
      <c r="KC288" s="77"/>
      <c r="KD288" s="77"/>
      <c r="KE288" s="77"/>
      <c r="KF288" s="77"/>
      <c r="KG288" s="77"/>
      <c r="KH288" s="77"/>
      <c r="KI288" s="77"/>
      <c r="KJ288" s="77"/>
      <c r="KK288" s="77"/>
      <c r="KL288" s="77"/>
      <c r="KM288" s="77"/>
      <c r="KN288" s="77"/>
      <c r="KO288" s="77"/>
      <c r="KP288" s="77"/>
      <c r="KQ288" s="77"/>
      <c r="KR288" s="77"/>
      <c r="KS288" s="77"/>
      <c r="KT288" s="77"/>
      <c r="KU288" s="77"/>
      <c r="KV288" s="77"/>
      <c r="KW288" s="77"/>
      <c r="KX288" s="77"/>
      <c r="KY288" s="77"/>
      <c r="KZ288" s="77"/>
      <c r="LA288" s="77"/>
      <c r="LB288" s="77"/>
      <c r="LC288" s="77"/>
      <c r="LD288" s="77"/>
      <c r="LE288" s="77"/>
      <c r="LF288" s="77"/>
      <c r="LG288" s="77"/>
      <c r="LH288" s="77"/>
      <c r="LI288" s="77"/>
      <c r="LJ288" s="77"/>
      <c r="LK288" s="77"/>
      <c r="LW288" s="77"/>
      <c r="LX288" s="77"/>
      <c r="MS288" s="77"/>
      <c r="MT288" s="77"/>
      <c r="MU288" s="77"/>
      <c r="MV288" s="77"/>
      <c r="MW288" s="77"/>
      <c r="MX288" s="77"/>
      <c r="MY288" s="77"/>
      <c r="MZ288" s="77"/>
      <c r="NA288" s="77"/>
      <c r="NB288" s="77"/>
      <c r="NC288" s="77"/>
      <c r="NE288" s="16"/>
      <c r="NF288" s="16"/>
      <c r="NG288" s="16"/>
      <c r="NH288" s="16"/>
      <c r="NI288" s="16"/>
      <c r="NJ288" s="16"/>
      <c r="NK288" s="16"/>
      <c r="NL288" s="16"/>
      <c r="NM288" s="16"/>
      <c r="NN288" s="16"/>
      <c r="NO288" s="16"/>
      <c r="NP288" s="16"/>
      <c r="NQ288" s="16"/>
      <c r="NR288" s="16"/>
      <c r="NS288" s="16"/>
      <c r="NT288" s="16"/>
      <c r="NU288" s="16"/>
      <c r="NV288" s="16"/>
      <c r="NW288" s="16"/>
      <c r="NX288" s="16"/>
      <c r="NY288" s="16"/>
      <c r="NZ288" s="16"/>
      <c r="OA288" s="16"/>
      <c r="OB288" s="16"/>
      <c r="OC288" s="16"/>
      <c r="OD288" s="16"/>
      <c r="OE288" s="16"/>
      <c r="OF288" s="16"/>
      <c r="OG288" s="16"/>
      <c r="OH288" s="16"/>
      <c r="OI288" s="16"/>
      <c r="OJ288" s="16"/>
      <c r="OK288" s="16"/>
      <c r="OL288" s="16"/>
      <c r="OM288" s="16"/>
      <c r="ON288" s="16"/>
      <c r="OO288" s="16"/>
      <c r="OP288" s="16"/>
      <c r="OQ288" s="16"/>
      <c r="OR288" s="16"/>
      <c r="OS288" s="16"/>
      <c r="OT288" s="16"/>
      <c r="OU288" s="16"/>
      <c r="OV288" s="16"/>
      <c r="OW288" s="16"/>
      <c r="OX288" s="16"/>
      <c r="OY288" s="16"/>
      <c r="OZ288" s="16"/>
      <c r="PA288" s="16"/>
      <c r="PB288" s="16"/>
      <c r="PC288" s="16"/>
      <c r="PD288" s="16"/>
      <c r="PE288" s="16"/>
    </row>
    <row r="289" spans="1:421" ht="18.600000000000001" customHeight="1" x14ac:dyDescent="0.25">
      <c r="A289" s="119" t="s">
        <v>275</v>
      </c>
      <c r="B289" s="27" t="s">
        <v>1567</v>
      </c>
      <c r="C289" s="27" t="s">
        <v>1568</v>
      </c>
      <c r="D289" s="30" t="str">
        <f>HYPERLINK("https://twitter.com/PresidentNoy","https://twitter.com/PresidentNoy")</f>
        <v>https://twitter.com/PresidentNoy</v>
      </c>
      <c r="E289" s="30" t="str">
        <f>HYPERLINK("http://twiplomacy.com/info/asia/Philippines","http://twiplomacy.com/info/asia/Philippines")</f>
        <v>http://twiplomacy.com/info/asia/Philippines</v>
      </c>
      <c r="F289" s="10" t="s">
        <v>154</v>
      </c>
      <c r="G289" s="10" t="s">
        <v>271</v>
      </c>
      <c r="H289" s="10" t="s">
        <v>772</v>
      </c>
      <c r="I289" s="10" t="s">
        <v>773</v>
      </c>
      <c r="J289" s="27" t="s">
        <v>789</v>
      </c>
      <c r="K289" s="15" t="s">
        <v>1569</v>
      </c>
      <c r="L289" s="10" t="s">
        <v>771</v>
      </c>
      <c r="M289" s="10" t="s">
        <v>771</v>
      </c>
      <c r="N289" s="30" t="str">
        <f>HYPERLINK("https://twitter.com/PresidentNoy/statuses/21135751204","https://twitter.com/PresidentNoy/statuses/21135751204")</f>
        <v>https://twitter.com/PresidentNoy/statuses/21135751204</v>
      </c>
      <c r="O289" s="27" t="s">
        <v>1570</v>
      </c>
      <c r="P289" s="80">
        <v>243</v>
      </c>
      <c r="Q289" s="80">
        <v>9</v>
      </c>
      <c r="R289" s="27" t="s">
        <v>2995</v>
      </c>
      <c r="S289" s="30" t="str">
        <f>HYPERLINK("https://twitter.com/PresidentNoy/lists","https://twitter.com/PresidentNoy/lists")</f>
        <v>https://twitter.com/PresidentNoy/lists</v>
      </c>
      <c r="T289" s="10">
        <v>1</v>
      </c>
      <c r="U289" s="10" t="s">
        <v>771</v>
      </c>
      <c r="V289" s="10" t="s">
        <v>771</v>
      </c>
      <c r="W289" s="10"/>
      <c r="X289" s="27" t="s">
        <v>275</v>
      </c>
      <c r="Y289" s="27" t="s">
        <v>1567</v>
      </c>
      <c r="Z289" s="80">
        <v>3227</v>
      </c>
      <c r="AA289" s="27">
        <v>74</v>
      </c>
      <c r="AB289" s="80">
        <v>50896</v>
      </c>
      <c r="AC289" s="27">
        <v>1</v>
      </c>
      <c r="AD289" s="27" t="s">
        <v>4365</v>
      </c>
      <c r="AE289" s="27">
        <v>177746513</v>
      </c>
      <c r="AF289" s="27" t="s">
        <v>1568</v>
      </c>
      <c r="AG289" s="27" t="s">
        <v>271</v>
      </c>
      <c r="AH289" s="79">
        <v>1.54475825753949</v>
      </c>
      <c r="AI289" s="83">
        <v>4.5730659025787999</v>
      </c>
      <c r="AJ289" s="80">
        <v>2.57977026164646</v>
      </c>
      <c r="AK289" s="80">
        <v>0.385768985322272</v>
      </c>
      <c r="AL289" s="27">
        <v>10</v>
      </c>
      <c r="AM289" s="97">
        <f>SUM(AL289/3200)</f>
        <v>3.1250000000000002E-3</v>
      </c>
      <c r="AN289" s="27" t="s">
        <v>275</v>
      </c>
      <c r="AO289" s="27">
        <v>0</v>
      </c>
      <c r="AP289" s="27">
        <v>4</v>
      </c>
      <c r="AQ289" s="27">
        <v>1</v>
      </c>
      <c r="AR289" s="27">
        <f>SUM(AO289:AQ289)</f>
        <v>5</v>
      </c>
      <c r="AS289" s="27"/>
      <c r="AT289" s="27" t="s">
        <v>5442</v>
      </c>
      <c r="AU289" s="84" t="s">
        <v>272</v>
      </c>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c r="BZ289" s="77"/>
      <c r="CA289" s="77"/>
      <c r="CB289" s="77"/>
      <c r="CC289" s="77"/>
      <c r="CD289" s="77"/>
      <c r="CE289" s="77"/>
      <c r="CF289" s="77"/>
      <c r="CG289" s="77"/>
      <c r="CH289" s="77"/>
      <c r="CI289" s="77"/>
      <c r="CJ289" s="77"/>
      <c r="CK289" s="77"/>
      <c r="CL289" s="77"/>
      <c r="CM289" s="77"/>
      <c r="CN289" s="77"/>
      <c r="CO289" s="77"/>
      <c r="CP289" s="77"/>
      <c r="CQ289" s="77"/>
      <c r="CR289" s="77"/>
      <c r="CS289" s="77"/>
      <c r="CT289" s="77"/>
      <c r="CU289" s="77"/>
      <c r="CV289" s="77"/>
      <c r="CW289" s="77"/>
      <c r="CX289" s="77"/>
      <c r="CY289" s="77"/>
      <c r="CZ289" s="77"/>
      <c r="DA289" s="77"/>
      <c r="DB289" s="77"/>
      <c r="DC289" s="77"/>
      <c r="DD289" s="77"/>
      <c r="DE289" s="77"/>
      <c r="DF289" s="77"/>
      <c r="DG289" s="77"/>
      <c r="DH289" s="77"/>
      <c r="DI289" s="77"/>
      <c r="DJ289" s="77"/>
      <c r="DK289" s="77"/>
      <c r="DL289" s="77"/>
      <c r="DM289" s="77"/>
      <c r="DN289" s="77"/>
      <c r="DO289" s="77"/>
      <c r="DP289" s="77"/>
      <c r="DQ289" s="77"/>
      <c r="DR289" s="77"/>
      <c r="DS289" s="77"/>
      <c r="DT289" s="77"/>
      <c r="DU289" s="77"/>
      <c r="DV289" s="77"/>
      <c r="DW289" s="77"/>
      <c r="DX289" s="77"/>
      <c r="DY289" s="77"/>
      <c r="DZ289" s="77"/>
      <c r="EA289" s="77"/>
      <c r="EB289" s="77"/>
      <c r="EC289" s="77"/>
      <c r="ED289" s="77"/>
      <c r="EE289" s="77"/>
      <c r="EF289" s="77"/>
      <c r="EG289" s="77"/>
      <c r="EH289" s="77"/>
      <c r="EI289" s="77"/>
      <c r="EJ289" s="77"/>
      <c r="EK289" s="77"/>
      <c r="EL289" s="77"/>
      <c r="EP289" s="77"/>
      <c r="EQ289" s="77"/>
      <c r="GL289" s="77"/>
      <c r="GM289" s="77"/>
      <c r="GN289" s="77"/>
      <c r="GO289" s="77"/>
      <c r="GP289" s="77"/>
      <c r="GQ289" s="77"/>
      <c r="GR289" s="77"/>
      <c r="GS289" s="77"/>
      <c r="GT289" s="77"/>
      <c r="GU289" s="77"/>
      <c r="GV289" s="77"/>
      <c r="GW289" s="77"/>
      <c r="GX289" s="77"/>
      <c r="GY289" s="77"/>
      <c r="GZ289" s="77"/>
      <c r="HA289" s="77"/>
      <c r="HB289" s="77"/>
      <c r="HC289" s="77"/>
      <c r="HD289" s="77"/>
      <c r="HE289" s="77"/>
      <c r="HF289" s="77"/>
      <c r="HG289" s="77"/>
      <c r="HH289" s="77"/>
      <c r="HI289" s="77"/>
      <c r="HJ289" s="77"/>
      <c r="HK289" s="77"/>
      <c r="HL289" s="77"/>
      <c r="HM289" s="77"/>
      <c r="HN289" s="77"/>
      <c r="HO289" s="77"/>
      <c r="HP289" s="77"/>
      <c r="HQ289" s="77"/>
      <c r="HR289" s="77"/>
      <c r="HS289" s="77"/>
      <c r="HT289" s="77"/>
      <c r="HU289" s="77"/>
      <c r="HV289" s="77"/>
      <c r="HW289" s="77"/>
      <c r="HX289" s="77"/>
      <c r="HY289" s="77"/>
      <c r="HZ289" s="77"/>
      <c r="IA289" s="77"/>
      <c r="IB289" s="77"/>
      <c r="IC289" s="77"/>
      <c r="ID289" s="77"/>
      <c r="IE289" s="77"/>
      <c r="KM289" s="77"/>
      <c r="KN289" s="77"/>
      <c r="KO289" s="77"/>
      <c r="KP289" s="77"/>
      <c r="KQ289" s="77"/>
      <c r="KR289" s="77"/>
      <c r="KS289" s="77"/>
      <c r="KT289" s="77"/>
      <c r="KU289" s="77"/>
      <c r="KV289" s="77"/>
      <c r="KW289" s="77"/>
      <c r="KX289" s="77"/>
      <c r="KY289" s="77"/>
      <c r="KZ289" s="77"/>
      <c r="LA289" s="77"/>
      <c r="LB289" s="77"/>
      <c r="LC289" s="77"/>
      <c r="LD289" s="77"/>
      <c r="LE289" s="77"/>
      <c r="LF289" s="77"/>
      <c r="LG289" s="77"/>
      <c r="LH289" s="77"/>
      <c r="LI289" s="77"/>
      <c r="LJ289" s="77"/>
      <c r="LK289" s="77"/>
      <c r="LL289" s="77"/>
      <c r="LM289" s="77"/>
      <c r="LN289" s="77"/>
      <c r="LO289" s="77"/>
      <c r="LP289" s="77"/>
      <c r="LQ289" s="77"/>
      <c r="LR289" s="77"/>
      <c r="LS289" s="77"/>
      <c r="LT289" s="77"/>
      <c r="LU289" s="77"/>
      <c r="LV289" s="77"/>
      <c r="LY289" s="77"/>
      <c r="LZ289" s="77"/>
      <c r="MA289" s="77"/>
      <c r="MB289" s="77"/>
      <c r="MC289" s="77"/>
      <c r="MD289" s="77"/>
      <c r="ME289" s="77"/>
      <c r="MF289" s="77"/>
      <c r="MG289" s="77"/>
      <c r="MH289" s="77"/>
      <c r="MI289" s="77"/>
      <c r="MJ289" s="77"/>
      <c r="MK289" s="77"/>
      <c r="ML289" s="77"/>
      <c r="MM289" s="77"/>
      <c r="MN289" s="77"/>
      <c r="MO289" s="77"/>
      <c r="MP289" s="77"/>
      <c r="MQ289" s="77"/>
      <c r="MR289" s="77"/>
      <c r="MS289" s="77"/>
    </row>
    <row r="290" spans="1:421" ht="18.600000000000001" customHeight="1" x14ac:dyDescent="0.25">
      <c r="A290" s="119" t="s">
        <v>477</v>
      </c>
      <c r="B290" s="27" t="s">
        <v>2100</v>
      </c>
      <c r="C290" s="27" t="s">
        <v>5649</v>
      </c>
      <c r="D290" s="30" t="str">
        <f>HYPERLINK("https://twitter.com/borgebrende","https://twitter.com/borgebrende")</f>
        <v>https://twitter.com/borgebrende</v>
      </c>
      <c r="E290" s="30" t="str">
        <f>HYPERLINK("http://twiplomacy.com/info/europe/Norway","http://twiplomacy.com/info/europe/Norway")</f>
        <v>http://twiplomacy.com/info/europe/Norway</v>
      </c>
      <c r="F290" s="10" t="s">
        <v>332</v>
      </c>
      <c r="G290" s="10" t="s">
        <v>473</v>
      </c>
      <c r="H290" s="10" t="s">
        <v>860</v>
      </c>
      <c r="I290" s="10" t="s">
        <v>773</v>
      </c>
      <c r="J290" s="27" t="s">
        <v>789</v>
      </c>
      <c r="K290" s="15" t="s">
        <v>777</v>
      </c>
      <c r="L290" s="10" t="s">
        <v>771</v>
      </c>
      <c r="M290" s="10" t="s">
        <v>770</v>
      </c>
      <c r="N290" s="30" t="str">
        <f>HYPERLINK("https://twitter.com/borgebrende/statuses/2402118022","https://twitter.com/borgebrende/statuses/2402118022")</f>
        <v>https://twitter.com/borgebrende/statuses/2402118022</v>
      </c>
      <c r="O290" s="27" t="s">
        <v>5712</v>
      </c>
      <c r="P290" s="80">
        <v>124</v>
      </c>
      <c r="Q290" s="80">
        <v>169</v>
      </c>
      <c r="R290" s="27" t="s">
        <v>2994</v>
      </c>
      <c r="S290" s="30" t="str">
        <f>HYPERLINK("https://twitter.com/borgebrende/lists","https://twitter.com/borgebrende/lists")</f>
        <v>https://twitter.com/borgebrende/lists</v>
      </c>
      <c r="T290" s="10" t="s">
        <v>771</v>
      </c>
      <c r="U290" s="10">
        <v>2</v>
      </c>
      <c r="V290" s="10" t="s">
        <v>771</v>
      </c>
      <c r="W290" s="10"/>
      <c r="X290" s="27" t="s">
        <v>477</v>
      </c>
      <c r="Y290" s="27" t="s">
        <v>2100</v>
      </c>
      <c r="Z290" s="80">
        <v>3201</v>
      </c>
      <c r="AA290" s="27">
        <v>1471</v>
      </c>
      <c r="AB290" s="80">
        <v>31341</v>
      </c>
      <c r="AC290" s="27">
        <v>1834</v>
      </c>
      <c r="AD290" s="27" t="s">
        <v>3520</v>
      </c>
      <c r="AE290" s="27">
        <v>39219035</v>
      </c>
      <c r="AF290" s="27" t="s">
        <v>5649</v>
      </c>
      <c r="AG290" s="27" t="s">
        <v>2101</v>
      </c>
      <c r="AH290" s="79">
        <v>1.25578658297372</v>
      </c>
      <c r="AI290" s="83">
        <v>1.27942353883106</v>
      </c>
      <c r="AJ290" s="80">
        <v>8.3260273972602707</v>
      </c>
      <c r="AK290" s="80">
        <v>7.9986301369863</v>
      </c>
      <c r="AL290" s="27">
        <v>50</v>
      </c>
      <c r="AM290" s="97">
        <f>SUM(AL290/Z290)</f>
        <v>1.5620118712902219E-2</v>
      </c>
      <c r="AN290" s="27" t="s">
        <v>477</v>
      </c>
      <c r="AO290" s="27">
        <v>47</v>
      </c>
      <c r="AP290" s="27">
        <v>33</v>
      </c>
      <c r="AQ290" s="27">
        <v>40</v>
      </c>
      <c r="AR290" s="27">
        <f>SUM(AO290:AQ290)</f>
        <v>120</v>
      </c>
      <c r="AS290" s="39" t="s">
        <v>6922</v>
      </c>
      <c r="AT290" s="27" t="s">
        <v>6680</v>
      </c>
      <c r="AU290" s="84" t="s">
        <v>6470</v>
      </c>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c r="BT290" s="77"/>
      <c r="BU290" s="77"/>
      <c r="BV290" s="77"/>
      <c r="BW290" s="77"/>
      <c r="BX290" s="77"/>
      <c r="BY290" s="77"/>
      <c r="BZ290" s="77"/>
      <c r="CA290" s="77"/>
      <c r="CB290" s="77"/>
      <c r="CC290" s="77"/>
      <c r="CD290" s="77"/>
      <c r="CE290" s="77"/>
      <c r="CF290" s="77"/>
      <c r="CG290" s="77"/>
      <c r="CH290" s="77"/>
      <c r="CI290" s="77"/>
      <c r="CJ290" s="77"/>
      <c r="CK290" s="77"/>
      <c r="CL290" s="77"/>
      <c r="CM290" s="77"/>
      <c r="CN290" s="77"/>
      <c r="CO290" s="77"/>
      <c r="CP290" s="77"/>
      <c r="CQ290" s="77"/>
      <c r="CR290" s="77"/>
      <c r="CS290" s="77"/>
      <c r="CT290" s="77"/>
      <c r="CU290" s="77"/>
      <c r="CV290" s="77"/>
      <c r="CW290" s="77"/>
      <c r="EM290" s="77"/>
      <c r="EN290" s="77"/>
      <c r="EO290" s="77"/>
      <c r="EP290" s="77"/>
      <c r="EQ290" s="77"/>
      <c r="ER290" s="77"/>
      <c r="ES290" s="77"/>
      <c r="ET290" s="77"/>
      <c r="EU290" s="77"/>
      <c r="EV290" s="77"/>
      <c r="EW290" s="77"/>
      <c r="EX290" s="77"/>
      <c r="EY290" s="77"/>
      <c r="EZ290" s="77"/>
      <c r="FA290" s="77"/>
      <c r="FB290" s="77"/>
      <c r="FC290" s="77"/>
      <c r="FD290" s="77"/>
      <c r="FE290" s="77"/>
      <c r="FF290" s="77"/>
      <c r="FG290" s="77"/>
      <c r="FH290" s="77"/>
      <c r="FI290" s="77"/>
      <c r="FJ290" s="77"/>
      <c r="FK290" s="77"/>
      <c r="FL290" s="77"/>
      <c r="FM290" s="77"/>
      <c r="FN290" s="77"/>
      <c r="FO290" s="77"/>
      <c r="FP290" s="77"/>
      <c r="FQ290" s="77"/>
      <c r="FR290" s="77"/>
      <c r="FS290" s="77"/>
      <c r="FT290" s="77"/>
      <c r="FU290" s="77"/>
      <c r="FV290" s="77"/>
      <c r="FW290" s="77"/>
      <c r="FX290" s="77"/>
      <c r="FY290" s="77"/>
      <c r="FZ290" s="77"/>
      <c r="GA290" s="77"/>
      <c r="GB290" s="77"/>
      <c r="GC290" s="77"/>
      <c r="GD290" s="77"/>
      <c r="GE290" s="77"/>
      <c r="GF290" s="77"/>
      <c r="GG290" s="77"/>
      <c r="GH290" s="77"/>
      <c r="GI290" s="77"/>
      <c r="GJ290" s="77"/>
      <c r="GK290" s="77"/>
      <c r="GL290" s="77"/>
      <c r="GM290" s="77"/>
      <c r="GN290" s="77"/>
      <c r="GO290" s="77"/>
      <c r="GP290" s="77"/>
      <c r="GQ290" s="77"/>
      <c r="GR290" s="77"/>
      <c r="GS290" s="77"/>
      <c r="GT290" s="77"/>
      <c r="GU290" s="77"/>
      <c r="GV290" s="77"/>
      <c r="GW290" s="77"/>
      <c r="GX290" s="77"/>
      <c r="GY290" s="77"/>
      <c r="GZ290" s="77"/>
      <c r="HA290" s="77"/>
      <c r="HB290" s="77"/>
      <c r="HC290" s="77"/>
      <c r="HD290" s="77"/>
      <c r="HE290" s="77"/>
      <c r="HF290" s="77"/>
      <c r="HG290" s="77"/>
      <c r="HH290" s="77"/>
      <c r="HI290" s="77"/>
      <c r="HJ290" s="77"/>
      <c r="HK290" s="77"/>
      <c r="HL290" s="77"/>
      <c r="HM290" s="77"/>
      <c r="HN290" s="77"/>
      <c r="HO290" s="77"/>
      <c r="HP290" s="77"/>
      <c r="HQ290" s="77"/>
      <c r="HR290" s="77"/>
      <c r="HS290" s="77"/>
      <c r="HT290" s="77"/>
      <c r="HU290" s="77"/>
      <c r="HV290" s="77"/>
      <c r="HW290" s="77"/>
      <c r="HX290" s="77"/>
      <c r="HY290" s="77"/>
      <c r="HZ290" s="77"/>
      <c r="IA290" s="77"/>
      <c r="IB290" s="77"/>
      <c r="IC290" s="77"/>
      <c r="ID290" s="77"/>
      <c r="IE290" s="77"/>
      <c r="IF290" s="77"/>
      <c r="IG290" s="77"/>
      <c r="IH290" s="77"/>
      <c r="II290" s="77"/>
      <c r="IJ290" s="77"/>
      <c r="IK290" s="77"/>
      <c r="IL290" s="77"/>
      <c r="IM290" s="77"/>
      <c r="IN290" s="77"/>
      <c r="IO290" s="77"/>
      <c r="IP290" s="77"/>
      <c r="IQ290" s="77"/>
      <c r="IR290" s="77"/>
      <c r="IS290" s="77"/>
      <c r="IT290" s="77"/>
      <c r="IU290" s="77"/>
      <c r="IV290" s="77"/>
      <c r="IW290" s="77"/>
      <c r="IX290" s="77"/>
      <c r="IY290" s="77"/>
      <c r="IZ290" s="77"/>
      <c r="JA290" s="77"/>
      <c r="JB290" s="77"/>
      <c r="JC290" s="77"/>
      <c r="JD290" s="77"/>
      <c r="JE290" s="77"/>
      <c r="JF290" s="77"/>
      <c r="JG290" s="77"/>
      <c r="JH290" s="77"/>
      <c r="JI290" s="77"/>
      <c r="JJ290" s="77"/>
      <c r="JK290" s="77"/>
      <c r="JL290" s="77"/>
      <c r="JM290" s="77"/>
      <c r="JN290" s="77"/>
      <c r="JO290" s="77"/>
      <c r="JP290" s="77"/>
      <c r="JQ290" s="77"/>
      <c r="JR290" s="77"/>
      <c r="JS290" s="77"/>
      <c r="JT290" s="77"/>
      <c r="JU290" s="77"/>
      <c r="JV290" s="77"/>
      <c r="JW290" s="77"/>
      <c r="JX290" s="77"/>
      <c r="JY290" s="77"/>
      <c r="JZ290" s="77"/>
      <c r="KA290" s="77"/>
      <c r="KB290" s="77"/>
      <c r="KC290" s="77"/>
      <c r="KD290" s="77"/>
      <c r="KE290" s="77"/>
      <c r="KF290" s="77"/>
      <c r="KG290" s="77"/>
      <c r="KH290" s="77"/>
      <c r="KI290" s="77"/>
      <c r="KJ290" s="77"/>
      <c r="KK290" s="77"/>
      <c r="KL290" s="77"/>
      <c r="KM290" s="77"/>
      <c r="KN290" s="77"/>
      <c r="KO290" s="77"/>
      <c r="KP290" s="77"/>
      <c r="KQ290" s="77"/>
      <c r="KR290" s="77"/>
      <c r="KS290" s="77"/>
      <c r="KT290" s="77"/>
      <c r="KU290" s="77"/>
      <c r="KV290" s="77"/>
      <c r="KW290" s="77"/>
      <c r="KX290" s="77"/>
      <c r="KY290" s="77"/>
      <c r="KZ290" s="77"/>
      <c r="LA290" s="77"/>
      <c r="LB290" s="77"/>
      <c r="LC290" s="77"/>
      <c r="LD290" s="77"/>
      <c r="LE290" s="77"/>
      <c r="LF290" s="77"/>
      <c r="LG290" s="77"/>
      <c r="LH290" s="77"/>
      <c r="LI290" s="77"/>
      <c r="LJ290" s="77"/>
      <c r="LK290" s="77"/>
      <c r="LL290" s="77"/>
      <c r="LM290" s="77"/>
      <c r="LN290" s="77"/>
      <c r="LO290" s="77"/>
      <c r="LP290" s="77"/>
      <c r="LQ290" s="77"/>
      <c r="LR290" s="77"/>
      <c r="LS290" s="77"/>
      <c r="LT290" s="77"/>
      <c r="LU290" s="77"/>
      <c r="LV290" s="77"/>
      <c r="LW290" s="16"/>
      <c r="LX290" s="16"/>
      <c r="MS290" s="77"/>
    </row>
    <row r="291" spans="1:421" ht="18.600000000000001" customHeight="1" x14ac:dyDescent="0.25">
      <c r="A291" s="119" t="s">
        <v>291</v>
      </c>
      <c r="B291" s="27" t="s">
        <v>291</v>
      </c>
      <c r="C291" s="27" t="s">
        <v>4094</v>
      </c>
      <c r="D291" s="30" t="str">
        <f>HYPERLINK("https://twitter.com/MFAsg","https://twitter.com/MFAsg")</f>
        <v>https://twitter.com/MFAsg</v>
      </c>
      <c r="E291" s="30" t="str">
        <f>HYPERLINK("http://twiplomacy.com/info/asia/Singapore","http://twiplomacy.com/info/asia/Singapore")</f>
        <v>http://twiplomacy.com/info/asia/Singapore</v>
      </c>
      <c r="F291" s="10" t="s">
        <v>154</v>
      </c>
      <c r="G291" s="10" t="s">
        <v>287</v>
      </c>
      <c r="H291" s="10" t="s">
        <v>795</v>
      </c>
      <c r="I291" s="10" t="s">
        <v>782</v>
      </c>
      <c r="J291" s="27" t="s">
        <v>789</v>
      </c>
      <c r="K291" s="15" t="s">
        <v>777</v>
      </c>
      <c r="L291" s="10" t="s">
        <v>771</v>
      </c>
      <c r="M291" s="10" t="s">
        <v>771</v>
      </c>
      <c r="N291" s="30" t="str">
        <f>HYPERLINK("https://twitter.com/MFAsg/statuses/7628125395","https://twitter.com/MFAsg/statuses/7628125395")</f>
        <v>https://twitter.com/MFAsg/statuses/7628125395</v>
      </c>
      <c r="O291" s="27" t="s">
        <v>5948</v>
      </c>
      <c r="P291" s="80">
        <v>25</v>
      </c>
      <c r="Q291" s="80">
        <v>16</v>
      </c>
      <c r="R291" s="27" t="s">
        <v>2995</v>
      </c>
      <c r="S291" s="30" t="str">
        <f>HYPERLINK("https://twitter.com/MFAsg/lists","https://twitter.com/MFAsg/lists")</f>
        <v>https://twitter.com/MFAsg/lists</v>
      </c>
      <c r="T291" s="10">
        <v>1</v>
      </c>
      <c r="U291" s="10" t="s">
        <v>771</v>
      </c>
      <c r="V291" s="30" t="str">
        <f>HYPERLINK("https://twitter.com/MFAsg/mfa/members","https://twitter.com/MFAsg/mfa/members")</f>
        <v>https://twitter.com/MFAsg/mfa/members</v>
      </c>
      <c r="W291" s="10">
        <v>5</v>
      </c>
      <c r="X291" s="27" t="s">
        <v>291</v>
      </c>
      <c r="Y291" s="27" t="s">
        <v>291</v>
      </c>
      <c r="Z291" s="80">
        <v>3191</v>
      </c>
      <c r="AA291" s="27">
        <v>44</v>
      </c>
      <c r="AB291" s="80">
        <v>11607</v>
      </c>
      <c r="AC291" s="27">
        <v>1</v>
      </c>
      <c r="AD291" s="27" t="s">
        <v>4095</v>
      </c>
      <c r="AE291" s="27">
        <v>77165249</v>
      </c>
      <c r="AF291" s="27" t="s">
        <v>4094</v>
      </c>
      <c r="AG291" s="27" t="s">
        <v>287</v>
      </c>
      <c r="AH291" s="79">
        <v>1.3235172127747801</v>
      </c>
      <c r="AI291" s="83">
        <v>1.38678835289005</v>
      </c>
      <c r="AJ291" s="80">
        <v>0.28769279194208403</v>
      </c>
      <c r="AK291" s="80">
        <v>0.132829713566257</v>
      </c>
      <c r="AL291" s="27">
        <v>1</v>
      </c>
      <c r="AM291" s="97">
        <f>SUM(AL291/Z291)</f>
        <v>3.1338138514572234E-4</v>
      </c>
      <c r="AN291" s="27" t="s">
        <v>291</v>
      </c>
      <c r="AO291" s="27">
        <v>2</v>
      </c>
      <c r="AP291" s="27">
        <v>54</v>
      </c>
      <c r="AQ291" s="27">
        <v>1</v>
      </c>
      <c r="AR291" s="27">
        <f>SUM(AO291:AQ291)</f>
        <v>57</v>
      </c>
      <c r="AS291" s="27" t="s">
        <v>5160</v>
      </c>
      <c r="AT291" s="27" t="s">
        <v>6321</v>
      </c>
      <c r="AU291" s="84" t="s">
        <v>289</v>
      </c>
      <c r="AV291" s="77"/>
      <c r="AW291" s="77"/>
      <c r="AX291" s="77"/>
      <c r="AY291" s="77"/>
      <c r="AZ291" s="77"/>
      <c r="BA291" s="77"/>
      <c r="BB291" s="77"/>
      <c r="BC291" s="77"/>
      <c r="BD291" s="77"/>
      <c r="BE291" s="77"/>
      <c r="BF291" s="77"/>
      <c r="BG291" s="77"/>
      <c r="BH291" s="77"/>
      <c r="BI291" s="77"/>
      <c r="BJ291" s="77"/>
      <c r="BK291" s="77"/>
      <c r="BL291" s="77"/>
      <c r="BM291" s="77"/>
      <c r="BN291" s="77"/>
      <c r="BO291" s="77"/>
      <c r="BP291" s="77"/>
      <c r="BQ291" s="77"/>
      <c r="BR291" s="77"/>
      <c r="BS291" s="77"/>
      <c r="BT291" s="77"/>
      <c r="BU291" s="77"/>
      <c r="BV291" s="77"/>
      <c r="BW291" s="77"/>
      <c r="BX291" s="77"/>
      <c r="BY291" s="77"/>
      <c r="BZ291" s="77"/>
      <c r="CA291" s="77"/>
      <c r="CB291" s="77"/>
      <c r="CC291" s="77"/>
      <c r="CD291" s="77"/>
      <c r="CE291" s="77"/>
      <c r="CF291" s="77"/>
      <c r="CG291" s="77"/>
      <c r="CH291" s="77"/>
      <c r="CI291" s="77"/>
      <c r="CJ291" s="77"/>
      <c r="CK291" s="77"/>
      <c r="CL291" s="77"/>
      <c r="CM291" s="77"/>
      <c r="CN291" s="77"/>
      <c r="CO291" s="77"/>
      <c r="CP291" s="77"/>
      <c r="CQ291" s="77"/>
      <c r="CR291" s="77"/>
      <c r="CS291" s="77"/>
      <c r="CT291" s="77"/>
      <c r="CU291" s="77"/>
      <c r="CV291" s="77"/>
      <c r="CW291" s="77"/>
      <c r="CX291" s="77"/>
      <c r="CY291" s="77"/>
      <c r="CZ291" s="77"/>
      <c r="DA291" s="77"/>
      <c r="DB291" s="77"/>
      <c r="DC291" s="77"/>
      <c r="DD291" s="77"/>
      <c r="DE291" s="77"/>
      <c r="DF291" s="77"/>
      <c r="DG291" s="77"/>
      <c r="DH291" s="77"/>
      <c r="DI291" s="77"/>
      <c r="DJ291" s="77"/>
      <c r="DK291" s="77"/>
      <c r="DL291" s="77"/>
      <c r="DM291" s="77"/>
      <c r="DN291" s="77"/>
      <c r="DO291" s="77"/>
      <c r="DP291" s="77"/>
      <c r="DQ291" s="77"/>
      <c r="DR291" s="77"/>
      <c r="DS291" s="77"/>
      <c r="DT291" s="77"/>
      <c r="DU291" s="77"/>
      <c r="DV291" s="77"/>
      <c r="DW291" s="77"/>
      <c r="DX291" s="77"/>
      <c r="DY291" s="77"/>
      <c r="DZ291" s="77"/>
      <c r="EA291" s="77"/>
      <c r="EB291" s="77"/>
      <c r="EC291" s="77"/>
      <c r="ED291" s="77"/>
      <c r="EE291" s="77"/>
      <c r="EF291" s="77"/>
      <c r="EG291" s="77"/>
      <c r="EH291" s="77"/>
      <c r="EI291" s="77"/>
      <c r="EJ291" s="77"/>
      <c r="EK291" s="77"/>
      <c r="EL291" s="77"/>
      <c r="EM291" s="77"/>
      <c r="EN291" s="77"/>
      <c r="EO291" s="77"/>
      <c r="EP291" s="77"/>
      <c r="EQ291" s="77"/>
      <c r="HL291" s="77"/>
      <c r="HM291" s="77"/>
      <c r="HN291" s="77"/>
      <c r="HO291" s="77"/>
      <c r="HP291" s="77"/>
      <c r="HQ291" s="77"/>
      <c r="HR291" s="77"/>
      <c r="HS291" s="77"/>
      <c r="HT291" s="77"/>
      <c r="HU291" s="77"/>
      <c r="HV291" s="77"/>
      <c r="HW291" s="77"/>
      <c r="HX291" s="77"/>
      <c r="HY291" s="77"/>
      <c r="HZ291" s="77"/>
      <c r="IA291" s="77"/>
      <c r="IB291" s="77"/>
      <c r="IC291" s="77"/>
      <c r="ID291" s="77"/>
      <c r="IE291" s="77"/>
      <c r="JY291" s="77"/>
      <c r="JZ291" s="77"/>
      <c r="KA291" s="77"/>
      <c r="KB291" s="77"/>
      <c r="KC291" s="77"/>
      <c r="KD291" s="77"/>
      <c r="KE291" s="77"/>
      <c r="KF291" s="77"/>
      <c r="KG291" s="77"/>
      <c r="KH291" s="77"/>
      <c r="KI291" s="77"/>
      <c r="KJ291" s="77"/>
      <c r="KK291" s="77"/>
      <c r="KL291" s="77"/>
      <c r="LL291" s="77"/>
      <c r="LM291" s="77"/>
      <c r="LN291" s="77"/>
      <c r="LO291" s="77"/>
      <c r="LP291" s="77"/>
      <c r="LQ291" s="77"/>
      <c r="LR291" s="77"/>
      <c r="LS291" s="77"/>
      <c r="LT291" s="77"/>
      <c r="LU291" s="77"/>
      <c r="LV291" s="77"/>
      <c r="LW291" s="77"/>
      <c r="LX291" s="77"/>
    </row>
    <row r="292" spans="1:421" ht="18.600000000000001" customHeight="1" x14ac:dyDescent="0.25">
      <c r="A292" s="119" t="s">
        <v>474</v>
      </c>
      <c r="B292" s="27" t="s">
        <v>2088</v>
      </c>
      <c r="C292" s="27" t="s">
        <v>2089</v>
      </c>
      <c r="D292" s="30" t="str">
        <f>HYPERLINK("https://twitter.com/Kronprinsparet","https://twitter.com/Kronprinsparet")</f>
        <v>https://twitter.com/Kronprinsparet</v>
      </c>
      <c r="E292" s="30" t="str">
        <f>HYPERLINK("http://twiplomacy.com/info/europe/Netherlands","http://twiplomacy.com/info/europe/Netherlands")</f>
        <v>http://twiplomacy.com/info/europe/Netherlands</v>
      </c>
      <c r="F292" s="10" t="s">
        <v>332</v>
      </c>
      <c r="G292" s="10" t="s">
        <v>473</v>
      </c>
      <c r="H292" s="10" t="s">
        <v>2090</v>
      </c>
      <c r="I292" s="10" t="s">
        <v>782</v>
      </c>
      <c r="J292" s="27" t="s">
        <v>789</v>
      </c>
      <c r="K292" s="15" t="s">
        <v>777</v>
      </c>
      <c r="L292" s="10" t="s">
        <v>771</v>
      </c>
      <c r="M292" s="10" t="s">
        <v>770</v>
      </c>
      <c r="N292" s="30" t="str">
        <f>HYPERLINK("https://twitter.com/Kronprinsparet/statuses/1448102480","https://twitter.com/Kronprinsparet/statuses/1448102480")</f>
        <v>https://twitter.com/Kronprinsparet/statuses/1448102480</v>
      </c>
      <c r="O292" s="27" t="s">
        <v>5906</v>
      </c>
      <c r="P292" s="80">
        <v>69</v>
      </c>
      <c r="Q292" s="80">
        <v>98</v>
      </c>
      <c r="R292" s="27" t="s">
        <v>2994</v>
      </c>
      <c r="S292" s="10" t="s">
        <v>2091</v>
      </c>
      <c r="T292" s="10" t="s">
        <v>771</v>
      </c>
      <c r="U292" s="10" t="s">
        <v>771</v>
      </c>
      <c r="V292" s="10" t="s">
        <v>771</v>
      </c>
      <c r="W292" s="10"/>
      <c r="X292" s="27" t="s">
        <v>474</v>
      </c>
      <c r="Y292" s="27" t="s">
        <v>2088</v>
      </c>
      <c r="Z292" s="80">
        <v>3099</v>
      </c>
      <c r="AA292" s="27">
        <v>21521</v>
      </c>
      <c r="AB292" s="80">
        <v>84763</v>
      </c>
      <c r="AC292" s="27">
        <v>2</v>
      </c>
      <c r="AD292" s="27" t="s">
        <v>3955</v>
      </c>
      <c r="AE292" s="27">
        <v>28101138</v>
      </c>
      <c r="AF292" s="27" t="s">
        <v>2089</v>
      </c>
      <c r="AG292" s="27" t="s">
        <v>2092</v>
      </c>
      <c r="AH292" s="79">
        <v>1.1974497681607399</v>
      </c>
      <c r="AI292" s="83">
        <v>1.1876208897485501</v>
      </c>
      <c r="AJ292" s="80">
        <v>5.2627422828427903</v>
      </c>
      <c r="AK292" s="80">
        <v>3.53266331658291</v>
      </c>
      <c r="AL292" s="27">
        <v>81</v>
      </c>
      <c r="AM292" s="97">
        <f>SUM(AL292/Z292)</f>
        <v>2.6137463697967087E-2</v>
      </c>
      <c r="AN292" s="27" t="s">
        <v>474</v>
      </c>
      <c r="AO292" s="27">
        <v>8</v>
      </c>
      <c r="AP292" s="27">
        <v>11</v>
      </c>
      <c r="AQ292" s="27">
        <v>6</v>
      </c>
      <c r="AR292" s="27">
        <f>SUM(AO292:AQ292)</f>
        <v>25</v>
      </c>
      <c r="AS292" s="27" t="s">
        <v>5246</v>
      </c>
      <c r="AT292" s="27" t="s">
        <v>6771</v>
      </c>
      <c r="AU292" s="84" t="s">
        <v>6164</v>
      </c>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Y292" s="77"/>
      <c r="LZ292" s="77"/>
      <c r="MA292" s="77"/>
      <c r="MB292" s="77"/>
      <c r="MC292" s="77"/>
      <c r="MD292" s="77"/>
      <c r="ME292" s="77"/>
      <c r="MF292" s="77"/>
      <c r="MG292" s="77"/>
      <c r="MH292" s="77"/>
      <c r="MI292" s="77"/>
      <c r="MJ292" s="77"/>
      <c r="MK292" s="77"/>
      <c r="ML292" s="77"/>
      <c r="MM292" s="77"/>
      <c r="MN292" s="77"/>
      <c r="MO292" s="77"/>
      <c r="MP292" s="77"/>
      <c r="MQ292" s="77"/>
      <c r="MR292" s="77"/>
    </row>
    <row r="293" spans="1:421" ht="18.600000000000001" customHeight="1" x14ac:dyDescent="0.25">
      <c r="A293" s="119" t="s">
        <v>200</v>
      </c>
      <c r="B293" s="27" t="s">
        <v>4426</v>
      </c>
      <c r="C293" s="27" t="s">
        <v>4427</v>
      </c>
      <c r="D293" s="30" t="str">
        <f>HYPERLINK("https://twitter.com/Rouhani_ir","https://twitter.com/Rouhani_ir")</f>
        <v>https://twitter.com/Rouhani_ir</v>
      </c>
      <c r="E293" s="30" t="str">
        <f>HYPERLINK("http://twiplomacy.com/info/asia/Iran","http://twiplomacy.com/info/asia/Iran")</f>
        <v>http://twiplomacy.com/info/asia/Iran</v>
      </c>
      <c r="F293" s="10" t="s">
        <v>154</v>
      </c>
      <c r="G293" s="10" t="s">
        <v>194</v>
      </c>
      <c r="H293" s="10" t="s">
        <v>772</v>
      </c>
      <c r="I293" s="10" t="s">
        <v>773</v>
      </c>
      <c r="J293" s="27" t="s">
        <v>789</v>
      </c>
      <c r="K293" s="15" t="s">
        <v>777</v>
      </c>
      <c r="L293" s="10"/>
      <c r="M293" s="10" t="s">
        <v>770</v>
      </c>
      <c r="N293" s="30" t="str">
        <f>HYPERLINK("https://twitter.com/Rouhani_ir/statuses/326271261510619136","https://twitter.com/Rouhani_ir/statuses/326271261510619136")</f>
        <v>https://twitter.com/Rouhani_ir/statuses/326271261510619136</v>
      </c>
      <c r="O293" s="27" t="s">
        <v>6072</v>
      </c>
      <c r="P293" s="80">
        <v>944</v>
      </c>
      <c r="Q293" s="80">
        <v>3679</v>
      </c>
      <c r="R293" s="27" t="s">
        <v>2995</v>
      </c>
      <c r="S293" s="10" t="s">
        <v>1333</v>
      </c>
      <c r="T293" s="10" t="s">
        <v>771</v>
      </c>
      <c r="U293" s="10" t="s">
        <v>771</v>
      </c>
      <c r="V293" s="10" t="s">
        <v>771</v>
      </c>
      <c r="W293" s="10"/>
      <c r="X293" s="27" t="s">
        <v>200</v>
      </c>
      <c r="Y293" s="27" t="s">
        <v>4426</v>
      </c>
      <c r="Z293" s="80">
        <v>3065</v>
      </c>
      <c r="AA293" s="27">
        <v>8</v>
      </c>
      <c r="AB293" s="80">
        <v>266453</v>
      </c>
      <c r="AC293" s="27">
        <v>8</v>
      </c>
      <c r="AD293" s="27" t="s">
        <v>4428</v>
      </c>
      <c r="AE293" s="27">
        <v>1371618385</v>
      </c>
      <c r="AF293" s="27" t="s">
        <v>4427</v>
      </c>
      <c r="AG293" s="27"/>
      <c r="AH293" s="79">
        <v>2.77124773960217</v>
      </c>
      <c r="AI293" s="83">
        <v>2.77124773960217</v>
      </c>
      <c r="AJ293" s="80">
        <v>15.7825507825508</v>
      </c>
      <c r="AK293" s="80">
        <v>105.3996003996</v>
      </c>
      <c r="AL293" s="27">
        <v>142</v>
      </c>
      <c r="AM293" s="97">
        <f>SUM(AL293/Z293)</f>
        <v>4.6329526916802609E-2</v>
      </c>
      <c r="AN293" s="27" t="s">
        <v>200</v>
      </c>
      <c r="AO293" s="27">
        <v>2</v>
      </c>
      <c r="AP293" s="27">
        <v>5</v>
      </c>
      <c r="AQ293" s="27">
        <v>1</v>
      </c>
      <c r="AR293" s="27">
        <f>SUM(AO293:AQ293)</f>
        <v>8</v>
      </c>
      <c r="AS293" s="27" t="s">
        <v>5472</v>
      </c>
      <c r="AT293" s="27" t="s">
        <v>5473</v>
      </c>
      <c r="AU293" s="84" t="s">
        <v>196</v>
      </c>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77"/>
      <c r="BR293" s="77"/>
      <c r="BS293" s="77"/>
      <c r="BT293" s="77"/>
      <c r="BU293" s="77"/>
      <c r="BV293" s="77"/>
      <c r="BW293" s="77"/>
      <c r="BX293" s="77"/>
      <c r="BY293" s="77"/>
      <c r="BZ293" s="77"/>
      <c r="CA293" s="77"/>
      <c r="CB293" s="77"/>
      <c r="CC293" s="77"/>
      <c r="CD293" s="77"/>
      <c r="CE293" s="77"/>
      <c r="CF293" s="77"/>
      <c r="CG293" s="77"/>
      <c r="CH293" s="77"/>
      <c r="CI293" s="77"/>
      <c r="CJ293" s="77"/>
      <c r="CK293" s="77"/>
      <c r="CL293" s="77"/>
      <c r="CM293" s="77"/>
      <c r="CN293" s="77"/>
      <c r="CO293" s="77"/>
      <c r="CP293" s="77"/>
      <c r="CQ293" s="77"/>
      <c r="CR293" s="77"/>
      <c r="CS293" s="77"/>
      <c r="CT293" s="77"/>
      <c r="CU293" s="77"/>
      <c r="CV293" s="77"/>
      <c r="CW293" s="77"/>
      <c r="EP293" s="77"/>
      <c r="ER293" s="77"/>
      <c r="ES293" s="77"/>
      <c r="ET293" s="77"/>
      <c r="EU293" s="77"/>
      <c r="EV293" s="77"/>
      <c r="EW293" s="77"/>
      <c r="EX293" s="77"/>
      <c r="EY293" s="77"/>
      <c r="EZ293" s="77"/>
      <c r="FA293" s="77"/>
      <c r="FB293" s="77"/>
      <c r="FC293" s="77"/>
      <c r="FD293" s="77"/>
      <c r="FE293" s="77"/>
      <c r="FF293" s="77"/>
      <c r="FG293" s="77"/>
      <c r="FH293" s="77"/>
      <c r="FI293" s="77"/>
      <c r="FJ293" s="77"/>
      <c r="FK293" s="77"/>
      <c r="FL293" s="77"/>
      <c r="FM293" s="77"/>
      <c r="FN293" s="77"/>
      <c r="FO293" s="77"/>
      <c r="FP293" s="77"/>
      <c r="FQ293" s="77"/>
      <c r="FR293" s="77"/>
      <c r="FS293" s="77"/>
      <c r="FT293" s="77"/>
      <c r="FU293" s="77"/>
      <c r="FV293" s="77"/>
      <c r="FW293" s="77"/>
      <c r="FX293" s="77"/>
      <c r="FY293" s="77"/>
      <c r="FZ293" s="77"/>
      <c r="GA293" s="77"/>
      <c r="GB293" s="77"/>
      <c r="GC293" s="77"/>
      <c r="GD293" s="77"/>
      <c r="GE293" s="77"/>
      <c r="GF293" s="77"/>
      <c r="GG293" s="77"/>
      <c r="GH293" s="77"/>
      <c r="GI293" s="77"/>
      <c r="GJ293" s="77"/>
      <c r="GK293" s="77"/>
      <c r="GL293" s="77"/>
      <c r="GM293" s="77"/>
      <c r="GN293" s="77"/>
      <c r="GO293" s="77"/>
      <c r="GP293" s="77"/>
      <c r="GQ293" s="77"/>
      <c r="GR293" s="77"/>
      <c r="GS293" s="77"/>
      <c r="GT293" s="77"/>
      <c r="GU293" s="77"/>
      <c r="GV293" s="77"/>
      <c r="GW293" s="77"/>
      <c r="GX293" s="77"/>
      <c r="GY293" s="77"/>
      <c r="GZ293" s="77"/>
      <c r="HA293" s="77"/>
      <c r="HB293" s="77"/>
      <c r="HC293" s="77"/>
      <c r="HD293" s="77"/>
      <c r="HE293" s="77"/>
      <c r="HF293" s="77"/>
      <c r="HG293" s="77"/>
      <c r="HH293" s="77"/>
      <c r="HI293" s="77"/>
      <c r="HJ293" s="77"/>
      <c r="HK293" s="77"/>
      <c r="HL293" s="77"/>
      <c r="HM293" s="77"/>
      <c r="HN293" s="77"/>
      <c r="HO293" s="77"/>
      <c r="HP293" s="77"/>
      <c r="HQ293" s="77"/>
      <c r="HR293" s="77"/>
      <c r="HS293" s="77"/>
      <c r="HT293" s="77"/>
      <c r="HU293" s="77"/>
      <c r="HV293" s="77"/>
      <c r="HW293" s="77"/>
      <c r="HX293" s="77"/>
      <c r="HY293" s="77"/>
      <c r="HZ293" s="77"/>
      <c r="IA293" s="77"/>
      <c r="IB293" s="77"/>
      <c r="IC293" s="77"/>
      <c r="ID293" s="77"/>
      <c r="IE293" s="77"/>
      <c r="IF293" s="77"/>
      <c r="IG293" s="77"/>
      <c r="IH293" s="77"/>
      <c r="II293" s="77"/>
      <c r="IJ293" s="77"/>
      <c r="IK293" s="77"/>
      <c r="IL293" s="77"/>
      <c r="IM293" s="77"/>
      <c r="IN293" s="77"/>
      <c r="IO293" s="77"/>
      <c r="IP293" s="77"/>
      <c r="IQ293" s="77"/>
      <c r="IR293" s="77"/>
      <c r="IS293" s="77"/>
      <c r="IT293" s="77"/>
      <c r="IU293" s="77"/>
      <c r="IV293" s="77"/>
      <c r="IW293" s="77"/>
      <c r="IX293" s="77"/>
      <c r="IY293" s="77"/>
      <c r="IZ293" s="77"/>
      <c r="JA293" s="77"/>
      <c r="JB293" s="77"/>
      <c r="JC293" s="77"/>
      <c r="JD293" s="77"/>
      <c r="JE293" s="77"/>
      <c r="JF293" s="77"/>
      <c r="JG293" s="77"/>
      <c r="JH293" s="77"/>
      <c r="JI293" s="77"/>
      <c r="JJ293" s="77"/>
      <c r="JK293" s="77"/>
      <c r="JL293" s="77"/>
      <c r="JM293" s="77"/>
      <c r="JN293" s="77"/>
      <c r="JO293" s="77"/>
      <c r="JP293" s="77"/>
      <c r="JQ293" s="77"/>
      <c r="JR293" s="77"/>
      <c r="JS293" s="77"/>
      <c r="JT293" s="77"/>
      <c r="JU293" s="77"/>
      <c r="JV293" s="77"/>
      <c r="JW293" s="77"/>
      <c r="JX293" s="77"/>
      <c r="JY293" s="77"/>
      <c r="JZ293" s="77"/>
      <c r="KA293" s="77"/>
      <c r="KB293" s="77"/>
      <c r="KC293" s="77"/>
      <c r="KD293" s="77"/>
      <c r="KE293" s="77"/>
      <c r="KF293" s="77"/>
      <c r="KG293" s="77"/>
      <c r="KH293" s="77"/>
      <c r="KI293" s="77"/>
      <c r="KJ293" s="77"/>
      <c r="KK293" s="77"/>
      <c r="KL293" s="77"/>
      <c r="KM293" s="77"/>
      <c r="KN293" s="77"/>
      <c r="KO293" s="77"/>
      <c r="KP293" s="77"/>
      <c r="KQ293" s="77"/>
      <c r="KR293" s="77"/>
      <c r="KS293" s="77"/>
      <c r="KT293" s="77"/>
      <c r="KU293" s="77"/>
      <c r="KV293" s="77"/>
      <c r="KW293" s="77"/>
      <c r="KX293" s="77"/>
      <c r="KY293" s="77"/>
      <c r="KZ293" s="77"/>
      <c r="LA293" s="77"/>
      <c r="LB293" s="77"/>
      <c r="LC293" s="77"/>
      <c r="LD293" s="77"/>
      <c r="LE293" s="77"/>
      <c r="LF293" s="77"/>
      <c r="LG293" s="77"/>
      <c r="LH293" s="77"/>
      <c r="LI293" s="77"/>
      <c r="LJ293" s="77"/>
      <c r="LK293" s="77"/>
      <c r="LY293" s="77"/>
      <c r="LZ293" s="77"/>
      <c r="MA293" s="77"/>
      <c r="MB293" s="77"/>
      <c r="MC293" s="77"/>
      <c r="MD293" s="77"/>
      <c r="ME293" s="77"/>
      <c r="MF293" s="77"/>
      <c r="MG293" s="77"/>
      <c r="MH293" s="77"/>
      <c r="MI293" s="77"/>
      <c r="MJ293" s="77"/>
      <c r="MK293" s="77"/>
      <c r="ML293" s="77"/>
      <c r="MM293" s="77"/>
      <c r="MN293" s="77"/>
      <c r="MO293" s="77"/>
      <c r="MP293" s="77"/>
      <c r="MQ293" s="77"/>
      <c r="MR293" s="77"/>
    </row>
    <row r="294" spans="1:421" ht="18.600000000000001" customHeight="1" x14ac:dyDescent="0.25">
      <c r="A294" s="119" t="s">
        <v>163</v>
      </c>
      <c r="B294" s="27" t="s">
        <v>1214</v>
      </c>
      <c r="C294" s="27" t="s">
        <v>1215</v>
      </c>
      <c r="D294" s="30" t="str">
        <f>HYPERLINK("https://twitter.com/azpresident","https://twitter.com/azpresident")</f>
        <v>https://twitter.com/azpresident</v>
      </c>
      <c r="E294" s="30" t="str">
        <f>HYPERLINK("http://twiplomacy.com/info/asia/Azerbaijan","http://twiplomacy.com/info/asia/Azerbaijan")</f>
        <v>http://twiplomacy.com/info/asia/Azerbaijan</v>
      </c>
      <c r="F294" s="10" t="s">
        <v>154</v>
      </c>
      <c r="G294" s="10" t="s">
        <v>162</v>
      </c>
      <c r="H294" s="10" t="s">
        <v>772</v>
      </c>
      <c r="I294" s="10" t="s">
        <v>773</v>
      </c>
      <c r="J294" s="27" t="s">
        <v>789</v>
      </c>
      <c r="K294" s="15" t="s">
        <v>777</v>
      </c>
      <c r="L294" s="10" t="s">
        <v>771</v>
      </c>
      <c r="M294" s="10" t="s">
        <v>771</v>
      </c>
      <c r="N294" s="30" t="str">
        <f>HYPERLINK("https://twitter.com/azpresident/statuses/19631866340","https://twitter.com/azpresident/statuses/19631866340")</f>
        <v>https://twitter.com/azpresident/statuses/19631866340</v>
      </c>
      <c r="O294" s="27" t="s">
        <v>5696</v>
      </c>
      <c r="P294" s="80">
        <v>1750</v>
      </c>
      <c r="Q294" s="80">
        <v>2755</v>
      </c>
      <c r="R294" s="27" t="s">
        <v>2994</v>
      </c>
      <c r="S294" s="10" t="s">
        <v>1217</v>
      </c>
      <c r="T294" s="10" t="s">
        <v>771</v>
      </c>
      <c r="U294" s="10" t="s">
        <v>771</v>
      </c>
      <c r="V294" s="10" t="s">
        <v>771</v>
      </c>
      <c r="W294" s="10"/>
      <c r="X294" s="27" t="s">
        <v>163</v>
      </c>
      <c r="Y294" s="27" t="s">
        <v>1214</v>
      </c>
      <c r="Z294" s="80">
        <v>3060</v>
      </c>
      <c r="AA294" s="27">
        <v>2</v>
      </c>
      <c r="AB294" s="80">
        <v>214466</v>
      </c>
      <c r="AC294" s="27">
        <v>0</v>
      </c>
      <c r="AD294" s="27" t="s">
        <v>3494</v>
      </c>
      <c r="AE294" s="27">
        <v>171357785</v>
      </c>
      <c r="AF294" s="27" t="s">
        <v>1215</v>
      </c>
      <c r="AG294" s="27" t="s">
        <v>1218</v>
      </c>
      <c r="AH294" s="79">
        <v>1.45299145299145</v>
      </c>
      <c r="AI294" s="83">
        <v>1.4557564224548001</v>
      </c>
      <c r="AJ294" s="80">
        <v>14.8164473684211</v>
      </c>
      <c r="AK294" s="80">
        <v>31.688157894736801</v>
      </c>
      <c r="AL294" s="96">
        <v>1</v>
      </c>
      <c r="AM294" s="97">
        <f>SUM(AL294/Z294)</f>
        <v>3.2679738562091501E-4</v>
      </c>
      <c r="AN294" s="27" t="s">
        <v>163</v>
      </c>
      <c r="AO294" s="27">
        <v>0</v>
      </c>
      <c r="AP294" s="27">
        <v>14</v>
      </c>
      <c r="AQ294" s="27">
        <v>2</v>
      </c>
      <c r="AR294" s="27">
        <f>SUM(AO294:AQ294)</f>
        <v>16</v>
      </c>
      <c r="AS294" s="27"/>
      <c r="AT294" s="27" t="s">
        <v>5028</v>
      </c>
      <c r="AU294" s="84" t="s">
        <v>4654</v>
      </c>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77"/>
      <c r="BR294" s="77"/>
      <c r="BS294" s="77"/>
      <c r="BT294" s="77"/>
      <c r="BU294" s="77"/>
      <c r="BV294" s="77"/>
      <c r="BW294" s="77"/>
      <c r="BX294" s="77"/>
      <c r="BY294" s="77"/>
      <c r="BZ294" s="77"/>
      <c r="CA294" s="77"/>
      <c r="CB294" s="77"/>
      <c r="CC294" s="77"/>
      <c r="CD294" s="77"/>
      <c r="CE294" s="77"/>
      <c r="CF294" s="77"/>
      <c r="CG294" s="77"/>
      <c r="CH294" s="77"/>
      <c r="CI294" s="77"/>
      <c r="CJ294" s="77"/>
      <c r="CK294" s="77"/>
      <c r="CL294" s="77"/>
      <c r="CM294" s="77"/>
      <c r="CN294" s="77"/>
      <c r="CO294" s="77"/>
      <c r="CP294" s="77"/>
      <c r="CQ294" s="77"/>
      <c r="CR294" s="77"/>
      <c r="CS294" s="77"/>
      <c r="CT294" s="77"/>
      <c r="CU294" s="77"/>
      <c r="CV294" s="77"/>
      <c r="CW294" s="77"/>
      <c r="CX294" s="77"/>
      <c r="CY294" s="77"/>
      <c r="CZ294" s="77"/>
      <c r="DA294" s="77"/>
      <c r="DB294" s="77"/>
      <c r="DC294" s="77"/>
      <c r="DD294" s="77"/>
      <c r="DE294" s="77"/>
      <c r="DF294" s="77"/>
      <c r="DG294" s="77"/>
      <c r="DH294" s="77"/>
      <c r="DI294" s="77"/>
      <c r="DJ294" s="77"/>
      <c r="DK294" s="77"/>
      <c r="DL294" s="77"/>
      <c r="DM294" s="77"/>
      <c r="DN294" s="77"/>
      <c r="DO294" s="77"/>
      <c r="DP294" s="77"/>
      <c r="DQ294" s="77"/>
      <c r="DR294" s="77"/>
      <c r="DS294" s="77"/>
      <c r="DT294" s="77"/>
      <c r="DU294" s="77"/>
      <c r="DV294" s="77"/>
      <c r="DW294" s="77"/>
      <c r="DX294" s="77"/>
      <c r="DY294" s="77"/>
      <c r="DZ294" s="77"/>
      <c r="EA294" s="77"/>
      <c r="EB294" s="77"/>
      <c r="EC294" s="77"/>
      <c r="ED294" s="77"/>
      <c r="EE294" s="77"/>
      <c r="EF294" s="77"/>
      <c r="EG294" s="77"/>
      <c r="EH294" s="77"/>
      <c r="EI294" s="77"/>
      <c r="EJ294" s="77"/>
      <c r="EK294" s="77"/>
      <c r="EL294" s="77"/>
      <c r="EM294" s="16"/>
      <c r="EN294" s="16"/>
      <c r="EO294" s="16"/>
      <c r="EP294" s="16"/>
      <c r="EQ294" s="77"/>
      <c r="GL294" s="77"/>
      <c r="GM294" s="77"/>
      <c r="GN294" s="77"/>
      <c r="GO294" s="77"/>
      <c r="GP294" s="77"/>
      <c r="GQ294" s="77"/>
      <c r="GR294" s="77"/>
      <c r="GS294" s="77"/>
      <c r="GT294" s="77"/>
      <c r="GU294" s="77"/>
      <c r="GV294" s="77"/>
      <c r="GW294" s="77"/>
      <c r="GX294" s="77"/>
      <c r="GY294" s="77"/>
      <c r="GZ294" s="77"/>
      <c r="HA294" s="77"/>
      <c r="HB294" s="77"/>
      <c r="HC294" s="77"/>
      <c r="HD294" s="77"/>
      <c r="HE294" s="77"/>
      <c r="HF294" s="77"/>
      <c r="HG294" s="77"/>
      <c r="HH294" s="77"/>
      <c r="HI294" s="77"/>
      <c r="HJ294" s="77"/>
      <c r="HK294" s="77"/>
      <c r="IF294" s="77"/>
      <c r="IG294" s="77"/>
      <c r="IH294" s="77"/>
      <c r="II294" s="77"/>
      <c r="IJ294" s="77"/>
      <c r="IK294" s="77"/>
      <c r="IL294" s="77"/>
      <c r="IM294" s="77"/>
      <c r="IN294" s="77"/>
      <c r="IO294" s="77"/>
      <c r="IP294" s="77"/>
      <c r="IQ294" s="77"/>
      <c r="IR294" s="77"/>
      <c r="IS294" s="77"/>
      <c r="IT294" s="77"/>
      <c r="IU294" s="77"/>
      <c r="IV294" s="77"/>
      <c r="IW294" s="77"/>
      <c r="IX294" s="77"/>
      <c r="IY294" s="77"/>
      <c r="IZ294" s="77"/>
      <c r="JA294" s="77"/>
      <c r="JB294" s="77"/>
      <c r="JC294" s="77"/>
      <c r="JD294" s="77"/>
      <c r="JE294" s="77"/>
      <c r="JF294" s="77"/>
      <c r="JG294" s="77"/>
      <c r="JH294" s="77"/>
      <c r="JI294" s="77"/>
      <c r="JJ294" s="77"/>
      <c r="JK294" s="77"/>
      <c r="JL294" s="77"/>
      <c r="JM294" s="77"/>
      <c r="JN294" s="77"/>
      <c r="JO294" s="77"/>
      <c r="JP294" s="77"/>
      <c r="JQ294" s="77"/>
      <c r="JR294" s="77"/>
      <c r="JS294" s="77"/>
      <c r="JT294" s="77"/>
      <c r="JU294" s="77"/>
      <c r="JV294" s="77"/>
      <c r="JW294" s="77"/>
      <c r="JX294" s="77"/>
      <c r="JY294" s="77"/>
      <c r="JZ294" s="77"/>
      <c r="KA294" s="77"/>
      <c r="KB294" s="77"/>
      <c r="KC294" s="77"/>
      <c r="KD294" s="77"/>
      <c r="KE294" s="77"/>
      <c r="KF294" s="77"/>
      <c r="KG294" s="77"/>
      <c r="KH294" s="77"/>
      <c r="KI294" s="77"/>
      <c r="KJ294" s="77"/>
      <c r="KK294" s="77"/>
      <c r="KL294" s="77"/>
      <c r="LL294" s="77"/>
      <c r="LM294" s="77"/>
      <c r="LN294" s="77"/>
      <c r="LO294" s="77"/>
      <c r="LP294" s="77"/>
      <c r="LQ294" s="77"/>
      <c r="LR294" s="77"/>
      <c r="LS294" s="77"/>
      <c r="LT294" s="77"/>
      <c r="LU294" s="77"/>
      <c r="LV294" s="77"/>
      <c r="LY294" s="77"/>
      <c r="LZ294" s="77"/>
      <c r="MA294" s="77"/>
      <c r="MB294" s="77"/>
      <c r="MC294" s="77"/>
      <c r="MD294" s="77"/>
      <c r="ME294" s="77"/>
      <c r="MF294" s="77"/>
      <c r="MG294" s="77"/>
      <c r="MH294" s="77"/>
      <c r="MI294" s="77"/>
      <c r="MJ294" s="77"/>
      <c r="MK294" s="77"/>
      <c r="ML294" s="77"/>
      <c r="MM294" s="77"/>
      <c r="MN294" s="77"/>
      <c r="MO294" s="77"/>
      <c r="MP294" s="77"/>
      <c r="MQ294" s="77"/>
      <c r="MR294" s="77"/>
    </row>
    <row r="295" spans="1:421" ht="18.600000000000001" customHeight="1" x14ac:dyDescent="0.25">
      <c r="A295" s="119" t="s">
        <v>391</v>
      </c>
      <c r="B295" s="27" t="s">
        <v>391</v>
      </c>
      <c r="C295" s="27" t="s">
        <v>4531</v>
      </c>
      <c r="D295" s="30" t="str">
        <f>HYPERLINK("https://twitter.com/TPKanslia","https://twitter.com/TPKanslia")</f>
        <v>https://twitter.com/TPKanslia</v>
      </c>
      <c r="E295" s="30" t="str">
        <f>HYPERLINK("http://twiplomacy.com/info/europe/Finland","http://twiplomacy.com/info/europe/Finland")</f>
        <v>http://twiplomacy.com/info/europe/Finland</v>
      </c>
      <c r="F295" s="10" t="s">
        <v>332</v>
      </c>
      <c r="G295" s="10" t="s">
        <v>389</v>
      </c>
      <c r="H295" s="10" t="s">
        <v>781</v>
      </c>
      <c r="I295" s="10" t="s">
        <v>782</v>
      </c>
      <c r="J295" s="27" t="s">
        <v>789</v>
      </c>
      <c r="K295" s="15" t="s">
        <v>777</v>
      </c>
      <c r="L295" s="10" t="s">
        <v>771</v>
      </c>
      <c r="M295" s="10" t="s">
        <v>770</v>
      </c>
      <c r="N295" s="30" t="str">
        <f>HYPERLINK("https://twitter.com/TPKanslia/statuses/192182017209798656","https://twitter.com/TPKanslia/statuses/192182017209798656")</f>
        <v>https://twitter.com/TPKanslia/statuses/192182017209798656</v>
      </c>
      <c r="O295" s="27" t="s">
        <v>6111</v>
      </c>
      <c r="P295" s="80">
        <v>214</v>
      </c>
      <c r="Q295" s="80">
        <v>305</v>
      </c>
      <c r="R295" s="27" t="s">
        <v>2994</v>
      </c>
      <c r="S295" s="10" t="s">
        <v>1870</v>
      </c>
      <c r="T295" s="10" t="s">
        <v>771</v>
      </c>
      <c r="U295" s="10" t="s">
        <v>771</v>
      </c>
      <c r="V295" s="10" t="s">
        <v>771</v>
      </c>
      <c r="W295" s="10"/>
      <c r="X295" s="27" t="s">
        <v>391</v>
      </c>
      <c r="Y295" s="27" t="s">
        <v>391</v>
      </c>
      <c r="Z295" s="80">
        <v>3048</v>
      </c>
      <c r="AA295" s="27">
        <v>198</v>
      </c>
      <c r="AB295" s="80">
        <v>18880</v>
      </c>
      <c r="AC295" s="27">
        <v>247</v>
      </c>
      <c r="AD295" s="27" t="s">
        <v>4532</v>
      </c>
      <c r="AE295" s="27">
        <v>218184927</v>
      </c>
      <c r="AF295" s="27" t="s">
        <v>4531</v>
      </c>
      <c r="AG295" s="27" t="s">
        <v>1871</v>
      </c>
      <c r="AH295" s="79">
        <v>1.53242835595777</v>
      </c>
      <c r="AI295" s="83">
        <v>2.0643631436314398</v>
      </c>
      <c r="AJ295" s="80">
        <v>5.69401947148818</v>
      </c>
      <c r="AK295" s="80">
        <v>6.3421418636995801</v>
      </c>
      <c r="AL295" s="27">
        <v>51</v>
      </c>
      <c r="AM295" s="97">
        <f>SUM(AL295/Z295)</f>
        <v>1.6732283464566931E-2</v>
      </c>
      <c r="AN295" s="27" t="s">
        <v>391</v>
      </c>
      <c r="AO295" s="27">
        <v>18</v>
      </c>
      <c r="AP295" s="27">
        <v>12</v>
      </c>
      <c r="AQ295" s="27">
        <v>6</v>
      </c>
      <c r="AR295" s="27">
        <f>SUM(AO295:AQ295)</f>
        <v>36</v>
      </c>
      <c r="AS295" s="27" t="s">
        <v>6631</v>
      </c>
      <c r="AT295" s="27" t="s">
        <v>6866</v>
      </c>
      <c r="AU295" s="84" t="s">
        <v>4969</v>
      </c>
      <c r="AV295" s="77"/>
      <c r="AW295" s="77"/>
      <c r="AX295" s="77"/>
      <c r="AY295" s="77"/>
      <c r="AZ295" s="77"/>
      <c r="BA295" s="77"/>
      <c r="BB295" s="77"/>
      <c r="BC295" s="77"/>
      <c r="BD295" s="77"/>
      <c r="BE295" s="77"/>
      <c r="BF295" s="77"/>
      <c r="BG295" s="77"/>
      <c r="BH295" s="77"/>
      <c r="BI295" s="77"/>
      <c r="BJ295" s="77"/>
      <c r="BK295" s="77"/>
      <c r="BL295" s="77"/>
      <c r="BM295" s="77"/>
      <c r="BN295" s="77"/>
      <c r="BO295" s="77"/>
      <c r="BP295" s="77"/>
      <c r="CC295" s="77"/>
      <c r="CD295" s="77"/>
      <c r="CE295" s="77"/>
      <c r="CF295" s="77"/>
      <c r="CG295" s="77"/>
      <c r="CH295" s="77"/>
      <c r="CI295" s="77"/>
      <c r="CJ295" s="77"/>
      <c r="CK295" s="77"/>
      <c r="CL295" s="77"/>
      <c r="CM295" s="77"/>
      <c r="CN295" s="77"/>
      <c r="CO295" s="77"/>
      <c r="CP295" s="77"/>
      <c r="CQ295" s="77"/>
      <c r="CR295" s="77"/>
      <c r="CS295" s="77"/>
      <c r="CT295" s="77"/>
      <c r="CU295" s="77"/>
      <c r="CV295" s="77"/>
      <c r="CW295" s="77"/>
      <c r="CX295" s="77"/>
      <c r="CY295" s="77"/>
      <c r="CZ295" s="77"/>
      <c r="DA295" s="77"/>
      <c r="DB295" s="77"/>
      <c r="DC295" s="77"/>
      <c r="DD295" s="77"/>
      <c r="DE295" s="77"/>
      <c r="DF295" s="77"/>
      <c r="DG295" s="77"/>
      <c r="DH295" s="77"/>
      <c r="DI295" s="77"/>
      <c r="DJ295" s="77"/>
      <c r="DK295" s="77"/>
      <c r="DL295" s="77"/>
      <c r="DM295" s="77"/>
      <c r="DN295" s="77"/>
      <c r="DO295" s="77"/>
      <c r="DP295" s="77"/>
      <c r="DQ295" s="77"/>
      <c r="DR295" s="77"/>
      <c r="DS295" s="77"/>
      <c r="DT295" s="77"/>
      <c r="DU295" s="77"/>
      <c r="DV295" s="77"/>
      <c r="DW295" s="77"/>
      <c r="DX295" s="77"/>
      <c r="DY295" s="77"/>
      <c r="DZ295" s="77"/>
      <c r="EA295" s="77"/>
      <c r="EB295" s="77"/>
      <c r="EC295" s="77"/>
      <c r="ED295" s="77"/>
      <c r="EE295" s="77"/>
      <c r="EF295" s="77"/>
      <c r="EG295" s="77"/>
      <c r="EH295" s="77"/>
      <c r="EI295" s="77"/>
      <c r="EJ295" s="77"/>
      <c r="EK295" s="77"/>
      <c r="EL295" s="77"/>
      <c r="EM295" s="77"/>
      <c r="EN295" s="77"/>
      <c r="EO295" s="77"/>
      <c r="EP295" s="77"/>
      <c r="EQ295" s="77"/>
      <c r="ER295" s="77"/>
      <c r="ES295" s="77"/>
      <c r="ET295" s="77"/>
      <c r="EU295" s="77"/>
      <c r="EV295" s="77"/>
      <c r="EW295" s="77"/>
      <c r="EX295" s="77"/>
      <c r="EY295" s="77"/>
      <c r="EZ295" s="77"/>
      <c r="FA295" s="77"/>
      <c r="FB295" s="77"/>
      <c r="FC295" s="77"/>
      <c r="FD295" s="77"/>
      <c r="FE295" s="77"/>
      <c r="FF295" s="77"/>
      <c r="FG295" s="77"/>
      <c r="FH295" s="77"/>
      <c r="FI295" s="77"/>
      <c r="FJ295" s="77"/>
      <c r="FK295" s="77"/>
      <c r="FL295" s="77"/>
      <c r="FM295" s="77"/>
      <c r="FN295" s="77"/>
      <c r="FO295" s="77"/>
      <c r="FP295" s="77"/>
      <c r="FQ295" s="77"/>
      <c r="FR295" s="77"/>
      <c r="FS295" s="77"/>
      <c r="FT295" s="77"/>
      <c r="FU295" s="77"/>
      <c r="FV295" s="77"/>
      <c r="FW295" s="77"/>
      <c r="FX295" s="77"/>
      <c r="FY295" s="77"/>
      <c r="FZ295" s="77"/>
      <c r="GA295" s="77"/>
      <c r="GB295" s="77"/>
      <c r="GC295" s="77"/>
      <c r="GD295" s="77"/>
      <c r="GE295" s="77"/>
      <c r="GF295" s="77"/>
      <c r="GG295" s="77"/>
      <c r="GH295" s="77"/>
      <c r="GI295" s="77"/>
      <c r="GJ295" s="77"/>
      <c r="GK295" s="77"/>
      <c r="GL295" s="77"/>
      <c r="GM295" s="77"/>
      <c r="GN295" s="77"/>
      <c r="GO295" s="77"/>
      <c r="GP295" s="77"/>
      <c r="GQ295" s="77"/>
      <c r="GR295" s="77"/>
      <c r="GS295" s="77"/>
      <c r="GT295" s="77"/>
      <c r="GU295" s="77"/>
      <c r="GV295" s="77"/>
      <c r="GW295" s="77"/>
      <c r="GX295" s="77"/>
      <c r="GY295" s="77"/>
      <c r="GZ295" s="77"/>
      <c r="HA295" s="77"/>
      <c r="HB295" s="77"/>
      <c r="HC295" s="77"/>
      <c r="HD295" s="77"/>
      <c r="HE295" s="77"/>
      <c r="HF295" s="77"/>
      <c r="HG295" s="77"/>
      <c r="HH295" s="77"/>
      <c r="HI295" s="77"/>
      <c r="HJ295" s="77"/>
      <c r="HK295" s="77"/>
      <c r="ID295" s="77"/>
      <c r="IE295" s="77"/>
      <c r="IF295" s="77"/>
      <c r="IG295" s="77"/>
      <c r="IH295" s="77"/>
      <c r="II295" s="77"/>
      <c r="IJ295" s="77"/>
      <c r="IK295" s="77"/>
      <c r="IL295" s="77"/>
      <c r="IM295" s="77"/>
      <c r="IN295" s="77"/>
      <c r="IO295" s="77"/>
      <c r="IP295" s="77"/>
      <c r="IQ295" s="77"/>
      <c r="IR295" s="77"/>
      <c r="IS295" s="77"/>
      <c r="IT295" s="77"/>
      <c r="IU295" s="77"/>
      <c r="IV295" s="77"/>
      <c r="IW295" s="77"/>
      <c r="IX295" s="77"/>
      <c r="IY295" s="77"/>
      <c r="IZ295" s="77"/>
      <c r="JA295" s="77"/>
      <c r="JB295" s="77"/>
      <c r="JC295" s="77"/>
      <c r="JD295" s="77"/>
      <c r="JE295" s="77"/>
      <c r="JF295" s="77"/>
      <c r="JG295" s="77"/>
      <c r="JH295" s="77"/>
      <c r="JI295" s="77"/>
      <c r="JJ295" s="77"/>
      <c r="JK295" s="77"/>
      <c r="JL295" s="77"/>
      <c r="JM295" s="77"/>
      <c r="JN295" s="77"/>
      <c r="JO295" s="77"/>
      <c r="JP295" s="77"/>
      <c r="JQ295" s="77"/>
      <c r="JR295" s="77"/>
      <c r="JS295" s="77"/>
      <c r="JT295" s="77"/>
      <c r="JU295" s="77"/>
      <c r="JV295" s="77"/>
      <c r="JW295" s="77"/>
      <c r="JX295" s="77"/>
      <c r="JY295" s="77"/>
      <c r="JZ295" s="77"/>
      <c r="KA295" s="77"/>
      <c r="KB295" s="77"/>
      <c r="KC295" s="77"/>
      <c r="KD295" s="77"/>
      <c r="KE295" s="77"/>
      <c r="KF295" s="77"/>
      <c r="KG295" s="77"/>
      <c r="KH295" s="77"/>
      <c r="KI295" s="77"/>
      <c r="KJ295" s="77"/>
      <c r="KK295" s="77"/>
      <c r="KL295" s="77"/>
      <c r="KM295" s="16"/>
      <c r="KN295" s="16"/>
      <c r="KO295" s="16"/>
      <c r="KP295" s="16"/>
      <c r="KQ295" s="16"/>
      <c r="KR295" s="16"/>
      <c r="KS295" s="16"/>
      <c r="KT295" s="16"/>
      <c r="KU295" s="16"/>
      <c r="KV295" s="16"/>
      <c r="KW295" s="16"/>
      <c r="KX295" s="16"/>
      <c r="KY295" s="16"/>
      <c r="KZ295" s="16"/>
      <c r="LA295" s="16"/>
      <c r="LB295" s="16"/>
      <c r="LC295" s="16"/>
      <c r="LD295" s="16"/>
      <c r="LE295" s="16"/>
      <c r="LF295" s="16"/>
      <c r="LG295" s="16"/>
      <c r="LH295" s="16"/>
      <c r="LI295" s="16"/>
      <c r="LJ295" s="16"/>
      <c r="LK295" s="16"/>
      <c r="LY295" s="77"/>
      <c r="LZ295" s="77"/>
      <c r="MA295" s="77"/>
      <c r="MB295" s="77"/>
      <c r="MC295" s="77"/>
      <c r="MD295" s="77"/>
      <c r="ME295" s="77"/>
      <c r="MF295" s="77"/>
      <c r="MG295" s="77"/>
      <c r="MH295" s="77"/>
      <c r="MI295" s="77"/>
      <c r="MJ295" s="77"/>
      <c r="MK295" s="77"/>
      <c r="ML295" s="77"/>
      <c r="MM295" s="77"/>
      <c r="MN295" s="77"/>
      <c r="MO295" s="77"/>
      <c r="MP295" s="77"/>
      <c r="MQ295" s="77"/>
      <c r="MR295" s="77"/>
    </row>
    <row r="296" spans="1:421" ht="18.600000000000001" customHeight="1" x14ac:dyDescent="0.25">
      <c r="A296" s="119" t="s">
        <v>3348</v>
      </c>
      <c r="B296" s="27" t="s">
        <v>3699</v>
      </c>
      <c r="C296" s="27" t="s">
        <v>6390</v>
      </c>
      <c r="D296" s="30" t="str">
        <f>HYPERLINK("https://twitter.com/ForeignStrategy","https://twitter.com/ForeignStrategy")</f>
        <v>https://twitter.com/ForeignStrategy</v>
      </c>
      <c r="E296" s="30" t="str">
        <f>HYPERLINK("http://twiplomacy.com/info/europe/Netherlands","http://twiplomacy.com/info/europe/Netherlands")</f>
        <v>http://twiplomacy.com/info/europe/Netherlands</v>
      </c>
      <c r="F296" s="10" t="s">
        <v>332</v>
      </c>
      <c r="G296" s="10" t="s">
        <v>467</v>
      </c>
      <c r="H296" s="10" t="s">
        <v>795</v>
      </c>
      <c r="I296" s="10" t="s">
        <v>782</v>
      </c>
      <c r="J296" s="27" t="s">
        <v>789</v>
      </c>
      <c r="K296" s="15" t="s">
        <v>777</v>
      </c>
      <c r="L296" s="10" t="s">
        <v>771</v>
      </c>
      <c r="M296" s="10" t="s">
        <v>771</v>
      </c>
      <c r="N296" s="30" t="str">
        <f>HYPERLINK("https://twitter.com/ForeignStrategy/status/364742614257377280","https://twitter.com/ForeignStrategy/status/364742614257377280")</f>
        <v>https://twitter.com/ForeignStrategy/status/364742614257377280</v>
      </c>
      <c r="O296" s="27" t="s">
        <v>5771</v>
      </c>
      <c r="P296" s="80">
        <v>44</v>
      </c>
      <c r="Q296" s="80">
        <v>0</v>
      </c>
      <c r="R296" s="27" t="s">
        <v>2995</v>
      </c>
      <c r="S296" s="30" t="str">
        <f>HYPERLINK("https://twitter.com/ForeignStrategy/lists","https://twitter.com/ForeignStrategy/lists")</f>
        <v>https://twitter.com/ForeignStrategy/lists</v>
      </c>
      <c r="T296" s="10">
        <v>1</v>
      </c>
      <c r="U296" s="10">
        <v>9</v>
      </c>
      <c r="V296" s="10" t="s">
        <v>771</v>
      </c>
      <c r="W296" s="10"/>
      <c r="X296" s="27" t="s">
        <v>3348</v>
      </c>
      <c r="Y296" s="27" t="s">
        <v>3699</v>
      </c>
      <c r="Z296" s="80">
        <v>3039</v>
      </c>
      <c r="AA296" s="27">
        <v>365</v>
      </c>
      <c r="AB296" s="80">
        <v>3274</v>
      </c>
      <c r="AC296" s="27">
        <v>143</v>
      </c>
      <c r="AD296" s="27" t="s">
        <v>3700</v>
      </c>
      <c r="AE296" s="27">
        <v>1650255384</v>
      </c>
      <c r="AF296" s="27" t="s">
        <v>6390</v>
      </c>
      <c r="AG296" s="27" t="s">
        <v>2087</v>
      </c>
      <c r="AH296" s="79">
        <v>3.0409999999999999</v>
      </c>
      <c r="AI296" s="83">
        <v>3.03</v>
      </c>
      <c r="AJ296" s="80">
        <v>1.14112050739958</v>
      </c>
      <c r="AK296" s="80">
        <v>0.50211416490486305</v>
      </c>
      <c r="AL296" s="27">
        <v>147</v>
      </c>
      <c r="AM296" s="97">
        <f>SUM(AL296/Z296)</f>
        <v>4.8371174728529122E-2</v>
      </c>
      <c r="AN296" s="27" t="s">
        <v>3348</v>
      </c>
      <c r="AO296" s="27">
        <v>15</v>
      </c>
      <c r="AP296" s="27">
        <v>34</v>
      </c>
      <c r="AQ296" s="27">
        <v>3</v>
      </c>
      <c r="AR296" s="27">
        <f>SUM(AO296:AQ296)</f>
        <v>52</v>
      </c>
      <c r="AS296" s="27" t="s">
        <v>5124</v>
      </c>
      <c r="AT296" s="27" t="s">
        <v>5125</v>
      </c>
      <c r="AU296" s="84" t="s">
        <v>4722</v>
      </c>
      <c r="AV296" s="77"/>
      <c r="AW296" s="77"/>
      <c r="AX296" s="77"/>
      <c r="AY296" s="77"/>
      <c r="AZ296" s="77"/>
      <c r="BA296" s="77"/>
      <c r="BB296" s="77"/>
      <c r="BC296" s="77"/>
      <c r="BD296" s="77"/>
      <c r="BE296" s="77"/>
      <c r="BF296" s="77"/>
      <c r="BG296" s="77"/>
      <c r="BH296" s="77"/>
      <c r="BI296" s="77"/>
      <c r="BJ296" s="77"/>
      <c r="BK296" s="77"/>
      <c r="BL296" s="77"/>
      <c r="BM296" s="77"/>
      <c r="BN296" s="77"/>
      <c r="BO296" s="77"/>
      <c r="BP296" s="77"/>
      <c r="BQ296" s="77"/>
      <c r="BR296" s="77"/>
      <c r="BS296" s="77"/>
      <c r="BT296" s="77"/>
      <c r="BU296" s="77"/>
      <c r="BV296" s="77"/>
      <c r="BW296" s="77"/>
      <c r="BX296" s="77"/>
      <c r="BY296" s="77"/>
      <c r="BZ296" s="77"/>
      <c r="CA296" s="77"/>
      <c r="CB296" s="77"/>
      <c r="CK296" s="77"/>
      <c r="CL296" s="77"/>
      <c r="CM296" s="77"/>
      <c r="CN296" s="77"/>
      <c r="CO296" s="77"/>
      <c r="CP296" s="77"/>
      <c r="CQ296" s="77"/>
      <c r="CR296" s="77"/>
      <c r="CS296" s="77"/>
      <c r="CT296" s="77"/>
      <c r="CU296" s="77"/>
      <c r="CV296" s="77"/>
      <c r="CW296" s="77"/>
      <c r="EM296" s="77"/>
      <c r="EN296" s="77"/>
      <c r="EO296" s="77"/>
      <c r="EP296" s="77"/>
      <c r="EQ296" s="77"/>
      <c r="ER296" s="77"/>
      <c r="ES296" s="77"/>
      <c r="ET296" s="77"/>
      <c r="EU296" s="77"/>
      <c r="EV296" s="77"/>
      <c r="EW296" s="77"/>
      <c r="EX296" s="77"/>
      <c r="EY296" s="77"/>
      <c r="EZ296" s="77"/>
      <c r="FA296" s="77"/>
      <c r="FB296" s="77"/>
      <c r="FC296" s="77"/>
      <c r="FD296" s="77"/>
      <c r="FE296" s="77"/>
      <c r="FF296" s="77"/>
      <c r="FG296" s="77"/>
      <c r="FH296" s="77"/>
      <c r="FI296" s="77"/>
      <c r="FJ296" s="77"/>
      <c r="FK296" s="77"/>
      <c r="FL296" s="77"/>
      <c r="FM296" s="77"/>
      <c r="FN296" s="77"/>
      <c r="FO296" s="77"/>
      <c r="FP296" s="77"/>
      <c r="FQ296" s="77"/>
      <c r="FR296" s="77"/>
      <c r="FS296" s="77"/>
      <c r="FT296" s="77"/>
      <c r="FU296" s="77"/>
      <c r="FV296" s="77"/>
      <c r="FW296" s="77"/>
      <c r="FX296" s="77"/>
      <c r="FY296" s="77"/>
      <c r="FZ296" s="77"/>
      <c r="GA296" s="77"/>
      <c r="GB296" s="77"/>
      <c r="GC296" s="77"/>
      <c r="GD296" s="77"/>
      <c r="GE296" s="77"/>
      <c r="GF296" s="77"/>
      <c r="GG296" s="77"/>
      <c r="GH296" s="77"/>
      <c r="GI296" s="77"/>
      <c r="GJ296" s="77"/>
      <c r="GK296" s="77"/>
      <c r="GL296" s="77"/>
      <c r="GM296" s="77"/>
      <c r="GN296" s="77"/>
      <c r="GO296" s="77"/>
      <c r="GP296" s="77"/>
      <c r="GQ296" s="77"/>
      <c r="GR296" s="77"/>
      <c r="GS296" s="77"/>
      <c r="GT296" s="77"/>
      <c r="GU296" s="77"/>
      <c r="GV296" s="77"/>
      <c r="GW296" s="77"/>
      <c r="GX296" s="77"/>
      <c r="GY296" s="77"/>
      <c r="GZ296" s="77"/>
      <c r="HA296" s="77"/>
      <c r="HB296" s="77"/>
      <c r="HC296" s="77"/>
      <c r="HD296" s="77"/>
      <c r="HE296" s="77"/>
      <c r="HF296" s="77"/>
      <c r="HG296" s="77"/>
      <c r="HH296" s="77"/>
      <c r="HI296" s="77"/>
      <c r="HJ296" s="77"/>
      <c r="HK296" s="77"/>
      <c r="HL296" s="77"/>
      <c r="HM296" s="77"/>
      <c r="HN296" s="77"/>
      <c r="HO296" s="77"/>
      <c r="HP296" s="77"/>
      <c r="HQ296" s="77"/>
      <c r="HR296" s="77"/>
      <c r="HS296" s="77"/>
      <c r="HT296" s="77"/>
      <c r="HU296" s="77"/>
      <c r="HV296" s="77"/>
      <c r="HW296" s="77"/>
      <c r="HX296" s="77"/>
      <c r="HY296" s="77"/>
      <c r="HZ296" s="77"/>
      <c r="IA296" s="77"/>
      <c r="IB296" s="77"/>
      <c r="IC296" s="77"/>
      <c r="ID296" s="77"/>
      <c r="IE296" s="77"/>
      <c r="IF296" s="77"/>
      <c r="IG296" s="77"/>
      <c r="IH296" s="77"/>
      <c r="II296" s="77"/>
      <c r="IJ296" s="77"/>
      <c r="IK296" s="77"/>
      <c r="IL296" s="77"/>
      <c r="IM296" s="77"/>
      <c r="IN296" s="77"/>
      <c r="IO296" s="77"/>
      <c r="IP296" s="77"/>
      <c r="IQ296" s="77"/>
      <c r="IR296" s="77"/>
      <c r="IS296" s="77"/>
      <c r="IT296" s="77"/>
      <c r="IU296" s="77"/>
      <c r="IV296" s="77"/>
      <c r="IW296" s="77"/>
      <c r="IX296" s="77"/>
      <c r="IY296" s="77"/>
      <c r="IZ296" s="77"/>
      <c r="JA296" s="77"/>
      <c r="JB296" s="77"/>
      <c r="JC296" s="77"/>
      <c r="JD296" s="77"/>
      <c r="JE296" s="77"/>
      <c r="JF296" s="77"/>
      <c r="JG296" s="77"/>
      <c r="JH296" s="77"/>
      <c r="JI296" s="77"/>
      <c r="JJ296" s="77"/>
      <c r="JK296" s="77"/>
      <c r="JL296" s="77"/>
      <c r="JM296" s="77"/>
      <c r="JN296" s="77"/>
      <c r="JO296" s="77"/>
      <c r="JP296" s="77"/>
      <c r="JQ296" s="77"/>
      <c r="JR296" s="77"/>
      <c r="JS296" s="77"/>
      <c r="JT296" s="77"/>
      <c r="JU296" s="77"/>
      <c r="JV296" s="77"/>
      <c r="JW296" s="77"/>
      <c r="JX296" s="77"/>
      <c r="JY296" s="77"/>
      <c r="JZ296" s="77"/>
      <c r="KA296" s="77"/>
      <c r="KB296" s="77"/>
      <c r="KC296" s="77"/>
      <c r="KD296" s="77"/>
      <c r="KE296" s="77"/>
      <c r="KF296" s="77"/>
      <c r="KG296" s="77"/>
      <c r="KH296" s="77"/>
      <c r="KI296" s="77"/>
      <c r="KJ296" s="77"/>
      <c r="KK296" s="77"/>
      <c r="KL296" s="77"/>
      <c r="LL296" s="77"/>
      <c r="LM296" s="77"/>
      <c r="LN296" s="77"/>
      <c r="LO296" s="77"/>
      <c r="LP296" s="77"/>
      <c r="LQ296" s="77"/>
      <c r="LR296" s="77"/>
      <c r="LS296" s="77"/>
      <c r="LT296" s="77"/>
      <c r="LU296" s="77"/>
      <c r="LV296" s="77"/>
      <c r="LY296" s="77"/>
      <c r="LZ296" s="77"/>
      <c r="MA296" s="77"/>
      <c r="MB296" s="77"/>
      <c r="MC296" s="77"/>
      <c r="MD296" s="77"/>
      <c r="ME296" s="77"/>
      <c r="MF296" s="77"/>
      <c r="MG296" s="77"/>
      <c r="MH296" s="77"/>
      <c r="MI296" s="77"/>
      <c r="MJ296" s="77"/>
      <c r="MK296" s="77"/>
      <c r="ML296" s="77"/>
      <c r="MM296" s="77"/>
      <c r="MN296" s="77"/>
      <c r="MO296" s="77"/>
      <c r="MP296" s="77"/>
      <c r="MQ296" s="77"/>
      <c r="MR296" s="77"/>
    </row>
    <row r="297" spans="1:421" ht="18.600000000000001" customHeight="1" x14ac:dyDescent="0.25">
      <c r="A297" s="119" t="s">
        <v>381</v>
      </c>
      <c r="B297" s="27" t="s">
        <v>1824</v>
      </c>
      <c r="C297" s="27" t="s">
        <v>1825</v>
      </c>
      <c r="D297" s="30" t="str">
        <f>HYPERLINK("https://twitter.com/StenbockiMaja","https://twitter.com/StenbockiMaja")</f>
        <v>https://twitter.com/StenbockiMaja</v>
      </c>
      <c r="E297" s="30" t="str">
        <f>HYPERLINK("http://twiplomacy.com/info/europe/Estonia","http://twiplomacy.com/info/europe/Estonia")</f>
        <v>http://twiplomacy.com/info/europe/Estonia</v>
      </c>
      <c r="F297" s="10" t="s">
        <v>332</v>
      </c>
      <c r="G297" s="10" t="s">
        <v>378</v>
      </c>
      <c r="H297" s="10" t="s">
        <v>788</v>
      </c>
      <c r="I297" s="10" t="s">
        <v>782</v>
      </c>
      <c r="J297" s="27" t="s">
        <v>789</v>
      </c>
      <c r="K297" s="15" t="s">
        <v>777</v>
      </c>
      <c r="L297" s="10" t="s">
        <v>771</v>
      </c>
      <c r="M297" s="10" t="s">
        <v>771</v>
      </c>
      <c r="N297" s="30" t="str">
        <f>HYPERLINK("https://twitter.com/StenbockiMaja/statuses/1852714878","https://twitter.com/StenbockiMaja/statuses/1852714878")</f>
        <v>https://twitter.com/StenbockiMaja/statuses/1852714878</v>
      </c>
      <c r="O297" s="27" t="s">
        <v>1826</v>
      </c>
      <c r="P297" s="80">
        <v>63</v>
      </c>
      <c r="Q297" s="80">
        <v>196</v>
      </c>
      <c r="R297" s="27" t="s">
        <v>2995</v>
      </c>
      <c r="S297" s="30" t="str">
        <f>HYPERLINK("https://twitter.com/StenbockiMaja/lists","https://twitter.com/StenbockiMaja/lists")</f>
        <v>https://twitter.com/StenbockiMaja/lists</v>
      </c>
      <c r="T297" s="10">
        <v>2</v>
      </c>
      <c r="U297" s="10" t="s">
        <v>771</v>
      </c>
      <c r="V297" s="10" t="s">
        <v>771</v>
      </c>
      <c r="W297" s="10"/>
      <c r="X297" s="27" t="s">
        <v>381</v>
      </c>
      <c r="Y297" s="27" t="s">
        <v>1824</v>
      </c>
      <c r="Z297" s="80">
        <v>3004</v>
      </c>
      <c r="AA297" s="27">
        <v>78</v>
      </c>
      <c r="AB297" s="80">
        <v>3780</v>
      </c>
      <c r="AC297" s="27">
        <v>62</v>
      </c>
      <c r="AD297" s="27" t="s">
        <v>4496</v>
      </c>
      <c r="AE297" s="27">
        <v>41104145</v>
      </c>
      <c r="AF297" s="27" t="s">
        <v>1825</v>
      </c>
      <c r="AG297" s="27" t="s">
        <v>1827</v>
      </c>
      <c r="AH297" s="79">
        <v>1.18267716535433</v>
      </c>
      <c r="AI297" s="83">
        <v>1.1831429696731</v>
      </c>
      <c r="AJ297" s="80">
        <v>0.92819257445940395</v>
      </c>
      <c r="AK297" s="80">
        <v>0.90860873113015095</v>
      </c>
      <c r="AL297" s="27">
        <v>13</v>
      </c>
      <c r="AM297" s="97">
        <f>SUM(AL297/Z297)</f>
        <v>4.3275632490013313E-3</v>
      </c>
      <c r="AN297" s="27" t="s">
        <v>381</v>
      </c>
      <c r="AO297" s="27">
        <v>3</v>
      </c>
      <c r="AP297" s="27">
        <v>6</v>
      </c>
      <c r="AQ297" s="27">
        <v>5</v>
      </c>
      <c r="AR297" s="27">
        <f>SUM(AO297:AQ297)</f>
        <v>14</v>
      </c>
      <c r="AS297" s="27" t="s">
        <v>5507</v>
      </c>
      <c r="AT297" s="27" t="s">
        <v>5508</v>
      </c>
      <c r="AU297" s="84" t="s">
        <v>4964</v>
      </c>
      <c r="AV297" s="77"/>
      <c r="AW297" s="77"/>
      <c r="AX297" s="77"/>
      <c r="AY297" s="77"/>
      <c r="AZ297" s="77"/>
      <c r="BA297" s="77"/>
      <c r="BB297" s="77"/>
      <c r="BC297" s="77"/>
      <c r="BD297" s="77"/>
      <c r="BE297" s="77"/>
      <c r="BF297" s="77"/>
      <c r="BG297" s="77"/>
      <c r="BH297" s="77"/>
      <c r="BI297" s="77"/>
      <c r="BJ297" s="77"/>
      <c r="BK297" s="77"/>
      <c r="BL297" s="77"/>
      <c r="BM297" s="77"/>
      <c r="BN297" s="77"/>
      <c r="BO297" s="77"/>
      <c r="BP297" s="77"/>
      <c r="BQ297" s="16"/>
      <c r="BR297" s="16"/>
      <c r="BS297" s="16"/>
      <c r="BT297" s="16"/>
      <c r="BU297" s="16"/>
      <c r="BV297" s="16"/>
      <c r="BW297" s="16"/>
      <c r="BX297" s="16"/>
      <c r="BY297" s="16"/>
      <c r="BZ297" s="16"/>
      <c r="CA297" s="16"/>
      <c r="CB297" s="16"/>
      <c r="CC297" s="77"/>
      <c r="CD297" s="77"/>
      <c r="CE297" s="77"/>
      <c r="CF297" s="77"/>
      <c r="CG297" s="77"/>
      <c r="CH297" s="77"/>
      <c r="CI297" s="77"/>
      <c r="CJ297" s="77"/>
      <c r="CK297" s="77"/>
      <c r="CL297" s="77"/>
      <c r="CM297" s="77"/>
      <c r="CN297" s="77"/>
      <c r="CO297" s="77"/>
      <c r="CP297" s="77"/>
      <c r="CQ297" s="77"/>
      <c r="CR297" s="77"/>
      <c r="CS297" s="77"/>
      <c r="CT297" s="77"/>
      <c r="CU297" s="77"/>
      <c r="CV297" s="77"/>
      <c r="CW297" s="77"/>
      <c r="CX297" s="77"/>
      <c r="CY297" s="77"/>
      <c r="CZ297" s="77"/>
      <c r="DA297" s="77"/>
      <c r="DB297" s="77"/>
      <c r="DC297" s="77"/>
      <c r="DD297" s="77"/>
      <c r="DE297" s="77"/>
      <c r="DF297" s="77"/>
      <c r="DG297" s="77"/>
      <c r="DH297" s="77"/>
      <c r="DI297" s="77"/>
      <c r="DJ297" s="77"/>
      <c r="DK297" s="77"/>
      <c r="DL297" s="77"/>
      <c r="DM297" s="77"/>
      <c r="DN297" s="77"/>
      <c r="DO297" s="77"/>
      <c r="DP297" s="77"/>
      <c r="DQ297" s="77"/>
      <c r="DR297" s="77"/>
      <c r="DS297" s="77"/>
      <c r="DT297" s="77"/>
      <c r="DU297" s="77"/>
      <c r="DV297" s="77"/>
      <c r="DW297" s="77"/>
      <c r="DX297" s="77"/>
      <c r="DY297" s="77"/>
      <c r="DZ297" s="77"/>
      <c r="EA297" s="77"/>
      <c r="EB297" s="77"/>
      <c r="EC297" s="77"/>
      <c r="ED297" s="77"/>
      <c r="EE297" s="77"/>
      <c r="EF297" s="77"/>
      <c r="EG297" s="77"/>
      <c r="EH297" s="77"/>
      <c r="EI297" s="77"/>
      <c r="EJ297" s="77"/>
      <c r="EK297" s="77"/>
      <c r="EL297" s="77"/>
      <c r="EP297" s="77"/>
      <c r="EQ297" s="77"/>
      <c r="ER297" s="77"/>
      <c r="ES297" s="77"/>
      <c r="ET297" s="77"/>
      <c r="EU297" s="77"/>
      <c r="EV297" s="77"/>
      <c r="EW297" s="77"/>
      <c r="EX297" s="77"/>
      <c r="EY297" s="77"/>
      <c r="EZ297" s="77"/>
      <c r="FA297" s="77"/>
      <c r="FB297" s="77"/>
      <c r="FC297" s="77"/>
      <c r="FD297" s="77"/>
      <c r="FE297" s="77"/>
      <c r="FF297" s="77"/>
      <c r="FG297" s="77"/>
      <c r="FH297" s="77"/>
      <c r="FI297" s="77"/>
      <c r="FJ297" s="77"/>
      <c r="FK297" s="77"/>
      <c r="FL297" s="77"/>
      <c r="FM297" s="77"/>
      <c r="FN297" s="77"/>
      <c r="FO297" s="77"/>
      <c r="FP297" s="77"/>
      <c r="FQ297" s="77"/>
      <c r="FR297" s="77"/>
      <c r="FS297" s="77"/>
      <c r="FT297" s="77"/>
      <c r="FU297" s="77"/>
      <c r="FV297" s="77"/>
      <c r="FW297" s="77"/>
      <c r="FX297" s="77"/>
      <c r="FY297" s="77"/>
      <c r="FZ297" s="77"/>
      <c r="GA297" s="77"/>
      <c r="GB297" s="77"/>
      <c r="GC297" s="77"/>
      <c r="GD297" s="77"/>
      <c r="GE297" s="77"/>
      <c r="GF297" s="77"/>
      <c r="GG297" s="77"/>
      <c r="GH297" s="77"/>
      <c r="GI297" s="77"/>
      <c r="GJ297" s="77"/>
      <c r="GK297" s="77"/>
      <c r="GL297" s="77"/>
      <c r="GM297" s="77"/>
      <c r="GN297" s="77"/>
      <c r="GO297" s="77"/>
      <c r="GP297" s="77"/>
      <c r="GQ297" s="77"/>
      <c r="GR297" s="77"/>
      <c r="GS297" s="77"/>
      <c r="GT297" s="77"/>
      <c r="GU297" s="77"/>
      <c r="GV297" s="77"/>
      <c r="GW297" s="77"/>
      <c r="GX297" s="77"/>
      <c r="GY297" s="77"/>
      <c r="GZ297" s="77"/>
      <c r="HA297" s="77"/>
      <c r="HB297" s="77"/>
      <c r="HC297" s="77"/>
      <c r="HD297" s="77"/>
      <c r="HE297" s="77"/>
      <c r="HF297" s="77"/>
      <c r="HG297" s="77"/>
      <c r="HH297" s="77"/>
      <c r="HI297" s="77"/>
      <c r="HJ297" s="77"/>
      <c r="HK297" s="77"/>
      <c r="HL297" s="77"/>
      <c r="HM297" s="77"/>
      <c r="HN297" s="77"/>
      <c r="HO297" s="77"/>
      <c r="HP297" s="77"/>
      <c r="HQ297" s="77"/>
      <c r="HR297" s="77"/>
      <c r="HS297" s="77"/>
      <c r="HT297" s="77"/>
      <c r="HU297" s="77"/>
      <c r="HV297" s="77"/>
      <c r="HW297" s="77"/>
      <c r="HX297" s="77"/>
      <c r="HY297" s="77"/>
      <c r="HZ297" s="77"/>
      <c r="IA297" s="77"/>
      <c r="IB297" s="77"/>
      <c r="IC297" s="77"/>
      <c r="IF297" s="77"/>
      <c r="IG297" s="77"/>
      <c r="IH297" s="77"/>
      <c r="II297" s="77"/>
      <c r="IJ297" s="77"/>
      <c r="IK297" s="77"/>
      <c r="IL297" s="77"/>
      <c r="IM297" s="77"/>
      <c r="IN297" s="77"/>
      <c r="IO297" s="77"/>
      <c r="IP297" s="77"/>
      <c r="IQ297" s="77"/>
      <c r="IR297" s="77"/>
      <c r="IS297" s="77"/>
      <c r="IT297" s="77"/>
      <c r="IU297" s="77"/>
      <c r="IV297" s="77"/>
      <c r="IW297" s="77"/>
      <c r="IX297" s="77"/>
      <c r="IY297" s="77"/>
      <c r="IZ297" s="77"/>
      <c r="JA297" s="77"/>
      <c r="JB297" s="77"/>
      <c r="JC297" s="77"/>
      <c r="JD297" s="77"/>
      <c r="JE297" s="77"/>
      <c r="JF297" s="77"/>
      <c r="JG297" s="77"/>
      <c r="JH297" s="77"/>
      <c r="JI297" s="77"/>
      <c r="JJ297" s="77"/>
      <c r="JK297" s="77"/>
      <c r="JL297" s="77"/>
      <c r="JM297" s="77"/>
      <c r="JN297" s="77"/>
      <c r="JO297" s="77"/>
      <c r="JP297" s="77"/>
      <c r="JQ297" s="77"/>
      <c r="JR297" s="77"/>
      <c r="JS297" s="77"/>
      <c r="JT297" s="77"/>
      <c r="JU297" s="77"/>
      <c r="JV297" s="77"/>
      <c r="JW297" s="77"/>
      <c r="JX297" s="77"/>
      <c r="KM297" s="77"/>
      <c r="KN297" s="77"/>
      <c r="KO297" s="77"/>
      <c r="KP297" s="77"/>
      <c r="KQ297" s="77"/>
      <c r="KR297" s="77"/>
      <c r="KS297" s="77"/>
      <c r="KT297" s="77"/>
      <c r="KU297" s="77"/>
      <c r="KV297" s="77"/>
      <c r="KW297" s="77"/>
      <c r="KX297" s="77"/>
      <c r="KY297" s="77"/>
      <c r="KZ297" s="77"/>
      <c r="LA297" s="77"/>
      <c r="LB297" s="77"/>
      <c r="LC297" s="77"/>
      <c r="LD297" s="77"/>
      <c r="LE297" s="77"/>
      <c r="LF297" s="77"/>
      <c r="LG297" s="77"/>
      <c r="LH297" s="77"/>
      <c r="LI297" s="77"/>
      <c r="LJ297" s="77"/>
      <c r="LK297" s="77"/>
      <c r="LL297" s="77"/>
      <c r="LM297" s="77"/>
      <c r="LN297" s="77"/>
      <c r="LO297" s="77"/>
      <c r="LP297" s="77"/>
      <c r="LQ297" s="77"/>
      <c r="LR297" s="77"/>
      <c r="LS297" s="77"/>
      <c r="LT297" s="77"/>
      <c r="LU297" s="77"/>
      <c r="LV297" s="77"/>
      <c r="LY297" s="77"/>
      <c r="LZ297" s="77"/>
      <c r="MA297" s="77"/>
      <c r="MB297" s="77"/>
      <c r="MC297" s="77"/>
      <c r="MD297" s="77"/>
      <c r="ME297" s="77"/>
      <c r="MF297" s="77"/>
      <c r="MG297" s="77"/>
      <c r="MH297" s="77"/>
      <c r="MI297" s="77"/>
      <c r="MJ297" s="77"/>
      <c r="MK297" s="77"/>
      <c r="ML297" s="77"/>
      <c r="MM297" s="77"/>
      <c r="MN297" s="77"/>
      <c r="MO297" s="77"/>
      <c r="MP297" s="77"/>
      <c r="MQ297" s="77"/>
      <c r="MR297" s="77"/>
      <c r="MS297" s="77"/>
      <c r="ND297" s="77"/>
    </row>
    <row r="298" spans="1:421" ht="18.600000000000001" customHeight="1" x14ac:dyDescent="0.25">
      <c r="A298" s="119" t="s">
        <v>260</v>
      </c>
      <c r="B298" s="27" t="s">
        <v>1522</v>
      </c>
      <c r="C298" s="27" t="s">
        <v>3957</v>
      </c>
      <c r="D298" s="30" t="s">
        <v>1521</v>
      </c>
      <c r="E298" s="30" t="str">
        <f>HYPERLINK("http://twiplomacy.com/info/asia/Nepal","http://twiplomacy.com/info/asia/Nepal")</f>
        <v>http://twiplomacy.com/info/asia/Nepal</v>
      </c>
      <c r="F298" s="10" t="s">
        <v>154</v>
      </c>
      <c r="G298" s="10" t="s">
        <v>257</v>
      </c>
      <c r="H298" s="10" t="s">
        <v>860</v>
      </c>
      <c r="I298" s="10" t="s">
        <v>782</v>
      </c>
      <c r="J298" s="27" t="s">
        <v>789</v>
      </c>
      <c r="K298" s="15" t="s">
        <v>777</v>
      </c>
      <c r="L298" s="10"/>
      <c r="M298" s="10" t="s">
        <v>770</v>
      </c>
      <c r="N298" s="30" t="s">
        <v>1523</v>
      </c>
      <c r="O298" s="27" t="s">
        <v>3200</v>
      </c>
      <c r="P298" s="80">
        <v>827</v>
      </c>
      <c r="Q298" s="80">
        <v>1032</v>
      </c>
      <c r="R298" s="27" t="s">
        <v>2995</v>
      </c>
      <c r="S298" s="30" t="s">
        <v>1524</v>
      </c>
      <c r="T298" s="10" t="s">
        <v>771</v>
      </c>
      <c r="U298" s="10" t="s">
        <v>771</v>
      </c>
      <c r="V298" s="10" t="s">
        <v>771</v>
      </c>
      <c r="W298" s="10"/>
      <c r="X298" s="27" t="s">
        <v>260</v>
      </c>
      <c r="Y298" s="27" t="s">
        <v>1522</v>
      </c>
      <c r="Z298" s="80">
        <v>2980</v>
      </c>
      <c r="AA298" s="27">
        <v>200</v>
      </c>
      <c r="AB298" s="80">
        <v>164101</v>
      </c>
      <c r="AC298" s="27">
        <v>2861</v>
      </c>
      <c r="AD298" s="27" t="s">
        <v>3958</v>
      </c>
      <c r="AE298" s="27">
        <v>1200433244</v>
      </c>
      <c r="AF298" s="27" t="s">
        <v>3957</v>
      </c>
      <c r="AG298" s="27" t="s">
        <v>3959</v>
      </c>
      <c r="AH298" s="79">
        <v>2.5535561268209102</v>
      </c>
      <c r="AI298" s="83">
        <v>2.55412371134021</v>
      </c>
      <c r="AJ298" s="80">
        <v>15.5480943738657</v>
      </c>
      <c r="AK298" s="80">
        <v>36.934210526315802</v>
      </c>
      <c r="AL298" s="27">
        <v>144</v>
      </c>
      <c r="AM298" s="97">
        <f>SUM(AL298/Z298)</f>
        <v>4.832214765100671E-2</v>
      </c>
      <c r="AN298" s="27" t="s">
        <v>260</v>
      </c>
      <c r="AO298" s="27">
        <v>4</v>
      </c>
      <c r="AP298" s="27">
        <v>4</v>
      </c>
      <c r="AQ298" s="27">
        <v>1</v>
      </c>
      <c r="AR298" s="27">
        <f>SUM(AO298:AQ298)</f>
        <v>9</v>
      </c>
      <c r="AS298" s="27" t="s">
        <v>6225</v>
      </c>
      <c r="AT298" s="27" t="s">
        <v>5247</v>
      </c>
      <c r="AU298" s="84" t="s">
        <v>259</v>
      </c>
      <c r="AV298" s="77"/>
      <c r="AW298" s="77"/>
      <c r="AX298" s="77"/>
      <c r="AY298" s="77"/>
      <c r="AZ298" s="77"/>
      <c r="BA298" s="77"/>
      <c r="BB298" s="77"/>
      <c r="BC298" s="77"/>
      <c r="BD298" s="77"/>
      <c r="BE298" s="77"/>
      <c r="BF298" s="77"/>
      <c r="BG298" s="77"/>
      <c r="BH298" s="77"/>
      <c r="BI298" s="77"/>
      <c r="BJ298" s="77"/>
      <c r="BK298" s="77"/>
      <c r="BL298" s="77"/>
      <c r="BM298" s="77"/>
      <c r="BQ298" s="77"/>
      <c r="BR298" s="77"/>
      <c r="BS298" s="77"/>
      <c r="BT298" s="77"/>
      <c r="BU298" s="77"/>
      <c r="BV298" s="77"/>
      <c r="BW298" s="77"/>
      <c r="BX298" s="77"/>
      <c r="BY298" s="77"/>
      <c r="BZ298" s="77"/>
      <c r="CA298" s="77"/>
      <c r="CB298" s="77"/>
      <c r="CC298" s="77"/>
      <c r="CD298" s="77"/>
      <c r="CE298" s="77"/>
      <c r="CF298" s="77"/>
      <c r="CG298" s="77"/>
      <c r="CH298" s="77"/>
      <c r="CI298" s="77"/>
      <c r="CJ298" s="77"/>
      <c r="CK298" s="77"/>
      <c r="CL298" s="77"/>
      <c r="CM298" s="77"/>
      <c r="CN298" s="77"/>
      <c r="CO298" s="77"/>
      <c r="CP298" s="77"/>
      <c r="CQ298" s="77"/>
      <c r="CR298" s="77"/>
      <c r="CS298" s="77"/>
      <c r="CT298" s="77"/>
      <c r="CU298" s="77"/>
      <c r="CV298" s="77"/>
      <c r="CW298" s="77"/>
      <c r="CX298" s="77"/>
      <c r="CY298" s="77"/>
      <c r="CZ298" s="77"/>
      <c r="DA298" s="77"/>
      <c r="DB298" s="77"/>
      <c r="DC298" s="77"/>
      <c r="DD298" s="77"/>
      <c r="DE298" s="77"/>
      <c r="DF298" s="77"/>
      <c r="DG298" s="77"/>
      <c r="DH298" s="77"/>
      <c r="DI298" s="77"/>
      <c r="DJ298" s="77"/>
      <c r="DK298" s="77"/>
      <c r="DL298" s="77"/>
      <c r="DM298" s="77"/>
      <c r="DN298" s="77"/>
      <c r="DO298" s="77"/>
      <c r="DP298" s="77"/>
      <c r="DQ298" s="77"/>
      <c r="DR298" s="77"/>
      <c r="DS298" s="77"/>
      <c r="DT298" s="77"/>
      <c r="DU298" s="77"/>
      <c r="DV298" s="77"/>
      <c r="DW298" s="77"/>
      <c r="DX298" s="77"/>
      <c r="DY298" s="77"/>
      <c r="DZ298" s="77"/>
      <c r="EA298" s="77"/>
      <c r="EB298" s="77"/>
      <c r="EC298" s="77"/>
      <c r="ED298" s="77"/>
      <c r="EE298" s="77"/>
      <c r="EF298" s="77"/>
      <c r="EG298" s="77"/>
      <c r="EH298" s="77"/>
      <c r="EI298" s="77"/>
      <c r="EJ298" s="77"/>
      <c r="EK298" s="77"/>
      <c r="EL298" s="77"/>
      <c r="EM298" s="77"/>
      <c r="EN298" s="77"/>
      <c r="EO298" s="77"/>
      <c r="EP298" s="77"/>
      <c r="ER298" s="77"/>
      <c r="ES298" s="77"/>
      <c r="ET298" s="77"/>
      <c r="EU298" s="77"/>
      <c r="EV298" s="77"/>
      <c r="EW298" s="77"/>
      <c r="EX298" s="77"/>
      <c r="EY298" s="77"/>
      <c r="EZ298" s="77"/>
      <c r="FA298" s="77"/>
      <c r="FB298" s="77"/>
      <c r="FC298" s="77"/>
      <c r="FD298" s="77"/>
      <c r="FE298" s="77"/>
      <c r="FF298" s="77"/>
      <c r="FG298" s="77"/>
      <c r="FH298" s="77"/>
      <c r="FI298" s="77"/>
      <c r="FJ298" s="77"/>
      <c r="FK298" s="77"/>
      <c r="FL298" s="77"/>
      <c r="FM298" s="77"/>
      <c r="FN298" s="77"/>
      <c r="FO298" s="77"/>
      <c r="FP298" s="77"/>
      <c r="FQ298" s="77"/>
      <c r="FR298" s="77"/>
      <c r="FS298" s="77"/>
      <c r="FT298" s="77"/>
      <c r="FU298" s="77"/>
      <c r="FV298" s="77"/>
      <c r="FW298" s="77"/>
      <c r="FX298" s="77"/>
      <c r="FY298" s="77"/>
      <c r="FZ298" s="77"/>
      <c r="GA298" s="77"/>
      <c r="GB298" s="77"/>
      <c r="GC298" s="77"/>
      <c r="GD298" s="77"/>
      <c r="GE298" s="77"/>
      <c r="GF298" s="77"/>
      <c r="GG298" s="77"/>
      <c r="GH298" s="77"/>
      <c r="GI298" s="77"/>
      <c r="GJ298" s="77"/>
      <c r="GK298" s="77"/>
      <c r="GL298" s="77"/>
      <c r="GM298" s="77"/>
      <c r="GN298" s="77"/>
      <c r="GO298" s="77"/>
      <c r="GP298" s="77"/>
      <c r="GQ298" s="77"/>
      <c r="GR298" s="77"/>
      <c r="GS298" s="77"/>
      <c r="GT298" s="77"/>
      <c r="GU298" s="77"/>
      <c r="GV298" s="77"/>
      <c r="GW298" s="77"/>
      <c r="GX298" s="77"/>
      <c r="GY298" s="77"/>
      <c r="GZ298" s="77"/>
      <c r="HA298" s="77"/>
      <c r="HB298" s="77"/>
      <c r="HC298" s="77"/>
      <c r="HD298" s="77"/>
      <c r="HE298" s="77"/>
      <c r="HF298" s="77"/>
      <c r="HG298" s="77"/>
      <c r="HH298" s="77"/>
      <c r="HI298" s="77"/>
      <c r="HJ298" s="77"/>
      <c r="HK298" s="77"/>
      <c r="HL298" s="77"/>
      <c r="HM298" s="77"/>
      <c r="HN298" s="77"/>
      <c r="HO298" s="77"/>
      <c r="HP298" s="77"/>
      <c r="HQ298" s="77"/>
      <c r="HR298" s="77"/>
      <c r="HS298" s="77"/>
      <c r="HT298" s="77"/>
      <c r="HU298" s="77"/>
      <c r="HV298" s="77"/>
      <c r="HW298" s="77"/>
      <c r="HX298" s="77"/>
      <c r="HY298" s="77"/>
      <c r="HZ298" s="77"/>
      <c r="IA298" s="77"/>
      <c r="IB298" s="77"/>
      <c r="IC298" s="77"/>
      <c r="ID298" s="77"/>
      <c r="IE298" s="77"/>
      <c r="JY298" s="77"/>
      <c r="JZ298" s="77"/>
      <c r="KA298" s="77"/>
      <c r="KB298" s="77"/>
      <c r="KC298" s="77"/>
      <c r="KD298" s="77"/>
      <c r="KE298" s="77"/>
      <c r="KF298" s="77"/>
      <c r="KG298" s="77"/>
      <c r="KH298" s="77"/>
      <c r="KI298" s="77"/>
      <c r="KJ298" s="77"/>
      <c r="KK298" s="77"/>
      <c r="KL298" s="77"/>
      <c r="KM298" s="77"/>
      <c r="KN298" s="77"/>
      <c r="KO298" s="77"/>
      <c r="KP298" s="77"/>
      <c r="KQ298" s="77"/>
      <c r="KR298" s="77"/>
      <c r="KS298" s="77"/>
      <c r="KT298" s="77"/>
      <c r="KU298" s="77"/>
      <c r="KV298" s="77"/>
      <c r="KW298" s="77"/>
      <c r="KX298" s="77"/>
      <c r="KY298" s="77"/>
      <c r="KZ298" s="77"/>
      <c r="LA298" s="77"/>
      <c r="LB298" s="77"/>
      <c r="LC298" s="77"/>
      <c r="LD298" s="77"/>
      <c r="LE298" s="77"/>
      <c r="LF298" s="77"/>
      <c r="LG298" s="77"/>
      <c r="LH298" s="77"/>
      <c r="LI298" s="77"/>
      <c r="LJ298" s="77"/>
      <c r="LK298" s="77"/>
      <c r="LY298" s="77"/>
      <c r="LZ298" s="77"/>
      <c r="MA298" s="77"/>
      <c r="MB298" s="77"/>
      <c r="MC298" s="77"/>
      <c r="MD298" s="77"/>
      <c r="ME298" s="77"/>
      <c r="MF298" s="77"/>
      <c r="MG298" s="77"/>
      <c r="MH298" s="77"/>
      <c r="MI298" s="77"/>
      <c r="MJ298" s="77"/>
      <c r="MK298" s="77"/>
      <c r="ML298" s="77"/>
      <c r="MM298" s="77"/>
      <c r="MN298" s="77"/>
      <c r="MO298" s="77"/>
      <c r="MP298" s="77"/>
      <c r="MQ298" s="77"/>
      <c r="MR298" s="77"/>
      <c r="MS298" s="16"/>
      <c r="MT298" s="77"/>
      <c r="MU298" s="77"/>
      <c r="MV298" s="77"/>
      <c r="MW298" s="77"/>
      <c r="MX298" s="77"/>
      <c r="MY298" s="77"/>
      <c r="MZ298" s="77"/>
      <c r="NA298" s="77"/>
      <c r="NB298" s="77"/>
      <c r="NC298" s="77"/>
    </row>
    <row r="299" spans="1:421" ht="18.600000000000001" customHeight="1" x14ac:dyDescent="0.25">
      <c r="A299" s="119" t="s">
        <v>495</v>
      </c>
      <c r="B299" s="27" t="s">
        <v>495</v>
      </c>
      <c r="C299" s="27" t="s">
        <v>4004</v>
      </c>
      <c r="D299" s="30" t="str">
        <f>HYPERLINK("https://twitter.com/MAERomania","https://twitter.com/MAERomania")</f>
        <v>https://twitter.com/MAERomania</v>
      </c>
      <c r="E299" s="30" t="str">
        <f>HYPERLINK("http://twiplomacy.com/info/europe/Romania","http://twiplomacy.com/info/europe/Romania")</f>
        <v>http://twiplomacy.com/info/europe/Romania</v>
      </c>
      <c r="F299" s="10" t="s">
        <v>332</v>
      </c>
      <c r="G299" s="10" t="s">
        <v>491</v>
      </c>
      <c r="H299" s="10" t="s">
        <v>795</v>
      </c>
      <c r="I299" s="10" t="s">
        <v>782</v>
      </c>
      <c r="J299" s="27" t="s">
        <v>789</v>
      </c>
      <c r="K299" s="15" t="s">
        <v>777</v>
      </c>
      <c r="L299" s="10" t="s">
        <v>771</v>
      </c>
      <c r="M299" s="10" t="s">
        <v>770</v>
      </c>
      <c r="N299" s="30" t="str">
        <f>HYPERLINK("https://twitter.com/MAERomania/statuses/5333677263","https://twitter.com/MAERomania/statuses/5333677263")</f>
        <v>https://twitter.com/MAERomania/statuses/5333677263</v>
      </c>
      <c r="O299" s="20" t="s">
        <v>2135</v>
      </c>
      <c r="P299" s="46">
        <v>121</v>
      </c>
      <c r="Q299" s="46">
        <v>48</v>
      </c>
      <c r="R299" s="27" t="s">
        <v>2994</v>
      </c>
      <c r="S299" s="30" t="str">
        <f>HYPERLINK("https://twitter.com/MAERomania/lists","https://twitter.com/MAERomania/lists")</f>
        <v>https://twitter.com/MAERomania/lists</v>
      </c>
      <c r="T299" s="10" t="s">
        <v>771</v>
      </c>
      <c r="U299" s="10">
        <v>2</v>
      </c>
      <c r="V299" s="10" t="s">
        <v>771</v>
      </c>
      <c r="W299" s="10"/>
      <c r="X299" s="27" t="s">
        <v>495</v>
      </c>
      <c r="Y299" s="27" t="s">
        <v>495</v>
      </c>
      <c r="Z299" s="80">
        <v>2973</v>
      </c>
      <c r="AA299" s="27">
        <v>397</v>
      </c>
      <c r="AB299" s="80">
        <v>7940</v>
      </c>
      <c r="AC299" s="27">
        <v>138</v>
      </c>
      <c r="AD299" s="27" t="s">
        <v>4005</v>
      </c>
      <c r="AE299" s="27">
        <v>82612059</v>
      </c>
      <c r="AF299" s="27" t="s">
        <v>4004</v>
      </c>
      <c r="AG299" s="27" t="s">
        <v>2134</v>
      </c>
      <c r="AH299" s="79">
        <v>1.2434127979924701</v>
      </c>
      <c r="AI299" s="83">
        <v>1.2528445006321101</v>
      </c>
      <c r="AJ299" s="80">
        <v>1.0450090744101601</v>
      </c>
      <c r="AK299" s="80">
        <v>0.71397459165154298</v>
      </c>
      <c r="AL299" s="27">
        <v>178</v>
      </c>
      <c r="AM299" s="97">
        <f>SUM(AL299/Z299)</f>
        <v>5.9872182980154724E-2</v>
      </c>
      <c r="AN299" s="27" t="s">
        <v>495</v>
      </c>
      <c r="AO299" s="27">
        <v>43</v>
      </c>
      <c r="AP299" s="27">
        <v>28</v>
      </c>
      <c r="AQ299" s="27">
        <v>45</v>
      </c>
      <c r="AR299" s="27">
        <f>SUM(AO299:AQ299)</f>
        <v>116</v>
      </c>
      <c r="AS299" s="27" t="s">
        <v>6227</v>
      </c>
      <c r="AT299" s="27" t="s">
        <v>5270</v>
      </c>
      <c r="AU299" s="84" t="s">
        <v>6502</v>
      </c>
      <c r="BN299" s="68"/>
      <c r="BO299" s="68"/>
      <c r="BP299" s="68"/>
      <c r="BQ299" s="77"/>
      <c r="BR299" s="77"/>
      <c r="BS299" s="77"/>
      <c r="BT299" s="77"/>
      <c r="BU299" s="77"/>
      <c r="BV299" s="77"/>
      <c r="BW299" s="77"/>
      <c r="BX299" s="77"/>
      <c r="BY299" s="77"/>
      <c r="BZ299" s="77"/>
      <c r="CA299" s="77"/>
      <c r="CB299" s="77"/>
      <c r="CC299" s="77"/>
      <c r="CD299" s="77"/>
      <c r="CE299" s="77"/>
      <c r="CF299" s="77"/>
      <c r="CG299" s="77"/>
      <c r="CH299" s="77"/>
      <c r="CI299" s="77"/>
      <c r="CJ299" s="77"/>
      <c r="CK299" s="77"/>
      <c r="CL299" s="77"/>
      <c r="CM299" s="77"/>
      <c r="CN299" s="77"/>
      <c r="CO299" s="77"/>
      <c r="CP299" s="77"/>
      <c r="CQ299" s="77"/>
      <c r="CR299" s="77"/>
      <c r="CS299" s="77"/>
      <c r="CT299" s="77"/>
      <c r="CU299" s="77"/>
      <c r="CV299" s="77"/>
      <c r="CW299" s="77"/>
      <c r="EM299" s="77"/>
      <c r="EN299" s="77"/>
      <c r="EO299" s="77"/>
      <c r="EP299" s="77"/>
      <c r="ER299" s="77"/>
      <c r="ES299" s="77"/>
      <c r="ET299" s="77"/>
      <c r="EU299" s="77"/>
      <c r="EV299" s="77"/>
      <c r="EW299" s="77"/>
      <c r="EX299" s="77"/>
      <c r="EY299" s="77"/>
      <c r="EZ299" s="77"/>
      <c r="FA299" s="77"/>
      <c r="FB299" s="77"/>
      <c r="FC299" s="77"/>
      <c r="FD299" s="77"/>
      <c r="FE299" s="77"/>
      <c r="FF299" s="77"/>
      <c r="FG299" s="77"/>
      <c r="FH299" s="77"/>
      <c r="FI299" s="77"/>
      <c r="FJ299" s="77"/>
      <c r="FK299" s="77"/>
      <c r="FL299" s="77"/>
      <c r="FM299" s="77"/>
      <c r="FN299" s="77"/>
      <c r="FO299" s="77"/>
      <c r="FP299" s="77"/>
      <c r="FQ299" s="77"/>
      <c r="FR299" s="77"/>
      <c r="FS299" s="77"/>
      <c r="FT299" s="77"/>
      <c r="FU299" s="77"/>
      <c r="FV299" s="77"/>
      <c r="FW299" s="77"/>
      <c r="FX299" s="77"/>
      <c r="FY299" s="77"/>
      <c r="FZ299" s="77"/>
      <c r="GA299" s="77"/>
      <c r="GB299" s="77"/>
      <c r="GC299" s="77"/>
      <c r="GD299" s="77"/>
      <c r="GE299" s="77"/>
      <c r="GF299" s="77"/>
      <c r="GG299" s="77"/>
      <c r="GH299" s="77"/>
      <c r="GI299" s="77"/>
      <c r="GJ299" s="77"/>
      <c r="GK299" s="77"/>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77"/>
      <c r="HM299" s="77"/>
      <c r="HN299" s="77"/>
      <c r="HO299" s="77"/>
      <c r="HP299" s="77"/>
      <c r="HQ299" s="77"/>
      <c r="HR299" s="77"/>
      <c r="HS299" s="77"/>
      <c r="HT299" s="77"/>
      <c r="HU299" s="77"/>
      <c r="HV299" s="77"/>
      <c r="HW299" s="77"/>
      <c r="HX299" s="77"/>
      <c r="HY299" s="77"/>
      <c r="HZ299" s="77"/>
      <c r="IA299" s="77"/>
      <c r="IB299" s="77"/>
      <c r="IC299" s="77"/>
      <c r="IF299" s="77"/>
      <c r="IG299" s="77"/>
      <c r="IH299" s="77"/>
      <c r="II299" s="77"/>
      <c r="IJ299" s="77"/>
      <c r="IK299" s="77"/>
      <c r="IL299" s="77"/>
      <c r="IM299" s="77"/>
      <c r="IN299" s="77"/>
      <c r="IO299" s="77"/>
      <c r="IP299" s="77"/>
      <c r="IQ299" s="77"/>
      <c r="IR299" s="77"/>
      <c r="IS299" s="77"/>
      <c r="IT299" s="77"/>
      <c r="IU299" s="77"/>
      <c r="IV299" s="77"/>
      <c r="IW299" s="77"/>
      <c r="IX299" s="77"/>
      <c r="IY299" s="77"/>
      <c r="IZ299" s="77"/>
      <c r="JA299" s="77"/>
      <c r="JB299" s="77"/>
      <c r="JC299" s="77"/>
      <c r="JD299" s="77"/>
      <c r="JE299" s="77"/>
      <c r="JF299" s="77"/>
      <c r="JG299" s="77"/>
      <c r="JH299" s="77"/>
      <c r="JI299" s="77"/>
      <c r="JJ299" s="77"/>
      <c r="JK299" s="77"/>
      <c r="JL299" s="77"/>
      <c r="JM299" s="77"/>
      <c r="JN299" s="77"/>
      <c r="JO299" s="77"/>
      <c r="JP299" s="77"/>
      <c r="JQ299" s="77"/>
      <c r="JR299" s="77"/>
      <c r="JS299" s="77"/>
      <c r="JT299" s="77"/>
      <c r="JU299" s="77"/>
      <c r="JV299" s="77"/>
      <c r="JW299" s="77"/>
      <c r="JX299" s="77"/>
      <c r="JY299" s="77"/>
      <c r="JZ299" s="77"/>
      <c r="KA299" s="77"/>
      <c r="KB299" s="77"/>
      <c r="KC299" s="77"/>
      <c r="KD299" s="77"/>
      <c r="KE299" s="77"/>
      <c r="KF299" s="77"/>
      <c r="KG299" s="77"/>
      <c r="KH299" s="77"/>
      <c r="KI299" s="77"/>
      <c r="KJ299" s="77"/>
      <c r="KK299" s="77"/>
      <c r="KL299" s="77"/>
      <c r="LW299" s="77"/>
      <c r="LX299" s="77"/>
      <c r="LY299" s="77"/>
      <c r="LZ299" s="77"/>
      <c r="MA299" s="77"/>
      <c r="MB299" s="77"/>
      <c r="MC299" s="77"/>
      <c r="MD299" s="77"/>
      <c r="ME299" s="77"/>
      <c r="MF299" s="77"/>
      <c r="MG299" s="77"/>
      <c r="MH299" s="77"/>
      <c r="MI299" s="77"/>
      <c r="MJ299" s="77"/>
      <c r="MK299" s="77"/>
      <c r="ML299" s="77"/>
      <c r="MM299" s="77"/>
      <c r="MN299" s="77"/>
      <c r="MO299" s="77"/>
      <c r="MP299" s="77"/>
      <c r="MQ299" s="77"/>
      <c r="MR299" s="77"/>
    </row>
    <row r="300" spans="1:421" ht="18.600000000000001" customHeight="1" x14ac:dyDescent="0.25">
      <c r="A300" s="119" t="s">
        <v>1361</v>
      </c>
      <c r="B300" s="27" t="s">
        <v>1362</v>
      </c>
      <c r="C300" s="27" t="s">
        <v>6405</v>
      </c>
      <c r="D300" s="30" t="str">
        <f>HYPERLINK("https://twitter.com/IsraeliPM_heb","https://twitter.com/IsraeliPM_heb")</f>
        <v>https://twitter.com/IsraeliPM_heb</v>
      </c>
      <c r="E300" s="30" t="str">
        <f>HYPERLINK("http://twiplomacy.com/info/asia/Israel","http://twiplomacy.com/info/asia/Israel")</f>
        <v>http://twiplomacy.com/info/asia/Israel</v>
      </c>
      <c r="F300" s="10" t="s">
        <v>154</v>
      </c>
      <c r="G300" s="10" t="s">
        <v>207</v>
      </c>
      <c r="H300" s="10" t="s">
        <v>788</v>
      </c>
      <c r="I300" s="10" t="s">
        <v>782</v>
      </c>
      <c r="J300" s="27" t="s">
        <v>789</v>
      </c>
      <c r="K300" s="15" t="s">
        <v>777</v>
      </c>
      <c r="L300" s="10" t="s">
        <v>771</v>
      </c>
      <c r="M300" s="10" t="s">
        <v>770</v>
      </c>
      <c r="N300" s="30" t="str">
        <f>HYPERLINK("https://twitter.com/IsraeliPM_heb/statuses/283157244701466624","https://twitter.com/IsraeliPM_heb/statuses/283157244701466624")</f>
        <v>https://twitter.com/IsraeliPM_heb/statuses/283157244701466624</v>
      </c>
      <c r="O300" s="27" t="s">
        <v>1363</v>
      </c>
      <c r="P300" s="80">
        <v>66</v>
      </c>
      <c r="Q300" s="80">
        <v>43</v>
      </c>
      <c r="R300" s="27" t="s">
        <v>2994</v>
      </c>
      <c r="S300" s="10" t="s">
        <v>1364</v>
      </c>
      <c r="T300" s="10" t="s">
        <v>771</v>
      </c>
      <c r="U300" s="10" t="s">
        <v>771</v>
      </c>
      <c r="V300" s="10" t="s">
        <v>771</v>
      </c>
      <c r="W300" s="10"/>
      <c r="X300" s="27" t="s">
        <v>1361</v>
      </c>
      <c r="Y300" s="27" t="s">
        <v>1362</v>
      </c>
      <c r="Z300" s="80">
        <v>2956</v>
      </c>
      <c r="AA300" s="27">
        <v>100</v>
      </c>
      <c r="AB300" s="80">
        <v>7701</v>
      </c>
      <c r="AC300" s="27">
        <v>0</v>
      </c>
      <c r="AD300" s="27" t="s">
        <v>3858</v>
      </c>
      <c r="AE300" s="27">
        <v>1015176121</v>
      </c>
      <c r="AF300" s="27" t="s">
        <v>6405</v>
      </c>
      <c r="AG300" s="27" t="s">
        <v>1365</v>
      </c>
      <c r="AH300" s="79">
        <v>2.39740470397405</v>
      </c>
      <c r="AI300" s="83">
        <v>2.4189852700491001</v>
      </c>
      <c r="AJ300" s="80">
        <v>1.58482898747037</v>
      </c>
      <c r="AK300" s="80">
        <v>2.8398239078902798</v>
      </c>
      <c r="AL300" s="27">
        <v>1102</v>
      </c>
      <c r="AM300" s="97">
        <f>SUM(AL300/Z300)</f>
        <v>0.37280108254397837</v>
      </c>
      <c r="AN300" s="27" t="s">
        <v>1361</v>
      </c>
      <c r="AO300" s="27">
        <v>2</v>
      </c>
      <c r="AP300" s="27">
        <v>5</v>
      </c>
      <c r="AQ300" s="27">
        <v>6</v>
      </c>
      <c r="AR300" s="27">
        <f>SUM(AO300:AQ300)</f>
        <v>13</v>
      </c>
      <c r="AS300" s="27" t="s">
        <v>5205</v>
      </c>
      <c r="AT300" s="27" t="s">
        <v>5206</v>
      </c>
      <c r="AU300" s="84" t="s">
        <v>4770</v>
      </c>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77"/>
      <c r="BU300" s="77"/>
      <c r="BV300" s="77"/>
      <c r="BW300" s="77"/>
      <c r="BX300" s="77"/>
      <c r="BY300" s="77"/>
      <c r="BZ300" s="77"/>
      <c r="CA300" s="77"/>
      <c r="CB300" s="77"/>
      <c r="CX300" s="77"/>
      <c r="CY300" s="77"/>
      <c r="CZ300" s="77"/>
      <c r="DA300" s="77"/>
      <c r="DB300" s="77"/>
      <c r="DC300" s="77"/>
      <c r="DD300" s="77"/>
      <c r="DE300" s="77"/>
      <c r="DF300" s="77"/>
      <c r="DG300" s="77"/>
      <c r="DH300" s="77"/>
      <c r="DI300" s="77"/>
      <c r="DJ300" s="77"/>
      <c r="DK300" s="77"/>
      <c r="DL300" s="77"/>
      <c r="DM300" s="77"/>
      <c r="DN300" s="77"/>
      <c r="DO300" s="77"/>
      <c r="DP300" s="77"/>
      <c r="DQ300" s="77"/>
      <c r="DR300" s="77"/>
      <c r="DS300" s="77"/>
      <c r="DT300" s="77"/>
      <c r="DU300" s="77"/>
      <c r="DV300" s="77"/>
      <c r="DW300" s="77"/>
      <c r="DX300" s="77"/>
      <c r="DY300" s="77"/>
      <c r="DZ300" s="77"/>
      <c r="EA300" s="77"/>
      <c r="EB300" s="77"/>
      <c r="EC300" s="77"/>
      <c r="ED300" s="77"/>
      <c r="EE300" s="77"/>
      <c r="EF300" s="77"/>
      <c r="EG300" s="77"/>
      <c r="EH300" s="77"/>
      <c r="EI300" s="77"/>
      <c r="EJ300" s="77"/>
      <c r="EK300" s="77"/>
      <c r="EL300" s="77"/>
      <c r="EM300" s="77"/>
      <c r="EN300" s="77"/>
      <c r="EO300" s="77"/>
      <c r="EP300" s="77"/>
      <c r="EQ300" s="77"/>
      <c r="ER300" s="77"/>
      <c r="ES300" s="77"/>
      <c r="ET300" s="77"/>
      <c r="EU300" s="77"/>
      <c r="EV300" s="77"/>
      <c r="EW300" s="77"/>
      <c r="EX300" s="77"/>
      <c r="EY300" s="77"/>
      <c r="EZ300" s="77"/>
      <c r="FA300" s="77"/>
      <c r="FB300" s="77"/>
      <c r="FC300" s="77"/>
      <c r="FD300" s="77"/>
      <c r="FE300" s="77"/>
      <c r="FF300" s="77"/>
      <c r="FG300" s="77"/>
      <c r="FH300" s="77"/>
      <c r="FI300" s="77"/>
      <c r="FJ300" s="77"/>
      <c r="FK300" s="77"/>
      <c r="FL300" s="77"/>
      <c r="FM300" s="77"/>
      <c r="FN300" s="77"/>
      <c r="FO300" s="77"/>
      <c r="FP300" s="77"/>
      <c r="FQ300" s="77"/>
      <c r="FR300" s="77"/>
      <c r="FS300" s="77"/>
      <c r="FT300" s="77"/>
      <c r="FU300" s="77"/>
      <c r="FV300" s="77"/>
      <c r="FW300" s="77"/>
      <c r="FX300" s="77"/>
      <c r="FY300" s="77"/>
      <c r="FZ300" s="77"/>
      <c r="GA300" s="77"/>
      <c r="GB300" s="77"/>
      <c r="GC300" s="77"/>
      <c r="GD300" s="77"/>
      <c r="GE300" s="77"/>
      <c r="GF300" s="77"/>
      <c r="GG300" s="77"/>
      <c r="GH300" s="77"/>
      <c r="GI300" s="77"/>
      <c r="GJ300" s="77"/>
      <c r="GK300" s="77"/>
      <c r="GL300" s="77"/>
      <c r="GM300" s="77"/>
      <c r="GN300" s="77"/>
      <c r="GO300" s="77"/>
      <c r="GP300" s="77"/>
      <c r="GQ300" s="77"/>
      <c r="GR300" s="77"/>
      <c r="GS300" s="77"/>
      <c r="GT300" s="77"/>
      <c r="GU300" s="77"/>
      <c r="GV300" s="77"/>
      <c r="GW300" s="77"/>
      <c r="GX300" s="77"/>
      <c r="GY300" s="77"/>
      <c r="GZ300" s="77"/>
      <c r="HA300" s="77"/>
      <c r="HB300" s="77"/>
      <c r="HC300" s="77"/>
      <c r="HD300" s="77"/>
      <c r="HE300" s="77"/>
      <c r="HF300" s="77"/>
      <c r="HG300" s="77"/>
      <c r="HH300" s="77"/>
      <c r="HI300" s="77"/>
      <c r="HJ300" s="77"/>
      <c r="HK300" s="77"/>
      <c r="ID300" s="77"/>
      <c r="IE300" s="77"/>
      <c r="IF300" s="77"/>
      <c r="IG300" s="77"/>
      <c r="IH300" s="77"/>
      <c r="II300" s="77"/>
      <c r="IJ300" s="77"/>
      <c r="IK300" s="77"/>
      <c r="IL300" s="77"/>
      <c r="IM300" s="77"/>
      <c r="IN300" s="77"/>
      <c r="IO300" s="77"/>
      <c r="IP300" s="77"/>
      <c r="IQ300" s="77"/>
      <c r="IR300" s="77"/>
      <c r="IS300" s="77"/>
      <c r="IT300" s="77"/>
      <c r="IU300" s="77"/>
      <c r="IV300" s="77"/>
      <c r="IW300" s="77"/>
      <c r="IX300" s="77"/>
      <c r="IY300" s="77"/>
      <c r="IZ300" s="77"/>
      <c r="JA300" s="77"/>
      <c r="JB300" s="77"/>
      <c r="JC300" s="77"/>
      <c r="JD300" s="77"/>
      <c r="JE300" s="77"/>
      <c r="JF300" s="77"/>
      <c r="JG300" s="77"/>
      <c r="JH300" s="77"/>
      <c r="JI300" s="77"/>
      <c r="JJ300" s="77"/>
      <c r="JK300" s="77"/>
      <c r="JL300" s="77"/>
      <c r="JM300" s="77"/>
      <c r="JN300" s="77"/>
      <c r="JO300" s="77"/>
      <c r="JP300" s="77"/>
      <c r="JQ300" s="77"/>
      <c r="JR300" s="77"/>
      <c r="JS300" s="77"/>
      <c r="JT300" s="77"/>
      <c r="JU300" s="77"/>
      <c r="JV300" s="77"/>
      <c r="JW300" s="77"/>
      <c r="JX300" s="77"/>
      <c r="JY300" s="77"/>
      <c r="JZ300" s="77"/>
      <c r="KA300" s="77"/>
      <c r="KB300" s="77"/>
      <c r="KC300" s="77"/>
      <c r="KD300" s="77"/>
      <c r="KE300" s="77"/>
      <c r="KF300" s="77"/>
      <c r="KG300" s="77"/>
      <c r="KH300" s="77"/>
      <c r="KI300" s="77"/>
      <c r="KJ300" s="77"/>
      <c r="KK300" s="77"/>
      <c r="KL300" s="77"/>
      <c r="MS300" s="77"/>
      <c r="ND300" s="77"/>
      <c r="NE300" s="77"/>
      <c r="NF300" s="77"/>
      <c r="NG300" s="77"/>
      <c r="NH300" s="77"/>
      <c r="NI300" s="77"/>
      <c r="NJ300" s="77"/>
      <c r="NK300" s="77"/>
      <c r="NL300" s="77"/>
      <c r="NM300" s="77"/>
      <c r="NN300" s="77"/>
      <c r="NO300" s="77"/>
      <c r="NP300" s="77"/>
      <c r="NQ300" s="77"/>
      <c r="NR300" s="77"/>
      <c r="NS300" s="77"/>
      <c r="NT300" s="77"/>
      <c r="NU300" s="77"/>
      <c r="NV300" s="77"/>
      <c r="NW300" s="77"/>
      <c r="NX300" s="77"/>
      <c r="NY300" s="77"/>
      <c r="NZ300" s="77"/>
      <c r="OA300" s="77"/>
      <c r="OB300" s="77"/>
      <c r="OC300" s="77"/>
      <c r="OD300" s="77"/>
      <c r="OE300" s="77"/>
      <c r="OF300" s="77"/>
      <c r="OG300" s="77"/>
      <c r="OH300" s="77"/>
      <c r="OI300" s="77"/>
      <c r="OJ300" s="77"/>
      <c r="OK300" s="77"/>
      <c r="OL300" s="77"/>
      <c r="OM300" s="77"/>
      <c r="ON300" s="77"/>
      <c r="OO300" s="77"/>
      <c r="OP300" s="77"/>
      <c r="OQ300" s="77"/>
      <c r="OR300" s="77"/>
      <c r="OS300" s="77"/>
      <c r="OT300" s="77"/>
      <c r="OU300" s="77"/>
      <c r="OV300" s="77"/>
      <c r="OW300" s="77"/>
      <c r="OX300" s="77"/>
      <c r="OY300" s="77"/>
      <c r="OZ300" s="77"/>
      <c r="PA300" s="77"/>
      <c r="PB300" s="77"/>
      <c r="PC300" s="77"/>
      <c r="PD300" s="77"/>
      <c r="PE300" s="77"/>
    </row>
    <row r="301" spans="1:421" ht="18.600000000000001" customHeight="1" x14ac:dyDescent="0.25">
      <c r="A301" s="119" t="s">
        <v>222</v>
      </c>
      <c r="B301" s="27" t="s">
        <v>1412</v>
      </c>
      <c r="C301" s="27" t="s">
        <v>4186</v>
      </c>
      <c r="D301" s="30" t="str">
        <f>HYPERLINK("https://twitter.com/NasserJudeh","https://twitter.com/NasserJudeh")</f>
        <v>https://twitter.com/NasserJudeh</v>
      </c>
      <c r="E301" s="30" t="str">
        <f>HYPERLINK("http://twiplomacy.com/info/asia/Jordan","http://twiplomacy.com/info/asia/Jordan")</f>
        <v>http://twiplomacy.com/info/asia/Jordan</v>
      </c>
      <c r="F301" s="10" t="s">
        <v>154</v>
      </c>
      <c r="G301" s="10" t="s">
        <v>217</v>
      </c>
      <c r="H301" s="10" t="s">
        <v>860</v>
      </c>
      <c r="I301" s="10" t="s">
        <v>773</v>
      </c>
      <c r="J301" s="27" t="s">
        <v>789</v>
      </c>
      <c r="K301" s="15" t="s">
        <v>777</v>
      </c>
      <c r="L301" s="10" t="s">
        <v>770</v>
      </c>
      <c r="M301" s="10" t="s">
        <v>771</v>
      </c>
      <c r="N301" s="30" t="str">
        <f>HYPERLINK("https://twitter.com/NasserJudeh/statuses/3513495561","https://twitter.com/NasserJudeh/statuses/3513495561")</f>
        <v>https://twitter.com/NasserJudeh/statuses/3513495561</v>
      </c>
      <c r="O301" s="27" t="s">
        <v>1413</v>
      </c>
      <c r="P301" s="80">
        <v>628</v>
      </c>
      <c r="Q301" s="80">
        <v>366</v>
      </c>
      <c r="R301" s="27" t="s">
        <v>2994</v>
      </c>
      <c r="S301" s="10" t="s">
        <v>1414</v>
      </c>
      <c r="T301" s="10" t="s">
        <v>771</v>
      </c>
      <c r="U301" s="10" t="s">
        <v>771</v>
      </c>
      <c r="V301" s="10" t="s">
        <v>771</v>
      </c>
      <c r="W301" s="10"/>
      <c r="X301" s="27" t="s">
        <v>222</v>
      </c>
      <c r="Y301" s="27" t="s">
        <v>1412</v>
      </c>
      <c r="Z301" s="80">
        <v>2873</v>
      </c>
      <c r="AA301" s="27">
        <v>147</v>
      </c>
      <c r="AB301" s="80">
        <v>118956</v>
      </c>
      <c r="AC301" s="27">
        <v>20</v>
      </c>
      <c r="AD301" s="27" t="s">
        <v>4187</v>
      </c>
      <c r="AE301" s="27">
        <v>46638111</v>
      </c>
      <c r="AF301" s="27" t="s">
        <v>4186</v>
      </c>
      <c r="AG301" s="27" t="s">
        <v>4188</v>
      </c>
      <c r="AH301" s="79">
        <v>1.1418918918918901</v>
      </c>
      <c r="AI301" s="83">
        <v>1.17630176301763</v>
      </c>
      <c r="AJ301" s="80">
        <v>8.2872340425531892</v>
      </c>
      <c r="AK301" s="80">
        <v>7.6243862520458299</v>
      </c>
      <c r="AL301" s="27">
        <v>1087</v>
      </c>
      <c r="AM301" s="97">
        <f>SUM(AL301/Z301)</f>
        <v>0.3783501566306996</v>
      </c>
      <c r="AN301" s="27" t="s">
        <v>222</v>
      </c>
      <c r="AO301" s="27">
        <v>17</v>
      </c>
      <c r="AP301" s="27">
        <v>31</v>
      </c>
      <c r="AQ301" s="27">
        <v>13</v>
      </c>
      <c r="AR301" s="27">
        <f>SUM(AO301:AQ301)</f>
        <v>61</v>
      </c>
      <c r="AS301" s="27" t="s">
        <v>5361</v>
      </c>
      <c r="AT301" s="27" t="s">
        <v>5622</v>
      </c>
      <c r="AU301" s="84" t="s">
        <v>6516</v>
      </c>
      <c r="BM301" s="77"/>
      <c r="BN301" s="74"/>
      <c r="BO301" s="74"/>
      <c r="BP301" s="74"/>
      <c r="BQ301" s="77"/>
      <c r="BR301" s="77"/>
      <c r="BS301" s="77"/>
      <c r="BT301" s="77"/>
      <c r="BU301" s="77"/>
      <c r="BV301" s="77"/>
      <c r="BW301" s="77"/>
      <c r="BX301" s="77"/>
      <c r="BY301" s="77"/>
      <c r="BZ301" s="77"/>
      <c r="CA301" s="77"/>
      <c r="CB301" s="77"/>
      <c r="CC301" s="77"/>
      <c r="CD301" s="77"/>
      <c r="CE301" s="77"/>
      <c r="CF301" s="77"/>
      <c r="CG301" s="77"/>
      <c r="CH301" s="77"/>
      <c r="CI301" s="77"/>
      <c r="CJ301" s="77"/>
      <c r="CK301" s="77"/>
      <c r="CL301" s="77"/>
      <c r="CM301" s="77"/>
      <c r="CN301" s="77"/>
      <c r="CO301" s="77"/>
      <c r="CP301" s="77"/>
      <c r="CQ301" s="77"/>
      <c r="CR301" s="77"/>
      <c r="CS301" s="77"/>
      <c r="CT301" s="77"/>
      <c r="CU301" s="77"/>
      <c r="CV301" s="77"/>
      <c r="CW301" s="77"/>
      <c r="CX301" s="77"/>
      <c r="CY301" s="77"/>
      <c r="CZ301" s="77"/>
      <c r="DA301" s="77"/>
      <c r="DB301" s="77"/>
      <c r="DC301" s="77"/>
      <c r="DD301" s="77"/>
      <c r="DE301" s="77"/>
      <c r="DF301" s="77"/>
      <c r="DG301" s="77"/>
      <c r="DH301" s="77"/>
      <c r="DI301" s="77"/>
      <c r="DJ301" s="77"/>
      <c r="DK301" s="77"/>
      <c r="DL301" s="77"/>
      <c r="DM301" s="77"/>
      <c r="DN301" s="77"/>
      <c r="DO301" s="77"/>
      <c r="DP301" s="77"/>
      <c r="DQ301" s="77"/>
      <c r="DR301" s="77"/>
      <c r="DS301" s="77"/>
      <c r="DT301" s="77"/>
      <c r="DU301" s="77"/>
      <c r="DV301" s="77"/>
      <c r="DW301" s="77"/>
      <c r="DX301" s="77"/>
      <c r="DY301" s="77"/>
      <c r="DZ301" s="77"/>
      <c r="EA301" s="77"/>
      <c r="EB301" s="77"/>
      <c r="EC301" s="77"/>
      <c r="ED301" s="77"/>
      <c r="EE301" s="77"/>
      <c r="EF301" s="77"/>
      <c r="EG301" s="77"/>
      <c r="EH301" s="77"/>
      <c r="EI301" s="77"/>
      <c r="EJ301" s="77"/>
      <c r="EK301" s="77"/>
      <c r="EL301" s="77"/>
      <c r="EM301" s="77"/>
      <c r="EN301" s="77"/>
      <c r="EO301" s="77"/>
      <c r="ID301" s="77"/>
      <c r="IE301" s="77"/>
      <c r="IF301" s="77"/>
      <c r="IG301" s="77"/>
      <c r="IH301" s="77"/>
      <c r="II301" s="77"/>
      <c r="IJ301" s="77"/>
      <c r="IK301" s="77"/>
      <c r="IL301" s="77"/>
      <c r="IM301" s="77"/>
      <c r="IN301" s="77"/>
      <c r="IO301" s="77"/>
      <c r="IP301" s="77"/>
      <c r="IQ301" s="77"/>
      <c r="IR301" s="77"/>
      <c r="IS301" s="77"/>
      <c r="IT301" s="77"/>
      <c r="IU301" s="77"/>
      <c r="IV301" s="77"/>
      <c r="IW301" s="77"/>
      <c r="IX301" s="77"/>
      <c r="IY301" s="77"/>
      <c r="IZ301" s="77"/>
      <c r="JA301" s="77"/>
      <c r="JB301" s="77"/>
      <c r="JC301" s="77"/>
      <c r="JD301" s="77"/>
      <c r="JE301" s="77"/>
      <c r="JF301" s="77"/>
      <c r="JG301" s="77"/>
      <c r="JH301" s="77"/>
      <c r="JI301" s="77"/>
      <c r="JJ301" s="77"/>
      <c r="JK301" s="77"/>
      <c r="JL301" s="77"/>
      <c r="JM301" s="77"/>
      <c r="JN301" s="77"/>
      <c r="JO301" s="77"/>
      <c r="JP301" s="77"/>
      <c r="JQ301" s="77"/>
      <c r="JR301" s="77"/>
      <c r="JS301" s="77"/>
      <c r="JT301" s="77"/>
      <c r="JU301" s="77"/>
      <c r="JV301" s="77"/>
      <c r="JW301" s="77"/>
      <c r="JX301" s="77"/>
      <c r="JY301" s="77"/>
      <c r="JZ301" s="77"/>
      <c r="KA301" s="77"/>
      <c r="KB301" s="77"/>
      <c r="KC301" s="77"/>
      <c r="KD301" s="77"/>
      <c r="KE301" s="77"/>
      <c r="KF301" s="77"/>
      <c r="KG301" s="77"/>
      <c r="KH301" s="77"/>
      <c r="KI301" s="77"/>
      <c r="KJ301" s="77"/>
      <c r="KK301" s="77"/>
      <c r="KL301" s="77"/>
      <c r="KM301" s="77"/>
      <c r="KN301" s="77"/>
      <c r="KO301" s="77"/>
      <c r="KP301" s="77"/>
      <c r="KQ301" s="77"/>
      <c r="KR301" s="77"/>
      <c r="KS301" s="77"/>
      <c r="KT301" s="77"/>
      <c r="KU301" s="77"/>
      <c r="KV301" s="77"/>
      <c r="KW301" s="77"/>
      <c r="KX301" s="77"/>
      <c r="KY301" s="77"/>
      <c r="KZ301" s="77"/>
      <c r="LA301" s="77"/>
      <c r="LB301" s="77"/>
      <c r="LC301" s="77"/>
      <c r="LD301" s="77"/>
      <c r="LE301" s="77"/>
      <c r="LF301" s="77"/>
      <c r="LG301" s="77"/>
      <c r="LH301" s="77"/>
      <c r="LI301" s="77"/>
      <c r="LJ301" s="77"/>
      <c r="LK301" s="77"/>
      <c r="LL301" s="77"/>
      <c r="LM301" s="77"/>
      <c r="LN301" s="77"/>
      <c r="LO301" s="77"/>
      <c r="LP301" s="77"/>
      <c r="LQ301" s="77"/>
      <c r="LR301" s="77"/>
      <c r="LS301" s="77"/>
      <c r="LT301" s="77"/>
      <c r="LU301" s="77"/>
      <c r="LV301" s="77"/>
      <c r="LW301" s="77"/>
      <c r="LX301" s="77"/>
      <c r="LY301" s="77"/>
      <c r="LZ301" s="77"/>
      <c r="MA301" s="77"/>
      <c r="MB301" s="77"/>
      <c r="MC301" s="77"/>
      <c r="MD301" s="77"/>
      <c r="ME301" s="77"/>
      <c r="MF301" s="77"/>
      <c r="MG301" s="77"/>
      <c r="MH301" s="77"/>
      <c r="MI301" s="77"/>
      <c r="MJ301" s="77"/>
      <c r="MK301" s="77"/>
      <c r="ML301" s="77"/>
      <c r="MM301" s="77"/>
      <c r="MN301" s="77"/>
      <c r="MO301" s="77"/>
      <c r="MP301" s="77"/>
      <c r="MQ301" s="77"/>
      <c r="MR301" s="77"/>
      <c r="MS301" s="77"/>
      <c r="MT301" s="77"/>
      <c r="MU301" s="77"/>
      <c r="MV301" s="77"/>
      <c r="MW301" s="77"/>
      <c r="MX301" s="77"/>
      <c r="MY301" s="77"/>
      <c r="MZ301" s="77"/>
      <c r="NA301" s="77"/>
      <c r="NB301" s="77"/>
      <c r="NC301" s="77"/>
    </row>
    <row r="302" spans="1:421" ht="18.600000000000001" customHeight="1" x14ac:dyDescent="0.25">
      <c r="A302" s="119" t="s">
        <v>122</v>
      </c>
      <c r="B302" s="27" t="s">
        <v>3617</v>
      </c>
      <c r="C302" s="27" t="s">
        <v>3618</v>
      </c>
      <c r="D302" s="34" t="s">
        <v>1103</v>
      </c>
      <c r="E302" s="30" t="str">
        <f>HYPERLINK("http://twiplomacy.com/info/africa/South-Africa","http://twiplomacy.com/info/africa/South-Africa")</f>
        <v>http://twiplomacy.com/info/africa/South-Africa</v>
      </c>
      <c r="F302" s="38" t="s">
        <v>1</v>
      </c>
      <c r="G302" s="38" t="s">
        <v>118</v>
      </c>
      <c r="H302" s="38" t="s">
        <v>795</v>
      </c>
      <c r="I302" s="38" t="s">
        <v>782</v>
      </c>
      <c r="J302" s="27" t="s">
        <v>789</v>
      </c>
      <c r="K302" s="15" t="s">
        <v>777</v>
      </c>
      <c r="L302" s="10" t="s">
        <v>771</v>
      </c>
      <c r="M302" s="42" t="s">
        <v>770</v>
      </c>
      <c r="N302" s="34" t="s">
        <v>1104</v>
      </c>
      <c r="O302" s="27" t="s">
        <v>5803</v>
      </c>
      <c r="P302" s="80">
        <v>43</v>
      </c>
      <c r="Q302" s="80">
        <v>47</v>
      </c>
      <c r="R302" s="27" t="s">
        <v>2995</v>
      </c>
      <c r="S302" s="101" t="s">
        <v>1105</v>
      </c>
      <c r="T302" s="14" t="s">
        <v>771</v>
      </c>
      <c r="U302" s="14" t="s">
        <v>771</v>
      </c>
      <c r="V302" s="14" t="s">
        <v>771</v>
      </c>
      <c r="W302" s="42"/>
      <c r="X302" s="27" t="s">
        <v>122</v>
      </c>
      <c r="Y302" s="27" t="s">
        <v>3617</v>
      </c>
      <c r="Z302" s="80">
        <v>2848</v>
      </c>
      <c r="AA302" s="27">
        <v>2807</v>
      </c>
      <c r="AB302" s="80">
        <v>5660</v>
      </c>
      <c r="AC302" s="27">
        <v>163</v>
      </c>
      <c r="AD302" s="27" t="s">
        <v>3619</v>
      </c>
      <c r="AE302" s="27">
        <v>3003300111</v>
      </c>
      <c r="AF302" s="27" t="s">
        <v>3618</v>
      </c>
      <c r="AG302" s="27" t="s">
        <v>1098</v>
      </c>
      <c r="AH302" s="79">
        <v>6.1913043478260903</v>
      </c>
      <c r="AI302" s="83">
        <v>6.2434210526315796</v>
      </c>
      <c r="AJ302" s="80">
        <v>2.0656370656370702</v>
      </c>
      <c r="AK302" s="80">
        <v>0.91184041184041198</v>
      </c>
      <c r="AL302" s="27">
        <v>96</v>
      </c>
      <c r="AM302" s="97">
        <f>SUM(AL302/Z302)</f>
        <v>3.3707865168539325E-2</v>
      </c>
      <c r="AN302" s="27" t="s">
        <v>122</v>
      </c>
      <c r="AO302" s="27">
        <v>9</v>
      </c>
      <c r="AP302" s="27">
        <v>6</v>
      </c>
      <c r="AQ302" s="27">
        <v>6</v>
      </c>
      <c r="AR302" s="27">
        <f>SUM(AO302:AQ302)</f>
        <v>21</v>
      </c>
      <c r="AS302" s="27" t="s">
        <v>5604</v>
      </c>
      <c r="AT302" s="27" t="s">
        <v>6701</v>
      </c>
      <c r="AU302" s="84" t="s">
        <v>4695</v>
      </c>
      <c r="AV302" s="77"/>
      <c r="AW302" s="77"/>
      <c r="AX302" s="77"/>
      <c r="AY302" s="77"/>
      <c r="AZ302" s="77"/>
      <c r="BA302" s="77"/>
      <c r="BB302" s="77"/>
      <c r="BC302" s="77"/>
      <c r="BD302" s="77"/>
      <c r="BE302" s="77"/>
      <c r="BF302" s="77"/>
      <c r="BG302" s="77"/>
      <c r="BH302" s="77"/>
      <c r="BI302" s="77"/>
      <c r="BJ302" s="77"/>
      <c r="BK302" s="77"/>
      <c r="BL302" s="77"/>
      <c r="BQ302" s="77"/>
      <c r="BR302" s="77"/>
      <c r="BS302" s="77"/>
      <c r="BT302" s="77"/>
      <c r="BU302" s="77"/>
      <c r="BV302" s="77"/>
      <c r="BW302" s="77"/>
      <c r="BX302" s="77"/>
      <c r="BY302" s="77"/>
      <c r="BZ302" s="77"/>
      <c r="CA302" s="77"/>
      <c r="CB302" s="77"/>
      <c r="CC302" s="77"/>
      <c r="CD302" s="77"/>
      <c r="CE302" s="77"/>
      <c r="CF302" s="77"/>
      <c r="CG302" s="77"/>
      <c r="CH302" s="77"/>
      <c r="CI302" s="77"/>
      <c r="CJ302" s="77"/>
      <c r="CK302" s="77"/>
      <c r="CL302" s="77"/>
      <c r="CM302" s="77"/>
      <c r="CN302" s="77"/>
      <c r="CO302" s="77"/>
      <c r="CP302" s="77"/>
      <c r="CQ302" s="77"/>
      <c r="CR302" s="77"/>
      <c r="CS302" s="77"/>
      <c r="CT302" s="77"/>
      <c r="CU302" s="77"/>
      <c r="CV302" s="77"/>
      <c r="CW302" s="77"/>
      <c r="CX302" s="77"/>
      <c r="CY302" s="77"/>
      <c r="CZ302" s="77"/>
      <c r="DA302" s="77"/>
      <c r="DB302" s="77"/>
      <c r="DC302" s="77"/>
      <c r="DD302" s="77"/>
      <c r="DE302" s="77"/>
      <c r="DF302" s="77"/>
      <c r="DG302" s="77"/>
      <c r="DH302" s="77"/>
      <c r="DI302" s="77"/>
      <c r="DJ302" s="77"/>
      <c r="DK302" s="77"/>
      <c r="DL302" s="77"/>
      <c r="DM302" s="77"/>
      <c r="DN302" s="77"/>
      <c r="DO302" s="77"/>
      <c r="DP302" s="77"/>
      <c r="DQ302" s="77"/>
      <c r="DR302" s="77"/>
      <c r="DS302" s="77"/>
      <c r="DT302" s="77"/>
      <c r="DU302" s="77"/>
      <c r="DV302" s="77"/>
      <c r="DW302" s="77"/>
      <c r="DX302" s="77"/>
      <c r="DY302" s="77"/>
      <c r="DZ302" s="77"/>
      <c r="EA302" s="77"/>
      <c r="EB302" s="77"/>
      <c r="EC302" s="77"/>
      <c r="ED302" s="77"/>
      <c r="EE302" s="77"/>
      <c r="EF302" s="77"/>
      <c r="EG302" s="77"/>
      <c r="EH302" s="77"/>
      <c r="EI302" s="77"/>
      <c r="EJ302" s="77"/>
      <c r="EK302" s="77"/>
      <c r="EL302" s="77"/>
      <c r="EP302" s="77"/>
      <c r="GL302" s="77"/>
      <c r="GM302" s="77"/>
      <c r="GN302" s="77"/>
      <c r="GO302" s="77"/>
      <c r="GP302" s="77"/>
      <c r="GQ302" s="77"/>
      <c r="GR302" s="77"/>
      <c r="GS302" s="77"/>
      <c r="GT302" s="77"/>
      <c r="GU302" s="77"/>
      <c r="GV302" s="77"/>
      <c r="GW302" s="77"/>
      <c r="GX302" s="77"/>
      <c r="GY302" s="77"/>
      <c r="GZ302" s="77"/>
      <c r="HA302" s="77"/>
      <c r="HB302" s="77"/>
      <c r="HC302" s="77"/>
      <c r="HD302" s="77"/>
      <c r="HE302" s="77"/>
      <c r="HF302" s="77"/>
      <c r="HG302" s="77"/>
      <c r="HH302" s="77"/>
      <c r="HI302" s="77"/>
      <c r="HJ302" s="77"/>
      <c r="HK302" s="77"/>
      <c r="HL302" s="77"/>
      <c r="HM302" s="77"/>
      <c r="HN302" s="77"/>
      <c r="HO302" s="77"/>
      <c r="HP302" s="77"/>
      <c r="HQ302" s="77"/>
      <c r="HR302" s="77"/>
      <c r="HS302" s="77"/>
      <c r="HT302" s="77"/>
      <c r="HU302" s="77"/>
      <c r="HV302" s="77"/>
      <c r="HW302" s="77"/>
      <c r="HX302" s="77"/>
      <c r="HY302" s="77"/>
      <c r="HZ302" s="77"/>
      <c r="IA302" s="77"/>
      <c r="IB302" s="77"/>
      <c r="IC302" s="77"/>
      <c r="ID302" s="77"/>
      <c r="IE302" s="77"/>
      <c r="IF302" s="77"/>
      <c r="IG302" s="77"/>
      <c r="IH302" s="77"/>
      <c r="II302" s="77"/>
      <c r="IJ302" s="77"/>
      <c r="IK302" s="77"/>
      <c r="IL302" s="77"/>
      <c r="IM302" s="77"/>
      <c r="IN302" s="77"/>
      <c r="IO302" s="77"/>
      <c r="IP302" s="77"/>
      <c r="IQ302" s="77"/>
      <c r="IR302" s="77"/>
      <c r="IS302" s="77"/>
      <c r="IT302" s="77"/>
      <c r="IU302" s="77"/>
      <c r="IV302" s="77"/>
      <c r="IW302" s="77"/>
      <c r="IX302" s="77"/>
      <c r="IY302" s="77"/>
      <c r="IZ302" s="77"/>
      <c r="JA302" s="77"/>
      <c r="JB302" s="77"/>
      <c r="JC302" s="77"/>
      <c r="JD302" s="77"/>
      <c r="JE302" s="77"/>
      <c r="JF302" s="77"/>
      <c r="JG302" s="77"/>
      <c r="JH302" s="77"/>
      <c r="JI302" s="77"/>
      <c r="JJ302" s="77"/>
      <c r="JK302" s="77"/>
      <c r="JL302" s="77"/>
      <c r="JM302" s="77"/>
      <c r="JN302" s="77"/>
      <c r="JO302" s="77"/>
      <c r="JP302" s="77"/>
      <c r="JQ302" s="77"/>
      <c r="JR302" s="77"/>
      <c r="JS302" s="77"/>
      <c r="JT302" s="77"/>
      <c r="JU302" s="77"/>
      <c r="JV302" s="77"/>
      <c r="JW302" s="77"/>
      <c r="JX302" s="77"/>
      <c r="LL302" s="77"/>
      <c r="LM302" s="77"/>
      <c r="LN302" s="77"/>
      <c r="LO302" s="77"/>
      <c r="LP302" s="77"/>
      <c r="LQ302" s="77"/>
      <c r="LR302" s="77"/>
      <c r="LS302" s="77"/>
      <c r="LT302" s="77"/>
      <c r="LU302" s="77"/>
      <c r="LV302" s="77"/>
      <c r="LY302" s="77"/>
      <c r="LZ302" s="77"/>
      <c r="MA302" s="77"/>
      <c r="MB302" s="77"/>
      <c r="MC302" s="77"/>
      <c r="MD302" s="77"/>
      <c r="ME302" s="77"/>
      <c r="MF302" s="77"/>
      <c r="MG302" s="77"/>
      <c r="MH302" s="77"/>
      <c r="MI302" s="77"/>
      <c r="MJ302" s="77"/>
      <c r="MK302" s="77"/>
      <c r="ML302" s="77"/>
      <c r="MM302" s="77"/>
      <c r="MN302" s="77"/>
      <c r="MO302" s="77"/>
      <c r="MP302" s="77"/>
      <c r="MQ302" s="77"/>
      <c r="MR302" s="77"/>
      <c r="MS302" s="77"/>
      <c r="MT302" s="16"/>
      <c r="MU302" s="16"/>
      <c r="MV302" s="16"/>
      <c r="MW302" s="16"/>
      <c r="MX302" s="16"/>
      <c r="MY302" s="16"/>
      <c r="MZ302" s="16"/>
      <c r="NA302" s="16"/>
      <c r="NB302" s="16"/>
      <c r="NC302" s="16"/>
      <c r="ND302" s="77"/>
    </row>
    <row r="303" spans="1:421" ht="18.600000000000001" customHeight="1" x14ac:dyDescent="0.25">
      <c r="A303" s="119" t="s">
        <v>205</v>
      </c>
      <c r="B303" s="27" t="s">
        <v>1343</v>
      </c>
      <c r="C303" s="27" t="s">
        <v>3444</v>
      </c>
      <c r="D303" s="30" t="str">
        <f>HYPERLINK("https://twitter.com/al_jaffaary","https://twitter.com/al_jaffaary")</f>
        <v>https://twitter.com/al_jaffaary</v>
      </c>
      <c r="E303" s="30" t="str">
        <f>HYPERLINK("http://twiplomacy.com/info/asia/Iraq","http://twiplomacy.com/info/asia/Iraq")</f>
        <v>http://twiplomacy.com/info/asia/Iraq</v>
      </c>
      <c r="F303" s="10" t="s">
        <v>154</v>
      </c>
      <c r="G303" s="10" t="s">
        <v>201</v>
      </c>
      <c r="H303" s="10" t="s">
        <v>860</v>
      </c>
      <c r="I303" s="10" t="s">
        <v>782</v>
      </c>
      <c r="J303" s="27" t="s">
        <v>789</v>
      </c>
      <c r="K303" s="15" t="s">
        <v>777</v>
      </c>
      <c r="L303" s="10" t="s">
        <v>771</v>
      </c>
      <c r="M303" s="10" t="s">
        <v>770</v>
      </c>
      <c r="N303" s="30" t="s">
        <v>4627</v>
      </c>
      <c r="O303" s="27" t="s">
        <v>5676</v>
      </c>
      <c r="P303" s="80">
        <v>18</v>
      </c>
      <c r="Q303" s="80">
        <v>3</v>
      </c>
      <c r="R303" s="27" t="s">
        <v>2995</v>
      </c>
      <c r="S303" s="10" t="s">
        <v>1345</v>
      </c>
      <c r="T303" s="10" t="s">
        <v>771</v>
      </c>
      <c r="U303" s="10" t="s">
        <v>771</v>
      </c>
      <c r="V303" s="10" t="s">
        <v>771</v>
      </c>
      <c r="W303" s="10"/>
      <c r="X303" s="27" t="s">
        <v>205</v>
      </c>
      <c r="Y303" s="27" t="s">
        <v>1343</v>
      </c>
      <c r="Z303" s="80">
        <v>2835</v>
      </c>
      <c r="AA303" s="27">
        <v>3</v>
      </c>
      <c r="AB303" s="80">
        <v>1998</v>
      </c>
      <c r="AC303" s="27">
        <v>0</v>
      </c>
      <c r="AD303" s="27" t="s">
        <v>3445</v>
      </c>
      <c r="AE303" s="27">
        <v>395221140</v>
      </c>
      <c r="AF303" s="27" t="s">
        <v>3444</v>
      </c>
      <c r="AG303" s="27" t="s">
        <v>3446</v>
      </c>
      <c r="AH303" s="79">
        <v>1.71299093655589</v>
      </c>
      <c r="AI303" s="83">
        <v>1.72655298416565</v>
      </c>
      <c r="AJ303" s="80">
        <v>9.2834451111895505E-2</v>
      </c>
      <c r="AK303" s="80">
        <v>0.128838686904342</v>
      </c>
      <c r="AL303" s="96">
        <v>1</v>
      </c>
      <c r="AM303" s="97">
        <f>SUM(AL303/Z303)</f>
        <v>3.5273368606701942E-4</v>
      </c>
      <c r="AN303" s="27" t="s">
        <v>205</v>
      </c>
      <c r="AO303" s="27">
        <v>0</v>
      </c>
      <c r="AP303" s="27">
        <v>0</v>
      </c>
      <c r="AQ303" s="27">
        <v>0</v>
      </c>
      <c r="AR303" s="27">
        <f>SUM(AO303:AQ303)</f>
        <v>0</v>
      </c>
      <c r="AS303" s="27"/>
      <c r="AT303" s="27"/>
      <c r="AU303" s="84"/>
      <c r="AV303" s="77"/>
      <c r="AW303" s="77"/>
      <c r="AX303" s="77"/>
      <c r="AY303" s="77"/>
      <c r="AZ303" s="77"/>
      <c r="BA303" s="77"/>
      <c r="BB303" s="77"/>
      <c r="BC303" s="77"/>
      <c r="BD303" s="77"/>
      <c r="BE303" s="77"/>
      <c r="BF303" s="77"/>
      <c r="BG303" s="77"/>
      <c r="BH303" s="77"/>
      <c r="BI303" s="77"/>
      <c r="BJ303" s="77"/>
      <c r="BK303" s="77"/>
      <c r="BL303" s="77"/>
      <c r="BM303" s="77"/>
      <c r="BN303" s="77"/>
      <c r="BO303" s="77"/>
      <c r="BP303" s="77"/>
      <c r="BQ303" s="77"/>
      <c r="BR303" s="77"/>
      <c r="BS303" s="77"/>
      <c r="BT303" s="77"/>
      <c r="BU303" s="77"/>
      <c r="BV303" s="77"/>
      <c r="BW303" s="77"/>
      <c r="BX303" s="77"/>
      <c r="BY303" s="77"/>
      <c r="BZ303" s="77"/>
      <c r="CA303" s="77"/>
      <c r="CB303" s="77"/>
      <c r="CK303" s="77"/>
      <c r="CL303" s="77"/>
      <c r="CM303" s="77"/>
      <c r="CN303" s="77"/>
      <c r="CO303" s="77"/>
      <c r="CP303" s="77"/>
      <c r="CQ303" s="77"/>
      <c r="CR303" s="77"/>
      <c r="CS303" s="77"/>
      <c r="CT303" s="77"/>
      <c r="CU303" s="77"/>
      <c r="CV303" s="77"/>
      <c r="CW303" s="77"/>
      <c r="EM303" s="77"/>
      <c r="EN303" s="77"/>
      <c r="EO303" s="77"/>
      <c r="EQ303" s="77"/>
      <c r="ER303" s="77"/>
      <c r="ES303" s="77"/>
      <c r="ET303" s="77"/>
      <c r="EU303" s="77"/>
      <c r="EV303" s="77"/>
      <c r="EW303" s="77"/>
      <c r="EX303" s="77"/>
      <c r="EY303" s="77"/>
      <c r="EZ303" s="77"/>
      <c r="FA303" s="77"/>
      <c r="FB303" s="77"/>
      <c r="FC303" s="77"/>
      <c r="FD303" s="77"/>
      <c r="FE303" s="77"/>
      <c r="FF303" s="77"/>
      <c r="FG303" s="77"/>
      <c r="FH303" s="77"/>
      <c r="FI303" s="77"/>
      <c r="FJ303" s="77"/>
      <c r="FK303" s="77"/>
      <c r="FL303" s="77"/>
      <c r="FM303" s="77"/>
      <c r="FN303" s="77"/>
      <c r="FO303" s="77"/>
      <c r="FP303" s="77"/>
      <c r="FQ303" s="77"/>
      <c r="FR303" s="77"/>
      <c r="FS303" s="77"/>
      <c r="FT303" s="77"/>
      <c r="FU303" s="77"/>
      <c r="FV303" s="77"/>
      <c r="FW303" s="77"/>
      <c r="FX303" s="77"/>
      <c r="FY303" s="77"/>
      <c r="FZ303" s="77"/>
      <c r="GA303" s="77"/>
      <c r="GB303" s="77"/>
      <c r="GC303" s="77"/>
      <c r="GD303" s="77"/>
      <c r="GE303" s="77"/>
      <c r="GF303" s="77"/>
      <c r="GG303" s="77"/>
      <c r="GH303" s="77"/>
      <c r="GI303" s="77"/>
      <c r="GJ303" s="77"/>
      <c r="GK303" s="77"/>
      <c r="GL303" s="77"/>
      <c r="GM303" s="77"/>
      <c r="GN303" s="77"/>
      <c r="GO303" s="77"/>
      <c r="GP303" s="77"/>
      <c r="GQ303" s="77"/>
      <c r="GR303" s="77"/>
      <c r="GS303" s="77"/>
      <c r="GT303" s="77"/>
      <c r="GU303" s="77"/>
      <c r="GV303" s="77"/>
      <c r="GW303" s="77"/>
      <c r="GX303" s="77"/>
      <c r="GY303" s="77"/>
      <c r="GZ303" s="77"/>
      <c r="HA303" s="77"/>
      <c r="HB303" s="77"/>
      <c r="HC303" s="77"/>
      <c r="HD303" s="77"/>
      <c r="HE303" s="77"/>
      <c r="HF303" s="77"/>
      <c r="HG303" s="77"/>
      <c r="HH303" s="77"/>
      <c r="HI303" s="77"/>
      <c r="HJ303" s="77"/>
      <c r="HK303" s="77"/>
      <c r="ID303" s="77"/>
      <c r="IE303" s="77"/>
      <c r="JY303" s="77"/>
      <c r="JZ303" s="77"/>
      <c r="KA303" s="77"/>
      <c r="KB303" s="77"/>
      <c r="KC303" s="77"/>
      <c r="KD303" s="77"/>
      <c r="KE303" s="77"/>
      <c r="KF303" s="77"/>
      <c r="KG303" s="77"/>
      <c r="KH303" s="77"/>
      <c r="KI303" s="77"/>
      <c r="KJ303" s="77"/>
      <c r="KK303" s="77"/>
      <c r="KL303" s="77"/>
      <c r="KM303" s="77"/>
      <c r="KN303" s="77"/>
      <c r="KO303" s="77"/>
      <c r="KP303" s="77"/>
      <c r="KQ303" s="77"/>
      <c r="KR303" s="77"/>
      <c r="KS303" s="77"/>
      <c r="KT303" s="77"/>
      <c r="KU303" s="77"/>
      <c r="KV303" s="77"/>
      <c r="KW303" s="77"/>
      <c r="KX303" s="77"/>
      <c r="KY303" s="77"/>
      <c r="KZ303" s="77"/>
      <c r="LA303" s="77"/>
      <c r="LB303" s="77"/>
      <c r="LC303" s="77"/>
      <c r="LD303" s="77"/>
      <c r="LE303" s="77"/>
      <c r="LF303" s="77"/>
      <c r="LG303" s="77"/>
      <c r="LH303" s="77"/>
      <c r="LI303" s="77"/>
      <c r="LJ303" s="77"/>
      <c r="LK303" s="77"/>
      <c r="LL303" s="77"/>
      <c r="LM303" s="77"/>
      <c r="LN303" s="77"/>
      <c r="LO303" s="77"/>
      <c r="LP303" s="77"/>
      <c r="LQ303" s="77"/>
      <c r="LR303" s="77"/>
      <c r="LS303" s="77"/>
      <c r="LT303" s="77"/>
      <c r="LU303" s="77"/>
      <c r="LV303" s="77"/>
      <c r="LW303" s="77"/>
      <c r="LX303" s="77"/>
      <c r="MS303" s="16"/>
    </row>
    <row r="304" spans="1:421" ht="18.600000000000001" customHeight="1" x14ac:dyDescent="0.25">
      <c r="A304" s="119" t="s">
        <v>281</v>
      </c>
      <c r="B304" s="27" t="s">
        <v>1582</v>
      </c>
      <c r="C304" s="27" t="s">
        <v>1583</v>
      </c>
      <c r="D304" s="30" t="str">
        <f>HYPERLINK("https://twitter.com/MofaQatar_EN","https://twitter.com/MofaQatar_EN")</f>
        <v>https://twitter.com/MofaQatar_EN</v>
      </c>
      <c r="E304" s="30" t="str">
        <f>HYPERLINK("http://twiplomacy.com/info/asia/Qatar","http://twiplomacy.com/info/asia/Qatar")</f>
        <v>http://twiplomacy.com/info/asia/Qatar</v>
      </c>
      <c r="F304" s="10" t="s">
        <v>154</v>
      </c>
      <c r="G304" s="10" t="s">
        <v>276</v>
      </c>
      <c r="H304" s="10" t="s">
        <v>795</v>
      </c>
      <c r="I304" s="10" t="s">
        <v>782</v>
      </c>
      <c r="J304" s="27" t="s">
        <v>789</v>
      </c>
      <c r="K304" s="15" t="s">
        <v>777</v>
      </c>
      <c r="L304" s="10" t="s">
        <v>771</v>
      </c>
      <c r="M304" s="10" t="s">
        <v>771</v>
      </c>
      <c r="N304" s="30" t="str">
        <f>HYPERLINK("https://twitter.com/MofaQatar_EN/statuses/85517878346002435","https://twitter.com/MofaQatar_EN/statuses/85517878346002435")</f>
        <v>https://twitter.com/MofaQatar_EN/statuses/85517878346002435</v>
      </c>
      <c r="O304" s="27" t="s">
        <v>1584</v>
      </c>
      <c r="P304" s="80">
        <v>27</v>
      </c>
      <c r="Q304" s="80">
        <v>9</v>
      </c>
      <c r="R304" s="27" t="s">
        <v>2994</v>
      </c>
      <c r="S304" s="10" t="s">
        <v>1585</v>
      </c>
      <c r="T304" s="10" t="s">
        <v>771</v>
      </c>
      <c r="U304" s="10" t="s">
        <v>771</v>
      </c>
      <c r="V304" s="10" t="s">
        <v>771</v>
      </c>
      <c r="W304" s="10"/>
      <c r="X304" s="27" t="s">
        <v>281</v>
      </c>
      <c r="Y304" s="27" t="s">
        <v>1582</v>
      </c>
      <c r="Z304" s="80">
        <v>2826</v>
      </c>
      <c r="AA304" s="27">
        <v>1</v>
      </c>
      <c r="AB304" s="80">
        <v>16967</v>
      </c>
      <c r="AC304" s="27">
        <v>0</v>
      </c>
      <c r="AD304" s="27" t="s">
        <v>4158</v>
      </c>
      <c r="AE304" s="27">
        <v>325271213</v>
      </c>
      <c r="AF304" s="27" t="s">
        <v>1583</v>
      </c>
      <c r="AG304" s="27" t="s">
        <v>276</v>
      </c>
      <c r="AH304" s="79">
        <v>1.59661016949153</v>
      </c>
      <c r="AI304" s="83">
        <v>1.59661016949153</v>
      </c>
      <c r="AJ304" s="80">
        <v>1.0368141592920399</v>
      </c>
      <c r="AK304" s="80">
        <v>0.48991150442477899</v>
      </c>
      <c r="AL304" s="27">
        <v>1</v>
      </c>
      <c r="AM304" s="97">
        <f>SUM(AL304/Z304)</f>
        <v>3.5385704175513094E-4</v>
      </c>
      <c r="AN304" s="27" t="s">
        <v>281</v>
      </c>
      <c r="AO304" s="27">
        <v>0</v>
      </c>
      <c r="AP304" s="27">
        <v>68</v>
      </c>
      <c r="AQ304" s="27">
        <v>1</v>
      </c>
      <c r="AR304" s="27">
        <f>SUM(AO304:AQ304)</f>
        <v>69</v>
      </c>
      <c r="AS304" s="27"/>
      <c r="AT304" s="39" t="s">
        <v>6915</v>
      </c>
      <c r="AU304" s="84" t="s">
        <v>279</v>
      </c>
      <c r="AV304" s="77"/>
      <c r="AW304" s="77"/>
      <c r="AX304" s="77"/>
      <c r="AY304" s="77"/>
      <c r="AZ304" s="77"/>
      <c r="BA304" s="77"/>
      <c r="BB304" s="77"/>
      <c r="BC304" s="77"/>
      <c r="BD304" s="77"/>
      <c r="BE304" s="77"/>
      <c r="BF304" s="77"/>
      <c r="BG304" s="77"/>
      <c r="BH304" s="77"/>
      <c r="BI304" s="77"/>
      <c r="BJ304" s="77"/>
      <c r="BK304" s="77"/>
      <c r="BL304" s="77"/>
      <c r="BN304" s="77"/>
      <c r="BO304" s="77"/>
      <c r="BP304" s="77"/>
      <c r="BQ304" s="77"/>
      <c r="BR304" s="77"/>
      <c r="BS304" s="77"/>
      <c r="BT304" s="77"/>
      <c r="BU304" s="77"/>
      <c r="BV304" s="77"/>
      <c r="BW304" s="77"/>
      <c r="BX304" s="77"/>
      <c r="BY304" s="77"/>
      <c r="BZ304" s="77"/>
      <c r="CA304" s="77"/>
      <c r="CB304" s="77"/>
      <c r="CC304" s="77"/>
      <c r="CD304" s="77"/>
      <c r="CE304" s="77"/>
      <c r="CF304" s="77"/>
      <c r="CG304" s="77"/>
      <c r="CH304" s="77"/>
      <c r="CI304" s="77"/>
      <c r="CJ304" s="77"/>
      <c r="CK304" s="77"/>
      <c r="CL304" s="77"/>
      <c r="CM304" s="77"/>
      <c r="CN304" s="77"/>
      <c r="CO304" s="77"/>
      <c r="CP304" s="77"/>
      <c r="CQ304" s="77"/>
      <c r="CR304" s="77"/>
      <c r="CS304" s="77"/>
      <c r="CT304" s="77"/>
      <c r="CU304" s="77"/>
      <c r="CV304" s="77"/>
      <c r="CW304" s="77"/>
      <c r="CX304" s="77"/>
      <c r="CY304" s="77"/>
      <c r="CZ304" s="77"/>
      <c r="DA304" s="77"/>
      <c r="DB304" s="77"/>
      <c r="DC304" s="77"/>
      <c r="DD304" s="77"/>
      <c r="DE304" s="77"/>
      <c r="DF304" s="77"/>
      <c r="DG304" s="77"/>
      <c r="DH304" s="77"/>
      <c r="DI304" s="77"/>
      <c r="DJ304" s="77"/>
      <c r="DK304" s="77"/>
      <c r="DL304" s="77"/>
      <c r="DM304" s="77"/>
      <c r="DN304" s="77"/>
      <c r="DO304" s="77"/>
      <c r="DP304" s="77"/>
      <c r="DQ304" s="77"/>
      <c r="DR304" s="77"/>
      <c r="DS304" s="77"/>
      <c r="DT304" s="77"/>
      <c r="DU304" s="77"/>
      <c r="DV304" s="77"/>
      <c r="DW304" s="77"/>
      <c r="DX304" s="77"/>
      <c r="DY304" s="77"/>
      <c r="DZ304" s="77"/>
      <c r="EA304" s="77"/>
      <c r="EB304" s="77"/>
      <c r="EC304" s="77"/>
      <c r="ED304" s="77"/>
      <c r="EE304" s="77"/>
      <c r="EF304" s="77"/>
      <c r="EG304" s="77"/>
      <c r="EH304" s="77"/>
      <c r="EI304" s="77"/>
      <c r="EJ304" s="77"/>
      <c r="EK304" s="77"/>
      <c r="EL304" s="77"/>
      <c r="EM304" s="77"/>
      <c r="EN304" s="77"/>
      <c r="EO304" s="77"/>
      <c r="EP304" s="77"/>
      <c r="EQ304" s="77"/>
      <c r="GL304" s="77"/>
      <c r="GM304" s="77"/>
      <c r="GN304" s="77"/>
      <c r="GO304" s="77"/>
      <c r="GP304" s="77"/>
      <c r="GQ304" s="77"/>
      <c r="GR304" s="77"/>
      <c r="GS304" s="77"/>
      <c r="GT304" s="77"/>
      <c r="GU304" s="77"/>
      <c r="GV304" s="77"/>
      <c r="GW304" s="77"/>
      <c r="GX304" s="77"/>
      <c r="GY304" s="77"/>
      <c r="GZ304" s="77"/>
      <c r="HA304" s="77"/>
      <c r="HB304" s="77"/>
      <c r="HC304" s="77"/>
      <c r="HD304" s="77"/>
      <c r="HE304" s="77"/>
      <c r="HF304" s="77"/>
      <c r="HG304" s="77"/>
      <c r="HH304" s="77"/>
      <c r="HI304" s="77"/>
      <c r="HJ304" s="77"/>
      <c r="HK304" s="77"/>
      <c r="IF304" s="77"/>
      <c r="IG304" s="77"/>
      <c r="IH304" s="77"/>
      <c r="II304" s="77"/>
      <c r="IJ304" s="77"/>
      <c r="IK304" s="77"/>
      <c r="IL304" s="77"/>
      <c r="IM304" s="77"/>
      <c r="IN304" s="77"/>
      <c r="IO304" s="77"/>
      <c r="IP304" s="77"/>
      <c r="IQ304" s="77"/>
      <c r="IR304" s="77"/>
      <c r="IS304" s="77"/>
      <c r="IT304" s="77"/>
      <c r="IU304" s="77"/>
      <c r="IV304" s="77"/>
      <c r="IW304" s="77"/>
      <c r="IX304" s="77"/>
      <c r="IY304" s="77"/>
      <c r="IZ304" s="77"/>
      <c r="JA304" s="77"/>
      <c r="JB304" s="77"/>
      <c r="JC304" s="77"/>
      <c r="JD304" s="77"/>
      <c r="JE304" s="77"/>
      <c r="JF304" s="77"/>
      <c r="JG304" s="77"/>
      <c r="JH304" s="77"/>
      <c r="JI304" s="77"/>
      <c r="JJ304" s="77"/>
      <c r="JK304" s="77"/>
      <c r="JL304" s="77"/>
      <c r="JM304" s="77"/>
      <c r="JN304" s="77"/>
      <c r="JO304" s="77"/>
      <c r="JP304" s="77"/>
      <c r="JQ304" s="77"/>
      <c r="JR304" s="77"/>
      <c r="JS304" s="77"/>
      <c r="JT304" s="77"/>
      <c r="JU304" s="77"/>
      <c r="JV304" s="77"/>
      <c r="JW304" s="77"/>
      <c r="JX304" s="77"/>
      <c r="LL304" s="77"/>
      <c r="LM304" s="77"/>
      <c r="LN304" s="77"/>
      <c r="LO304" s="77"/>
      <c r="LP304" s="77"/>
      <c r="LQ304" s="77"/>
      <c r="LR304" s="77"/>
      <c r="LS304" s="77"/>
      <c r="LT304" s="77"/>
      <c r="LU304" s="77"/>
      <c r="LV304" s="77"/>
      <c r="LW304" s="77"/>
      <c r="LX304" s="77"/>
      <c r="LY304" s="77"/>
      <c r="LZ304" s="77"/>
      <c r="MA304" s="77"/>
      <c r="MB304" s="77"/>
      <c r="MC304" s="77"/>
      <c r="MD304" s="77"/>
      <c r="ME304" s="77"/>
      <c r="MF304" s="77"/>
      <c r="MG304" s="77"/>
      <c r="MH304" s="77"/>
      <c r="MI304" s="77"/>
      <c r="MJ304" s="77"/>
      <c r="MK304" s="77"/>
      <c r="ML304" s="77"/>
      <c r="MM304" s="77"/>
      <c r="MN304" s="77"/>
      <c r="MO304" s="77"/>
      <c r="MP304" s="77"/>
      <c r="MQ304" s="77"/>
      <c r="MR304" s="77"/>
      <c r="ND304" s="16"/>
    </row>
    <row r="305" spans="1:368" ht="18.600000000000001" customHeight="1" x14ac:dyDescent="0.25">
      <c r="A305" s="119" t="s">
        <v>723</v>
      </c>
      <c r="B305" s="27" t="s">
        <v>1552</v>
      </c>
      <c r="C305" s="27" t="s">
        <v>1553</v>
      </c>
      <c r="D305" s="30" t="str">
        <f>HYPERLINK("https://twitter.com/PalestinianGov","https://twitter.com/PalestinianGov")</f>
        <v>https://twitter.com/PalestinianGov</v>
      </c>
      <c r="E305" s="30" t="str">
        <f>HYPERLINK("http://twiplomacy.com/info/asia/Palestine","http://twiplomacy.com/info/asia/Palestine")</f>
        <v>http://twiplomacy.com/info/asia/Palestine</v>
      </c>
      <c r="F305" s="10" t="s">
        <v>154</v>
      </c>
      <c r="G305" s="10" t="s">
        <v>722</v>
      </c>
      <c r="H305" s="10" t="s">
        <v>788</v>
      </c>
      <c r="I305" s="10" t="s">
        <v>782</v>
      </c>
      <c r="J305" s="27" t="s">
        <v>789</v>
      </c>
      <c r="K305" s="15" t="s">
        <v>777</v>
      </c>
      <c r="L305" s="10" t="s">
        <v>771</v>
      </c>
      <c r="M305" s="10" t="s">
        <v>770</v>
      </c>
      <c r="N305" s="30" t="str">
        <f>HYPERLINK("https://twitter.com/PalestinianGov/statuses/5198077756","https://twitter.com/PalestinianGov/statuses/5198077756")</f>
        <v>https://twitter.com/PalestinianGov/statuses/5198077756</v>
      </c>
      <c r="O305" s="27" t="s">
        <v>6003</v>
      </c>
      <c r="P305" s="80">
        <v>23</v>
      </c>
      <c r="Q305" s="80">
        <v>3</v>
      </c>
      <c r="R305" s="27" t="s">
        <v>2995</v>
      </c>
      <c r="S305" s="10" t="s">
        <v>1554</v>
      </c>
      <c r="T305" s="10" t="s">
        <v>771</v>
      </c>
      <c r="U305" s="10" t="s">
        <v>771</v>
      </c>
      <c r="V305" s="10" t="s">
        <v>771</v>
      </c>
      <c r="W305" s="10"/>
      <c r="X305" s="27" t="s">
        <v>723</v>
      </c>
      <c r="Y305" s="27" t="s">
        <v>1552</v>
      </c>
      <c r="Z305" s="80">
        <v>2825</v>
      </c>
      <c r="AA305" s="27">
        <v>1</v>
      </c>
      <c r="AB305" s="80">
        <v>2607</v>
      </c>
      <c r="AC305" s="27">
        <v>0</v>
      </c>
      <c r="AD305" s="27" t="s">
        <v>4232</v>
      </c>
      <c r="AE305" s="27">
        <v>85518943</v>
      </c>
      <c r="AF305" s="27" t="s">
        <v>1553</v>
      </c>
      <c r="AG305" s="27" t="s">
        <v>1555</v>
      </c>
      <c r="AH305" s="79">
        <v>1.18747372845734</v>
      </c>
      <c r="AI305" s="83">
        <v>1.19047619047619</v>
      </c>
      <c r="AJ305" s="80">
        <v>0.25265768958185703</v>
      </c>
      <c r="AK305" s="80">
        <v>5.52799433026223E-2</v>
      </c>
      <c r="AL305" s="27">
        <v>2</v>
      </c>
      <c r="AM305" s="97">
        <f>SUM(AL305/Z305)</f>
        <v>7.0796460176991152E-4</v>
      </c>
      <c r="AN305" s="27" t="s">
        <v>723</v>
      </c>
      <c r="AO305" s="27">
        <v>0</v>
      </c>
      <c r="AP305" s="27">
        <v>8</v>
      </c>
      <c r="AQ305" s="27">
        <v>0</v>
      </c>
      <c r="AR305" s="27">
        <f>SUM(AO305:AQ305)</f>
        <v>8</v>
      </c>
      <c r="AS305" s="27"/>
      <c r="AT305" s="27" t="s">
        <v>5381</v>
      </c>
      <c r="AU305" s="84"/>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16"/>
      <c r="IE305" s="16"/>
      <c r="IF305" s="77"/>
      <c r="IG305" s="77"/>
      <c r="IH305" s="77"/>
      <c r="II305" s="77"/>
      <c r="IJ305" s="77"/>
      <c r="IK305" s="77"/>
      <c r="IL305" s="77"/>
      <c r="IM305" s="77"/>
      <c r="IN305" s="77"/>
      <c r="IO305" s="77"/>
      <c r="IP305" s="77"/>
      <c r="IQ305" s="77"/>
      <c r="IR305" s="77"/>
      <c r="IS305" s="77"/>
      <c r="IT305" s="77"/>
      <c r="IU305" s="77"/>
      <c r="IV305" s="77"/>
      <c r="IW305" s="77"/>
      <c r="IX305" s="77"/>
      <c r="IY305" s="77"/>
      <c r="IZ305" s="77"/>
      <c r="JA305" s="77"/>
      <c r="JB305" s="77"/>
      <c r="JC305" s="77"/>
      <c r="JD305" s="77"/>
      <c r="JE305" s="77"/>
      <c r="JF305" s="77"/>
      <c r="JG305" s="77"/>
      <c r="JH305" s="77"/>
      <c r="JI305" s="77"/>
      <c r="JJ305" s="77"/>
      <c r="JK305" s="77"/>
      <c r="JL305" s="77"/>
      <c r="JM305" s="77"/>
      <c r="JN305" s="77"/>
      <c r="JO305" s="77"/>
      <c r="JP305" s="77"/>
      <c r="JQ305" s="77"/>
      <c r="JR305" s="77"/>
      <c r="JS305" s="77"/>
      <c r="JT305" s="77"/>
      <c r="JU305" s="77"/>
      <c r="JV305" s="77"/>
      <c r="JW305" s="77"/>
      <c r="JX305" s="77"/>
      <c r="JY305" s="16"/>
      <c r="JZ305" s="16"/>
      <c r="KA305" s="16"/>
      <c r="KB305" s="16"/>
      <c r="KC305" s="16"/>
      <c r="KD305" s="16"/>
      <c r="KE305" s="16"/>
      <c r="KF305" s="16"/>
      <c r="KG305" s="16"/>
      <c r="KH305" s="16"/>
      <c r="KI305" s="16"/>
      <c r="KJ305" s="16"/>
      <c r="KK305" s="16"/>
      <c r="KL305" s="16"/>
      <c r="KM305" s="77"/>
      <c r="KN305" s="77"/>
      <c r="KO305" s="77"/>
      <c r="KP305" s="77"/>
      <c r="KQ305" s="77"/>
      <c r="KR305" s="77"/>
      <c r="KS305" s="77"/>
      <c r="KT305" s="77"/>
      <c r="KU305" s="77"/>
      <c r="KV305" s="77"/>
      <c r="KW305" s="77"/>
      <c r="KX305" s="77"/>
      <c r="KY305" s="77"/>
      <c r="KZ305" s="77"/>
      <c r="LA305" s="77"/>
      <c r="LB305" s="77"/>
      <c r="LC305" s="77"/>
      <c r="LD305" s="77"/>
      <c r="LE305" s="77"/>
      <c r="LF305" s="77"/>
      <c r="LG305" s="77"/>
      <c r="LH305" s="77"/>
      <c r="LI305" s="77"/>
      <c r="LJ305" s="77"/>
      <c r="LK305" s="77"/>
      <c r="MS305" s="77"/>
      <c r="MT305" s="77"/>
      <c r="MU305" s="77"/>
      <c r="MV305" s="77"/>
      <c r="MW305" s="77"/>
      <c r="MX305" s="77"/>
      <c r="MY305" s="77"/>
      <c r="MZ305" s="77"/>
      <c r="NA305" s="77"/>
      <c r="NB305" s="77"/>
      <c r="NC305" s="77"/>
    </row>
    <row r="306" spans="1:368" ht="18.600000000000001" customHeight="1" x14ac:dyDescent="0.25">
      <c r="A306" s="119" t="s">
        <v>1879</v>
      </c>
      <c r="B306" s="27" t="s">
        <v>1880</v>
      </c>
      <c r="C306" s="27" t="s">
        <v>1881</v>
      </c>
      <c r="D306" s="30" t="str">
        <f>HYPERLINK("https://twitter.com/FinGovernment","https://twitter.com/FinGovernment")</f>
        <v>https://twitter.com/FinGovernment</v>
      </c>
      <c r="E306" s="30" t="str">
        <f>HYPERLINK("http://twiplomacy.com/info/europe/Finland","http://twiplomacy.com/info/europe/Finland")</f>
        <v>http://twiplomacy.com/info/europe/Finland</v>
      </c>
      <c r="F306" s="10" t="s">
        <v>332</v>
      </c>
      <c r="G306" s="10" t="s">
        <v>389</v>
      </c>
      <c r="H306" s="10" t="s">
        <v>788</v>
      </c>
      <c r="I306" s="10" t="s">
        <v>782</v>
      </c>
      <c r="J306" s="27" t="s">
        <v>789</v>
      </c>
      <c r="K306" s="15" t="s">
        <v>777</v>
      </c>
      <c r="L306" s="10" t="s">
        <v>771</v>
      </c>
      <c r="M306" s="10" t="s">
        <v>770</v>
      </c>
      <c r="N306" s="30" t="str">
        <f>HYPERLINK("https://twitter.com/FinGovernment/statuses/65392161314713601","https://twitter.com/FinGovernment/statuses/65392161314713601")</f>
        <v>https://twitter.com/FinGovernment/statuses/65392161314713601</v>
      </c>
      <c r="O306" s="27" t="s">
        <v>5764</v>
      </c>
      <c r="P306" s="80">
        <v>53</v>
      </c>
      <c r="Q306" s="80">
        <v>30</v>
      </c>
      <c r="R306" s="27" t="s">
        <v>2994</v>
      </c>
      <c r="S306" s="10" t="s">
        <v>1882</v>
      </c>
      <c r="T306" s="10" t="s">
        <v>771</v>
      </c>
      <c r="U306" s="10" t="s">
        <v>771</v>
      </c>
      <c r="V306" s="10" t="s">
        <v>771</v>
      </c>
      <c r="W306" s="10"/>
      <c r="X306" s="27" t="s">
        <v>1879</v>
      </c>
      <c r="Y306" s="27" t="s">
        <v>1880</v>
      </c>
      <c r="Z306" s="80">
        <v>2807</v>
      </c>
      <c r="AA306" s="27">
        <v>29</v>
      </c>
      <c r="AB306" s="80">
        <v>7602</v>
      </c>
      <c r="AC306" s="27">
        <v>116</v>
      </c>
      <c r="AD306" s="27" t="s">
        <v>3689</v>
      </c>
      <c r="AE306" s="27">
        <v>292291704</v>
      </c>
      <c r="AF306" s="27" t="s">
        <v>1881</v>
      </c>
      <c r="AG306" s="27" t="s">
        <v>389</v>
      </c>
      <c r="AH306" s="79">
        <v>1.53888280394304</v>
      </c>
      <c r="AI306" s="83">
        <v>1.5383351588170899</v>
      </c>
      <c r="AJ306" s="80">
        <v>1.4206408345752599</v>
      </c>
      <c r="AK306" s="80">
        <v>0.78986587183308499</v>
      </c>
      <c r="AL306" s="27">
        <v>2</v>
      </c>
      <c r="AM306" s="97">
        <f>SUM(AL306/Z306)</f>
        <v>7.1250445315283219E-4</v>
      </c>
      <c r="AN306" s="27" t="s">
        <v>1879</v>
      </c>
      <c r="AO306" s="27">
        <v>2</v>
      </c>
      <c r="AP306" s="27">
        <v>22</v>
      </c>
      <c r="AQ306" s="27">
        <v>4</v>
      </c>
      <c r="AR306" s="27">
        <f>SUM(AO306:AQ306)</f>
        <v>28</v>
      </c>
      <c r="AS306" s="27" t="s">
        <v>5118</v>
      </c>
      <c r="AT306" s="27" t="s">
        <v>6722</v>
      </c>
      <c r="AU306" s="84" t="s">
        <v>4719</v>
      </c>
      <c r="AV306" s="77"/>
      <c r="AW306" s="77"/>
      <c r="AX306" s="77"/>
      <c r="AY306" s="77"/>
      <c r="AZ306" s="77"/>
      <c r="BA306" s="77"/>
      <c r="BB306" s="77"/>
      <c r="BC306" s="77"/>
      <c r="BD306" s="77"/>
      <c r="BE306" s="77"/>
      <c r="BF306" s="77"/>
      <c r="BG306" s="77"/>
      <c r="BH306" s="77"/>
      <c r="BI306" s="77"/>
      <c r="BJ306" s="77"/>
      <c r="BK306" s="77"/>
      <c r="BL306" s="77"/>
      <c r="BM306" s="61"/>
      <c r="BN306" s="77"/>
      <c r="BO306" s="77"/>
      <c r="BP306" s="77"/>
      <c r="BQ306" s="16"/>
      <c r="BR306" s="16"/>
      <c r="BS306" s="16"/>
      <c r="BT306" s="16"/>
      <c r="BU306" s="16"/>
      <c r="BV306" s="16"/>
      <c r="BW306" s="16"/>
      <c r="BX306" s="16"/>
      <c r="BY306" s="16"/>
      <c r="BZ306" s="16"/>
      <c r="CA306" s="16"/>
      <c r="CB306" s="16"/>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IW306" s="77"/>
      <c r="IX306" s="77"/>
      <c r="IY306" s="77"/>
      <c r="IZ306" s="77"/>
      <c r="JA306" s="77"/>
      <c r="JB306" s="77"/>
      <c r="JC306" s="77"/>
      <c r="JD306" s="77"/>
      <c r="JE306" s="77"/>
      <c r="JF306" s="77"/>
      <c r="JG306" s="77"/>
      <c r="JH306" s="77"/>
      <c r="JI306" s="77"/>
      <c r="JJ306" s="77"/>
      <c r="JK306" s="77"/>
      <c r="JL306" s="77"/>
      <c r="JM306" s="77"/>
      <c r="JN306" s="77"/>
      <c r="JO306" s="77"/>
      <c r="JP306" s="77"/>
      <c r="JQ306" s="77"/>
      <c r="JR306" s="77"/>
      <c r="JS306" s="77"/>
      <c r="JT306" s="77"/>
      <c r="JU306" s="77"/>
      <c r="JV306" s="77"/>
      <c r="JW306" s="77"/>
      <c r="JX306" s="77"/>
      <c r="JY306" s="77"/>
      <c r="JZ306" s="77"/>
      <c r="KA306" s="77"/>
      <c r="KB306" s="77"/>
      <c r="KC306" s="77"/>
      <c r="KD306" s="77"/>
      <c r="KE306" s="77"/>
      <c r="KF306" s="77"/>
      <c r="KG306" s="77"/>
      <c r="KH306" s="77"/>
      <c r="KI306" s="77"/>
      <c r="KJ306" s="77"/>
      <c r="KK306" s="77"/>
      <c r="KL306" s="77"/>
      <c r="KM306" s="77"/>
      <c r="KN306" s="77"/>
      <c r="KO306" s="77"/>
      <c r="KP306" s="77"/>
      <c r="KQ306" s="77"/>
      <c r="KR306" s="77"/>
      <c r="KS306" s="77"/>
      <c r="KT306" s="77"/>
      <c r="KU306" s="77"/>
      <c r="KV306" s="77"/>
      <c r="KW306" s="77"/>
      <c r="KX306" s="77"/>
      <c r="KY306" s="77"/>
      <c r="KZ306" s="77"/>
      <c r="LA306" s="77"/>
      <c r="LB306" s="77"/>
      <c r="LC306" s="77"/>
      <c r="LD306" s="77"/>
      <c r="LE306" s="77"/>
      <c r="LF306" s="77"/>
      <c r="LG306" s="77"/>
      <c r="LH306" s="77"/>
      <c r="LI306" s="77"/>
      <c r="LJ306" s="77"/>
      <c r="LK306" s="77"/>
      <c r="LL306" s="77"/>
      <c r="LM306" s="77"/>
      <c r="LN306" s="77"/>
      <c r="LO306" s="77"/>
      <c r="LP306" s="77"/>
      <c r="LQ306" s="77"/>
      <c r="LR306" s="77"/>
      <c r="LS306" s="77"/>
      <c r="LT306" s="77"/>
      <c r="LU306" s="77"/>
      <c r="LV306" s="77"/>
      <c r="LY306" s="77"/>
      <c r="LZ306" s="77"/>
      <c r="MA306" s="77"/>
      <c r="MB306" s="77"/>
      <c r="MC306" s="77"/>
      <c r="MD306" s="77"/>
      <c r="ME306" s="77"/>
      <c r="MF306" s="77"/>
      <c r="MG306" s="77"/>
      <c r="MH306" s="77"/>
      <c r="MI306" s="77"/>
      <c r="MJ306" s="77"/>
      <c r="MK306" s="77"/>
      <c r="ML306" s="77"/>
      <c r="MM306" s="77"/>
      <c r="MN306" s="77"/>
      <c r="MO306" s="77"/>
      <c r="MP306" s="77"/>
      <c r="MQ306" s="77"/>
      <c r="MR306" s="77"/>
      <c r="MS306" s="77"/>
    </row>
    <row r="307" spans="1:368" ht="18.600000000000001" customHeight="1" x14ac:dyDescent="0.25">
      <c r="A307" s="119" t="s">
        <v>516</v>
      </c>
      <c r="B307" s="27" t="s">
        <v>2201</v>
      </c>
      <c r="C307" s="27" t="s">
        <v>4132</v>
      </c>
      <c r="D307" s="30" t="str">
        <f>HYPERLINK("https://twitter.com/MiroslavLajcak","https://twitter.com/MiroslavLajcak")</f>
        <v>https://twitter.com/MiroslavLajcak</v>
      </c>
      <c r="E307" s="30" t="str">
        <f>HYPERLINK("http://twiplomacy.com/info/europe/Slovakia","http://twiplomacy.com/info/europe/Slovakia")</f>
        <v>http://twiplomacy.com/info/europe/Slovakia</v>
      </c>
      <c r="F307" s="10" t="s">
        <v>332</v>
      </c>
      <c r="G307" s="10" t="s">
        <v>514</v>
      </c>
      <c r="H307" s="10" t="s">
        <v>860</v>
      </c>
      <c r="I307" s="10" t="s">
        <v>773</v>
      </c>
      <c r="J307" s="27" t="s">
        <v>789</v>
      </c>
      <c r="K307" s="15" t="s">
        <v>777</v>
      </c>
      <c r="L307" s="10" t="s">
        <v>770</v>
      </c>
      <c r="M307" s="10" t="s">
        <v>770</v>
      </c>
      <c r="N307" s="30" t="str">
        <f>HYPERLINK("https://twitter.com/MiroslavLajcak/statuses/324185864773181441","https://twitter.com/MiroslavLajcak/statuses/324185864773181441")</f>
        <v>https://twitter.com/MiroslavLajcak/statuses/324185864773181441</v>
      </c>
      <c r="O307" s="27" t="s">
        <v>5967</v>
      </c>
      <c r="P307" s="80">
        <v>209</v>
      </c>
      <c r="Q307" s="80">
        <v>258</v>
      </c>
      <c r="R307" s="27" t="s">
        <v>2994</v>
      </c>
      <c r="S307" s="10" t="s">
        <v>2202</v>
      </c>
      <c r="T307" s="10" t="s">
        <v>771</v>
      </c>
      <c r="U307" s="10" t="s">
        <v>771</v>
      </c>
      <c r="V307" s="10" t="s">
        <v>771</v>
      </c>
      <c r="W307" s="10"/>
      <c r="X307" s="27" t="s">
        <v>516</v>
      </c>
      <c r="Y307" s="27" t="s">
        <v>2201</v>
      </c>
      <c r="Z307" s="80">
        <v>2790</v>
      </c>
      <c r="AA307" s="27">
        <v>716</v>
      </c>
      <c r="AB307" s="80">
        <v>10498</v>
      </c>
      <c r="AC307" s="27">
        <v>599</v>
      </c>
      <c r="AD307" s="27" t="s">
        <v>4133</v>
      </c>
      <c r="AE307" s="27">
        <v>1357130180</v>
      </c>
      <c r="AF307" s="27" t="s">
        <v>4132</v>
      </c>
      <c r="AG307" s="27" t="s">
        <v>2200</v>
      </c>
      <c r="AH307" s="79">
        <v>2.5089928057553998</v>
      </c>
      <c r="AI307" s="83">
        <v>2.4918772563176899</v>
      </c>
      <c r="AJ307" s="80">
        <v>3.6399071925754098</v>
      </c>
      <c r="AK307" s="80">
        <v>3.2218097447795802</v>
      </c>
      <c r="AL307" s="27">
        <v>89</v>
      </c>
      <c r="AM307" s="97">
        <f>SUM(AL307/Z307)</f>
        <v>3.1899641577060933E-2</v>
      </c>
      <c r="AN307" s="27" t="s">
        <v>516</v>
      </c>
      <c r="AO307" s="27">
        <v>44</v>
      </c>
      <c r="AP307" s="27">
        <v>27</v>
      </c>
      <c r="AQ307" s="27">
        <v>59</v>
      </c>
      <c r="AR307" s="27">
        <f>SUM(AO307:AQ307)</f>
        <v>130</v>
      </c>
      <c r="AS307" s="27" t="s">
        <v>5618</v>
      </c>
      <c r="AT307" s="27" t="s">
        <v>6796</v>
      </c>
      <c r="AU307" s="84" t="s">
        <v>6175</v>
      </c>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77"/>
      <c r="BR307" s="77"/>
      <c r="BS307" s="77"/>
      <c r="BT307" s="77"/>
      <c r="BU307" s="77"/>
      <c r="BV307" s="77"/>
      <c r="BW307" s="77"/>
      <c r="BX307" s="77"/>
      <c r="BY307" s="77"/>
      <c r="BZ307" s="77"/>
      <c r="CA307" s="77"/>
      <c r="CB307" s="77"/>
      <c r="CC307" s="77"/>
      <c r="CD307" s="77"/>
      <c r="CE307" s="77"/>
      <c r="CF307" s="77"/>
      <c r="CG307" s="77"/>
      <c r="CH307" s="77"/>
      <c r="CI307" s="77"/>
      <c r="CJ307" s="77"/>
      <c r="CK307" s="16"/>
      <c r="CL307" s="16"/>
      <c r="CM307" s="16"/>
      <c r="CN307" s="16"/>
      <c r="CO307" s="16"/>
      <c r="CP307" s="16"/>
      <c r="CQ307" s="16"/>
      <c r="CR307" s="16"/>
      <c r="CS307" s="16"/>
      <c r="CT307" s="16"/>
      <c r="CU307" s="16"/>
      <c r="CV307" s="16"/>
      <c r="CW307" s="16"/>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ID307" s="77"/>
      <c r="IE307" s="77"/>
      <c r="IF307" s="77"/>
      <c r="IG307" s="77"/>
      <c r="IH307" s="77"/>
      <c r="II307" s="77"/>
      <c r="IJ307" s="77"/>
      <c r="IK307" s="77"/>
      <c r="IL307" s="77"/>
      <c r="IM307" s="77"/>
      <c r="IN307" s="77"/>
      <c r="IO307" s="77"/>
      <c r="IP307" s="77"/>
      <c r="IQ307" s="77"/>
      <c r="IR307" s="77"/>
      <c r="IS307" s="77"/>
      <c r="IT307" s="77"/>
      <c r="IU307" s="77"/>
      <c r="IV307" s="77"/>
      <c r="IW307" s="77"/>
      <c r="IX307" s="77"/>
      <c r="IY307" s="77"/>
      <c r="IZ307" s="77"/>
      <c r="JA307" s="77"/>
      <c r="JB307" s="77"/>
      <c r="JC307" s="77"/>
      <c r="JD307" s="77"/>
      <c r="JE307" s="77"/>
      <c r="JF307" s="77"/>
      <c r="JG307" s="77"/>
      <c r="JH307" s="77"/>
      <c r="JI307" s="77"/>
      <c r="JJ307" s="77"/>
      <c r="JK307" s="77"/>
      <c r="JL307" s="77"/>
      <c r="JM307" s="77"/>
      <c r="JN307" s="77"/>
      <c r="JO307" s="77"/>
      <c r="JP307" s="77"/>
      <c r="JQ307" s="77"/>
      <c r="JR307" s="77"/>
      <c r="JS307" s="77"/>
      <c r="JT307" s="77"/>
      <c r="JU307" s="77"/>
      <c r="JV307" s="77"/>
      <c r="JW307" s="77"/>
      <c r="JX307" s="77"/>
      <c r="JY307" s="77"/>
      <c r="JZ307" s="77"/>
      <c r="KA307" s="77"/>
      <c r="KB307" s="77"/>
      <c r="KC307" s="77"/>
      <c r="KD307" s="77"/>
      <c r="KE307" s="77"/>
      <c r="KF307" s="77"/>
      <c r="KG307" s="77"/>
      <c r="KH307" s="77"/>
      <c r="KI307" s="77"/>
      <c r="KJ307" s="77"/>
      <c r="KK307" s="77"/>
      <c r="KL307" s="77"/>
      <c r="KM307" s="77"/>
      <c r="KN307" s="77"/>
      <c r="KO307" s="77"/>
      <c r="KP307" s="77"/>
      <c r="KQ307" s="77"/>
      <c r="KR307" s="77"/>
      <c r="KS307" s="77"/>
      <c r="KT307" s="77"/>
      <c r="KU307" s="77"/>
      <c r="KV307" s="77"/>
      <c r="KW307" s="77"/>
      <c r="KX307" s="77"/>
      <c r="KY307" s="77"/>
      <c r="KZ307" s="77"/>
      <c r="LA307" s="77"/>
      <c r="LB307" s="77"/>
      <c r="LC307" s="77"/>
      <c r="LD307" s="77"/>
      <c r="LE307" s="77"/>
      <c r="LF307" s="77"/>
      <c r="LG307" s="77"/>
      <c r="LH307" s="77"/>
      <c r="LI307" s="77"/>
      <c r="LJ307" s="77"/>
      <c r="LK307" s="77"/>
      <c r="LL307" s="77"/>
      <c r="LM307" s="77"/>
      <c r="LN307" s="77"/>
      <c r="LO307" s="77"/>
      <c r="LP307" s="77"/>
      <c r="LQ307" s="77"/>
      <c r="LR307" s="77"/>
      <c r="LS307" s="77"/>
      <c r="LT307" s="77"/>
      <c r="LU307" s="77"/>
      <c r="LV307" s="77"/>
      <c r="LW307" s="77"/>
      <c r="LX307" s="77"/>
      <c r="LY307" s="77"/>
      <c r="LZ307" s="77"/>
      <c r="MA307" s="77"/>
      <c r="MB307" s="77"/>
      <c r="MC307" s="77"/>
      <c r="MD307" s="77"/>
      <c r="ME307" s="77"/>
      <c r="MF307" s="77"/>
      <c r="MG307" s="77"/>
      <c r="MH307" s="77"/>
      <c r="MI307" s="77"/>
      <c r="MJ307" s="77"/>
      <c r="MK307" s="77"/>
      <c r="ML307" s="77"/>
      <c r="MM307" s="77"/>
      <c r="MN307" s="77"/>
      <c r="MO307" s="77"/>
      <c r="MP307" s="77"/>
      <c r="MQ307" s="77"/>
      <c r="MR307" s="77"/>
      <c r="MS307" s="77"/>
    </row>
    <row r="308" spans="1:368" ht="18.600000000000001" customHeight="1" x14ac:dyDescent="0.25">
      <c r="A308" s="119" t="s">
        <v>177</v>
      </c>
      <c r="B308" s="27" t="s">
        <v>1260</v>
      </c>
      <c r="C308" s="27"/>
      <c r="D308" s="30" t="str">
        <f>HYPERLINK("https://twitter.com/PRepublicaTL","https://twitter.com/PRepublicaTL")</f>
        <v>https://twitter.com/PRepublicaTL</v>
      </c>
      <c r="E308" s="30" t="str">
        <f>HYPERLINK("http://twiplomacy.com/info/asia/East-Timor","http://twiplomacy.com/info/asia/East-Timor")</f>
        <v>http://twiplomacy.com/info/asia/East-Timor</v>
      </c>
      <c r="F308" s="10" t="s">
        <v>154</v>
      </c>
      <c r="G308" s="10" t="s">
        <v>175</v>
      </c>
      <c r="H308" s="10" t="s">
        <v>781</v>
      </c>
      <c r="I308" s="10" t="s">
        <v>782</v>
      </c>
      <c r="J308" s="27" t="s">
        <v>785</v>
      </c>
      <c r="K308" s="15" t="s">
        <v>777</v>
      </c>
      <c r="L308" s="10" t="s">
        <v>771</v>
      </c>
      <c r="M308" s="10" t="s">
        <v>770</v>
      </c>
      <c r="N308" s="30" t="str">
        <f>HYPERLINK("https://twitter.com/PRepublicaTL/statuses/250514675006046208","https://twitter.com/PRepublicaTL/statuses/250514675006046208")</f>
        <v>https://twitter.com/PRepublicaTL/statuses/250514675006046208</v>
      </c>
      <c r="O308" s="27" t="s">
        <v>6030</v>
      </c>
      <c r="P308" s="80">
        <v>3</v>
      </c>
      <c r="Q308" s="80">
        <v>0</v>
      </c>
      <c r="R308" s="27" t="s">
        <v>2995</v>
      </c>
      <c r="S308" s="10" t="s">
        <v>1266</v>
      </c>
      <c r="T308" s="10" t="s">
        <v>771</v>
      </c>
      <c r="U308" s="10" t="s">
        <v>771</v>
      </c>
      <c r="V308" s="10" t="s">
        <v>771</v>
      </c>
      <c r="W308" s="10"/>
      <c r="X308" s="27" t="s">
        <v>177</v>
      </c>
      <c r="Y308" s="27" t="s">
        <v>1260</v>
      </c>
      <c r="Z308" s="80">
        <v>2779</v>
      </c>
      <c r="AA308" s="27">
        <v>1</v>
      </c>
      <c r="AB308" s="80">
        <v>720</v>
      </c>
      <c r="AC308" s="27">
        <v>0</v>
      </c>
      <c r="AD308" s="27" t="s">
        <v>4307</v>
      </c>
      <c r="AE308" s="27">
        <v>845048838</v>
      </c>
      <c r="AF308" s="27"/>
      <c r="AG308" s="27"/>
      <c r="AH308" s="79">
        <v>2.11330798479087</v>
      </c>
      <c r="AI308" s="83">
        <v>2.1189931350114399</v>
      </c>
      <c r="AJ308" s="80">
        <v>4.9729729729729701E-2</v>
      </c>
      <c r="AK308" s="80">
        <v>5.36936936936937E-2</v>
      </c>
      <c r="AL308" s="13">
        <v>0</v>
      </c>
      <c r="AM308" s="97">
        <f>SUM(AL308/Z308)</f>
        <v>0</v>
      </c>
      <c r="AN308" s="27" t="s">
        <v>177</v>
      </c>
      <c r="AO308" s="27">
        <v>0</v>
      </c>
      <c r="AP308" s="27">
        <v>5</v>
      </c>
      <c r="AQ308" s="27">
        <v>0</v>
      </c>
      <c r="AR308" s="27">
        <f>SUM(AO308:AQ308)</f>
        <v>5</v>
      </c>
      <c r="AS308" s="27"/>
      <c r="AT308" s="27" t="s">
        <v>5415</v>
      </c>
      <c r="AU308" s="84"/>
      <c r="AV308" s="77"/>
      <c r="AW308" s="77"/>
      <c r="AX308" s="77"/>
      <c r="AY308" s="77"/>
      <c r="AZ308" s="77"/>
      <c r="BA308" s="77"/>
      <c r="BB308" s="77"/>
      <c r="BC308" s="77"/>
      <c r="BD308" s="77"/>
      <c r="BE308" s="77"/>
      <c r="BF308" s="77"/>
      <c r="BG308" s="77"/>
      <c r="BH308" s="77"/>
      <c r="BI308" s="77"/>
      <c r="BJ308" s="77"/>
      <c r="BK308" s="77"/>
      <c r="BL308" s="77"/>
      <c r="BM308" s="77"/>
      <c r="BN308" s="77"/>
      <c r="BO308" s="77"/>
      <c r="BP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IF308" s="77"/>
      <c r="IG308" s="77"/>
      <c r="IH308" s="77"/>
      <c r="II308" s="77"/>
      <c r="IJ308" s="77"/>
      <c r="IK308" s="77"/>
      <c r="IL308" s="77"/>
      <c r="IM308" s="77"/>
      <c r="IN308" s="77"/>
      <c r="IO308" s="77"/>
      <c r="IP308" s="77"/>
      <c r="IQ308" s="77"/>
      <c r="IR308" s="77"/>
      <c r="IS308" s="77"/>
      <c r="IT308" s="77"/>
      <c r="IU308" s="77"/>
      <c r="IV308" s="77"/>
      <c r="IW308" s="77"/>
      <c r="IX308" s="77"/>
      <c r="IY308" s="77"/>
      <c r="IZ308" s="77"/>
      <c r="JA308" s="77"/>
      <c r="JB308" s="77"/>
      <c r="JC308" s="77"/>
      <c r="JD308" s="77"/>
      <c r="JE308" s="77"/>
      <c r="JF308" s="77"/>
      <c r="JG308" s="77"/>
      <c r="JH308" s="77"/>
      <c r="JI308" s="77"/>
      <c r="JJ308" s="77"/>
      <c r="JK308" s="77"/>
      <c r="JL308" s="77"/>
      <c r="JM308" s="77"/>
      <c r="JN308" s="77"/>
      <c r="JO308" s="77"/>
      <c r="JP308" s="77"/>
      <c r="JQ308" s="77"/>
      <c r="JR308" s="77"/>
      <c r="JS308" s="77"/>
      <c r="JT308" s="77"/>
      <c r="JU308" s="77"/>
      <c r="JV308" s="77"/>
      <c r="JW308" s="77"/>
      <c r="JX308" s="77"/>
      <c r="JY308" s="77"/>
      <c r="JZ308" s="77"/>
      <c r="KA308" s="77"/>
      <c r="KB308" s="77"/>
      <c r="KC308" s="77"/>
      <c r="KD308" s="77"/>
      <c r="KE308" s="77"/>
      <c r="KF308" s="77"/>
      <c r="KG308" s="77"/>
      <c r="KH308" s="77"/>
      <c r="KI308" s="77"/>
      <c r="KJ308" s="77"/>
      <c r="KK308" s="77"/>
      <c r="KL308" s="77"/>
      <c r="LL308" s="77"/>
      <c r="LM308" s="77"/>
      <c r="LN308" s="77"/>
      <c r="LO308" s="77"/>
      <c r="LP308" s="77"/>
      <c r="LQ308" s="77"/>
      <c r="LR308" s="77"/>
      <c r="LS308" s="77"/>
      <c r="LT308" s="77"/>
      <c r="LU308" s="77"/>
      <c r="LV308" s="77"/>
      <c r="LW308" s="77"/>
      <c r="LX308" s="77"/>
      <c r="MS308" s="77"/>
    </row>
    <row r="309" spans="1:368" ht="18.600000000000001" customHeight="1" x14ac:dyDescent="0.25">
      <c r="A309" s="119" t="s">
        <v>112</v>
      </c>
      <c r="B309" s="27" t="s">
        <v>1076</v>
      </c>
      <c r="C309" s="27" t="s">
        <v>1077</v>
      </c>
      <c r="D309" s="30" t="str">
        <f>HYPERLINK("https://twitter.com/CommsUnitSL","https://twitter.com/CommsUnitSL")</f>
        <v>https://twitter.com/CommsUnitSL</v>
      </c>
      <c r="E309" s="30" t="str">
        <f>HYPERLINK("http://twiplomacy.com/info/africa/Sierra-Leone","http://twiplomacy.com/info/africa/Sierra-Leone")</f>
        <v>http://twiplomacy.com/info/africa/Sierra-Leone</v>
      </c>
      <c r="F309" s="10" t="s">
        <v>1</v>
      </c>
      <c r="G309" s="10" t="s">
        <v>109</v>
      </c>
      <c r="H309" s="10" t="s">
        <v>781</v>
      </c>
      <c r="I309" s="10" t="s">
        <v>782</v>
      </c>
      <c r="J309" s="27" t="s">
        <v>789</v>
      </c>
      <c r="K309" s="15" t="s">
        <v>777</v>
      </c>
      <c r="L309" s="10" t="s">
        <v>771</v>
      </c>
      <c r="M309" s="10" t="s">
        <v>770</v>
      </c>
      <c r="N309" s="30" t="str">
        <f>HYPERLINK("https://twitter.com/CommsUnitSL/statuses/240424403081515008","https://twitter.com/CommsUnitSL/statuses/240424403081515008")</f>
        <v>https://twitter.com/CommsUnitSL/statuses/240424403081515008</v>
      </c>
      <c r="O309" s="27" t="s">
        <v>5783</v>
      </c>
      <c r="P309" s="80">
        <v>16</v>
      </c>
      <c r="Q309" s="80">
        <v>6</v>
      </c>
      <c r="R309" s="27" t="s">
        <v>2995</v>
      </c>
      <c r="S309" s="30" t="str">
        <f>HYPERLINK("https://twitter.com/CommsUnitSL/lists","https://twitter.com/CommsUnitSL/lists")</f>
        <v>https://twitter.com/CommsUnitSL/lists</v>
      </c>
      <c r="T309" s="10">
        <v>1</v>
      </c>
      <c r="U309" s="10" t="s">
        <v>771</v>
      </c>
      <c r="V309" s="30" t="str">
        <f>HYPERLINK("https://twitter.com/CommsUnitSL/statehousefreetown","https://twitter.com/CommsUnitSL/statehousefreetown")</f>
        <v>https://twitter.com/CommsUnitSL/statehousefreetown</v>
      </c>
      <c r="W309" s="10">
        <v>0</v>
      </c>
      <c r="X309" s="27" t="s">
        <v>112</v>
      </c>
      <c r="Y309" s="27" t="s">
        <v>1076</v>
      </c>
      <c r="Z309" s="80">
        <v>2773</v>
      </c>
      <c r="AA309" s="27">
        <v>127</v>
      </c>
      <c r="AB309" s="80">
        <v>698</v>
      </c>
      <c r="AC309" s="27">
        <v>11</v>
      </c>
      <c r="AD309" s="27" t="s">
        <v>3587</v>
      </c>
      <c r="AE309" s="27">
        <v>786848828</v>
      </c>
      <c r="AF309" s="27" t="s">
        <v>1077</v>
      </c>
      <c r="AG309" s="27" t="s">
        <v>1075</v>
      </c>
      <c r="AH309" s="79">
        <v>2.0647803425167499</v>
      </c>
      <c r="AI309" s="83">
        <v>2.0875471698113199</v>
      </c>
      <c r="AJ309" s="80">
        <v>0.73232323232323204</v>
      </c>
      <c r="AK309" s="80">
        <v>6.4213564213564195E-2</v>
      </c>
      <c r="AL309" s="27">
        <v>20</v>
      </c>
      <c r="AM309" s="97">
        <f>SUM(AL309/Z309)</f>
        <v>7.2124053371799496E-3</v>
      </c>
      <c r="AN309" s="27" t="s">
        <v>112</v>
      </c>
      <c r="AO309" s="27">
        <v>20</v>
      </c>
      <c r="AP309" s="27">
        <v>5</v>
      </c>
      <c r="AQ309" s="27">
        <v>3</v>
      </c>
      <c r="AR309" s="27">
        <f>SUM(AO309:AQ309)</f>
        <v>28</v>
      </c>
      <c r="AS309" s="27" t="s">
        <v>5070</v>
      </c>
      <c r="AT309" s="27" t="s">
        <v>5071</v>
      </c>
      <c r="AU309" s="84" t="s">
        <v>4683</v>
      </c>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16"/>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IW309" s="77"/>
      <c r="IX309" s="77"/>
      <c r="IY309" s="77"/>
      <c r="IZ309" s="77"/>
      <c r="JA309" s="77"/>
      <c r="JB309" s="77"/>
      <c r="JC309" s="77"/>
      <c r="JD309" s="77"/>
      <c r="JE309" s="77"/>
      <c r="JF309" s="77"/>
      <c r="JG309" s="77"/>
      <c r="JH309" s="77"/>
      <c r="JI309" s="77"/>
      <c r="JJ309" s="77"/>
      <c r="JK309" s="77"/>
      <c r="JL309" s="77"/>
      <c r="JM309" s="77"/>
      <c r="JN309" s="77"/>
      <c r="JO309" s="77"/>
      <c r="JP309" s="77"/>
      <c r="JQ309" s="77"/>
      <c r="JR309" s="77"/>
      <c r="JS309" s="77"/>
      <c r="JT309" s="77"/>
      <c r="JU309" s="77"/>
      <c r="JV309" s="77"/>
      <c r="JW309" s="77"/>
      <c r="JX309" s="77"/>
      <c r="JY309" s="77"/>
      <c r="JZ309" s="77"/>
      <c r="KA309" s="77"/>
      <c r="KB309" s="77"/>
      <c r="KC309" s="77"/>
      <c r="KD309" s="77"/>
      <c r="KE309" s="77"/>
      <c r="KF309" s="77"/>
      <c r="KG309" s="77"/>
      <c r="KH309" s="77"/>
      <c r="KI309" s="77"/>
      <c r="KJ309" s="77"/>
      <c r="KK309" s="77"/>
      <c r="KL309" s="77"/>
      <c r="LL309" s="77"/>
      <c r="LM309" s="77"/>
      <c r="LN309" s="77"/>
      <c r="LO309" s="77"/>
      <c r="LP309" s="77"/>
      <c r="LQ309" s="77"/>
      <c r="LR309" s="77"/>
      <c r="LS309" s="77"/>
      <c r="LT309" s="77"/>
      <c r="LU309" s="77"/>
      <c r="LV309" s="77"/>
      <c r="LY309" s="77"/>
      <c r="LZ309" s="77"/>
      <c r="MA309" s="77"/>
      <c r="MB309" s="77"/>
      <c r="MC309" s="77"/>
      <c r="MD309" s="77"/>
      <c r="ME309" s="77"/>
      <c r="MF309" s="77"/>
      <c r="MG309" s="77"/>
      <c r="MH309" s="77"/>
      <c r="MI309" s="77"/>
      <c r="MJ309" s="77"/>
      <c r="MK309" s="77"/>
      <c r="ML309" s="77"/>
      <c r="MM309" s="77"/>
      <c r="MN309" s="77"/>
      <c r="MO309" s="77"/>
      <c r="MP309" s="77"/>
      <c r="MQ309" s="77"/>
      <c r="MR309" s="77"/>
    </row>
    <row r="310" spans="1:368" ht="18.600000000000001" customHeight="1" x14ac:dyDescent="0.25">
      <c r="A310" s="119" t="s">
        <v>155</v>
      </c>
      <c r="B310" s="27" t="s">
        <v>1172</v>
      </c>
      <c r="C310" s="27" t="s">
        <v>1173</v>
      </c>
      <c r="D310" s="30" t="str">
        <f>HYPERLINK("https://twitter.com/ashrafghani","https://twitter.com/ashrafghani")</f>
        <v>https://twitter.com/ashrafghani</v>
      </c>
      <c r="E310" s="30" t="str">
        <f>HYPERLINK("http://twiplomacy.com/info/asia/Afghanistan","http://twiplomacy.com/info/asia/Afghanistan")</f>
        <v>http://twiplomacy.com/info/asia/Afghanistan</v>
      </c>
      <c r="F310" s="10" t="s">
        <v>154</v>
      </c>
      <c r="G310" s="10" t="s">
        <v>153</v>
      </c>
      <c r="H310" s="10" t="s">
        <v>772</v>
      </c>
      <c r="I310" s="10" t="s">
        <v>782</v>
      </c>
      <c r="J310" s="27" t="s">
        <v>789</v>
      </c>
      <c r="K310" s="10" t="s">
        <v>777</v>
      </c>
      <c r="L310" s="10" t="s">
        <v>774</v>
      </c>
      <c r="M310" s="10" t="s">
        <v>770</v>
      </c>
      <c r="N310" s="30" t="str">
        <f>HYPERLINK("https://twitter.com/ashrafghani/statuses/344764116948353024","https://twitter.com/ashrafghani/statuses/344764116948353024")</f>
        <v>https://twitter.com/ashrafghani/statuses/344764116948353024</v>
      </c>
      <c r="O310" s="27" t="s">
        <v>5690</v>
      </c>
      <c r="P310" s="80">
        <v>1213</v>
      </c>
      <c r="Q310" s="80">
        <v>1268</v>
      </c>
      <c r="R310" s="27" t="s">
        <v>2994</v>
      </c>
      <c r="S310" s="10" t="s">
        <v>1174</v>
      </c>
      <c r="T310" s="10" t="s">
        <v>771</v>
      </c>
      <c r="U310" s="10" t="s">
        <v>771</v>
      </c>
      <c r="V310" s="10" t="s">
        <v>771</v>
      </c>
      <c r="W310" s="10"/>
      <c r="X310" s="27" t="s">
        <v>155</v>
      </c>
      <c r="Y310" s="27" t="s">
        <v>1172</v>
      </c>
      <c r="Z310" s="80">
        <v>2760</v>
      </c>
      <c r="AA310" s="27">
        <v>14</v>
      </c>
      <c r="AB310" s="80">
        <v>194798</v>
      </c>
      <c r="AC310" s="27">
        <v>47</v>
      </c>
      <c r="AD310" s="27" t="s">
        <v>3482</v>
      </c>
      <c r="AE310" s="27">
        <v>46376581</v>
      </c>
      <c r="AF310" s="27" t="s">
        <v>1173</v>
      </c>
      <c r="AG310" s="27"/>
      <c r="AH310" s="79">
        <v>1.09654350417163</v>
      </c>
      <c r="AI310" s="83">
        <v>2.62440419447092</v>
      </c>
      <c r="AJ310" s="80">
        <v>18.881534569983099</v>
      </c>
      <c r="AK310" s="80">
        <v>26.1117200674536</v>
      </c>
      <c r="AL310" s="96">
        <v>85</v>
      </c>
      <c r="AM310" s="97">
        <f>SUM(AL310/Z310)</f>
        <v>3.0797101449275364E-2</v>
      </c>
      <c r="AN310" s="27" t="s">
        <v>155</v>
      </c>
      <c r="AO310" s="27">
        <v>1</v>
      </c>
      <c r="AP310" s="27">
        <v>22</v>
      </c>
      <c r="AQ310" s="27">
        <v>2</v>
      </c>
      <c r="AR310" s="27">
        <f>SUM(AO310:AQ310)</f>
        <v>25</v>
      </c>
      <c r="AS310" s="27" t="s">
        <v>636</v>
      </c>
      <c r="AT310" s="27" t="s">
        <v>5024</v>
      </c>
      <c r="AU310" s="84" t="s">
        <v>4649</v>
      </c>
      <c r="AV310" s="77"/>
      <c r="AW310" s="77"/>
      <c r="AX310" s="77"/>
      <c r="AY310" s="77"/>
      <c r="AZ310" s="77"/>
      <c r="BA310" s="77"/>
      <c r="BB310" s="77"/>
      <c r="BC310" s="77"/>
      <c r="BD310" s="77"/>
      <c r="BE310" s="77"/>
      <c r="BF310" s="77"/>
      <c r="BG310" s="77"/>
      <c r="BH310" s="77"/>
      <c r="BI310" s="77"/>
      <c r="BJ310" s="77"/>
      <c r="BK310" s="77"/>
      <c r="BL310" s="77"/>
      <c r="BM310" s="77"/>
      <c r="BN310" s="77"/>
      <c r="BO310" s="77"/>
      <c r="BP310" s="77"/>
      <c r="BQ310" s="77"/>
      <c r="BR310" s="77"/>
      <c r="BS310" s="77"/>
      <c r="BT310" s="77"/>
      <c r="BU310" s="77"/>
      <c r="BV310" s="77"/>
      <c r="BW310" s="77"/>
      <c r="BX310" s="77"/>
      <c r="BY310" s="77"/>
      <c r="BZ310" s="77"/>
      <c r="CA310" s="77"/>
      <c r="CB310" s="77"/>
      <c r="CC310" s="77"/>
      <c r="CD310" s="77"/>
      <c r="CE310" s="77"/>
      <c r="CF310" s="77"/>
      <c r="CG310" s="77"/>
      <c r="CH310" s="77"/>
      <c r="CI310" s="77"/>
      <c r="CJ310" s="77"/>
      <c r="CK310" s="77"/>
      <c r="CL310" s="77"/>
      <c r="CM310" s="77"/>
      <c r="CN310" s="77"/>
      <c r="CO310" s="77"/>
      <c r="CP310" s="77"/>
      <c r="CQ310" s="77"/>
      <c r="CR310" s="77"/>
      <c r="CS310" s="77"/>
      <c r="CT310" s="77"/>
      <c r="CU310" s="77"/>
      <c r="CV310" s="77"/>
      <c r="CW310" s="77"/>
      <c r="CX310" s="77"/>
      <c r="CY310" s="77"/>
      <c r="CZ310" s="77"/>
      <c r="DA310" s="77"/>
      <c r="DB310" s="77"/>
      <c r="DC310" s="77"/>
      <c r="DD310" s="77"/>
      <c r="DE310" s="77"/>
      <c r="DF310" s="77"/>
      <c r="DG310" s="77"/>
      <c r="DH310" s="77"/>
      <c r="DI310" s="77"/>
      <c r="DJ310" s="77"/>
      <c r="DK310" s="77"/>
      <c r="DL310" s="77"/>
      <c r="DM310" s="77"/>
      <c r="DN310" s="77"/>
      <c r="DO310" s="77"/>
      <c r="DP310" s="77"/>
      <c r="DQ310" s="77"/>
      <c r="DR310" s="77"/>
      <c r="DS310" s="77"/>
      <c r="DT310" s="77"/>
      <c r="DU310" s="77"/>
      <c r="DV310" s="77"/>
      <c r="DW310" s="77"/>
      <c r="DX310" s="77"/>
      <c r="DY310" s="77"/>
      <c r="DZ310" s="77"/>
      <c r="EA310" s="77"/>
      <c r="EB310" s="77"/>
      <c r="EC310" s="77"/>
      <c r="ED310" s="77"/>
      <c r="EE310" s="77"/>
      <c r="EF310" s="77"/>
      <c r="EG310" s="77"/>
      <c r="EH310" s="77"/>
      <c r="EI310" s="77"/>
      <c r="EJ310" s="77"/>
      <c r="EK310" s="77"/>
      <c r="EL310" s="77"/>
      <c r="EM310" s="77"/>
      <c r="EN310" s="77"/>
      <c r="EO310" s="77"/>
      <c r="EP310" s="77"/>
      <c r="EQ310" s="77"/>
      <c r="ER310" s="77"/>
      <c r="ES310" s="77"/>
      <c r="ET310" s="77"/>
      <c r="EU310" s="77"/>
      <c r="EV310" s="77"/>
      <c r="EW310" s="77"/>
      <c r="EX310" s="77"/>
      <c r="EY310" s="77"/>
      <c r="EZ310" s="77"/>
      <c r="FA310" s="77"/>
      <c r="FB310" s="77"/>
      <c r="FC310" s="77"/>
      <c r="FD310" s="77"/>
      <c r="FE310" s="77"/>
      <c r="FF310" s="77"/>
      <c r="FG310" s="77"/>
      <c r="FH310" s="77"/>
      <c r="FI310" s="77"/>
      <c r="FJ310" s="77"/>
      <c r="FK310" s="77"/>
      <c r="FL310" s="77"/>
      <c r="FM310" s="77"/>
      <c r="FN310" s="77"/>
      <c r="FO310" s="77"/>
      <c r="FP310" s="77"/>
      <c r="FQ310" s="77"/>
      <c r="FR310" s="77"/>
      <c r="FS310" s="77"/>
      <c r="FT310" s="77"/>
      <c r="FU310" s="77"/>
      <c r="FV310" s="77"/>
      <c r="FW310" s="77"/>
      <c r="FX310" s="77"/>
      <c r="FY310" s="77"/>
      <c r="FZ310" s="77"/>
      <c r="GA310" s="77"/>
      <c r="GB310" s="77"/>
      <c r="GC310" s="77"/>
      <c r="GD310" s="77"/>
      <c r="GE310" s="77"/>
      <c r="GF310" s="77"/>
      <c r="GG310" s="77"/>
      <c r="GH310" s="77"/>
      <c r="GI310" s="77"/>
      <c r="GJ310" s="77"/>
      <c r="GK310" s="77"/>
      <c r="GL310" s="77"/>
      <c r="GM310" s="77"/>
      <c r="GN310" s="77"/>
      <c r="GO310" s="77"/>
      <c r="GP310" s="77"/>
      <c r="GQ310" s="77"/>
      <c r="GR310" s="77"/>
      <c r="GS310" s="77"/>
      <c r="GT310" s="77"/>
      <c r="GU310" s="77"/>
      <c r="GV310" s="77"/>
      <c r="GW310" s="77"/>
      <c r="GX310" s="77"/>
      <c r="GY310" s="77"/>
      <c r="GZ310" s="77"/>
      <c r="HA310" s="77"/>
      <c r="HB310" s="77"/>
      <c r="HC310" s="77"/>
      <c r="HD310" s="77"/>
      <c r="HE310" s="77"/>
      <c r="HF310" s="77"/>
      <c r="HG310" s="77"/>
      <c r="HH310" s="77"/>
      <c r="HI310" s="77"/>
      <c r="HJ310" s="77"/>
      <c r="HK310" s="77"/>
      <c r="HL310" s="77"/>
      <c r="HM310" s="77"/>
      <c r="HN310" s="77"/>
      <c r="HO310" s="77"/>
      <c r="HP310" s="77"/>
      <c r="HQ310" s="77"/>
      <c r="HR310" s="77"/>
      <c r="HS310" s="77"/>
      <c r="HT310" s="77"/>
      <c r="HU310" s="77"/>
      <c r="HV310" s="77"/>
      <c r="HW310" s="77"/>
      <c r="HX310" s="77"/>
      <c r="HY310" s="77"/>
      <c r="HZ310" s="77"/>
      <c r="IA310" s="77"/>
      <c r="IB310" s="77"/>
      <c r="IC310" s="77"/>
      <c r="ID310" s="77"/>
      <c r="IE310" s="77"/>
      <c r="JY310" s="77"/>
      <c r="JZ310" s="77"/>
      <c r="KA310" s="77"/>
      <c r="KB310" s="77"/>
      <c r="KC310" s="77"/>
      <c r="KD310" s="77"/>
      <c r="KE310" s="77"/>
      <c r="KF310" s="77"/>
      <c r="KG310" s="77"/>
      <c r="KH310" s="77"/>
      <c r="KI310" s="77"/>
      <c r="KJ310" s="77"/>
      <c r="KK310" s="77"/>
      <c r="KL310" s="77"/>
      <c r="KM310" s="77"/>
      <c r="KN310" s="77"/>
      <c r="KO310" s="77"/>
      <c r="KP310" s="77"/>
      <c r="KQ310" s="77"/>
      <c r="KR310" s="77"/>
      <c r="KS310" s="77"/>
      <c r="KT310" s="77"/>
      <c r="KU310" s="77"/>
      <c r="KV310" s="77"/>
      <c r="KW310" s="77"/>
      <c r="KX310" s="77"/>
      <c r="KY310" s="77"/>
      <c r="KZ310" s="77"/>
      <c r="LA310" s="77"/>
      <c r="LB310" s="77"/>
      <c r="LC310" s="77"/>
      <c r="LD310" s="77"/>
      <c r="LE310" s="77"/>
      <c r="LF310" s="77"/>
      <c r="LG310" s="77"/>
      <c r="LH310" s="77"/>
      <c r="LI310" s="77"/>
      <c r="LJ310" s="77"/>
      <c r="LK310" s="77"/>
      <c r="LY310" s="77"/>
      <c r="LZ310" s="77"/>
      <c r="MA310" s="77"/>
      <c r="MB310" s="77"/>
      <c r="MC310" s="77"/>
      <c r="MD310" s="77"/>
      <c r="ME310" s="77"/>
      <c r="MF310" s="77"/>
      <c r="MG310" s="77"/>
      <c r="MH310" s="77"/>
      <c r="MI310" s="77"/>
      <c r="MJ310" s="77"/>
      <c r="MK310" s="77"/>
      <c r="ML310" s="77"/>
      <c r="MM310" s="77"/>
      <c r="MN310" s="77"/>
      <c r="MO310" s="77"/>
      <c r="MP310" s="77"/>
      <c r="MQ310" s="77"/>
      <c r="MR310" s="77"/>
      <c r="MS310" s="16"/>
    </row>
    <row r="311" spans="1:368" ht="18.600000000000001" customHeight="1" x14ac:dyDescent="0.25">
      <c r="A311" s="119" t="s">
        <v>158</v>
      </c>
      <c r="B311" s="27" t="s">
        <v>1193</v>
      </c>
      <c r="C311" s="27" t="s">
        <v>1194</v>
      </c>
      <c r="D311" s="30" t="str">
        <f>HYPERLINK("https://twitter.com/MFA_Afghanistan","https://twitter.com/MFA_Afghanistan")</f>
        <v>https://twitter.com/MFA_Afghanistan</v>
      </c>
      <c r="E311" s="30" t="str">
        <f>HYPERLINK("http://twiplomacy.com/info/asia/Afghanistan","http://twiplomacy.com/info/asia/Afghanistan")</f>
        <v>http://twiplomacy.com/info/asia/Afghanistan</v>
      </c>
      <c r="F311" s="10" t="s">
        <v>154</v>
      </c>
      <c r="G311" s="10" t="s">
        <v>153</v>
      </c>
      <c r="H311" s="10" t="s">
        <v>795</v>
      </c>
      <c r="I311" s="10" t="s">
        <v>782</v>
      </c>
      <c r="J311" s="27" t="s">
        <v>789</v>
      </c>
      <c r="K311" s="15" t="s">
        <v>777</v>
      </c>
      <c r="L311" s="10" t="s">
        <v>771</v>
      </c>
      <c r="M311" s="10" t="s">
        <v>771</v>
      </c>
      <c r="N311" s="30" t="str">
        <f>HYPERLINK("https://twitter.com/MFA_Afghanistan/statuses/154461035699507200","https://twitter.com/MFA_Afghanistan/statuses/154461035699507200")</f>
        <v>https://twitter.com/MFA_Afghanistan/statuses/154461035699507200</v>
      </c>
      <c r="O311" s="27" t="s">
        <v>1195</v>
      </c>
      <c r="P311" s="80">
        <v>13</v>
      </c>
      <c r="Q311" s="80">
        <v>1</v>
      </c>
      <c r="R311" s="27" t="s">
        <v>2995</v>
      </c>
      <c r="S311" s="10" t="s">
        <v>1196</v>
      </c>
      <c r="T311" s="10" t="s">
        <v>771</v>
      </c>
      <c r="U311" s="10" t="s">
        <v>771</v>
      </c>
      <c r="V311" s="10" t="s">
        <v>771</v>
      </c>
      <c r="W311" s="10"/>
      <c r="X311" s="27" t="s">
        <v>158</v>
      </c>
      <c r="Y311" s="27" t="s">
        <v>1193</v>
      </c>
      <c r="Z311" s="80">
        <v>2753</v>
      </c>
      <c r="AA311" s="27">
        <v>20</v>
      </c>
      <c r="AB311" s="80">
        <v>1453</v>
      </c>
      <c r="AC311" s="27">
        <v>0</v>
      </c>
      <c r="AD311" s="27" t="s">
        <v>4053</v>
      </c>
      <c r="AE311" s="27">
        <v>454624163</v>
      </c>
      <c r="AF311" s="27" t="s">
        <v>1194</v>
      </c>
      <c r="AG311" s="27" t="s">
        <v>6418</v>
      </c>
      <c r="AH311" s="79">
        <v>1.7424050632911401</v>
      </c>
      <c r="AI311" s="83">
        <v>1.74350854971501</v>
      </c>
      <c r="AJ311" s="80">
        <v>0.11732655285143501</v>
      </c>
      <c r="AK311" s="80">
        <v>0.122411914275336</v>
      </c>
      <c r="AL311" s="13">
        <v>0</v>
      </c>
      <c r="AM311" s="97">
        <f>SUM(AL311/Z311)</f>
        <v>0</v>
      </c>
      <c r="AN311" s="27" t="s">
        <v>158</v>
      </c>
      <c r="AO311" s="27">
        <v>0</v>
      </c>
      <c r="AP311" s="27">
        <v>31</v>
      </c>
      <c r="AQ311" s="27">
        <v>0</v>
      </c>
      <c r="AR311" s="27">
        <f>SUM(AO311:AQ311)</f>
        <v>31</v>
      </c>
      <c r="AS311" s="27"/>
      <c r="AT311" s="27" t="s">
        <v>5290</v>
      </c>
      <c r="AU311" s="84"/>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F311" s="77"/>
      <c r="IG311" s="77"/>
      <c r="IH311" s="77"/>
      <c r="II311" s="77"/>
      <c r="IJ311" s="77"/>
      <c r="IK311" s="77"/>
      <c r="IL311" s="77"/>
      <c r="IM311" s="77"/>
      <c r="IN311" s="77"/>
      <c r="IO311" s="77"/>
      <c r="IP311" s="77"/>
      <c r="IQ311" s="77"/>
      <c r="IR311" s="77"/>
      <c r="IS311" s="77"/>
      <c r="IT311" s="77"/>
      <c r="IU311" s="77"/>
      <c r="IV311" s="77"/>
      <c r="IW311" s="77"/>
      <c r="IX311" s="77"/>
      <c r="IY311" s="77"/>
      <c r="IZ311" s="77"/>
      <c r="JA311" s="77"/>
      <c r="JB311" s="77"/>
      <c r="JC311" s="77"/>
      <c r="JD311" s="77"/>
      <c r="JE311" s="77"/>
      <c r="JF311" s="77"/>
      <c r="JG311" s="77"/>
      <c r="JH311" s="77"/>
      <c r="JI311" s="77"/>
      <c r="JJ311" s="77"/>
      <c r="JK311" s="77"/>
      <c r="JL311" s="77"/>
      <c r="JM311" s="77"/>
      <c r="JN311" s="77"/>
      <c r="JO311" s="77"/>
      <c r="JP311" s="77"/>
      <c r="JQ311" s="77"/>
      <c r="JR311" s="77"/>
      <c r="JS311" s="77"/>
      <c r="JT311" s="77"/>
      <c r="JU311" s="77"/>
      <c r="JV311" s="77"/>
      <c r="JW311" s="77"/>
      <c r="JX311" s="77"/>
      <c r="LL311" s="77"/>
      <c r="LM311" s="77"/>
      <c r="LN311" s="77"/>
      <c r="LO311" s="77"/>
      <c r="LP311" s="77"/>
      <c r="LQ311" s="77"/>
      <c r="LR311" s="77"/>
      <c r="LS311" s="77"/>
      <c r="LT311" s="77"/>
      <c r="LU311" s="77"/>
      <c r="LV311" s="77"/>
      <c r="LY311" s="77"/>
      <c r="LZ311" s="77"/>
      <c r="MA311" s="77"/>
      <c r="MB311" s="77"/>
      <c r="MC311" s="77"/>
      <c r="MD311" s="77"/>
      <c r="ME311" s="77"/>
      <c r="MF311" s="77"/>
      <c r="MG311" s="77"/>
      <c r="MH311" s="77"/>
      <c r="MI311" s="77"/>
      <c r="MJ311" s="77"/>
      <c r="MK311" s="77"/>
      <c r="ML311" s="77"/>
      <c r="MM311" s="77"/>
      <c r="MN311" s="77"/>
      <c r="MO311" s="77"/>
      <c r="MP311" s="77"/>
      <c r="MQ311" s="77"/>
      <c r="MR311" s="77"/>
      <c r="MS311" s="77"/>
      <c r="MT311" s="16"/>
      <c r="MU311" s="16"/>
      <c r="MV311" s="16"/>
      <c r="MW311" s="16"/>
      <c r="MX311" s="16"/>
      <c r="MY311" s="16"/>
      <c r="MZ311" s="16"/>
      <c r="NA311" s="16"/>
      <c r="NB311" s="16"/>
      <c r="NC311" s="16"/>
    </row>
    <row r="312" spans="1:368" ht="18.600000000000001" customHeight="1" x14ac:dyDescent="0.25">
      <c r="A312" s="119" t="s">
        <v>583</v>
      </c>
      <c r="B312" s="27" t="s">
        <v>2460</v>
      </c>
      <c r="C312" s="27" t="s">
        <v>2461</v>
      </c>
      <c r="D312" s="30" t="str">
        <f>HYPERLINK("https://twitter.com/SkerritR","https://twitter.com/SkerritR")</f>
        <v>https://twitter.com/SkerritR</v>
      </c>
      <c r="E312" s="30" t="str">
        <f>HYPERLINK("http://twiplomacy.com/info/north-america/Dominica","http://twiplomacy.com/info/north-america/Dominica")</f>
        <v>http://twiplomacy.com/info/north-america/Dominica</v>
      </c>
      <c r="F312" s="10" t="s">
        <v>558</v>
      </c>
      <c r="G312" s="10" t="s">
        <v>582</v>
      </c>
      <c r="H312" s="10" t="s">
        <v>776</v>
      </c>
      <c r="I312" s="10" t="s">
        <v>773</v>
      </c>
      <c r="J312" s="27" t="s">
        <v>789</v>
      </c>
      <c r="K312" s="15" t="s">
        <v>777</v>
      </c>
      <c r="L312" s="15"/>
      <c r="M312" s="10" t="s">
        <v>771</v>
      </c>
      <c r="N312" s="30" t="str">
        <f>HYPERLINK("https://twitter.com/SkerritR/statuses/400051431085842432","https://twitter.com/SkerritR/statuses/400051431085842432")</f>
        <v>https://twitter.com/SkerritR/statuses/400051431085842432</v>
      </c>
      <c r="O312" s="27" t="s">
        <v>6091</v>
      </c>
      <c r="P312" s="80">
        <v>103</v>
      </c>
      <c r="Q312" s="80">
        <v>44</v>
      </c>
      <c r="R312" s="27" t="s">
        <v>2995</v>
      </c>
      <c r="S312" s="30" t="str">
        <f>HYPERLINK("https://twitter.com/SkerritR/lists","https://twitter.com/SkerritR/lists")</f>
        <v>https://twitter.com/SkerritR/lists</v>
      </c>
      <c r="T312" s="10" t="s">
        <v>771</v>
      </c>
      <c r="U312" s="10" t="s">
        <v>771</v>
      </c>
      <c r="V312" s="10" t="s">
        <v>771</v>
      </c>
      <c r="W312" s="10"/>
      <c r="X312" s="27" t="s">
        <v>583</v>
      </c>
      <c r="Y312" s="27" t="s">
        <v>2460</v>
      </c>
      <c r="Z312" s="80">
        <v>2746</v>
      </c>
      <c r="AA312" s="27">
        <v>389</v>
      </c>
      <c r="AB312" s="80">
        <v>1860</v>
      </c>
      <c r="AC312" s="27">
        <v>181</v>
      </c>
      <c r="AD312" s="27" t="s">
        <v>4475</v>
      </c>
      <c r="AE312" s="27">
        <v>2168930017</v>
      </c>
      <c r="AF312" s="27" t="s">
        <v>2461</v>
      </c>
      <c r="AG312" s="27" t="s">
        <v>582</v>
      </c>
      <c r="AH312" s="79">
        <v>3.0109649122806998</v>
      </c>
      <c r="AI312" s="83">
        <v>3.0579064587973299</v>
      </c>
      <c r="AJ312" s="80">
        <v>1.33617494440326</v>
      </c>
      <c r="AK312" s="80">
        <v>1.12787249814678</v>
      </c>
      <c r="AL312" s="27">
        <v>67</v>
      </c>
      <c r="AM312" s="97">
        <f>SUM(AL312/Z312)</f>
        <v>2.4399126001456665E-2</v>
      </c>
      <c r="AN312" s="27" t="s">
        <v>583</v>
      </c>
      <c r="AO312" s="27">
        <v>23</v>
      </c>
      <c r="AP312" s="27">
        <v>1</v>
      </c>
      <c r="AQ312" s="27">
        <v>5</v>
      </c>
      <c r="AR312" s="27">
        <f>SUM(AO312:AQ312)</f>
        <v>29</v>
      </c>
      <c r="AS312" s="27" t="s">
        <v>5494</v>
      </c>
      <c r="AT312" s="27" t="s">
        <v>360</v>
      </c>
      <c r="AU312" s="84" t="s">
        <v>4952</v>
      </c>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IW312" s="77"/>
      <c r="IX312" s="77"/>
      <c r="IY312" s="77"/>
      <c r="IZ312" s="77"/>
      <c r="JA312" s="77"/>
      <c r="JB312" s="77"/>
      <c r="JC312" s="77"/>
      <c r="JD312" s="77"/>
      <c r="JE312" s="77"/>
      <c r="JF312" s="77"/>
      <c r="JG312" s="77"/>
      <c r="JH312" s="77"/>
      <c r="JI312" s="77"/>
      <c r="JJ312" s="77"/>
      <c r="JK312" s="77"/>
      <c r="JL312" s="77"/>
      <c r="JM312" s="77"/>
      <c r="JN312" s="77"/>
      <c r="JO312" s="77"/>
      <c r="JP312" s="77"/>
      <c r="JQ312" s="77"/>
      <c r="JR312" s="77"/>
      <c r="JS312" s="77"/>
      <c r="JT312" s="77"/>
      <c r="JU312" s="77"/>
      <c r="JV312" s="77"/>
      <c r="JW312" s="77"/>
      <c r="JX312" s="77"/>
      <c r="JY312" s="77"/>
      <c r="JZ312" s="77"/>
      <c r="KA312" s="77"/>
      <c r="KB312" s="77"/>
      <c r="KC312" s="77"/>
      <c r="KD312" s="77"/>
      <c r="KE312" s="77"/>
      <c r="KF312" s="77"/>
      <c r="KG312" s="77"/>
      <c r="KH312" s="77"/>
      <c r="KI312" s="77"/>
      <c r="KJ312" s="77"/>
      <c r="KK312" s="77"/>
      <c r="KL312" s="77"/>
      <c r="KM312" s="77"/>
      <c r="KN312" s="77"/>
      <c r="KO312" s="77"/>
      <c r="KP312" s="77"/>
      <c r="KQ312" s="77"/>
      <c r="KR312" s="77"/>
      <c r="KS312" s="77"/>
      <c r="KT312" s="77"/>
      <c r="KU312" s="77"/>
      <c r="KV312" s="77"/>
      <c r="KW312" s="77"/>
      <c r="KX312" s="77"/>
      <c r="KY312" s="77"/>
      <c r="KZ312" s="77"/>
      <c r="LA312" s="77"/>
      <c r="LB312" s="77"/>
      <c r="LC312" s="77"/>
      <c r="LD312" s="77"/>
      <c r="LE312" s="77"/>
      <c r="LF312" s="77"/>
      <c r="LG312" s="77"/>
      <c r="LH312" s="77"/>
      <c r="LI312" s="77"/>
      <c r="LJ312" s="77"/>
      <c r="LK312" s="77"/>
      <c r="LL312" s="77"/>
      <c r="LM312" s="77"/>
      <c r="LN312" s="77"/>
      <c r="LO312" s="77"/>
      <c r="LP312" s="77"/>
      <c r="LQ312" s="77"/>
      <c r="LR312" s="77"/>
      <c r="LS312" s="77"/>
      <c r="LT312" s="77"/>
      <c r="LU312" s="77"/>
      <c r="LV312" s="77"/>
      <c r="MS312" s="77"/>
    </row>
    <row r="313" spans="1:368" ht="18.600000000000001" customHeight="1" x14ac:dyDescent="0.25">
      <c r="A313" s="119" t="s">
        <v>166</v>
      </c>
      <c r="B313" s="27" t="s">
        <v>1216</v>
      </c>
      <c r="C313" s="27" t="s">
        <v>1225</v>
      </c>
      <c r="D313" s="30" t="str">
        <f>HYPERLINK("https://twitter.com/presidentaz","https://twitter.com/presidentaz")</f>
        <v>https://twitter.com/presidentaz</v>
      </c>
      <c r="E313" s="30" t="str">
        <f>HYPERLINK("http://twiplomacy.com/info/asia/Azerbaijan","http://twiplomacy.com/info/asia/Azerbaijan")</f>
        <v>http://twiplomacy.com/info/asia/Azerbaijan</v>
      </c>
      <c r="F313" s="10" t="s">
        <v>154</v>
      </c>
      <c r="G313" s="10" t="s">
        <v>162</v>
      </c>
      <c r="H313" s="10" t="s">
        <v>772</v>
      </c>
      <c r="I313" s="10" t="s">
        <v>773</v>
      </c>
      <c r="J313" s="27" t="s">
        <v>789</v>
      </c>
      <c r="K313" s="15" t="s">
        <v>777</v>
      </c>
      <c r="L313" s="10" t="s">
        <v>771</v>
      </c>
      <c r="M313" s="10" t="s">
        <v>771</v>
      </c>
      <c r="N313" s="30" t="str">
        <f>HYPERLINK("https://twitter.com/presidentaz/statuses/17743747017","https://twitter.com/presidentaz/statuses/17743747017")</f>
        <v>https://twitter.com/presidentaz/statuses/17743747017</v>
      </c>
      <c r="O313" s="30" t="str">
        <f>HYPERLINK("https://twitter.com/presidentaz/statuses/497364659322626048","https://twitter.com/presidentaz/statuses/497364659322626048")</f>
        <v>https://twitter.com/presidentaz/statuses/497364659322626048</v>
      </c>
      <c r="P313" s="46">
        <v>315</v>
      </c>
      <c r="Q313" s="46">
        <v>275</v>
      </c>
      <c r="R313" s="27" t="s">
        <v>2994</v>
      </c>
      <c r="S313" s="10" t="s">
        <v>1226</v>
      </c>
      <c r="T313" s="10" t="s">
        <v>771</v>
      </c>
      <c r="U313" s="10" t="s">
        <v>771</v>
      </c>
      <c r="V313" s="10" t="s">
        <v>771</v>
      </c>
      <c r="W313" s="10"/>
      <c r="X313" s="27" t="s">
        <v>166</v>
      </c>
      <c r="Y313" s="27" t="s">
        <v>1216</v>
      </c>
      <c r="Z313" s="80">
        <v>2742</v>
      </c>
      <c r="AA313" s="27">
        <v>2</v>
      </c>
      <c r="AB313" s="80">
        <v>203983</v>
      </c>
      <c r="AC313" s="27">
        <v>0</v>
      </c>
      <c r="AD313" s="27" t="s">
        <v>4355</v>
      </c>
      <c r="AE313" s="27">
        <v>143742312</v>
      </c>
      <c r="AF313" s="27" t="s">
        <v>1225</v>
      </c>
      <c r="AG313" s="27" t="s">
        <v>1221</v>
      </c>
      <c r="AH313" s="79">
        <v>1.25779816513761</v>
      </c>
      <c r="AI313" s="83">
        <v>1.2909604519774001</v>
      </c>
      <c r="AJ313" s="80">
        <v>9.7679941541834108</v>
      </c>
      <c r="AK313" s="80">
        <v>17.914139568871001</v>
      </c>
      <c r="AL313" s="13">
        <v>0</v>
      </c>
      <c r="AM313" s="97">
        <f>SUM(AL313/Z313)</f>
        <v>0</v>
      </c>
      <c r="AN313" s="27" t="s">
        <v>166</v>
      </c>
      <c r="AO313" s="27">
        <v>0</v>
      </c>
      <c r="AP313" s="27">
        <v>24</v>
      </c>
      <c r="AQ313" s="27">
        <v>2</v>
      </c>
      <c r="AR313" s="27">
        <f>SUM(AO313:AQ313)</f>
        <v>26</v>
      </c>
      <c r="AS313" s="27"/>
      <c r="AT313" s="27" t="s">
        <v>5438</v>
      </c>
      <c r="AU313" s="84" t="s">
        <v>4922</v>
      </c>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EM313" s="77"/>
      <c r="EN313" s="77"/>
      <c r="EO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IW313" s="77"/>
      <c r="IX313" s="77"/>
      <c r="IY313" s="77"/>
      <c r="IZ313" s="77"/>
      <c r="JA313" s="77"/>
      <c r="JB313" s="77"/>
      <c r="JC313" s="77"/>
      <c r="JD313" s="77"/>
      <c r="JE313" s="77"/>
      <c r="JF313" s="77"/>
      <c r="JG313" s="77"/>
      <c r="JH313" s="77"/>
      <c r="JI313" s="77"/>
      <c r="JJ313" s="77"/>
      <c r="JK313" s="77"/>
      <c r="JL313" s="77"/>
      <c r="JM313" s="77"/>
      <c r="JN313" s="77"/>
      <c r="JO313" s="77"/>
      <c r="JP313" s="77"/>
      <c r="JQ313" s="77"/>
      <c r="JR313" s="77"/>
      <c r="JS313" s="77"/>
      <c r="JT313" s="77"/>
      <c r="JU313" s="77"/>
      <c r="JV313" s="77"/>
      <c r="JW313" s="77"/>
      <c r="JX313" s="77"/>
      <c r="JY313" s="77"/>
      <c r="JZ313" s="77"/>
      <c r="KA313" s="77"/>
      <c r="KB313" s="77"/>
      <c r="KC313" s="77"/>
      <c r="KD313" s="77"/>
      <c r="KE313" s="77"/>
      <c r="KF313" s="77"/>
      <c r="KG313" s="77"/>
      <c r="KH313" s="77"/>
      <c r="KI313" s="77"/>
      <c r="KJ313" s="77"/>
      <c r="KK313" s="77"/>
      <c r="KL313" s="77"/>
      <c r="LL313" s="77"/>
      <c r="LM313" s="77"/>
      <c r="LN313" s="77"/>
      <c r="LO313" s="77"/>
      <c r="LP313" s="77"/>
      <c r="LQ313" s="77"/>
      <c r="LR313" s="77"/>
      <c r="LS313" s="77"/>
      <c r="LT313" s="77"/>
      <c r="LU313" s="77"/>
      <c r="LV313" s="77"/>
      <c r="LW313" s="77"/>
      <c r="LX313" s="77"/>
    </row>
    <row r="314" spans="1:368" ht="18.600000000000001" customHeight="1" x14ac:dyDescent="0.25">
      <c r="A314" s="119" t="s">
        <v>136</v>
      </c>
      <c r="B314" s="27" t="s">
        <v>1126</v>
      </c>
      <c r="C314" s="27" t="s">
        <v>1127</v>
      </c>
      <c r="D314" s="30" t="str">
        <f>HYPERLINK("https://twitter.com/presidenceTN","https://twitter.com/presidenceTN")</f>
        <v>https://twitter.com/presidenceTN</v>
      </c>
      <c r="E314" s="30" t="str">
        <f>HYPERLINK("http://twiplomacy.com/info/africa/Tunisia","http://twiplomacy.com/info/africa/Tunisia")</f>
        <v>http://twiplomacy.com/info/africa/Tunisia</v>
      </c>
      <c r="F314" s="10" t="s">
        <v>1</v>
      </c>
      <c r="G314" s="10" t="s">
        <v>134</v>
      </c>
      <c r="H314" s="10" t="s">
        <v>781</v>
      </c>
      <c r="I314" s="10" t="s">
        <v>782</v>
      </c>
      <c r="J314" s="27" t="s">
        <v>789</v>
      </c>
      <c r="K314" s="15" t="s">
        <v>777</v>
      </c>
      <c r="L314" s="10" t="s">
        <v>771</v>
      </c>
      <c r="M314" s="10" t="s">
        <v>770</v>
      </c>
      <c r="N314" s="30" t="str">
        <f>HYPERLINK("https://twitter.com/presidenceTN/statuses/163937585566191616","https://twitter.com/presidenceTN/statuses/163937585566191616")</f>
        <v>https://twitter.com/presidenceTN/statuses/163937585566191616</v>
      </c>
      <c r="O314" s="27" t="s">
        <v>6037</v>
      </c>
      <c r="P314" s="80">
        <v>44</v>
      </c>
      <c r="Q314" s="80">
        <v>22</v>
      </c>
      <c r="R314" s="27" t="s">
        <v>2994</v>
      </c>
      <c r="S314" s="10" t="s">
        <v>1128</v>
      </c>
      <c r="T314" s="10" t="s">
        <v>771</v>
      </c>
      <c r="U314" s="10" t="s">
        <v>771</v>
      </c>
      <c r="V314" s="10" t="s">
        <v>771</v>
      </c>
      <c r="W314" s="10"/>
      <c r="X314" s="27" t="s">
        <v>136</v>
      </c>
      <c r="Y314" s="27" t="s">
        <v>1126</v>
      </c>
      <c r="Z314" s="80">
        <v>2673</v>
      </c>
      <c r="AA314" s="27">
        <v>12</v>
      </c>
      <c r="AB314" s="80">
        <v>62969</v>
      </c>
      <c r="AC314" s="27">
        <v>1</v>
      </c>
      <c r="AD314" s="27" t="s">
        <v>4327</v>
      </c>
      <c r="AE314" s="27">
        <v>455895084</v>
      </c>
      <c r="AF314" s="27" t="s">
        <v>1127</v>
      </c>
      <c r="AG314" s="27" t="s">
        <v>1129</v>
      </c>
      <c r="AH314" s="79">
        <v>1.69284357188094</v>
      </c>
      <c r="AI314" s="83">
        <v>1.7200772200772201</v>
      </c>
      <c r="AJ314" s="80">
        <v>1.8883844116534201</v>
      </c>
      <c r="AK314" s="80">
        <v>1.3704124101399899</v>
      </c>
      <c r="AL314" s="27">
        <v>22</v>
      </c>
      <c r="AM314" s="97">
        <f>SUM(AL314/Z314)</f>
        <v>8.23045267489712E-3</v>
      </c>
      <c r="AN314" s="27" t="s">
        <v>136</v>
      </c>
      <c r="AO314" s="27">
        <v>1</v>
      </c>
      <c r="AP314" s="27">
        <v>8</v>
      </c>
      <c r="AQ314" s="27">
        <v>1</v>
      </c>
      <c r="AR314" s="27">
        <f>SUM(AO314:AQ314)</f>
        <v>10</v>
      </c>
      <c r="AS314" s="27" t="s">
        <v>139</v>
      </c>
      <c r="AT314" s="27" t="s">
        <v>5426</v>
      </c>
      <c r="AU314" s="84" t="s">
        <v>135</v>
      </c>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ID314" s="77"/>
      <c r="IE314" s="77"/>
      <c r="JY314" s="77"/>
      <c r="JZ314" s="77"/>
      <c r="KA314" s="77"/>
      <c r="KB314" s="77"/>
      <c r="KC314" s="77"/>
      <c r="KD314" s="77"/>
      <c r="KE314" s="77"/>
      <c r="KF314" s="77"/>
      <c r="KG314" s="77"/>
      <c r="KH314" s="77"/>
      <c r="KI314" s="77"/>
      <c r="KJ314" s="77"/>
      <c r="KK314" s="77"/>
      <c r="KL314" s="77"/>
      <c r="LL314" s="77"/>
      <c r="LM314" s="77"/>
      <c r="LN314" s="77"/>
      <c r="LO314" s="77"/>
      <c r="LP314" s="77"/>
      <c r="LQ314" s="77"/>
      <c r="LR314" s="77"/>
      <c r="LS314" s="77"/>
      <c r="LT314" s="77"/>
      <c r="LU314" s="77"/>
      <c r="LV314" s="77"/>
      <c r="LW314" s="77"/>
      <c r="LX314" s="77"/>
    </row>
    <row r="315" spans="1:368" ht="18.600000000000001" customHeight="1" x14ac:dyDescent="0.25">
      <c r="A315" s="119" t="s">
        <v>30</v>
      </c>
      <c r="B315" s="27" t="s">
        <v>30</v>
      </c>
      <c r="C315" s="27" t="s">
        <v>847</v>
      </c>
      <c r="D315" s="72" t="str">
        <f>HYPERLINK("https://twitter.com/PrimatureRDC","https://twitter.com/PrimatureRDC")</f>
        <v>https://twitter.com/PrimatureRDC</v>
      </c>
      <c r="E315" s="72" t="s">
        <v>842</v>
      </c>
      <c r="F315" s="10" t="s">
        <v>1</v>
      </c>
      <c r="G315" s="10" t="s">
        <v>843</v>
      </c>
      <c r="H315" s="10" t="s">
        <v>788</v>
      </c>
      <c r="I315" s="10" t="s">
        <v>782</v>
      </c>
      <c r="J315" s="27" t="s">
        <v>779</v>
      </c>
      <c r="K315" s="10" t="s">
        <v>777</v>
      </c>
      <c r="L315" s="10" t="s">
        <v>771</v>
      </c>
      <c r="M315" s="10" t="s">
        <v>770</v>
      </c>
      <c r="N315" s="30" t="str">
        <f>HYPERLINK("https://twitter.com/PrimatureRDC/statuses/336881780265218048","https://twitter.com/PrimatureRDC/statuses/336881780265218048")</f>
        <v>https://twitter.com/PrimatureRDC/statuses/336881780265218048</v>
      </c>
      <c r="O315" s="27" t="s">
        <v>848</v>
      </c>
      <c r="P315" s="80">
        <v>56</v>
      </c>
      <c r="Q315" s="80">
        <v>23</v>
      </c>
      <c r="R315" s="27" t="s">
        <v>2995</v>
      </c>
      <c r="S315" s="10" t="s">
        <v>849</v>
      </c>
      <c r="T315" s="10" t="s">
        <v>771</v>
      </c>
      <c r="U315" s="10" t="s">
        <v>771</v>
      </c>
      <c r="V315" s="10" t="s">
        <v>771</v>
      </c>
      <c r="W315" s="10"/>
      <c r="X315" s="27" t="s">
        <v>30</v>
      </c>
      <c r="Y315" s="27" t="s">
        <v>30</v>
      </c>
      <c r="Z315" s="80">
        <v>2660</v>
      </c>
      <c r="AA315" s="27">
        <v>223</v>
      </c>
      <c r="AB315" s="80">
        <v>27252</v>
      </c>
      <c r="AC315" s="27">
        <v>61</v>
      </c>
      <c r="AD315" s="27" t="s">
        <v>4381</v>
      </c>
      <c r="AE315" s="27">
        <v>1446574225</v>
      </c>
      <c r="AF315" s="27" t="s">
        <v>847</v>
      </c>
      <c r="AG315" s="27" t="s">
        <v>846</v>
      </c>
      <c r="AH315" s="79">
        <v>2.4698235840297098</v>
      </c>
      <c r="AI315" s="83">
        <v>2.47579143389199</v>
      </c>
      <c r="AJ315" s="80">
        <v>3.1356932153392298</v>
      </c>
      <c r="AK315" s="80">
        <v>1.7631689844079199</v>
      </c>
      <c r="AL315" s="27">
        <v>289</v>
      </c>
      <c r="AM315" s="97">
        <f>SUM(AL315/Z315)</f>
        <v>0.10864661654135338</v>
      </c>
      <c r="AN315" s="27" t="s">
        <v>30</v>
      </c>
      <c r="AO315" s="27">
        <v>19</v>
      </c>
      <c r="AP315" s="27">
        <v>4</v>
      </c>
      <c r="AQ315" s="27">
        <v>2</v>
      </c>
      <c r="AR315" s="27">
        <f>SUM(AO315:AQ315)</f>
        <v>25</v>
      </c>
      <c r="AS315" s="27" t="s">
        <v>5449</v>
      </c>
      <c r="AT315" s="27" t="s">
        <v>5450</v>
      </c>
      <c r="AU315" s="84" t="s">
        <v>4927</v>
      </c>
      <c r="AV315" s="77"/>
      <c r="AW315" s="77"/>
      <c r="AX315" s="77"/>
      <c r="AY315" s="77"/>
      <c r="AZ315" s="77"/>
      <c r="BA315" s="77"/>
      <c r="BB315" s="77"/>
      <c r="BC315" s="77"/>
      <c r="BD315" s="77"/>
      <c r="BE315" s="77"/>
      <c r="BF315" s="77"/>
      <c r="BG315" s="77"/>
      <c r="BH315" s="77"/>
      <c r="BI315" s="77"/>
      <c r="BJ315" s="77"/>
      <c r="BK315" s="77"/>
      <c r="BL315" s="77"/>
      <c r="BM315" s="77"/>
      <c r="BN315" s="77"/>
      <c r="BO315" s="77"/>
      <c r="BP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JY315" s="77"/>
      <c r="JZ315" s="77"/>
      <c r="KA315" s="77"/>
      <c r="KB315" s="77"/>
      <c r="KC315" s="77"/>
      <c r="KD315" s="77"/>
      <c r="KE315" s="77"/>
      <c r="KF315" s="77"/>
      <c r="KG315" s="77"/>
      <c r="KH315" s="77"/>
      <c r="KI315" s="77"/>
      <c r="KJ315" s="77"/>
      <c r="KK315" s="77"/>
      <c r="KL315" s="77"/>
      <c r="KM315" s="77"/>
      <c r="KN315" s="77"/>
      <c r="KO315" s="77"/>
      <c r="KP315" s="77"/>
      <c r="KQ315" s="77"/>
      <c r="KR315" s="77"/>
      <c r="KS315" s="77"/>
      <c r="KT315" s="77"/>
      <c r="KU315" s="77"/>
      <c r="KV315" s="77"/>
      <c r="KW315" s="77"/>
      <c r="KX315" s="77"/>
      <c r="KY315" s="77"/>
      <c r="KZ315" s="77"/>
      <c r="LA315" s="77"/>
      <c r="LB315" s="77"/>
      <c r="LC315" s="77"/>
      <c r="LD315" s="77"/>
      <c r="LE315" s="77"/>
      <c r="LF315" s="77"/>
      <c r="LG315" s="77"/>
      <c r="LH315" s="77"/>
      <c r="LI315" s="77"/>
      <c r="LJ315" s="77"/>
      <c r="LK315" s="77"/>
      <c r="LL315" s="16"/>
      <c r="LM315" s="16"/>
      <c r="LN315" s="16"/>
      <c r="LO315" s="16"/>
      <c r="LP315" s="16"/>
      <c r="LQ315" s="16"/>
      <c r="LR315" s="16"/>
      <c r="LS315" s="16"/>
      <c r="LT315" s="16"/>
      <c r="LU315" s="16"/>
      <c r="LV315" s="16"/>
      <c r="MS315" s="77"/>
    </row>
    <row r="316" spans="1:368" ht="18.600000000000001" customHeight="1" x14ac:dyDescent="0.25">
      <c r="A316" s="119" t="s">
        <v>1548</v>
      </c>
      <c r="B316" s="27" t="s">
        <v>1549</v>
      </c>
      <c r="C316" s="27" t="s">
        <v>4402</v>
      </c>
      <c r="D316" s="30" t="str">
        <f>HYPERLINK("https://twitter.com/RamiHamdalla","https://twitter.com/RamiHamdalla")</f>
        <v>https://twitter.com/RamiHamdalla</v>
      </c>
      <c r="E316" s="30" t="str">
        <f>HYPERLINK("http://twiplomacy.com/info/asia/Palestine","http://twiplomacy.com/info/asia/Palestine")</f>
        <v>http://twiplomacy.com/info/asia/Palestine</v>
      </c>
      <c r="F316" s="10" t="s">
        <v>154</v>
      </c>
      <c r="G316" s="10" t="s">
        <v>722</v>
      </c>
      <c r="H316" s="10" t="s">
        <v>776</v>
      </c>
      <c r="I316" s="10" t="s">
        <v>773</v>
      </c>
      <c r="J316" s="27" t="s">
        <v>789</v>
      </c>
      <c r="K316" s="15" t="s">
        <v>777</v>
      </c>
      <c r="L316" s="10" t="s">
        <v>771</v>
      </c>
      <c r="M316" s="10" t="s">
        <v>771</v>
      </c>
      <c r="N316" s="30" t="s">
        <v>1550</v>
      </c>
      <c r="O316" s="27" t="s">
        <v>6064</v>
      </c>
      <c r="P316" s="80">
        <v>10</v>
      </c>
      <c r="Q316" s="80">
        <v>13</v>
      </c>
      <c r="R316" s="27" t="s">
        <v>2995</v>
      </c>
      <c r="S316" s="30" t="str">
        <f>HYPERLINK("https://twitter.com/RamiHamdalla/lists","https://twitter.com/RamiHamdalla/lists")</f>
        <v>https://twitter.com/RamiHamdalla/lists</v>
      </c>
      <c r="T316" s="10" t="s">
        <v>771</v>
      </c>
      <c r="U316" s="10" t="s">
        <v>771</v>
      </c>
      <c r="V316" s="10" t="s">
        <v>771</v>
      </c>
      <c r="W316" s="10"/>
      <c r="X316" s="27" t="s">
        <v>1548</v>
      </c>
      <c r="Y316" s="27" t="s">
        <v>1549</v>
      </c>
      <c r="Z316" s="80">
        <v>2628</v>
      </c>
      <c r="AA316" s="27">
        <v>18</v>
      </c>
      <c r="AB316" s="80">
        <v>812</v>
      </c>
      <c r="AC316" s="27">
        <v>15</v>
      </c>
      <c r="AD316" s="27" t="s">
        <v>4403</v>
      </c>
      <c r="AE316" s="27">
        <v>1494909290</v>
      </c>
      <c r="AF316" s="27" t="s">
        <v>4402</v>
      </c>
      <c r="AG316" s="27" t="s">
        <v>722</v>
      </c>
      <c r="AH316" s="79">
        <v>2.4839319470699399</v>
      </c>
      <c r="AI316" s="83">
        <v>2.4862819299905401</v>
      </c>
      <c r="AJ316" s="80">
        <v>8.4829957967138006E-2</v>
      </c>
      <c r="AK316" s="80">
        <v>0.15284677111195999</v>
      </c>
      <c r="AL316" s="13">
        <v>0</v>
      </c>
      <c r="AM316" s="97">
        <f>SUM(AL316/Z316)</f>
        <v>0</v>
      </c>
      <c r="AN316" s="27" t="s">
        <v>1548</v>
      </c>
      <c r="AO316" s="27">
        <v>1</v>
      </c>
      <c r="AP316" s="27">
        <v>0</v>
      </c>
      <c r="AQ316" s="27">
        <v>7</v>
      </c>
      <c r="AR316" s="27">
        <f>SUM(AO316:AQ316)</f>
        <v>8</v>
      </c>
      <c r="AS316" s="27" t="s">
        <v>723</v>
      </c>
      <c r="AT316" s="27"/>
      <c r="AU316" s="84" t="s">
        <v>4933</v>
      </c>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77"/>
      <c r="CI316" s="77"/>
      <c r="CJ316" s="77"/>
      <c r="CK316" s="77"/>
      <c r="CL316" s="77"/>
      <c r="CM316" s="77"/>
      <c r="CN316" s="77"/>
      <c r="CO316" s="77"/>
      <c r="CP316" s="77"/>
      <c r="CQ316" s="77"/>
      <c r="CR316" s="77"/>
      <c r="CS316" s="77"/>
      <c r="CT316" s="77"/>
      <c r="CU316" s="77"/>
      <c r="CV316" s="77"/>
      <c r="CW316" s="77"/>
      <c r="CX316" s="77"/>
      <c r="CY316" s="77"/>
      <c r="CZ316" s="77"/>
      <c r="DA316" s="77"/>
      <c r="DB316" s="77"/>
      <c r="DC316" s="77"/>
      <c r="DD316" s="77"/>
      <c r="DE316" s="77"/>
      <c r="DF316" s="77"/>
      <c r="DG316" s="77"/>
      <c r="DH316" s="77"/>
      <c r="DI316" s="77"/>
      <c r="DJ316" s="77"/>
      <c r="DK316" s="77"/>
      <c r="DL316" s="77"/>
      <c r="DM316" s="77"/>
      <c r="DN316" s="77"/>
      <c r="DO316" s="77"/>
      <c r="DP316" s="77"/>
      <c r="DQ316" s="77"/>
      <c r="DR316" s="77"/>
      <c r="DS316" s="77"/>
      <c r="DT316" s="77"/>
      <c r="DU316" s="77"/>
      <c r="DV316" s="77"/>
      <c r="DW316" s="77"/>
      <c r="DX316" s="77"/>
      <c r="DY316" s="77"/>
      <c r="DZ316" s="77"/>
      <c r="EA316" s="77"/>
      <c r="EB316" s="77"/>
      <c r="EC316" s="77"/>
      <c r="ED316" s="77"/>
      <c r="EE316" s="77"/>
      <c r="EF316" s="77"/>
      <c r="EG316" s="77"/>
      <c r="EH316" s="77"/>
      <c r="EI316" s="77"/>
      <c r="EJ316" s="77"/>
      <c r="EK316" s="77"/>
      <c r="EL316" s="77"/>
      <c r="EM316" s="77"/>
      <c r="EN316" s="77"/>
      <c r="EO316" s="77"/>
      <c r="EP316" s="77"/>
      <c r="EQ316" s="77"/>
      <c r="GL316" s="77"/>
      <c r="GM316" s="77"/>
      <c r="GN316" s="77"/>
      <c r="GO316" s="77"/>
      <c r="GP316" s="77"/>
      <c r="GQ316" s="77"/>
      <c r="GR316" s="77"/>
      <c r="GS316" s="77"/>
      <c r="GT316" s="77"/>
      <c r="GU316" s="77"/>
      <c r="GV316" s="77"/>
      <c r="GW316" s="77"/>
      <c r="GX316" s="77"/>
      <c r="GY316" s="77"/>
      <c r="GZ316" s="77"/>
      <c r="HA316" s="77"/>
      <c r="HB316" s="77"/>
      <c r="HC316" s="77"/>
      <c r="HD316" s="77"/>
      <c r="HE316" s="77"/>
      <c r="HF316" s="77"/>
      <c r="HG316" s="77"/>
      <c r="HH316" s="77"/>
      <c r="HI316" s="77"/>
      <c r="HJ316" s="77"/>
      <c r="HK316" s="77"/>
      <c r="LL316" s="77"/>
      <c r="LM316" s="77"/>
      <c r="LN316" s="77"/>
      <c r="LO316" s="77"/>
      <c r="LP316" s="77"/>
      <c r="LQ316" s="77"/>
      <c r="LR316" s="77"/>
      <c r="LS316" s="77"/>
      <c r="LT316" s="77"/>
      <c r="LU316" s="77"/>
      <c r="LV316" s="77"/>
      <c r="LW316" s="77"/>
      <c r="LX316" s="77"/>
      <c r="LY316" s="77"/>
      <c r="LZ316" s="77"/>
      <c r="MA316" s="77"/>
      <c r="MB316" s="77"/>
      <c r="MC316" s="77"/>
      <c r="MD316" s="77"/>
      <c r="ME316" s="77"/>
      <c r="MF316" s="77"/>
      <c r="MG316" s="77"/>
      <c r="MH316" s="77"/>
      <c r="MI316" s="77"/>
      <c r="MJ316" s="77"/>
      <c r="MK316" s="77"/>
      <c r="ML316" s="77"/>
      <c r="MM316" s="77"/>
      <c r="MN316" s="77"/>
      <c r="MO316" s="77"/>
      <c r="MP316" s="77"/>
      <c r="MQ316" s="77"/>
      <c r="MR316" s="77"/>
    </row>
    <row r="317" spans="1:368" s="77" customFormat="1" ht="18.600000000000001" customHeight="1" x14ac:dyDescent="0.25">
      <c r="A317" s="119" t="s">
        <v>571</v>
      </c>
      <c r="B317" s="27" t="s">
        <v>2438</v>
      </c>
      <c r="C317" s="27" t="s">
        <v>6397</v>
      </c>
      <c r="D317" s="30" t="s">
        <v>2437</v>
      </c>
      <c r="E317" s="30" t="str">
        <f>HYPERLINK("http://twiplomacy.com/info/north-america/Canada","http://twiplomacy.com/info/north-america/Canada")</f>
        <v>http://twiplomacy.com/info/north-america/Canada</v>
      </c>
      <c r="F317" s="10" t="s">
        <v>558</v>
      </c>
      <c r="G317" s="10" t="s">
        <v>568</v>
      </c>
      <c r="H317" s="10" t="s">
        <v>860</v>
      </c>
      <c r="I317" s="10" t="s">
        <v>773</v>
      </c>
      <c r="J317" s="27" t="s">
        <v>779</v>
      </c>
      <c r="K317" s="15" t="s">
        <v>777</v>
      </c>
      <c r="L317" s="10" t="s">
        <v>1020</v>
      </c>
      <c r="M317" s="42" t="s">
        <v>770</v>
      </c>
      <c r="N317" s="30" t="s">
        <v>2439</v>
      </c>
      <c r="O317" s="27" t="s">
        <v>3166</v>
      </c>
      <c r="P317" s="80">
        <v>202</v>
      </c>
      <c r="Q317" s="80">
        <v>48</v>
      </c>
      <c r="R317" s="27" t="s">
        <v>2994</v>
      </c>
      <c r="S317" s="30" t="str">
        <f>HYPERLINK("https://twitter.com/HonStephaneDion/lists","https://twitter.com/HonStephaneDion/lists")</f>
        <v>https://twitter.com/HonStephaneDion/lists</v>
      </c>
      <c r="T317" s="10" t="s">
        <v>771</v>
      </c>
      <c r="U317" s="10" t="s">
        <v>771</v>
      </c>
      <c r="V317" s="10" t="s">
        <v>771</v>
      </c>
      <c r="W317" s="10"/>
      <c r="X317" s="27" t="s">
        <v>571</v>
      </c>
      <c r="Y317" s="27" t="s">
        <v>2438</v>
      </c>
      <c r="Z317" s="80">
        <v>2604</v>
      </c>
      <c r="AA317" s="27">
        <v>271</v>
      </c>
      <c r="AB317" s="80">
        <v>18002</v>
      </c>
      <c r="AC317" s="27">
        <v>159</v>
      </c>
      <c r="AD317" s="27" t="s">
        <v>3813</v>
      </c>
      <c r="AE317" s="27">
        <v>2153005170</v>
      </c>
      <c r="AF317" s="27" t="s">
        <v>6397</v>
      </c>
      <c r="AG317" s="27" t="s">
        <v>3814</v>
      </c>
      <c r="AH317" s="79">
        <v>2.8284473398479899</v>
      </c>
      <c r="AI317" s="83">
        <v>2.8284473398479899</v>
      </c>
      <c r="AJ317" s="80">
        <v>4.5650249031544003</v>
      </c>
      <c r="AK317" s="80">
        <v>3.68511344770338</v>
      </c>
      <c r="AL317" s="27">
        <v>109</v>
      </c>
      <c r="AM317" s="97">
        <f>SUM(AL317/Z317)</f>
        <v>4.185867895545315E-2</v>
      </c>
      <c r="AN317" s="27" t="s">
        <v>571</v>
      </c>
      <c r="AO317" s="27">
        <v>7</v>
      </c>
      <c r="AP317" s="27">
        <v>16</v>
      </c>
      <c r="AQ317" s="27">
        <v>2</v>
      </c>
      <c r="AR317" s="27">
        <f>SUM(AO317:AQ317)</f>
        <v>25</v>
      </c>
      <c r="AS317" s="27" t="s">
        <v>5181</v>
      </c>
      <c r="AT317" s="27" t="s">
        <v>5182</v>
      </c>
      <c r="AU317" s="84" t="s">
        <v>4756</v>
      </c>
      <c r="MS317" s="16"/>
    </row>
    <row r="318" spans="1:368" ht="18.600000000000001" customHeight="1" x14ac:dyDescent="0.25">
      <c r="A318" s="119" t="s">
        <v>297</v>
      </c>
      <c r="B318" s="27" t="s">
        <v>1614</v>
      </c>
      <c r="C318" s="27" t="s">
        <v>1615</v>
      </c>
      <c r="D318" s="12" t="s">
        <v>5568</v>
      </c>
      <c r="E318" s="30" t="str">
        <f>HYPERLINK("http://twiplomacy.com/info/asia/South-Korea","http://twiplomacy.com/info/asia/South-Korea")</f>
        <v>http://twiplomacy.com/info/asia/South-Korea</v>
      </c>
      <c r="F318" s="10" t="s">
        <v>154</v>
      </c>
      <c r="G318" s="10" t="s">
        <v>292</v>
      </c>
      <c r="H318" s="10" t="s">
        <v>788</v>
      </c>
      <c r="I318" s="10" t="s">
        <v>782</v>
      </c>
      <c r="J318" s="27" t="s">
        <v>1606</v>
      </c>
      <c r="K318" s="15" t="s">
        <v>777</v>
      </c>
      <c r="L318" s="10" t="s">
        <v>771</v>
      </c>
      <c r="M318" s="10" t="s">
        <v>771</v>
      </c>
      <c r="N318" s="30" t="str">
        <f>HYPERLINK("https://twitter.com/govkorea/status/118242539701678081","https://twitter.com/govkorea/status/118242539701678081")</f>
        <v>https://twitter.com/govkorea/status/118242539701678081</v>
      </c>
      <c r="O318" s="27" t="s">
        <v>5836</v>
      </c>
      <c r="P318" s="80">
        <v>486</v>
      </c>
      <c r="Q318" s="80">
        <v>194</v>
      </c>
      <c r="R318" s="27" t="s">
        <v>2995</v>
      </c>
      <c r="S318" s="30" t="str">
        <f>HYPERLINK("https://twitter.com/Govkorea/lists","https://twitter.com/Govkorea/lists")</f>
        <v>https://twitter.com/Govkorea/lists</v>
      </c>
      <c r="T318" s="10" t="s">
        <v>771</v>
      </c>
      <c r="U318" s="10">
        <v>4</v>
      </c>
      <c r="V318" s="10" t="s">
        <v>771</v>
      </c>
      <c r="W318" s="30"/>
      <c r="X318" s="27" t="s">
        <v>297</v>
      </c>
      <c r="Y318" s="27" t="s">
        <v>1614</v>
      </c>
      <c r="Z318" s="80">
        <v>2589</v>
      </c>
      <c r="AA318" s="27">
        <v>45039</v>
      </c>
      <c r="AB318" s="80">
        <v>63076</v>
      </c>
      <c r="AC318" s="27">
        <v>1</v>
      </c>
      <c r="AD318" s="27" t="s">
        <v>3765</v>
      </c>
      <c r="AE318" s="27">
        <v>202544289</v>
      </c>
      <c r="AF318" s="27" t="s">
        <v>1615</v>
      </c>
      <c r="AG318" s="27" t="s">
        <v>1616</v>
      </c>
      <c r="AH318" s="79">
        <v>1.27725703009373</v>
      </c>
      <c r="AI318" s="83">
        <v>1.54231227651967</v>
      </c>
      <c r="AJ318" s="80">
        <v>3.2086120401337799</v>
      </c>
      <c r="AK318" s="80">
        <v>0.64297658862876295</v>
      </c>
      <c r="AL318" s="27">
        <v>43</v>
      </c>
      <c r="AM318" s="97">
        <f>SUM(AL318/Z318)</f>
        <v>1.660872923908845E-2</v>
      </c>
      <c r="AN318" s="27" t="s">
        <v>297</v>
      </c>
      <c r="AO318" s="27">
        <v>2</v>
      </c>
      <c r="AP318" s="27">
        <v>0</v>
      </c>
      <c r="AQ318" s="27">
        <v>3</v>
      </c>
      <c r="AR318" s="27">
        <f>SUM(AO318:AQ318)</f>
        <v>5</v>
      </c>
      <c r="AS318" s="27" t="s">
        <v>5156</v>
      </c>
      <c r="AT318" s="27"/>
      <c r="AU318" s="84" t="s">
        <v>4744</v>
      </c>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K318" s="77"/>
      <c r="CL318" s="77"/>
      <c r="CM318" s="77"/>
      <c r="CN318" s="77"/>
      <c r="CO318" s="77"/>
      <c r="CP318" s="77"/>
      <c r="CQ318" s="77"/>
      <c r="CR318" s="77"/>
      <c r="CS318" s="77"/>
      <c r="CT318" s="77"/>
      <c r="CU318" s="77"/>
      <c r="CV318" s="77"/>
      <c r="CW318" s="77"/>
      <c r="CX318" s="77"/>
      <c r="CY318" s="77"/>
      <c r="CZ318" s="77"/>
      <c r="DA318" s="77"/>
      <c r="DB318" s="77"/>
      <c r="DC318" s="77"/>
      <c r="DD318" s="77"/>
      <c r="DE318" s="77"/>
      <c r="DF318" s="77"/>
      <c r="DG318" s="77"/>
      <c r="DH318" s="77"/>
      <c r="DI318" s="77"/>
      <c r="DJ318" s="77"/>
      <c r="DK318" s="77"/>
      <c r="DL318" s="77"/>
      <c r="DM318" s="77"/>
      <c r="DN318" s="77"/>
      <c r="DO318" s="77"/>
      <c r="DP318" s="77"/>
      <c r="DQ318" s="77"/>
      <c r="DR318" s="77"/>
      <c r="DS318" s="77"/>
      <c r="DT318" s="77"/>
      <c r="DU318" s="77"/>
      <c r="DV318" s="77"/>
      <c r="DW318" s="77"/>
      <c r="DX318" s="77"/>
      <c r="DY318" s="77"/>
      <c r="DZ318" s="77"/>
      <c r="EA318" s="77"/>
      <c r="EB318" s="77"/>
      <c r="EC318" s="77"/>
      <c r="ED318" s="77"/>
      <c r="EE318" s="77"/>
      <c r="EF318" s="77"/>
      <c r="EG318" s="77"/>
      <c r="EH318" s="77"/>
      <c r="EI318" s="77"/>
      <c r="EJ318" s="77"/>
      <c r="EK318" s="77"/>
      <c r="EL318" s="77"/>
      <c r="EQ318" s="77"/>
      <c r="ER318" s="77"/>
      <c r="ES318" s="77"/>
      <c r="ET318" s="77"/>
      <c r="EU318" s="77"/>
      <c r="EV318" s="77"/>
      <c r="EW318" s="77"/>
      <c r="EX318" s="77"/>
      <c r="EY318" s="77"/>
      <c r="EZ318" s="77"/>
      <c r="FA318" s="77"/>
      <c r="FB318" s="77"/>
      <c r="FC318" s="77"/>
      <c r="FD318" s="77"/>
      <c r="FE318" s="77"/>
      <c r="FF318" s="77"/>
      <c r="FG318" s="77"/>
      <c r="FH318" s="77"/>
      <c r="FI318" s="77"/>
      <c r="FJ318" s="77"/>
      <c r="FK318" s="77"/>
      <c r="FL318" s="77"/>
      <c r="FM318" s="77"/>
      <c r="FN318" s="77"/>
      <c r="FO318" s="77"/>
      <c r="FP318" s="77"/>
      <c r="FQ318" s="77"/>
      <c r="FR318" s="77"/>
      <c r="FS318" s="77"/>
      <c r="FT318" s="77"/>
      <c r="FU318" s="77"/>
      <c r="FV318" s="77"/>
      <c r="FW318" s="77"/>
      <c r="FX318" s="77"/>
      <c r="FY318" s="77"/>
      <c r="FZ318" s="77"/>
      <c r="GA318" s="77"/>
      <c r="GB318" s="77"/>
      <c r="GC318" s="77"/>
      <c r="GD318" s="77"/>
      <c r="GE318" s="77"/>
      <c r="GF318" s="77"/>
      <c r="GG318" s="77"/>
      <c r="GH318" s="77"/>
      <c r="GI318" s="77"/>
      <c r="GJ318" s="77"/>
      <c r="GK318" s="77"/>
      <c r="ID318" s="77"/>
      <c r="IE318" s="77"/>
      <c r="IF318" s="77"/>
      <c r="IG318" s="77"/>
      <c r="IH318" s="77"/>
      <c r="II318" s="77"/>
      <c r="IJ318" s="77"/>
      <c r="IK318" s="77"/>
      <c r="IL318" s="77"/>
      <c r="IM318" s="77"/>
      <c r="IN318" s="77"/>
      <c r="IO318" s="77"/>
      <c r="IP318" s="77"/>
      <c r="IQ318" s="77"/>
      <c r="IR318" s="77"/>
      <c r="IS318" s="77"/>
      <c r="IT318" s="77"/>
      <c r="IU318" s="77"/>
      <c r="IV318" s="77"/>
      <c r="IW318" s="77"/>
      <c r="IX318" s="77"/>
      <c r="IY318" s="77"/>
      <c r="IZ318" s="77"/>
      <c r="JA318" s="77"/>
      <c r="JB318" s="77"/>
      <c r="JC318" s="77"/>
      <c r="JD318" s="77"/>
      <c r="JE318" s="77"/>
      <c r="JF318" s="77"/>
      <c r="JG318" s="77"/>
      <c r="JH318" s="77"/>
      <c r="JI318" s="77"/>
      <c r="JJ318" s="77"/>
      <c r="JK318" s="77"/>
      <c r="JL318" s="77"/>
      <c r="JM318" s="77"/>
      <c r="JN318" s="77"/>
      <c r="JO318" s="77"/>
      <c r="JP318" s="77"/>
      <c r="JQ318" s="77"/>
      <c r="JR318" s="77"/>
      <c r="JS318" s="77"/>
      <c r="JT318" s="77"/>
      <c r="JU318" s="77"/>
      <c r="JV318" s="77"/>
      <c r="JW318" s="77"/>
      <c r="JX318" s="77"/>
      <c r="JY318" s="77"/>
      <c r="JZ318" s="77"/>
      <c r="KA318" s="77"/>
      <c r="KB318" s="77"/>
      <c r="KC318" s="77"/>
      <c r="KD318" s="77"/>
      <c r="KE318" s="77"/>
      <c r="KF318" s="77"/>
      <c r="KG318" s="77"/>
      <c r="KH318" s="77"/>
      <c r="KI318" s="77"/>
      <c r="KJ318" s="77"/>
      <c r="KK318" s="77"/>
      <c r="KL318" s="77"/>
      <c r="LL318" s="16"/>
      <c r="LM318" s="16"/>
      <c r="LN318" s="16"/>
      <c r="LO318" s="16"/>
      <c r="LP318" s="16"/>
      <c r="LQ318" s="16"/>
      <c r="LR318" s="16"/>
      <c r="LS318" s="16"/>
      <c r="LT318" s="16"/>
      <c r="LU318" s="16"/>
      <c r="LV318" s="16"/>
      <c r="LW318" s="77"/>
      <c r="LX318" s="77"/>
      <c r="MT318" s="77"/>
      <c r="MU318" s="77"/>
      <c r="MV318" s="77"/>
      <c r="MW318" s="77"/>
      <c r="MX318" s="77"/>
      <c r="MY318" s="77"/>
      <c r="MZ318" s="77"/>
      <c r="NA318" s="77"/>
      <c r="NB318" s="77"/>
      <c r="NC318" s="77"/>
    </row>
    <row r="319" spans="1:368" ht="18.600000000000001" customHeight="1" x14ac:dyDescent="0.25">
      <c r="A319" s="119" t="s">
        <v>98</v>
      </c>
      <c r="B319" s="27" t="s">
        <v>1035</v>
      </c>
      <c r="C319" s="27" t="s">
        <v>1036</v>
      </c>
      <c r="D319" s="30" t="str">
        <f>HYPERLINK("https://twitter.com/PaulKagame","https://twitter.com/PaulKagame")</f>
        <v>https://twitter.com/PaulKagame</v>
      </c>
      <c r="E319" s="30" t="str">
        <f>HYPERLINK("http://twiplomacy.com/info/africa/Rwanda","http://twiplomacy.com/info/africa/Rwanda")</f>
        <v>http://twiplomacy.com/info/africa/Rwanda</v>
      </c>
      <c r="F319" s="10" t="s">
        <v>1</v>
      </c>
      <c r="G319" s="10" t="s">
        <v>97</v>
      </c>
      <c r="H319" s="10" t="s">
        <v>772</v>
      </c>
      <c r="I319" s="10" t="s">
        <v>773</v>
      </c>
      <c r="J319" s="27" t="s">
        <v>789</v>
      </c>
      <c r="K319" s="15" t="s">
        <v>777</v>
      </c>
      <c r="L319" s="10" t="s">
        <v>905</v>
      </c>
      <c r="M319" s="10" t="s">
        <v>771</v>
      </c>
      <c r="N319" s="30" t="str">
        <f>HYPERLINK("https://twitter.com/PaulKagame/statuses/1809439901","https://twitter.com/PaulKagame/statuses/1809439901")</f>
        <v>https://twitter.com/PaulKagame/statuses/1809439901</v>
      </c>
      <c r="O319" s="27" t="s">
        <v>1037</v>
      </c>
      <c r="P319" s="80">
        <v>2060</v>
      </c>
      <c r="Q319" s="80">
        <v>325</v>
      </c>
      <c r="R319" s="27" t="s">
        <v>2994</v>
      </c>
      <c r="S319" s="30" t="str">
        <f>HYPERLINK("https://twitter.com/PaulKagame/lists","https://twitter.com/PaulKagame/lists")</f>
        <v>https://twitter.com/PaulKagame/lists</v>
      </c>
      <c r="T319" s="10" t="s">
        <v>771</v>
      </c>
      <c r="U319" s="10">
        <v>1</v>
      </c>
      <c r="V319" s="10" t="s">
        <v>771</v>
      </c>
      <c r="W319" s="10"/>
      <c r="X319" s="27" t="s">
        <v>98</v>
      </c>
      <c r="Y319" s="27" t="s">
        <v>1035</v>
      </c>
      <c r="Z319" s="80">
        <v>2580</v>
      </c>
      <c r="AA319" s="27">
        <v>106</v>
      </c>
      <c r="AB319" s="80">
        <v>1402258</v>
      </c>
      <c r="AC319" s="27">
        <v>51</v>
      </c>
      <c r="AD319" s="27" t="s">
        <v>4237</v>
      </c>
      <c r="AE319" s="27">
        <v>37601149</v>
      </c>
      <c r="AF319" s="27" t="s">
        <v>1036</v>
      </c>
      <c r="AG319" s="27" t="s">
        <v>1038</v>
      </c>
      <c r="AH319" s="79">
        <v>1.0097847358121299</v>
      </c>
      <c r="AI319" s="83">
        <v>1.01534828807556</v>
      </c>
      <c r="AJ319" s="80">
        <v>23.878200155159</v>
      </c>
      <c r="AK319" s="80">
        <v>18.555857253685001</v>
      </c>
      <c r="AL319" s="27">
        <v>2087</v>
      </c>
      <c r="AM319" s="97">
        <f>SUM(AL319/Z319)</f>
        <v>0.80891472868217051</v>
      </c>
      <c r="AN319" s="27" t="s">
        <v>98</v>
      </c>
      <c r="AO319" s="27">
        <v>5</v>
      </c>
      <c r="AP319" s="27">
        <v>55</v>
      </c>
      <c r="AQ319" s="27">
        <v>8</v>
      </c>
      <c r="AR319" s="27">
        <f>SUM(AO319:AQ319)</f>
        <v>68</v>
      </c>
      <c r="AS319" s="27" t="s">
        <v>6243</v>
      </c>
      <c r="AT319" s="27" t="s">
        <v>6813</v>
      </c>
      <c r="AU319" s="84" t="s">
        <v>6177</v>
      </c>
      <c r="AV319" s="77"/>
      <c r="AW319" s="77"/>
      <c r="AX319" s="77"/>
      <c r="AY319" s="77"/>
      <c r="AZ319" s="77"/>
      <c r="BA319" s="77"/>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c r="BZ319" s="77"/>
      <c r="CA319" s="77"/>
      <c r="CB319" s="77"/>
      <c r="CC319" s="77"/>
      <c r="CD319" s="77"/>
      <c r="CE319" s="77"/>
      <c r="CF319" s="77"/>
      <c r="CG319" s="77"/>
      <c r="CH319" s="77"/>
      <c r="CI319" s="77"/>
      <c r="CJ319" s="77"/>
      <c r="CK319" s="77"/>
      <c r="CL319" s="77"/>
      <c r="CM319" s="77"/>
      <c r="CN319" s="77"/>
      <c r="CO319" s="77"/>
      <c r="CP319" s="77"/>
      <c r="CQ319" s="77"/>
      <c r="CR319" s="77"/>
      <c r="CS319" s="77"/>
      <c r="CT319" s="77"/>
      <c r="CU319" s="77"/>
      <c r="CV319" s="77"/>
      <c r="CW319" s="77"/>
      <c r="CX319" s="77"/>
      <c r="CY319" s="77"/>
      <c r="CZ319" s="77"/>
      <c r="DA319" s="77"/>
      <c r="DB319" s="77"/>
      <c r="DC319" s="77"/>
      <c r="DD319" s="77"/>
      <c r="DE319" s="77"/>
      <c r="DF319" s="77"/>
      <c r="DG319" s="77"/>
      <c r="DH319" s="77"/>
      <c r="DI319" s="77"/>
      <c r="DJ319" s="77"/>
      <c r="DK319" s="77"/>
      <c r="DL319" s="77"/>
      <c r="DM319" s="77"/>
      <c r="DN319" s="77"/>
      <c r="DO319" s="77"/>
      <c r="DP319" s="77"/>
      <c r="DQ319" s="77"/>
      <c r="DR319" s="77"/>
      <c r="DS319" s="77"/>
      <c r="DT319" s="77"/>
      <c r="DU319" s="77"/>
      <c r="DV319" s="77"/>
      <c r="DW319" s="77"/>
      <c r="DX319" s="77"/>
      <c r="DY319" s="77"/>
      <c r="DZ319" s="77"/>
      <c r="EA319" s="77"/>
      <c r="EB319" s="77"/>
      <c r="EC319" s="77"/>
      <c r="ED319" s="77"/>
      <c r="EE319" s="77"/>
      <c r="EF319" s="77"/>
      <c r="EG319" s="77"/>
      <c r="EH319" s="77"/>
      <c r="EI319" s="77"/>
      <c r="EJ319" s="77"/>
      <c r="EK319" s="77"/>
      <c r="EL319" s="77"/>
      <c r="EM319" s="77"/>
      <c r="EN319" s="77"/>
      <c r="EO319" s="77"/>
      <c r="EP319" s="77"/>
      <c r="EQ319" s="77"/>
      <c r="ER319" s="77"/>
      <c r="ES319" s="77"/>
      <c r="ET319" s="77"/>
      <c r="EU319" s="77"/>
      <c r="EV319" s="77"/>
      <c r="EW319" s="77"/>
      <c r="EX319" s="77"/>
      <c r="EY319" s="77"/>
      <c r="EZ319" s="77"/>
      <c r="FA319" s="77"/>
      <c r="FB319" s="77"/>
      <c r="FC319" s="77"/>
      <c r="FD319" s="77"/>
      <c r="FE319" s="77"/>
      <c r="FF319" s="77"/>
      <c r="FG319" s="77"/>
      <c r="FH319" s="77"/>
      <c r="FI319" s="77"/>
      <c r="FJ319" s="77"/>
      <c r="FK319" s="77"/>
      <c r="FL319" s="77"/>
      <c r="FM319" s="77"/>
      <c r="FN319" s="77"/>
      <c r="FO319" s="77"/>
      <c r="FP319" s="77"/>
      <c r="FQ319" s="77"/>
      <c r="FR319" s="77"/>
      <c r="FS319" s="77"/>
      <c r="FT319" s="77"/>
      <c r="FU319" s="77"/>
      <c r="FV319" s="77"/>
      <c r="FW319" s="77"/>
      <c r="FX319" s="77"/>
      <c r="FY319" s="77"/>
      <c r="FZ319" s="77"/>
      <c r="GA319" s="77"/>
      <c r="GB319" s="77"/>
      <c r="GC319" s="77"/>
      <c r="GD319" s="77"/>
      <c r="GE319" s="77"/>
      <c r="GF319" s="77"/>
      <c r="GG319" s="77"/>
      <c r="GH319" s="77"/>
      <c r="GI319" s="77"/>
      <c r="GJ319" s="77"/>
      <c r="GK319" s="77"/>
      <c r="HL319" s="77"/>
      <c r="HM319" s="77"/>
      <c r="HN319" s="77"/>
      <c r="HO319" s="77"/>
      <c r="HP319" s="77"/>
      <c r="HQ319" s="77"/>
      <c r="HR319" s="77"/>
      <c r="HS319" s="77"/>
      <c r="HT319" s="77"/>
      <c r="HU319" s="77"/>
      <c r="HV319" s="77"/>
      <c r="HW319" s="77"/>
      <c r="HX319" s="77"/>
      <c r="HY319" s="77"/>
      <c r="HZ319" s="77"/>
      <c r="IA319" s="77"/>
      <c r="IB319" s="77"/>
      <c r="IC319" s="77"/>
      <c r="ID319" s="77"/>
      <c r="IE319" s="77"/>
      <c r="IF319" s="77"/>
      <c r="IG319" s="77"/>
      <c r="IH319" s="77"/>
      <c r="II319" s="77"/>
      <c r="IJ319" s="77"/>
      <c r="IK319" s="77"/>
      <c r="IL319" s="77"/>
      <c r="IM319" s="77"/>
      <c r="IN319" s="77"/>
      <c r="IO319" s="77"/>
      <c r="IP319" s="77"/>
      <c r="IQ319" s="77"/>
      <c r="IR319" s="77"/>
      <c r="IS319" s="77"/>
      <c r="IT319" s="77"/>
      <c r="IU319" s="77"/>
      <c r="IV319" s="77"/>
      <c r="IW319" s="77"/>
      <c r="IX319" s="77"/>
      <c r="IY319" s="77"/>
      <c r="IZ319" s="77"/>
      <c r="JA319" s="77"/>
      <c r="JB319" s="77"/>
      <c r="JC319" s="77"/>
      <c r="JD319" s="77"/>
      <c r="JE319" s="77"/>
      <c r="JF319" s="77"/>
      <c r="JG319" s="77"/>
      <c r="JH319" s="77"/>
      <c r="JI319" s="77"/>
      <c r="JJ319" s="77"/>
      <c r="JK319" s="77"/>
      <c r="JL319" s="77"/>
      <c r="JM319" s="77"/>
      <c r="JN319" s="77"/>
      <c r="JO319" s="77"/>
      <c r="JP319" s="77"/>
      <c r="JQ319" s="77"/>
      <c r="JR319" s="77"/>
      <c r="JS319" s="77"/>
      <c r="JT319" s="77"/>
      <c r="JU319" s="77"/>
      <c r="JV319" s="77"/>
      <c r="JW319" s="77"/>
      <c r="JX319" s="77"/>
      <c r="JY319" s="77"/>
      <c r="JZ319" s="77"/>
      <c r="KA319" s="77"/>
      <c r="KB319" s="77"/>
      <c r="KC319" s="77"/>
      <c r="KD319" s="77"/>
      <c r="KE319" s="77"/>
      <c r="KF319" s="77"/>
      <c r="KG319" s="77"/>
      <c r="KH319" s="77"/>
      <c r="KI319" s="77"/>
      <c r="KJ319" s="77"/>
      <c r="KK319" s="77"/>
      <c r="KL319" s="77"/>
      <c r="LL319" s="16"/>
      <c r="LM319" s="16"/>
      <c r="LN319" s="16"/>
      <c r="LO319" s="16"/>
      <c r="LP319" s="16"/>
      <c r="LQ319" s="16"/>
      <c r="LR319" s="16"/>
      <c r="LS319" s="16"/>
      <c r="LT319" s="16"/>
      <c r="LU319" s="16"/>
      <c r="LV319" s="16"/>
      <c r="ND319" s="77"/>
    </row>
    <row r="320" spans="1:368" ht="18.600000000000001" customHeight="1" x14ac:dyDescent="0.25">
      <c r="A320" s="119" t="s">
        <v>1307</v>
      </c>
      <c r="B320" s="27" t="s">
        <v>1308</v>
      </c>
      <c r="C320" s="27" t="s">
        <v>1309</v>
      </c>
      <c r="D320" s="30" t="str">
        <f>HYPERLINK("https://twitter.com/deplu","https://twitter.com/deplu")</f>
        <v>https://twitter.com/deplu</v>
      </c>
      <c r="E320" s="30" t="str">
        <f>HYPERLINK("http://twiplomacy.com/info/asia/Indonesia","http://twiplomacy.com/info/asia/Indonesia")</f>
        <v>http://twiplomacy.com/info/asia/Indonesia</v>
      </c>
      <c r="F320" s="10" t="s">
        <v>154</v>
      </c>
      <c r="G320" s="10" t="s">
        <v>189</v>
      </c>
      <c r="H320" s="10" t="s">
        <v>795</v>
      </c>
      <c r="I320" s="10" t="s">
        <v>782</v>
      </c>
      <c r="J320" s="27" t="s">
        <v>789</v>
      </c>
      <c r="K320" s="15" t="s">
        <v>1310</v>
      </c>
      <c r="L320" s="10" t="s">
        <v>771</v>
      </c>
      <c r="M320" s="10" t="s">
        <v>771</v>
      </c>
      <c r="N320" s="30" t="str">
        <f>HYPERLINK("https://twitter.com/deplu/statuses/2906629554","https://twitter.com/deplu/statuses/2906629554")</f>
        <v>https://twitter.com/deplu/statuses/2906629554</v>
      </c>
      <c r="O320" s="27" t="s">
        <v>5794</v>
      </c>
      <c r="P320" s="80">
        <v>44</v>
      </c>
      <c r="Q320" s="80">
        <v>0</v>
      </c>
      <c r="R320" s="27" t="s">
        <v>2995</v>
      </c>
      <c r="S320" s="10" t="s">
        <v>1311</v>
      </c>
      <c r="T320" s="10" t="s">
        <v>771</v>
      </c>
      <c r="U320" s="10" t="s">
        <v>771</v>
      </c>
      <c r="V320" s="10" t="s">
        <v>771</v>
      </c>
      <c r="W320" s="73"/>
      <c r="X320" s="27" t="s">
        <v>1307</v>
      </c>
      <c r="Y320" s="27" t="s">
        <v>1308</v>
      </c>
      <c r="Z320" s="80">
        <v>2567</v>
      </c>
      <c r="AA320" s="27">
        <v>3</v>
      </c>
      <c r="AB320" s="80">
        <v>16781</v>
      </c>
      <c r="AC320" s="27">
        <v>0</v>
      </c>
      <c r="AD320" s="27" t="s">
        <v>3604</v>
      </c>
      <c r="AE320" s="27">
        <v>61148558</v>
      </c>
      <c r="AF320" s="27" t="s">
        <v>1309</v>
      </c>
      <c r="AG320" s="27" t="s">
        <v>1294</v>
      </c>
      <c r="AH320" s="79">
        <v>1.0396921830700701</v>
      </c>
      <c r="AI320" s="83">
        <v>2.0054687499999999</v>
      </c>
      <c r="AJ320" s="80">
        <v>1.2504869497467901</v>
      </c>
      <c r="AK320" s="80">
        <v>0.12388001558239201</v>
      </c>
      <c r="AL320" s="13">
        <v>0</v>
      </c>
      <c r="AM320" s="97">
        <f>SUM(AL320/Z320)</f>
        <v>0</v>
      </c>
      <c r="AN320" s="27" t="s">
        <v>1307</v>
      </c>
      <c r="AO320" s="27">
        <v>0</v>
      </c>
      <c r="AP320" s="27">
        <v>17</v>
      </c>
      <c r="AQ320" s="27">
        <v>0</v>
      </c>
      <c r="AR320" s="27">
        <f>SUM(AO320:AQ320)</f>
        <v>17</v>
      </c>
      <c r="AS320" s="27"/>
      <c r="AT320" s="27" t="s">
        <v>5079</v>
      </c>
      <c r="AU320" s="84"/>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16"/>
      <c r="IE320" s="16"/>
      <c r="IF320" s="77"/>
      <c r="IG320" s="77"/>
      <c r="IH320" s="77"/>
      <c r="II320" s="77"/>
      <c r="IJ320" s="77"/>
      <c r="IK320" s="77"/>
      <c r="IL320" s="77"/>
      <c r="IM320" s="77"/>
      <c r="IN320" s="77"/>
      <c r="IO320" s="77"/>
      <c r="IP320" s="77"/>
      <c r="IQ320" s="77"/>
      <c r="IR320" s="77"/>
      <c r="IS320" s="77"/>
      <c r="IT320" s="77"/>
      <c r="IU320" s="77"/>
      <c r="IV320" s="77"/>
      <c r="IW320" s="77"/>
      <c r="IX320" s="77"/>
      <c r="IY320" s="77"/>
      <c r="IZ320" s="77"/>
      <c r="JA320" s="77"/>
      <c r="JB320" s="77"/>
      <c r="JC320" s="77"/>
      <c r="JD320" s="77"/>
      <c r="JE320" s="77"/>
      <c r="JF320" s="77"/>
      <c r="JG320" s="77"/>
      <c r="JH320" s="77"/>
      <c r="JI320" s="77"/>
      <c r="JJ320" s="77"/>
      <c r="JK320" s="77"/>
      <c r="JL320" s="77"/>
      <c r="JM320" s="77"/>
      <c r="JN320" s="77"/>
      <c r="JO320" s="77"/>
      <c r="JP320" s="77"/>
      <c r="JQ320" s="77"/>
      <c r="JR320" s="77"/>
      <c r="JS320" s="77"/>
      <c r="JT320" s="77"/>
      <c r="JU320" s="77"/>
      <c r="JV320" s="77"/>
      <c r="JW320" s="77"/>
      <c r="JX320" s="77"/>
      <c r="JY320" s="77"/>
      <c r="JZ320" s="77"/>
      <c r="KA320" s="77"/>
      <c r="KB320" s="77"/>
      <c r="KC320" s="77"/>
      <c r="KD320" s="77"/>
      <c r="KE320" s="77"/>
      <c r="KF320" s="77"/>
      <c r="KG320" s="77"/>
      <c r="KH320" s="77"/>
      <c r="KI320" s="77"/>
      <c r="KJ320" s="77"/>
      <c r="KK320" s="77"/>
      <c r="KL320" s="77"/>
      <c r="LW320" s="77"/>
      <c r="LX320" s="77"/>
    </row>
    <row r="321" spans="1:421" ht="18.600000000000001" customHeight="1" x14ac:dyDescent="0.25">
      <c r="A321" s="119" t="s">
        <v>340</v>
      </c>
      <c r="B321" s="27" t="s">
        <v>1717</v>
      </c>
      <c r="C321" s="27" t="s">
        <v>1718</v>
      </c>
      <c r="D321" s="30" t="str">
        <f>HYPERLINK("https://twitter.com/sebastiankurz","https://twitter.com/sebastiankurz")</f>
        <v>https://twitter.com/sebastiankurz</v>
      </c>
      <c r="E321" s="30" t="str">
        <f>HYPERLINK("http://twiplomacy.com/info/europe/Austria","http://twiplomacy.com/info/europe/Austria")</f>
        <v>http://twiplomacy.com/info/europe/Austria</v>
      </c>
      <c r="F321" s="10" t="s">
        <v>332</v>
      </c>
      <c r="G321" s="10" t="s">
        <v>338</v>
      </c>
      <c r="H321" s="10" t="s">
        <v>860</v>
      </c>
      <c r="I321" s="10" t="s">
        <v>773</v>
      </c>
      <c r="J321" s="27" t="s">
        <v>789</v>
      </c>
      <c r="K321" s="15" t="s">
        <v>777</v>
      </c>
      <c r="L321" s="10" t="s">
        <v>1020</v>
      </c>
      <c r="M321" s="10" t="s">
        <v>770</v>
      </c>
      <c r="N321" s="30" t="str">
        <f>HYPERLINK("https://twitter.com/sebastiankurz/statuses/2342312120","https://twitter.com/sebastiankurz/statuses/2342312120")</f>
        <v>https://twitter.com/sebastiankurz/statuses/2342312120</v>
      </c>
      <c r="O321" s="27" t="s">
        <v>6087</v>
      </c>
      <c r="P321" s="80">
        <v>305</v>
      </c>
      <c r="Q321" s="80">
        <v>435</v>
      </c>
      <c r="R321" s="27" t="s">
        <v>2994</v>
      </c>
      <c r="S321" s="10" t="s">
        <v>1719</v>
      </c>
      <c r="T321" s="10" t="s">
        <v>771</v>
      </c>
      <c r="U321" s="10" t="s">
        <v>771</v>
      </c>
      <c r="V321" s="10" t="s">
        <v>771</v>
      </c>
      <c r="W321" s="10"/>
      <c r="X321" s="27" t="s">
        <v>340</v>
      </c>
      <c r="Y321" s="27" t="s">
        <v>1717</v>
      </c>
      <c r="Z321" s="80">
        <v>2566</v>
      </c>
      <c r="AA321" s="27">
        <v>803</v>
      </c>
      <c r="AB321" s="80">
        <v>99643</v>
      </c>
      <c r="AC321" s="27">
        <v>403</v>
      </c>
      <c r="AD321" s="27" t="s">
        <v>4465</v>
      </c>
      <c r="AE321" s="27">
        <v>46623193</v>
      </c>
      <c r="AF321" s="27" t="s">
        <v>1718</v>
      </c>
      <c r="AG321" s="27" t="s">
        <v>1700</v>
      </c>
      <c r="AH321" s="79">
        <v>1.01987281399046</v>
      </c>
      <c r="AI321" s="83">
        <v>1.02517985611511</v>
      </c>
      <c r="AJ321" s="80">
        <v>8.6491308325709095</v>
      </c>
      <c r="AK321" s="80">
        <v>14.555352241537101</v>
      </c>
      <c r="AL321" s="27">
        <v>201</v>
      </c>
      <c r="AM321" s="97">
        <f>SUM(AL321/Z321)</f>
        <v>7.8332034294621974E-2</v>
      </c>
      <c r="AN321" s="27" t="s">
        <v>340</v>
      </c>
      <c r="AO321" s="27">
        <v>34</v>
      </c>
      <c r="AP321" s="27">
        <v>34</v>
      </c>
      <c r="AQ321" s="27">
        <v>47</v>
      </c>
      <c r="AR321" s="27">
        <f>SUM(AO321:AQ321)</f>
        <v>115</v>
      </c>
      <c r="AS321" s="27" t="s">
        <v>5488</v>
      </c>
      <c r="AT321" s="27" t="s">
        <v>6856</v>
      </c>
      <c r="AU321" s="84" t="s">
        <v>6534</v>
      </c>
      <c r="AV321" s="77"/>
      <c r="AW321" s="77"/>
      <c r="AX321" s="77"/>
      <c r="AY321" s="77"/>
      <c r="AZ321" s="77"/>
      <c r="BA321" s="77"/>
      <c r="BB321" s="77"/>
      <c r="BC321" s="77"/>
      <c r="BD321" s="77"/>
      <c r="BE321" s="77"/>
      <c r="BF321" s="77"/>
      <c r="BG321" s="77"/>
      <c r="BH321" s="77"/>
      <c r="BI321" s="77"/>
      <c r="BJ321" s="77"/>
      <c r="BK321" s="77"/>
      <c r="BL321" s="77"/>
      <c r="BM321" s="77"/>
      <c r="BN321" s="77"/>
      <c r="BO321" s="77"/>
      <c r="BP321" s="77"/>
      <c r="BQ321" s="77"/>
      <c r="BR321" s="77"/>
      <c r="BS321" s="77"/>
      <c r="BT321" s="77"/>
      <c r="BU321" s="77"/>
      <c r="BV321" s="77"/>
      <c r="BW321" s="77"/>
      <c r="BX321" s="77"/>
      <c r="BY321" s="77"/>
      <c r="BZ321" s="77"/>
      <c r="CA321" s="77"/>
      <c r="CB321" s="77"/>
      <c r="CC321" s="77"/>
      <c r="CD321" s="77"/>
      <c r="CE321" s="77"/>
      <c r="CF321" s="77"/>
      <c r="CG321" s="77"/>
      <c r="CH321" s="77"/>
      <c r="CI321" s="77"/>
      <c r="CJ321" s="77"/>
      <c r="CX321" s="77"/>
      <c r="CY321" s="77"/>
      <c r="CZ321" s="77"/>
      <c r="DA321" s="77"/>
      <c r="DB321" s="77"/>
      <c r="DC321" s="77"/>
      <c r="DD321" s="77"/>
      <c r="DE321" s="77"/>
      <c r="DF321" s="77"/>
      <c r="DG321" s="77"/>
      <c r="DH321" s="77"/>
      <c r="DI321" s="77"/>
      <c r="DJ321" s="77"/>
      <c r="DK321" s="77"/>
      <c r="DL321" s="77"/>
      <c r="DM321" s="77"/>
      <c r="DN321" s="77"/>
      <c r="DO321" s="77"/>
      <c r="DP321" s="77"/>
      <c r="DQ321" s="77"/>
      <c r="DR321" s="77"/>
      <c r="DS321" s="77"/>
      <c r="DT321" s="77"/>
      <c r="DU321" s="77"/>
      <c r="DV321" s="77"/>
      <c r="DW321" s="77"/>
      <c r="DX321" s="77"/>
      <c r="DY321" s="77"/>
      <c r="DZ321" s="77"/>
      <c r="EA321" s="77"/>
      <c r="EB321" s="77"/>
      <c r="EC321" s="77"/>
      <c r="ED321" s="77"/>
      <c r="EE321" s="77"/>
      <c r="EF321" s="77"/>
      <c r="EG321" s="77"/>
      <c r="EH321" s="77"/>
      <c r="EI321" s="77"/>
      <c r="EJ321" s="77"/>
      <c r="EK321" s="77"/>
      <c r="EL321" s="77"/>
      <c r="EM321" s="77"/>
      <c r="EN321" s="77"/>
      <c r="EO321" s="77"/>
      <c r="EP321" s="16"/>
      <c r="EQ321" s="77"/>
      <c r="GL321" s="77"/>
      <c r="GM321" s="77"/>
      <c r="GN321" s="77"/>
      <c r="GO321" s="77"/>
      <c r="GP321" s="77"/>
      <c r="GQ321" s="77"/>
      <c r="GR321" s="77"/>
      <c r="GS321" s="77"/>
      <c r="GT321" s="77"/>
      <c r="GU321" s="77"/>
      <c r="GV321" s="77"/>
      <c r="GW321" s="77"/>
      <c r="GX321" s="77"/>
      <c r="GY321" s="77"/>
      <c r="GZ321" s="77"/>
      <c r="HA321" s="77"/>
      <c r="HB321" s="77"/>
      <c r="HC321" s="77"/>
      <c r="HD321" s="77"/>
      <c r="HE321" s="77"/>
      <c r="HF321" s="77"/>
      <c r="HG321" s="77"/>
      <c r="HH321" s="77"/>
      <c r="HI321" s="77"/>
      <c r="HJ321" s="77"/>
      <c r="HK321" s="77"/>
      <c r="HL321" s="77"/>
      <c r="HM321" s="77"/>
      <c r="HN321" s="77"/>
      <c r="HO321" s="77"/>
      <c r="HP321" s="77"/>
      <c r="HQ321" s="77"/>
      <c r="HR321" s="77"/>
      <c r="HS321" s="77"/>
      <c r="HT321" s="77"/>
      <c r="HU321" s="77"/>
      <c r="HV321" s="77"/>
      <c r="HW321" s="77"/>
      <c r="HX321" s="77"/>
      <c r="HY321" s="77"/>
      <c r="HZ321" s="77"/>
      <c r="IA321" s="77"/>
      <c r="IB321" s="77"/>
      <c r="IC321" s="77"/>
      <c r="ID321" s="77"/>
      <c r="IE321" s="77"/>
      <c r="IF321" s="77"/>
      <c r="IG321" s="77"/>
      <c r="IH321" s="77"/>
      <c r="II321" s="77"/>
      <c r="IJ321" s="77"/>
      <c r="IK321" s="77"/>
      <c r="IL321" s="77"/>
      <c r="IM321" s="77"/>
      <c r="IN321" s="77"/>
      <c r="IO321" s="77"/>
      <c r="IP321" s="77"/>
      <c r="IQ321" s="77"/>
      <c r="IR321" s="77"/>
      <c r="IS321" s="77"/>
      <c r="IT321" s="77"/>
      <c r="IU321" s="77"/>
      <c r="IV321" s="77"/>
      <c r="IW321" s="77"/>
      <c r="IX321" s="77"/>
      <c r="IY321" s="77"/>
      <c r="IZ321" s="77"/>
      <c r="JA321" s="77"/>
      <c r="JB321" s="77"/>
      <c r="JC321" s="77"/>
      <c r="JD321" s="77"/>
      <c r="JE321" s="77"/>
      <c r="JF321" s="77"/>
      <c r="JG321" s="77"/>
      <c r="JH321" s="77"/>
      <c r="JI321" s="77"/>
      <c r="JJ321" s="77"/>
      <c r="JK321" s="77"/>
      <c r="JL321" s="77"/>
      <c r="JM321" s="77"/>
      <c r="JN321" s="77"/>
      <c r="JO321" s="77"/>
      <c r="JP321" s="77"/>
      <c r="JQ321" s="77"/>
      <c r="JR321" s="77"/>
      <c r="JS321" s="77"/>
      <c r="JT321" s="77"/>
      <c r="JU321" s="77"/>
      <c r="JV321" s="77"/>
      <c r="JW321" s="77"/>
      <c r="JX321" s="77"/>
      <c r="JY321" s="77"/>
      <c r="JZ321" s="77"/>
      <c r="KA321" s="77"/>
      <c r="KB321" s="77"/>
      <c r="KC321" s="77"/>
      <c r="KD321" s="77"/>
      <c r="KE321" s="77"/>
      <c r="KF321" s="77"/>
      <c r="KG321" s="77"/>
      <c r="KH321" s="77"/>
      <c r="KI321" s="77"/>
      <c r="KJ321" s="77"/>
      <c r="KK321" s="77"/>
      <c r="KL321" s="77"/>
      <c r="KM321" s="77"/>
      <c r="KN321" s="77"/>
      <c r="KO321" s="77"/>
      <c r="KP321" s="77"/>
      <c r="KQ321" s="77"/>
      <c r="KR321" s="77"/>
      <c r="KS321" s="77"/>
      <c r="KT321" s="77"/>
      <c r="KU321" s="77"/>
      <c r="KV321" s="77"/>
      <c r="KW321" s="77"/>
      <c r="KX321" s="77"/>
      <c r="KY321" s="77"/>
      <c r="KZ321" s="77"/>
      <c r="LA321" s="77"/>
      <c r="LB321" s="77"/>
      <c r="LC321" s="77"/>
      <c r="LD321" s="77"/>
      <c r="LE321" s="77"/>
      <c r="LF321" s="77"/>
      <c r="LG321" s="77"/>
      <c r="LH321" s="77"/>
      <c r="LI321" s="77"/>
      <c r="LJ321" s="77"/>
      <c r="LK321" s="77"/>
      <c r="LW321" s="77"/>
      <c r="LX321" s="77"/>
      <c r="MS321" s="16"/>
      <c r="ND321" s="16"/>
      <c r="NE321" s="77"/>
      <c r="NF321" s="77"/>
      <c r="NG321" s="77"/>
      <c r="NH321" s="77"/>
      <c r="NI321" s="77"/>
      <c r="NJ321" s="77"/>
      <c r="NK321" s="77"/>
      <c r="NL321" s="77"/>
      <c r="NM321" s="77"/>
      <c r="NN321" s="77"/>
      <c r="NO321" s="77"/>
      <c r="NP321" s="77"/>
      <c r="NQ321" s="77"/>
      <c r="NR321" s="77"/>
      <c r="NS321" s="77"/>
      <c r="NT321" s="77"/>
      <c r="NU321" s="77"/>
      <c r="NV321" s="77"/>
      <c r="NW321" s="77"/>
      <c r="NX321" s="77"/>
      <c r="NY321" s="77"/>
      <c r="NZ321" s="77"/>
      <c r="OA321" s="77"/>
      <c r="OB321" s="77"/>
      <c r="OC321" s="77"/>
      <c r="OD321" s="77"/>
      <c r="OE321" s="77"/>
      <c r="OF321" s="77"/>
      <c r="OG321" s="77"/>
      <c r="OH321" s="77"/>
      <c r="OI321" s="77"/>
      <c r="OJ321" s="77"/>
      <c r="OK321" s="77"/>
      <c r="OL321" s="77"/>
      <c r="OM321" s="77"/>
      <c r="ON321" s="77"/>
      <c r="OO321" s="77"/>
      <c r="OP321" s="77"/>
      <c r="OQ321" s="77"/>
      <c r="OR321" s="77"/>
      <c r="OS321" s="77"/>
      <c r="OT321" s="77"/>
      <c r="OU321" s="77"/>
      <c r="OV321" s="77"/>
      <c r="OW321" s="77"/>
      <c r="OX321" s="77"/>
      <c r="OY321" s="77"/>
      <c r="OZ321" s="77"/>
      <c r="PA321" s="77"/>
      <c r="PB321" s="77"/>
      <c r="PC321" s="77"/>
      <c r="PD321" s="77"/>
      <c r="PE321" s="77"/>
    </row>
    <row r="322" spans="1:421" ht="18.600000000000001" customHeight="1" x14ac:dyDescent="0.25">
      <c r="A322" s="119" t="s">
        <v>298</v>
      </c>
      <c r="B322" s="27" t="s">
        <v>1528</v>
      </c>
      <c r="C322" s="27" t="s">
        <v>1617</v>
      </c>
      <c r="D322" s="30" t="str">
        <f>HYPERLINK("https://twitter.com/MOFAkr_eng","https://twitter.com/MOFAkr_eng")</f>
        <v>https://twitter.com/MOFAkr_eng</v>
      </c>
      <c r="E322" s="30" t="str">
        <f>HYPERLINK("http://twiplomacy.com/info/asia/South-Korea","http://twiplomacy.com/info/asia/South-Korea")</f>
        <v>http://twiplomacy.com/info/asia/South-Korea</v>
      </c>
      <c r="F322" s="10" t="s">
        <v>154</v>
      </c>
      <c r="G322" s="10" t="s">
        <v>292</v>
      </c>
      <c r="H322" s="10" t="s">
        <v>795</v>
      </c>
      <c r="I322" s="10" t="s">
        <v>782</v>
      </c>
      <c r="J322" s="27" t="s">
        <v>789</v>
      </c>
      <c r="K322" s="15" t="s">
        <v>777</v>
      </c>
      <c r="L322" s="10" t="s">
        <v>771</v>
      </c>
      <c r="M322" s="10" t="s">
        <v>771</v>
      </c>
      <c r="N322" s="30" t="str">
        <f>HYPERLINK("https://twitter.com/MOFAkr_eng/statuses/27720259914","https://twitter.com/MOFAkr_eng/statuses/27720259914")</f>
        <v>https://twitter.com/MOFAkr_eng/statuses/27720259914</v>
      </c>
      <c r="O322" s="27" t="s">
        <v>1618</v>
      </c>
      <c r="P322" s="80">
        <v>29</v>
      </c>
      <c r="Q322" s="80">
        <v>21</v>
      </c>
      <c r="R322" s="27" t="s">
        <v>2994</v>
      </c>
      <c r="S322" s="12" t="str">
        <f>HYPERLINK("https://twitter.com/MOFAkr_eng/lists","https://twitter.com/MOFAkr_eng/lists")</f>
        <v>https://twitter.com/MOFAkr_eng/lists</v>
      </c>
      <c r="T322" s="10">
        <v>5</v>
      </c>
      <c r="U322" s="10">
        <v>1</v>
      </c>
      <c r="V322" s="10" t="s">
        <v>771</v>
      </c>
      <c r="W322" s="30"/>
      <c r="X322" s="27" t="s">
        <v>298</v>
      </c>
      <c r="Y322" s="27" t="s">
        <v>1528</v>
      </c>
      <c r="Z322" s="80">
        <v>2562</v>
      </c>
      <c r="AA322" s="27">
        <v>530</v>
      </c>
      <c r="AB322" s="80">
        <v>7406</v>
      </c>
      <c r="AC322" s="27">
        <v>6</v>
      </c>
      <c r="AD322" s="27" t="s">
        <v>4146</v>
      </c>
      <c r="AE322" s="27">
        <v>204238767</v>
      </c>
      <c r="AF322" s="27" t="s">
        <v>1617</v>
      </c>
      <c r="AG322" s="27" t="s">
        <v>1619</v>
      </c>
      <c r="AH322" s="79">
        <v>1.2664359861591701</v>
      </c>
      <c r="AI322" s="83">
        <v>1.2734957732471399</v>
      </c>
      <c r="AJ322" s="80">
        <v>0.77375745526839002</v>
      </c>
      <c r="AK322" s="80">
        <v>0.60755467196819102</v>
      </c>
      <c r="AL322" s="27">
        <v>12</v>
      </c>
      <c r="AM322" s="97">
        <f>SUM(AL322/Z322)</f>
        <v>4.6838407494145199E-3</v>
      </c>
      <c r="AN322" s="27" t="s">
        <v>298</v>
      </c>
      <c r="AO322" s="27">
        <v>5</v>
      </c>
      <c r="AP322" s="27">
        <v>63</v>
      </c>
      <c r="AQ322" s="27">
        <v>9</v>
      </c>
      <c r="AR322" s="27">
        <f>SUM(AO322:AQ322)</f>
        <v>77</v>
      </c>
      <c r="AS322" s="27" t="s">
        <v>5341</v>
      </c>
      <c r="AT322" s="27" t="s">
        <v>5342</v>
      </c>
      <c r="AU322" s="84" t="s">
        <v>4866</v>
      </c>
      <c r="AV322" s="71"/>
      <c r="AW322" s="71"/>
      <c r="AX322" s="71"/>
      <c r="AY322" s="71"/>
      <c r="AZ322" s="71"/>
      <c r="BA322" s="71"/>
      <c r="BB322" s="71"/>
      <c r="BC322" s="71"/>
      <c r="BD322" s="71"/>
      <c r="BE322" s="71"/>
      <c r="BF322" s="71"/>
      <c r="BG322" s="71"/>
      <c r="BH322" s="71"/>
      <c r="BI322" s="71"/>
      <c r="BJ322" s="71"/>
      <c r="BK322" s="71"/>
      <c r="BL322" s="71"/>
      <c r="BM322" s="77"/>
      <c r="BQ322" s="77"/>
      <c r="BR322" s="77"/>
      <c r="BS322" s="77"/>
      <c r="BT322" s="77"/>
      <c r="BU322" s="77"/>
      <c r="BV322" s="77"/>
      <c r="BW322" s="77"/>
      <c r="BX322" s="77"/>
      <c r="BY322" s="77"/>
      <c r="BZ322" s="77"/>
      <c r="CA322" s="77"/>
      <c r="CB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F322" s="77"/>
      <c r="IG322" s="77"/>
      <c r="IH322" s="77"/>
      <c r="II322" s="77"/>
      <c r="IJ322" s="77"/>
      <c r="IK322" s="77"/>
      <c r="IL322" s="77"/>
      <c r="IM322" s="77"/>
      <c r="IN322" s="77"/>
      <c r="IO322" s="77"/>
      <c r="IP322" s="77"/>
      <c r="IQ322" s="77"/>
      <c r="IR322" s="77"/>
      <c r="IS322" s="77"/>
      <c r="IT322" s="77"/>
      <c r="IU322" s="77"/>
      <c r="IV322" s="77"/>
      <c r="IW322" s="77"/>
      <c r="IX322" s="77"/>
      <c r="IY322" s="77"/>
      <c r="IZ322" s="77"/>
      <c r="JA322" s="77"/>
      <c r="JB322" s="77"/>
      <c r="JC322" s="77"/>
      <c r="JD322" s="77"/>
      <c r="JE322" s="77"/>
      <c r="JF322" s="77"/>
      <c r="JG322" s="77"/>
      <c r="JH322" s="77"/>
      <c r="JI322" s="77"/>
      <c r="JJ322" s="77"/>
      <c r="JK322" s="77"/>
      <c r="JL322" s="77"/>
      <c r="JM322" s="77"/>
      <c r="JN322" s="77"/>
      <c r="JO322" s="77"/>
      <c r="JP322" s="77"/>
      <c r="JQ322" s="77"/>
      <c r="JR322" s="77"/>
      <c r="JS322" s="77"/>
      <c r="JT322" s="77"/>
      <c r="JU322" s="77"/>
      <c r="JV322" s="77"/>
      <c r="JW322" s="77"/>
      <c r="JX322" s="77"/>
      <c r="JY322" s="77"/>
      <c r="JZ322" s="77"/>
      <c r="KA322" s="77"/>
      <c r="KB322" s="77"/>
      <c r="KC322" s="77"/>
      <c r="KD322" s="77"/>
      <c r="KE322" s="77"/>
      <c r="KF322" s="77"/>
      <c r="KG322" s="77"/>
      <c r="KH322" s="77"/>
      <c r="KI322" s="77"/>
      <c r="KJ322" s="77"/>
      <c r="KK322" s="77"/>
      <c r="KL322" s="77"/>
      <c r="LL322" s="77"/>
      <c r="LM322" s="77"/>
      <c r="LN322" s="77"/>
      <c r="LO322" s="77"/>
      <c r="LP322" s="77"/>
      <c r="LQ322" s="77"/>
      <c r="LR322" s="77"/>
      <c r="LS322" s="77"/>
      <c r="LT322" s="77"/>
      <c r="LU322" s="77"/>
      <c r="LV322" s="77"/>
      <c r="LW322" s="77"/>
      <c r="LX322" s="77"/>
      <c r="LY322" s="77"/>
      <c r="LZ322" s="77"/>
      <c r="MA322" s="77"/>
      <c r="MB322" s="77"/>
      <c r="MC322" s="77"/>
      <c r="MD322" s="77"/>
      <c r="ME322" s="77"/>
      <c r="MF322" s="77"/>
      <c r="MG322" s="77"/>
      <c r="MH322" s="77"/>
      <c r="MI322" s="77"/>
      <c r="MJ322" s="77"/>
      <c r="MK322" s="77"/>
      <c r="ML322" s="77"/>
      <c r="MM322" s="77"/>
      <c r="MN322" s="77"/>
      <c r="MO322" s="77"/>
      <c r="MP322" s="77"/>
      <c r="MQ322" s="77"/>
      <c r="MR322" s="77"/>
    </row>
    <row r="323" spans="1:421" ht="18.600000000000001" customHeight="1" x14ac:dyDescent="0.25">
      <c r="A323" s="119" t="s">
        <v>1967</v>
      </c>
      <c r="B323" s="27" t="s">
        <v>1966</v>
      </c>
      <c r="C323" s="27" t="s">
        <v>4400</v>
      </c>
      <c r="D323" s="30" t="str">
        <f>HYPERLINK("https://twitter.com/Quirinale","https://twitter.com/Quirinale")</f>
        <v>https://twitter.com/Quirinale</v>
      </c>
      <c r="E323" s="30" t="str">
        <f>HYPERLINK("http://twiplomacy.com/info/europe/Italy","http://twiplomacy.com/info/europe/Italy")</f>
        <v>http://twiplomacy.com/info/europe/Italy</v>
      </c>
      <c r="F323" s="10" t="s">
        <v>332</v>
      </c>
      <c r="G323" s="10" t="s">
        <v>424</v>
      </c>
      <c r="H323" s="10" t="s">
        <v>781</v>
      </c>
      <c r="I323" s="10" t="s">
        <v>782</v>
      </c>
      <c r="J323" s="27" t="s">
        <v>1852</v>
      </c>
      <c r="K323" s="15" t="s">
        <v>777</v>
      </c>
      <c r="L323" s="10" t="s">
        <v>771</v>
      </c>
      <c r="M323" s="10" t="s">
        <v>771</v>
      </c>
      <c r="N323" s="30" t="str">
        <f>HYPERLINK("https://twitter.com/Quirinale/statuses/231061661602172928","https://twitter.com/Quirinale/statuses/231061661602172928")</f>
        <v>https://twitter.com/Quirinale/statuses/231061661602172928</v>
      </c>
      <c r="O323" s="27" t="s">
        <v>6063</v>
      </c>
      <c r="P323" s="80">
        <v>789</v>
      </c>
      <c r="Q323" s="80">
        <v>533</v>
      </c>
      <c r="R323" s="27" t="s">
        <v>2994</v>
      </c>
      <c r="S323" s="30" t="str">
        <f>HYPERLINK("https://twitter.com/Quirinale/lists","https://twitter.com/Quirinale/lists")</f>
        <v>https://twitter.com/Quirinale/lists</v>
      </c>
      <c r="T323" s="10" t="s">
        <v>771</v>
      </c>
      <c r="U323" s="10" t="s">
        <v>771</v>
      </c>
      <c r="V323" s="10" t="s">
        <v>771</v>
      </c>
      <c r="W323" s="10"/>
      <c r="X323" s="27" t="s">
        <v>1967</v>
      </c>
      <c r="Y323" s="27" t="s">
        <v>1966</v>
      </c>
      <c r="Z323" s="80">
        <v>2554</v>
      </c>
      <c r="AA323" s="27">
        <v>6</v>
      </c>
      <c r="AB323" s="80">
        <v>164610</v>
      </c>
      <c r="AC323" s="27">
        <v>66</v>
      </c>
      <c r="AD323" s="27" t="s">
        <v>4401</v>
      </c>
      <c r="AE323" s="27">
        <v>732819391</v>
      </c>
      <c r="AF323" s="27" t="s">
        <v>4400</v>
      </c>
      <c r="AG323" s="27"/>
      <c r="AH323" s="79">
        <v>1.8655953250547801</v>
      </c>
      <c r="AI323" s="83">
        <v>1.86695906432749</v>
      </c>
      <c r="AJ323" s="80">
        <v>22.1652276295133</v>
      </c>
      <c r="AK323" s="80">
        <v>18.864992150706399</v>
      </c>
      <c r="AL323" s="27">
        <v>9</v>
      </c>
      <c r="AM323" s="97">
        <f>SUM(AL323/Z323)</f>
        <v>3.5238841033672671E-3</v>
      </c>
      <c r="AN323" s="27" t="s">
        <v>1967</v>
      </c>
      <c r="AO323" s="27">
        <v>0</v>
      </c>
      <c r="AP323" s="27">
        <v>21</v>
      </c>
      <c r="AQ323" s="27">
        <v>1</v>
      </c>
      <c r="AR323" s="27">
        <f>SUM(AO323:AQ323)</f>
        <v>22</v>
      </c>
      <c r="AS323" s="27"/>
      <c r="AT323" s="27" t="s">
        <v>6336</v>
      </c>
      <c r="AU323" s="84" t="s">
        <v>426</v>
      </c>
      <c r="AV323" s="77"/>
      <c r="AW323" s="77"/>
      <c r="AX323" s="77"/>
      <c r="AY323" s="77"/>
      <c r="AZ323" s="77"/>
      <c r="BA323" s="77"/>
      <c r="BB323" s="77"/>
      <c r="BC323" s="77"/>
      <c r="BD323" s="77"/>
      <c r="BE323" s="77"/>
      <c r="BF323" s="77"/>
      <c r="BG323" s="77"/>
      <c r="BH323" s="77"/>
      <c r="BI323" s="77"/>
      <c r="BJ323" s="77"/>
      <c r="BK323" s="77"/>
      <c r="BL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F323" s="77"/>
      <c r="IG323" s="77"/>
      <c r="IH323" s="77"/>
      <c r="II323" s="77"/>
      <c r="IJ323" s="77"/>
      <c r="IK323" s="77"/>
      <c r="IL323" s="77"/>
      <c r="IM323" s="77"/>
      <c r="IN323" s="77"/>
      <c r="IO323" s="77"/>
      <c r="IP323" s="77"/>
      <c r="IQ323" s="77"/>
      <c r="IR323" s="77"/>
      <c r="IS323" s="77"/>
      <c r="IT323" s="77"/>
      <c r="IU323" s="77"/>
      <c r="IV323" s="77"/>
      <c r="IW323" s="77"/>
      <c r="IX323" s="77"/>
      <c r="IY323" s="77"/>
      <c r="IZ323" s="77"/>
      <c r="JA323" s="77"/>
      <c r="JB323" s="77"/>
      <c r="JC323" s="77"/>
      <c r="JD323" s="77"/>
      <c r="JE323" s="77"/>
      <c r="JF323" s="77"/>
      <c r="JG323" s="77"/>
      <c r="JH323" s="77"/>
      <c r="JI323" s="77"/>
      <c r="JJ323" s="77"/>
      <c r="JK323" s="77"/>
      <c r="JL323" s="77"/>
      <c r="JM323" s="77"/>
      <c r="JN323" s="77"/>
      <c r="JO323" s="77"/>
      <c r="JP323" s="77"/>
      <c r="JQ323" s="77"/>
      <c r="JR323" s="77"/>
      <c r="JS323" s="77"/>
      <c r="JT323" s="77"/>
      <c r="JU323" s="77"/>
      <c r="JV323" s="77"/>
      <c r="JW323" s="77"/>
      <c r="JX323" s="77"/>
      <c r="JY323" s="77"/>
      <c r="JZ323" s="77"/>
      <c r="KA323" s="77"/>
      <c r="KB323" s="77"/>
      <c r="KC323" s="77"/>
      <c r="KD323" s="77"/>
      <c r="KE323" s="77"/>
      <c r="KF323" s="77"/>
      <c r="KG323" s="77"/>
      <c r="KH323" s="77"/>
      <c r="KI323" s="77"/>
      <c r="KJ323" s="77"/>
      <c r="KK323" s="77"/>
      <c r="KL323" s="77"/>
      <c r="KM323" s="77"/>
      <c r="KN323" s="77"/>
      <c r="KO323" s="77"/>
      <c r="KP323" s="77"/>
      <c r="KQ323" s="77"/>
      <c r="KR323" s="77"/>
      <c r="KS323" s="77"/>
      <c r="KT323" s="77"/>
      <c r="KU323" s="77"/>
      <c r="KV323" s="77"/>
      <c r="KW323" s="77"/>
      <c r="KX323" s="77"/>
      <c r="KY323" s="77"/>
      <c r="KZ323" s="77"/>
      <c r="LA323" s="77"/>
      <c r="LB323" s="77"/>
      <c r="LC323" s="77"/>
      <c r="LD323" s="77"/>
      <c r="LE323" s="77"/>
      <c r="LF323" s="77"/>
      <c r="LG323" s="77"/>
      <c r="LH323" s="77"/>
      <c r="LI323" s="77"/>
      <c r="LJ323" s="77"/>
      <c r="LK323" s="77"/>
      <c r="LL323" s="77"/>
      <c r="LM323" s="77"/>
      <c r="LN323" s="77"/>
      <c r="LO323" s="77"/>
      <c r="LP323" s="77"/>
      <c r="LQ323" s="77"/>
      <c r="LR323" s="77"/>
      <c r="LS323" s="77"/>
      <c r="LT323" s="77"/>
      <c r="LU323" s="77"/>
      <c r="LV323" s="77"/>
      <c r="LW323" s="77"/>
      <c r="LX323" s="77"/>
    </row>
    <row r="324" spans="1:421" ht="18.600000000000001" customHeight="1" x14ac:dyDescent="0.25">
      <c r="A324" s="119" t="s">
        <v>429</v>
      </c>
      <c r="B324" s="27" t="s">
        <v>1985</v>
      </c>
      <c r="C324" s="27" t="s">
        <v>4577</v>
      </c>
      <c r="D324" s="30" t="str">
        <f>HYPERLINK("https://twitter.com/Vejonis","https://twitter.com/Vejonis")</f>
        <v>https://twitter.com/Vejonis</v>
      </c>
      <c r="E324" s="30" t="str">
        <f>HYPERLINK("http://twiplomacy.com/info/europe/Latvia","http://twiplomacy.com/info/europe/Latvia")</f>
        <v>http://twiplomacy.com/info/europe/Latvia</v>
      </c>
      <c r="F324" s="10" t="s">
        <v>332</v>
      </c>
      <c r="G324" s="10" t="s">
        <v>428</v>
      </c>
      <c r="H324" s="10" t="s">
        <v>772</v>
      </c>
      <c r="I324" s="10" t="s">
        <v>773</v>
      </c>
      <c r="J324" s="27" t="s">
        <v>789</v>
      </c>
      <c r="K324" s="15" t="s">
        <v>777</v>
      </c>
      <c r="L324" s="10"/>
      <c r="M324" s="10" t="s">
        <v>770</v>
      </c>
      <c r="N324" s="30" t="s">
        <v>3129</v>
      </c>
      <c r="O324" s="27" t="s">
        <v>3182</v>
      </c>
      <c r="P324" s="80">
        <v>939</v>
      </c>
      <c r="Q324" s="80">
        <v>1194</v>
      </c>
      <c r="R324" s="27" t="s">
        <v>2995</v>
      </c>
      <c r="S324" s="12" t="s">
        <v>3100</v>
      </c>
      <c r="T324" s="10" t="s">
        <v>771</v>
      </c>
      <c r="U324" s="10" t="s">
        <v>771</v>
      </c>
      <c r="V324" s="10" t="s">
        <v>771</v>
      </c>
      <c r="W324" s="10"/>
      <c r="X324" s="27" t="s">
        <v>429</v>
      </c>
      <c r="Y324" s="27" t="s">
        <v>1985</v>
      </c>
      <c r="Z324" s="80">
        <v>2552</v>
      </c>
      <c r="AA324" s="27">
        <v>929</v>
      </c>
      <c r="AB324" s="80">
        <v>32099</v>
      </c>
      <c r="AC324" s="27">
        <v>43</v>
      </c>
      <c r="AD324" s="27" t="s">
        <v>4578</v>
      </c>
      <c r="AE324" s="27">
        <v>113691546</v>
      </c>
      <c r="AF324" s="27" t="s">
        <v>4577</v>
      </c>
      <c r="AG324" s="27" t="s">
        <v>4579</v>
      </c>
      <c r="AH324" s="79">
        <v>1.1237340378687799</v>
      </c>
      <c r="AI324" s="83">
        <v>1.1257750221434899</v>
      </c>
      <c r="AJ324" s="80">
        <v>8.4624329159212905</v>
      </c>
      <c r="AK324" s="80">
        <v>13.4373881932021</v>
      </c>
      <c r="AL324" s="96">
        <v>364</v>
      </c>
      <c r="AM324" s="97">
        <f>SUM(AL324/Z324)</f>
        <v>0.14263322884012539</v>
      </c>
      <c r="AN324" s="27" t="s">
        <v>429</v>
      </c>
      <c r="AO324" s="27">
        <v>9</v>
      </c>
      <c r="AP324" s="27">
        <v>6</v>
      </c>
      <c r="AQ324" s="27">
        <v>7</v>
      </c>
      <c r="AR324" s="27">
        <f>SUM(AO324:AQ324)</f>
        <v>22</v>
      </c>
      <c r="AS324" s="27" t="s">
        <v>5555</v>
      </c>
      <c r="AT324" s="27" t="s">
        <v>6356</v>
      </c>
      <c r="AU324" s="84" t="s">
        <v>4989</v>
      </c>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EP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16"/>
      <c r="HM324" s="16"/>
      <c r="HN324" s="16"/>
      <c r="HO324" s="16"/>
      <c r="HP324" s="16"/>
      <c r="HQ324" s="16"/>
      <c r="HR324" s="16"/>
      <c r="HS324" s="16"/>
      <c r="HT324" s="16"/>
      <c r="HU324" s="16"/>
      <c r="HV324" s="16"/>
      <c r="HW324" s="16"/>
      <c r="HX324" s="16"/>
      <c r="HY324" s="16"/>
      <c r="HZ324" s="16"/>
      <c r="IA324" s="16"/>
      <c r="IB324" s="16"/>
      <c r="IC324" s="16"/>
      <c r="ID324" s="77"/>
      <c r="IE324" s="77"/>
      <c r="KM324" s="77"/>
      <c r="KN324" s="77"/>
      <c r="KO324" s="77"/>
      <c r="KP324" s="77"/>
      <c r="KQ324" s="77"/>
      <c r="KR324" s="77"/>
      <c r="KS324" s="77"/>
      <c r="KT324" s="77"/>
      <c r="KU324" s="77"/>
      <c r="KV324" s="77"/>
      <c r="KW324" s="77"/>
      <c r="KX324" s="77"/>
      <c r="KY324" s="77"/>
      <c r="KZ324" s="77"/>
      <c r="LA324" s="77"/>
      <c r="LB324" s="77"/>
      <c r="LC324" s="77"/>
      <c r="LD324" s="77"/>
      <c r="LE324" s="77"/>
      <c r="LF324" s="77"/>
      <c r="LG324" s="77"/>
      <c r="LH324" s="77"/>
      <c r="LI324" s="77"/>
      <c r="LJ324" s="77"/>
      <c r="LK324" s="77"/>
      <c r="LL324" s="77"/>
      <c r="LM324" s="77"/>
      <c r="LN324" s="77"/>
      <c r="LO324" s="77"/>
      <c r="LP324" s="77"/>
      <c r="LQ324" s="77"/>
      <c r="LR324" s="77"/>
      <c r="LS324" s="77"/>
      <c r="LT324" s="77"/>
      <c r="LU324" s="77"/>
      <c r="LV324" s="77"/>
      <c r="LY324" s="77"/>
      <c r="LZ324" s="77"/>
      <c r="MA324" s="77"/>
      <c r="MB324" s="77"/>
      <c r="MC324" s="77"/>
      <c r="MD324" s="77"/>
      <c r="ME324" s="77"/>
      <c r="MF324" s="77"/>
      <c r="MG324" s="77"/>
      <c r="MH324" s="77"/>
      <c r="MI324" s="77"/>
      <c r="MJ324" s="77"/>
      <c r="MK324" s="77"/>
      <c r="ML324" s="77"/>
      <c r="MM324" s="77"/>
      <c r="MN324" s="77"/>
      <c r="MO324" s="77"/>
      <c r="MP324" s="77"/>
      <c r="MQ324" s="77"/>
      <c r="MR324" s="77"/>
    </row>
    <row r="325" spans="1:421" ht="18.600000000000001" customHeight="1" x14ac:dyDescent="0.25">
      <c r="A325" s="119" t="s">
        <v>3239</v>
      </c>
      <c r="B325" s="27" t="s">
        <v>4431</v>
      </c>
      <c r="C325" s="27" t="s">
        <v>4432</v>
      </c>
      <c r="D325" s="12" t="s">
        <v>3089</v>
      </c>
      <c r="E325" s="30" t="str">
        <f>HYPERLINK("http://twiplomacy.com/info/europe/Turkey","http://twiplomacy.com/info/europe/Turkey")</f>
        <v>http://twiplomacy.com/info/europe/Turkey</v>
      </c>
      <c r="F325" s="10" t="s">
        <v>332</v>
      </c>
      <c r="G325" s="10" t="s">
        <v>536</v>
      </c>
      <c r="H325" s="10" t="s">
        <v>772</v>
      </c>
      <c r="I325" s="10" t="s">
        <v>773</v>
      </c>
      <c r="J325" s="27" t="s">
        <v>2254</v>
      </c>
      <c r="K325" s="15" t="s">
        <v>777</v>
      </c>
      <c r="L325" s="10" t="s">
        <v>771</v>
      </c>
      <c r="M325" s="10" t="s">
        <v>770</v>
      </c>
      <c r="N325" s="12" t="str">
        <f>HYPERLINK("https://twitter.com/rterdogan_ar/statuses/117203391461064704","https://twitter.com/rterdogan_ar/statuses/117203391461064704")</f>
        <v>https://twitter.com/rterdogan_ar/statuses/117203391461064704</v>
      </c>
      <c r="O325" s="27" t="s">
        <v>3240</v>
      </c>
      <c r="P325" s="80">
        <v>2881</v>
      </c>
      <c r="Q325" s="80">
        <v>302</v>
      </c>
      <c r="R325" s="27" t="s">
        <v>2994</v>
      </c>
      <c r="S325" s="12" t="s">
        <v>3241</v>
      </c>
      <c r="T325" s="10" t="s">
        <v>771</v>
      </c>
      <c r="U325" s="10" t="s">
        <v>771</v>
      </c>
      <c r="V325" s="10" t="s">
        <v>771</v>
      </c>
      <c r="W325" s="10"/>
      <c r="X325" s="27" t="s">
        <v>3239</v>
      </c>
      <c r="Y325" s="27" t="s">
        <v>4431</v>
      </c>
      <c r="Z325" s="80">
        <v>2536</v>
      </c>
      <c r="AA325" s="27">
        <v>3</v>
      </c>
      <c r="AB325" s="80">
        <v>867644</v>
      </c>
      <c r="AC325" s="27">
        <v>0</v>
      </c>
      <c r="AD325" s="27" t="s">
        <v>4433</v>
      </c>
      <c r="AE325" s="27">
        <v>378534651</v>
      </c>
      <c r="AF325" s="27" t="s">
        <v>4432</v>
      </c>
      <c r="AG325" s="27" t="s">
        <v>2278</v>
      </c>
      <c r="AH325" s="79">
        <v>1.5068330362447999</v>
      </c>
      <c r="AI325" s="83">
        <v>1.5113230035756899</v>
      </c>
      <c r="AJ325" s="80">
        <v>170.62108872696101</v>
      </c>
      <c r="AK325" s="80">
        <v>56.975567938276903</v>
      </c>
      <c r="AL325" s="27">
        <v>1</v>
      </c>
      <c r="AM325" s="97">
        <f>SUM(AL325/Z325)</f>
        <v>3.9432176656151418E-4</v>
      </c>
      <c r="AN325" s="27" t="s">
        <v>3239</v>
      </c>
      <c r="AO325" s="27">
        <v>2</v>
      </c>
      <c r="AP325" s="27">
        <v>8</v>
      </c>
      <c r="AQ325" s="27">
        <v>0</v>
      </c>
      <c r="AR325" s="27">
        <f>SUM(AO325:AQ325)</f>
        <v>10</v>
      </c>
      <c r="AS325" s="27" t="s">
        <v>4966</v>
      </c>
      <c r="AT325" s="27" t="s">
        <v>5630</v>
      </c>
      <c r="AU325" s="84"/>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c r="IW325" s="77"/>
      <c r="IX325" s="77"/>
      <c r="IY325" s="77"/>
      <c r="IZ325" s="77"/>
      <c r="JA325" s="77"/>
      <c r="JB325" s="77"/>
      <c r="JC325" s="77"/>
      <c r="JD325" s="77"/>
      <c r="JE325" s="77"/>
      <c r="JF325" s="77"/>
      <c r="JG325" s="77"/>
      <c r="JH325" s="77"/>
      <c r="JI325" s="77"/>
      <c r="JJ325" s="77"/>
      <c r="JK325" s="77"/>
      <c r="JL325" s="77"/>
      <c r="JM325" s="77"/>
      <c r="JN325" s="77"/>
      <c r="JO325" s="77"/>
      <c r="JP325" s="77"/>
      <c r="JQ325" s="77"/>
      <c r="JR325" s="77"/>
      <c r="JS325" s="77"/>
      <c r="JT325" s="77"/>
      <c r="JU325" s="77"/>
      <c r="JV325" s="77"/>
      <c r="JW325" s="77"/>
      <c r="JX325" s="77"/>
      <c r="JY325" s="77"/>
      <c r="JZ325" s="77"/>
      <c r="KA325" s="77"/>
      <c r="KB325" s="77"/>
      <c r="KC325" s="77"/>
      <c r="KD325" s="77"/>
      <c r="KE325" s="77"/>
      <c r="KF325" s="77"/>
      <c r="KG325" s="77"/>
      <c r="KH325" s="77"/>
      <c r="KI325" s="77"/>
      <c r="KJ325" s="77"/>
      <c r="KK325" s="77"/>
      <c r="KL325" s="77"/>
      <c r="KM325" s="77"/>
      <c r="KN325" s="77"/>
      <c r="KO325" s="77"/>
      <c r="KP325" s="77"/>
      <c r="KQ325" s="77"/>
      <c r="KR325" s="77"/>
      <c r="KS325" s="77"/>
      <c r="KT325" s="77"/>
      <c r="KU325" s="77"/>
      <c r="KV325" s="77"/>
      <c r="KW325" s="77"/>
      <c r="KX325" s="77"/>
      <c r="KY325" s="77"/>
      <c r="KZ325" s="77"/>
      <c r="LA325" s="77"/>
      <c r="LB325" s="77"/>
      <c r="LC325" s="77"/>
      <c r="LD325" s="77"/>
      <c r="LE325" s="77"/>
      <c r="LF325" s="77"/>
      <c r="LG325" s="77"/>
      <c r="LH325" s="77"/>
      <c r="LI325" s="77"/>
      <c r="LJ325" s="77"/>
      <c r="LK325" s="77"/>
      <c r="LL325" s="77"/>
      <c r="LM325" s="77"/>
      <c r="LN325" s="77"/>
      <c r="LO325" s="77"/>
      <c r="LP325" s="77"/>
      <c r="LQ325" s="77"/>
      <c r="LR325" s="77"/>
      <c r="LS325" s="77"/>
      <c r="LT325" s="77"/>
      <c r="LU325" s="77"/>
      <c r="LV325" s="77"/>
      <c r="LW325" s="77"/>
      <c r="LX325" s="77"/>
    </row>
    <row r="326" spans="1:421" ht="18.600000000000001" customHeight="1" x14ac:dyDescent="0.25">
      <c r="A326" s="119" t="s">
        <v>370</v>
      </c>
      <c r="B326" s="27" t="s">
        <v>1796</v>
      </c>
      <c r="C326" s="27" t="s">
        <v>1797</v>
      </c>
      <c r="D326" s="30" t="str">
        <f>HYPERLINK("https://twitter.com/strakovka","https://twitter.com/strakovka")</f>
        <v>https://twitter.com/strakovka</v>
      </c>
      <c r="E326" s="30" t="str">
        <f>HYPERLINK("http://twiplomacy.com/info/europe/Czech-Republic","http://twiplomacy.com/info/europe/Czech-Republic")</f>
        <v>http://twiplomacy.com/info/europe/Czech-Republic</v>
      </c>
      <c r="F326" s="10" t="s">
        <v>332</v>
      </c>
      <c r="G326" s="10" t="s">
        <v>5647</v>
      </c>
      <c r="H326" s="10" t="s">
        <v>788</v>
      </c>
      <c r="I326" s="10" t="s">
        <v>782</v>
      </c>
      <c r="J326" s="27" t="s">
        <v>1792</v>
      </c>
      <c r="K326" s="15" t="s">
        <v>777</v>
      </c>
      <c r="L326" s="10" t="s">
        <v>771</v>
      </c>
      <c r="M326" s="10" t="s">
        <v>770</v>
      </c>
      <c r="N326" s="30" t="str">
        <f>HYPERLINK("https://twitter.com/strakovka/statuses/18099978192","https://twitter.com/strakovka/statuses/18099978192")</f>
        <v>https://twitter.com/strakovka/statuses/18099978192</v>
      </c>
      <c r="O326" s="27" t="s">
        <v>6103</v>
      </c>
      <c r="P326" s="80">
        <v>51</v>
      </c>
      <c r="Q326" s="80">
        <v>76</v>
      </c>
      <c r="R326" s="27" t="s">
        <v>2995</v>
      </c>
      <c r="S326" s="10" t="s">
        <v>1799</v>
      </c>
      <c r="T326" s="10" t="s">
        <v>771</v>
      </c>
      <c r="U326" s="10" t="s">
        <v>771</v>
      </c>
      <c r="V326" s="10" t="s">
        <v>771</v>
      </c>
      <c r="W326" s="10"/>
      <c r="X326" s="27" t="s">
        <v>370</v>
      </c>
      <c r="Y326" s="27" t="s">
        <v>1796</v>
      </c>
      <c r="Z326" s="80">
        <v>2453</v>
      </c>
      <c r="AA326" s="27">
        <v>386</v>
      </c>
      <c r="AB326" s="80">
        <v>89941</v>
      </c>
      <c r="AC326" s="27">
        <v>999</v>
      </c>
      <c r="AD326" s="27" t="s">
        <v>4497</v>
      </c>
      <c r="AE326" s="27">
        <v>164302135</v>
      </c>
      <c r="AF326" s="27" t="s">
        <v>1797</v>
      </c>
      <c r="AG326" s="27" t="s">
        <v>1800</v>
      </c>
      <c r="AH326" s="79">
        <v>1.1543529411764699</v>
      </c>
      <c r="AI326" s="83">
        <v>1.1544256120527301</v>
      </c>
      <c r="AJ326" s="80">
        <v>1.8110316649642499</v>
      </c>
      <c r="AK326" s="80">
        <v>1.79162410623085</v>
      </c>
      <c r="AL326" s="27">
        <v>61</v>
      </c>
      <c r="AM326" s="97">
        <f>SUM(AL326/Z326)</f>
        <v>2.4867509172441907E-2</v>
      </c>
      <c r="AN326" s="27" t="s">
        <v>370</v>
      </c>
      <c r="AO326" s="27">
        <v>7</v>
      </c>
      <c r="AP326" s="27">
        <v>11</v>
      </c>
      <c r="AQ326" s="27">
        <v>5</v>
      </c>
      <c r="AR326" s="27">
        <f>SUM(AO326:AQ326)</f>
        <v>23</v>
      </c>
      <c r="AS326" s="27" t="s">
        <v>6260</v>
      </c>
      <c r="AT326" s="27" t="s">
        <v>6347</v>
      </c>
      <c r="AU326" s="84" t="s">
        <v>6187</v>
      </c>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KM326" s="77"/>
      <c r="KN326" s="77"/>
      <c r="KO326" s="77"/>
      <c r="KP326" s="77"/>
      <c r="KQ326" s="77"/>
      <c r="KR326" s="77"/>
      <c r="KS326" s="77"/>
      <c r="KT326" s="77"/>
      <c r="KU326" s="77"/>
      <c r="KV326" s="77"/>
      <c r="KW326" s="77"/>
      <c r="KX326" s="77"/>
      <c r="KY326" s="77"/>
      <c r="KZ326" s="77"/>
      <c r="LA326" s="77"/>
      <c r="LB326" s="77"/>
      <c r="LC326" s="77"/>
      <c r="LD326" s="77"/>
      <c r="LE326" s="77"/>
      <c r="LF326" s="77"/>
      <c r="LG326" s="77"/>
      <c r="LH326" s="77"/>
      <c r="LI326" s="77"/>
      <c r="LJ326" s="77"/>
      <c r="LK326" s="77"/>
      <c r="LL326" s="77"/>
      <c r="LM326" s="77"/>
      <c r="LN326" s="77"/>
      <c r="LO326" s="77"/>
      <c r="LP326" s="77"/>
      <c r="LQ326" s="77"/>
      <c r="LR326" s="77"/>
      <c r="LS326" s="77"/>
      <c r="LT326" s="77"/>
      <c r="LU326" s="77"/>
      <c r="LV326" s="77"/>
      <c r="LW326" s="77"/>
      <c r="LX326" s="77"/>
    </row>
    <row r="327" spans="1:421" ht="18.600000000000001" customHeight="1" x14ac:dyDescent="0.25">
      <c r="A327" s="119" t="s">
        <v>81</v>
      </c>
      <c r="B327" s="27" t="s">
        <v>979</v>
      </c>
      <c r="C327" s="27" t="s">
        <v>980</v>
      </c>
      <c r="D327" s="30" t="str">
        <f>HYPERLINK("https://twitter.com/IBK_2013","https://twitter.com/IBK_2013")</f>
        <v>https://twitter.com/IBK_2013</v>
      </c>
      <c r="E327" s="30" t="str">
        <f>HYPERLINK("http://twiplomacy.com/info/africa/Mali","http://twiplomacy.com/info/africa/Mali")</f>
        <v>http://twiplomacy.com/info/africa/Mali</v>
      </c>
      <c r="F327" s="10" t="s">
        <v>1</v>
      </c>
      <c r="G327" s="10" t="s">
        <v>80</v>
      </c>
      <c r="H327" s="10" t="s">
        <v>772</v>
      </c>
      <c r="I327" s="10" t="s">
        <v>773</v>
      </c>
      <c r="J327" s="27" t="s">
        <v>779</v>
      </c>
      <c r="K327" s="15" t="s">
        <v>981</v>
      </c>
      <c r="L327" s="10" t="s">
        <v>771</v>
      </c>
      <c r="M327" s="10" t="s">
        <v>770</v>
      </c>
      <c r="N327" s="30" t="str">
        <f>HYPERLINK("https://twitter.com/IBK_2013/statuses/128791677958758400","https://twitter.com/IBK_2013/statuses/128791677958758400")</f>
        <v>https://twitter.com/IBK_2013/statuses/128791677958758400</v>
      </c>
      <c r="O327" s="27" t="s">
        <v>5867</v>
      </c>
      <c r="P327" s="80">
        <v>167</v>
      </c>
      <c r="Q327" s="80">
        <v>16</v>
      </c>
      <c r="R327" s="27" t="s">
        <v>2995</v>
      </c>
      <c r="S327" s="10" t="s">
        <v>982</v>
      </c>
      <c r="T327" s="10" t="s">
        <v>771</v>
      </c>
      <c r="U327" s="10" t="s">
        <v>771</v>
      </c>
      <c r="V327" s="10" t="s">
        <v>771</v>
      </c>
      <c r="W327" s="10"/>
      <c r="X327" s="27" t="s">
        <v>81</v>
      </c>
      <c r="Y327" s="27" t="s">
        <v>979</v>
      </c>
      <c r="Z327" s="80">
        <v>2443</v>
      </c>
      <c r="AA327" s="27">
        <v>333</v>
      </c>
      <c r="AB327" s="80">
        <v>6227</v>
      </c>
      <c r="AC327" s="27">
        <v>9</v>
      </c>
      <c r="AD327" s="27" t="s">
        <v>3822</v>
      </c>
      <c r="AE327" s="27">
        <v>391694893</v>
      </c>
      <c r="AF327" s="27" t="s">
        <v>980</v>
      </c>
      <c r="AG327" s="27" t="s">
        <v>80</v>
      </c>
      <c r="AH327" s="79">
        <v>1.47168674698795</v>
      </c>
      <c r="AI327" s="83">
        <v>2.7009966777408598</v>
      </c>
      <c r="AJ327" s="80">
        <v>1.1751257430269799</v>
      </c>
      <c r="AK327" s="80">
        <v>0.25148605395519003</v>
      </c>
      <c r="AL327" s="27">
        <v>107</v>
      </c>
      <c r="AM327" s="97">
        <f>SUM(AL327/Z327)</f>
        <v>4.3798608268522311E-2</v>
      </c>
      <c r="AN327" s="27" t="s">
        <v>81</v>
      </c>
      <c r="AO327" s="27">
        <v>0</v>
      </c>
      <c r="AP327" s="27">
        <v>7</v>
      </c>
      <c r="AQ327" s="27">
        <v>2</v>
      </c>
      <c r="AR327" s="27">
        <f>SUM(AO327:AQ327)</f>
        <v>9</v>
      </c>
      <c r="AS327" s="27"/>
      <c r="AT327" s="27" t="s">
        <v>5186</v>
      </c>
      <c r="AU327" s="84" t="s">
        <v>4758</v>
      </c>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IF327" s="77"/>
      <c r="IG327" s="77"/>
      <c r="IH327" s="77"/>
      <c r="II327" s="77"/>
      <c r="IJ327" s="77"/>
      <c r="IK327" s="77"/>
      <c r="IL327" s="77"/>
      <c r="IM327" s="77"/>
      <c r="IN327" s="77"/>
      <c r="IO327" s="77"/>
      <c r="IP327" s="77"/>
      <c r="IQ327" s="77"/>
      <c r="IR327" s="77"/>
      <c r="IS327" s="77"/>
      <c r="IT327" s="77"/>
      <c r="IU327" s="77"/>
      <c r="IV327" s="77"/>
      <c r="IW327" s="77"/>
      <c r="IX327" s="77"/>
      <c r="IY327" s="77"/>
      <c r="IZ327" s="77"/>
      <c r="JA327" s="77"/>
      <c r="JB327" s="77"/>
      <c r="JC327" s="77"/>
      <c r="JD327" s="77"/>
      <c r="JE327" s="77"/>
      <c r="JF327" s="77"/>
      <c r="JG327" s="77"/>
      <c r="JH327" s="77"/>
      <c r="JI327" s="77"/>
      <c r="JJ327" s="77"/>
      <c r="JK327" s="77"/>
      <c r="JL327" s="77"/>
      <c r="JM327" s="77"/>
      <c r="JN327" s="77"/>
      <c r="JO327" s="77"/>
      <c r="JP327" s="77"/>
      <c r="JQ327" s="77"/>
      <c r="JR327" s="77"/>
      <c r="JS327" s="77"/>
      <c r="JT327" s="77"/>
      <c r="JU327" s="77"/>
      <c r="JV327" s="77"/>
      <c r="JW327" s="77"/>
      <c r="JX327" s="77"/>
      <c r="JY327" s="77"/>
      <c r="JZ327" s="77"/>
      <c r="KA327" s="77"/>
      <c r="KB327" s="77"/>
      <c r="KC327" s="77"/>
      <c r="KD327" s="77"/>
      <c r="KE327" s="77"/>
      <c r="KF327" s="77"/>
      <c r="KG327" s="77"/>
      <c r="KH327" s="77"/>
      <c r="KI327" s="77"/>
      <c r="KJ327" s="77"/>
      <c r="KK327" s="77"/>
      <c r="KL327" s="77"/>
      <c r="LL327" s="77"/>
      <c r="LM327" s="77"/>
      <c r="LN327" s="77"/>
      <c r="LO327" s="77"/>
      <c r="LP327" s="77"/>
      <c r="LQ327" s="77"/>
      <c r="LR327" s="77"/>
      <c r="LS327" s="77"/>
      <c r="LT327" s="77"/>
      <c r="LU327" s="77"/>
      <c r="LV327" s="77"/>
      <c r="MS327" s="77"/>
    </row>
    <row r="328" spans="1:421" ht="18.600000000000001" customHeight="1" x14ac:dyDescent="0.25">
      <c r="A328" s="119" t="s">
        <v>479</v>
      </c>
      <c r="B328" s="27" t="s">
        <v>2103</v>
      </c>
      <c r="C328" s="27" t="s">
        <v>2104</v>
      </c>
      <c r="D328" s="30" t="str">
        <f>HYPERLINK("https://twitter.com/NorwayMFA","https://twitter.com/NorwayMFA")</f>
        <v>https://twitter.com/NorwayMFA</v>
      </c>
      <c r="E328" s="30" t="str">
        <f>HYPERLINK("http://twiplomacy.com/info/europe/Norway","http://twiplomacy.com/info/europe/Norway")</f>
        <v>http://twiplomacy.com/info/europe/Norway</v>
      </c>
      <c r="F328" s="10" t="s">
        <v>332</v>
      </c>
      <c r="G328" s="10" t="s">
        <v>473</v>
      </c>
      <c r="H328" s="10" t="s">
        <v>795</v>
      </c>
      <c r="I328" s="10" t="s">
        <v>782</v>
      </c>
      <c r="J328" s="27" t="s">
        <v>789</v>
      </c>
      <c r="K328" s="15" t="s">
        <v>777</v>
      </c>
      <c r="L328" s="10" t="s">
        <v>771</v>
      </c>
      <c r="M328" s="10" t="s">
        <v>770</v>
      </c>
      <c r="N328" s="30" t="str">
        <f>HYPERLINK("https://twitter.com/NorwayMFA/statuses/273052823774703616","https://twitter.com/NorwayMFA/statuses/273052823774703616")</f>
        <v>https://twitter.com/NorwayMFA/statuses/273052823774703616</v>
      </c>
      <c r="O328" s="27" t="s">
        <v>5991</v>
      </c>
      <c r="P328" s="80">
        <v>154</v>
      </c>
      <c r="Q328" s="80">
        <v>10</v>
      </c>
      <c r="R328" s="27" t="s">
        <v>2994</v>
      </c>
      <c r="S328" s="30" t="str">
        <f>HYPERLINK("https://twitter.com/NorwayMFA/lists","https://twitter.com/NorwayMFA/lists")</f>
        <v>https://twitter.com/NorwayMFA/lists</v>
      </c>
      <c r="T328" s="10">
        <v>1</v>
      </c>
      <c r="U328" s="10">
        <v>4</v>
      </c>
      <c r="V328" s="30" t="str">
        <f>HYPERLINK("https://twitter.com/NorwayMFA/lists/norwegian-ambassadors","https://twitter.com/NorwayMFA/lists/norwegian-ambassadors")</f>
        <v>https://twitter.com/NorwayMFA/lists/norwegian-ambassadors</v>
      </c>
      <c r="W328" s="10">
        <v>51</v>
      </c>
      <c r="X328" s="27" t="s">
        <v>479</v>
      </c>
      <c r="Y328" s="27" t="s">
        <v>2103</v>
      </c>
      <c r="Z328" s="80">
        <v>2435</v>
      </c>
      <c r="AA328" s="27">
        <v>1048</v>
      </c>
      <c r="AB328" s="80">
        <v>16660</v>
      </c>
      <c r="AC328" s="27">
        <v>679</v>
      </c>
      <c r="AD328" s="27" t="s">
        <v>4201</v>
      </c>
      <c r="AE328" s="27">
        <v>966113328</v>
      </c>
      <c r="AF328" s="27" t="s">
        <v>2104</v>
      </c>
      <c r="AG328" s="27" t="s">
        <v>473</v>
      </c>
      <c r="AH328" s="79">
        <v>1.93869426751592</v>
      </c>
      <c r="AI328" s="83">
        <v>1.94644284572342</v>
      </c>
      <c r="AJ328" s="80">
        <v>7.5890132248219704</v>
      </c>
      <c r="AK328" s="80">
        <v>4.1347914547304203</v>
      </c>
      <c r="AL328" s="27">
        <v>57</v>
      </c>
      <c r="AM328" s="97">
        <f>SUM(AL328/Z328)</f>
        <v>2.3408624229979465E-2</v>
      </c>
      <c r="AN328" s="27" t="s">
        <v>479</v>
      </c>
      <c r="AO328" s="27">
        <v>115</v>
      </c>
      <c r="AP328" s="27">
        <v>15</v>
      </c>
      <c r="AQ328" s="27">
        <v>101</v>
      </c>
      <c r="AR328" s="27">
        <f>SUM(AO328:AQ328)</f>
        <v>231</v>
      </c>
      <c r="AS328" s="27" t="s">
        <v>6604</v>
      </c>
      <c r="AT328" s="27" t="s">
        <v>6806</v>
      </c>
      <c r="AU328" s="84" t="s">
        <v>6519</v>
      </c>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P328" s="77"/>
      <c r="EQ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ID328" s="77"/>
      <c r="IE328" s="77"/>
      <c r="IF328" s="77"/>
      <c r="IG328" s="77"/>
      <c r="IH328" s="77"/>
      <c r="II328" s="77"/>
      <c r="IJ328" s="77"/>
      <c r="IK328" s="77"/>
      <c r="IL328" s="77"/>
      <c r="IM328" s="77"/>
      <c r="IN328" s="77"/>
      <c r="IO328" s="77"/>
      <c r="IP328" s="77"/>
      <c r="IQ328" s="77"/>
      <c r="IR328" s="77"/>
      <c r="IS328" s="77"/>
      <c r="IT328" s="77"/>
      <c r="IU328" s="77"/>
      <c r="IV328" s="77"/>
      <c r="IW328" s="77"/>
      <c r="IX328" s="77"/>
      <c r="IY328" s="77"/>
      <c r="IZ328" s="77"/>
      <c r="JA328" s="77"/>
      <c r="JB328" s="77"/>
      <c r="JC328" s="77"/>
      <c r="JD328" s="77"/>
      <c r="JE328" s="77"/>
      <c r="JF328" s="77"/>
      <c r="JG328" s="77"/>
      <c r="JH328" s="77"/>
      <c r="JI328" s="77"/>
      <c r="JJ328" s="77"/>
      <c r="JK328" s="77"/>
      <c r="JL328" s="77"/>
      <c r="JM328" s="77"/>
      <c r="JN328" s="77"/>
      <c r="JO328" s="77"/>
      <c r="JP328" s="77"/>
      <c r="JQ328" s="77"/>
      <c r="JR328" s="77"/>
      <c r="JS328" s="77"/>
      <c r="JT328" s="77"/>
      <c r="JU328" s="77"/>
      <c r="JV328" s="77"/>
      <c r="JW328" s="77"/>
      <c r="JX328" s="77"/>
      <c r="LW328" s="77"/>
      <c r="LX328" s="77"/>
    </row>
    <row r="329" spans="1:421" ht="18.600000000000001" customHeight="1" x14ac:dyDescent="0.25">
      <c r="A329" s="119" t="s">
        <v>346</v>
      </c>
      <c r="B329" s="27" t="s">
        <v>1729</v>
      </c>
      <c r="C329" s="27" t="s">
        <v>1730</v>
      </c>
      <c r="D329" s="30" t="str">
        <f>HYPERLINK("https://twitter.com/MonarchieBe","https://twitter.com/MonarchieBe")</f>
        <v>https://twitter.com/MonarchieBe</v>
      </c>
      <c r="E329" s="30" t="str">
        <f>HYPERLINK("http://twiplomacy.com/info/europe/Belgium","http://twiplomacy.com/info/europe/Belgium")</f>
        <v>http://twiplomacy.com/info/europe/Belgium</v>
      </c>
      <c r="F329" s="10" t="s">
        <v>332</v>
      </c>
      <c r="G329" s="10" t="s">
        <v>345</v>
      </c>
      <c r="H329" s="10" t="s">
        <v>1731</v>
      </c>
      <c r="I329" s="10" t="s">
        <v>782</v>
      </c>
      <c r="J329" s="27" t="s">
        <v>779</v>
      </c>
      <c r="K329" s="10" t="s">
        <v>777</v>
      </c>
      <c r="L329" s="10" t="s">
        <v>771</v>
      </c>
      <c r="M329" s="10" t="s">
        <v>771</v>
      </c>
      <c r="N329" s="30" t="str">
        <f>HYPERLINK("https://twitter.com/MonarchieBe/statuses/375908416717615104","https://twitter.com/MonarchieBe/statuses/375908416717615104")</f>
        <v>https://twitter.com/MonarchieBe/statuses/375908416717615104</v>
      </c>
      <c r="O329" s="27" t="s">
        <v>5976</v>
      </c>
      <c r="P329" s="80">
        <v>898</v>
      </c>
      <c r="Q329" s="80">
        <v>178</v>
      </c>
      <c r="R329" s="27" t="s">
        <v>2994</v>
      </c>
      <c r="S329" s="10" t="s">
        <v>1732</v>
      </c>
      <c r="T329" s="10" t="s">
        <v>771</v>
      </c>
      <c r="U329" s="10" t="s">
        <v>771</v>
      </c>
      <c r="V329" s="10" t="s">
        <v>771</v>
      </c>
      <c r="W329" s="10"/>
      <c r="X329" s="27" t="s">
        <v>346</v>
      </c>
      <c r="Y329" s="27" t="s">
        <v>1729</v>
      </c>
      <c r="Z329" s="80">
        <v>2423</v>
      </c>
      <c r="AA329" s="27">
        <v>0</v>
      </c>
      <c r="AB329" s="80">
        <v>31892</v>
      </c>
      <c r="AC329" s="27">
        <v>2</v>
      </c>
      <c r="AD329" s="27" t="s">
        <v>4166</v>
      </c>
      <c r="AE329" s="27">
        <v>1626202080</v>
      </c>
      <c r="AF329" s="27" t="s">
        <v>1730</v>
      </c>
      <c r="AG329" s="27" t="s">
        <v>916</v>
      </c>
      <c r="AH329" s="79">
        <v>2.4013875123884998</v>
      </c>
      <c r="AI329" s="83">
        <v>2.5015511892450899</v>
      </c>
      <c r="AJ329" s="80">
        <v>11.9369138959932</v>
      </c>
      <c r="AK329" s="80">
        <v>12.2766410912191</v>
      </c>
      <c r="AL329" s="27">
        <v>49</v>
      </c>
      <c r="AM329" s="97">
        <f>SUM(AL329/Z329)</f>
        <v>2.0222864217911678E-2</v>
      </c>
      <c r="AN329" s="27" t="s">
        <v>346</v>
      </c>
      <c r="AO329" s="27">
        <v>0</v>
      </c>
      <c r="AP329" s="27">
        <v>23</v>
      </c>
      <c r="AQ329" s="27">
        <v>0</v>
      </c>
      <c r="AR329" s="27">
        <f>SUM(AO329:AQ329)</f>
        <v>23</v>
      </c>
      <c r="AS329" s="27"/>
      <c r="AT329" s="27" t="s">
        <v>6797</v>
      </c>
      <c r="AU329" s="84"/>
      <c r="AV329" s="77"/>
      <c r="AW329" s="77"/>
      <c r="AX329" s="77"/>
      <c r="AY329" s="77"/>
      <c r="AZ329" s="77"/>
      <c r="BA329" s="77"/>
      <c r="BB329" s="77"/>
      <c r="BC329" s="77"/>
      <c r="BD329" s="77"/>
      <c r="BE329" s="77"/>
      <c r="BF329" s="77"/>
      <c r="BG329" s="77"/>
      <c r="BH329" s="77"/>
      <c r="BI329" s="77"/>
      <c r="BJ329" s="77"/>
      <c r="BK329" s="77"/>
      <c r="BL329" s="77"/>
      <c r="BM329" s="77"/>
      <c r="BN329" s="77"/>
      <c r="BO329" s="77"/>
      <c r="BP329" s="77"/>
      <c r="CC329" s="77"/>
      <c r="CD329" s="77"/>
      <c r="CE329" s="77"/>
      <c r="CF329" s="77"/>
      <c r="CG329" s="77"/>
      <c r="CH329" s="77"/>
      <c r="CI329" s="77"/>
      <c r="CJ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c r="IW329" s="77"/>
      <c r="IX329" s="77"/>
      <c r="IY329" s="77"/>
      <c r="IZ329" s="77"/>
      <c r="JA329" s="77"/>
      <c r="JB329" s="77"/>
      <c r="JC329" s="77"/>
      <c r="JD329" s="77"/>
      <c r="JE329" s="77"/>
      <c r="JF329" s="77"/>
      <c r="JG329" s="77"/>
      <c r="JH329" s="77"/>
      <c r="JI329" s="77"/>
      <c r="JJ329" s="77"/>
      <c r="JK329" s="77"/>
      <c r="JL329" s="77"/>
      <c r="JM329" s="77"/>
      <c r="JN329" s="77"/>
      <c r="JO329" s="77"/>
      <c r="JP329" s="77"/>
      <c r="JQ329" s="77"/>
      <c r="JR329" s="77"/>
      <c r="JS329" s="77"/>
      <c r="JT329" s="77"/>
      <c r="JU329" s="77"/>
      <c r="JV329" s="77"/>
      <c r="JW329" s="77"/>
      <c r="JX329" s="77"/>
      <c r="JY329" s="77"/>
      <c r="JZ329" s="77"/>
      <c r="KA329" s="77"/>
      <c r="KB329" s="77"/>
      <c r="KC329" s="77"/>
      <c r="KD329" s="77"/>
      <c r="KE329" s="77"/>
      <c r="KF329" s="77"/>
      <c r="KG329" s="77"/>
      <c r="KH329" s="77"/>
      <c r="KI329" s="77"/>
      <c r="KJ329" s="77"/>
      <c r="KK329" s="77"/>
      <c r="KL329" s="77"/>
      <c r="KM329" s="77"/>
      <c r="KN329" s="77"/>
      <c r="KO329" s="77"/>
      <c r="KP329" s="77"/>
      <c r="KQ329" s="77"/>
      <c r="KR329" s="77"/>
      <c r="KS329" s="77"/>
      <c r="KT329" s="77"/>
      <c r="KU329" s="77"/>
      <c r="KV329" s="77"/>
      <c r="KW329" s="77"/>
      <c r="KX329" s="77"/>
      <c r="KY329" s="77"/>
      <c r="KZ329" s="77"/>
      <c r="LA329" s="77"/>
      <c r="LB329" s="77"/>
      <c r="LC329" s="77"/>
      <c r="LD329" s="77"/>
      <c r="LE329" s="77"/>
      <c r="LF329" s="77"/>
      <c r="LG329" s="77"/>
      <c r="LH329" s="77"/>
      <c r="LI329" s="77"/>
      <c r="LJ329" s="77"/>
      <c r="LK329" s="77"/>
      <c r="LW329" s="77"/>
      <c r="LX329" s="77"/>
    </row>
    <row r="330" spans="1:421" ht="18.600000000000001" customHeight="1" x14ac:dyDescent="0.25">
      <c r="A330" s="119" t="s">
        <v>2609</v>
      </c>
      <c r="B330" s="27" t="s">
        <v>2610</v>
      </c>
      <c r="C330" s="27" t="s">
        <v>2611</v>
      </c>
      <c r="D330" s="30" t="str">
        <f>HYPERLINK("https://twitter.com/USAHindiMein","https://twitter.com/USAHindiMein")</f>
        <v>https://twitter.com/USAHindiMein</v>
      </c>
      <c r="E330" s="30" t="str">
        <f>HYPERLINK("http://twiplomacy.com/info/north-america/United-States","http://twiplomacy.com/info/north-america/United-States")</f>
        <v>http://twiplomacy.com/info/north-america/United-States</v>
      </c>
      <c r="F330" s="10" t="s">
        <v>558</v>
      </c>
      <c r="G330" s="10" t="s">
        <v>633</v>
      </c>
      <c r="H330" s="10" t="s">
        <v>2539</v>
      </c>
      <c r="I330" s="10" t="s">
        <v>782</v>
      </c>
      <c r="J330" s="27" t="s">
        <v>789</v>
      </c>
      <c r="K330" s="10" t="s">
        <v>4608</v>
      </c>
      <c r="L330" s="10" t="s">
        <v>771</v>
      </c>
      <c r="M330" s="10" t="s">
        <v>770</v>
      </c>
      <c r="N330" s="30" t="str">
        <f>HYPERLINK("https://twitter.com/USAHindiMein/statuses/38198482007228417","https://twitter.com/USAHindiMein/statuses/38198482007228417")</f>
        <v>https://twitter.com/USAHindiMein/statuses/38198482007228417</v>
      </c>
      <c r="O330" s="27" t="s">
        <v>2612</v>
      </c>
      <c r="P330" s="80">
        <v>11</v>
      </c>
      <c r="Q330" s="80">
        <v>3</v>
      </c>
      <c r="R330" s="27" t="s">
        <v>2994</v>
      </c>
      <c r="S330" s="10" t="s">
        <v>2613</v>
      </c>
      <c r="T330" s="10" t="s">
        <v>771</v>
      </c>
      <c r="U330" s="10" t="s">
        <v>771</v>
      </c>
      <c r="V330" s="10" t="s">
        <v>771</v>
      </c>
      <c r="W330" s="10"/>
      <c r="X330" s="27" t="s">
        <v>2609</v>
      </c>
      <c r="Y330" s="27" t="s">
        <v>2610</v>
      </c>
      <c r="Z330" s="80">
        <v>2421</v>
      </c>
      <c r="AA330" s="27">
        <v>85</v>
      </c>
      <c r="AB330" s="80">
        <v>1323</v>
      </c>
      <c r="AC330" s="27">
        <v>0</v>
      </c>
      <c r="AD330" s="27" t="s">
        <v>4566</v>
      </c>
      <c r="AE330" s="27">
        <v>253223882</v>
      </c>
      <c r="AF330" s="27" t="s">
        <v>2611</v>
      </c>
      <c r="AG330" s="27"/>
      <c r="AH330" s="79">
        <v>1.27354024197791</v>
      </c>
      <c r="AI330" s="83">
        <v>1.47621951219512</v>
      </c>
      <c r="AJ330" s="80">
        <v>0.150351094589013</v>
      </c>
      <c r="AK330" s="80">
        <v>4.2544403139198703E-2</v>
      </c>
      <c r="AL330" s="96">
        <v>70</v>
      </c>
      <c r="AM330" s="97">
        <f>SUM(AL330/Z330)</f>
        <v>2.8913672036348616E-2</v>
      </c>
      <c r="AN330" s="27" t="s">
        <v>2609</v>
      </c>
      <c r="AO330" s="27">
        <v>0</v>
      </c>
      <c r="AP330" s="27">
        <v>6</v>
      </c>
      <c r="AQ330" s="27">
        <v>3</v>
      </c>
      <c r="AR330" s="27">
        <f>SUM(AO330:AQ330)</f>
        <v>9</v>
      </c>
      <c r="AS330" s="27"/>
      <c r="AT330" s="27" t="s">
        <v>5547</v>
      </c>
      <c r="AU330" s="84" t="s">
        <v>4984</v>
      </c>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EM330" s="16"/>
      <c r="EN330" s="16"/>
      <c r="EO330" s="16"/>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c r="IW330" s="77"/>
      <c r="IX330" s="77"/>
      <c r="IY330" s="77"/>
      <c r="IZ330" s="77"/>
      <c r="JA330" s="77"/>
      <c r="JB330" s="77"/>
      <c r="JC330" s="77"/>
      <c r="JD330" s="77"/>
      <c r="JE330" s="77"/>
      <c r="JF330" s="77"/>
      <c r="JG330" s="77"/>
      <c r="JH330" s="77"/>
      <c r="JI330" s="77"/>
      <c r="JJ330" s="77"/>
      <c r="JK330" s="77"/>
      <c r="JL330" s="77"/>
      <c r="JM330" s="77"/>
      <c r="JN330" s="77"/>
      <c r="JO330" s="77"/>
      <c r="JP330" s="77"/>
      <c r="JQ330" s="77"/>
      <c r="JR330" s="77"/>
      <c r="JS330" s="77"/>
      <c r="JT330" s="77"/>
      <c r="JU330" s="77"/>
      <c r="JV330" s="77"/>
      <c r="JW330" s="77"/>
      <c r="JX330" s="77"/>
      <c r="JY330" s="77"/>
      <c r="JZ330" s="77"/>
      <c r="KA330" s="77"/>
      <c r="KB330" s="77"/>
      <c r="KC330" s="77"/>
      <c r="KD330" s="77"/>
      <c r="KE330" s="77"/>
      <c r="KF330" s="77"/>
      <c r="KG330" s="77"/>
      <c r="KH330" s="77"/>
      <c r="KI330" s="77"/>
      <c r="KJ330" s="77"/>
      <c r="KK330" s="77"/>
      <c r="KL330" s="77"/>
      <c r="KM330" s="77"/>
      <c r="KN330" s="77"/>
      <c r="KO330" s="77"/>
      <c r="KP330" s="77"/>
      <c r="KQ330" s="77"/>
      <c r="KR330" s="77"/>
      <c r="KS330" s="77"/>
      <c r="KT330" s="77"/>
      <c r="KU330" s="77"/>
      <c r="KV330" s="77"/>
      <c r="KW330" s="77"/>
      <c r="KX330" s="77"/>
      <c r="KY330" s="77"/>
      <c r="KZ330" s="77"/>
      <c r="LA330" s="77"/>
      <c r="LB330" s="77"/>
      <c r="LC330" s="77"/>
      <c r="LD330" s="77"/>
      <c r="LE330" s="77"/>
      <c r="LF330" s="77"/>
      <c r="LG330" s="77"/>
      <c r="LH330" s="77"/>
      <c r="LI330" s="77"/>
      <c r="LJ330" s="77"/>
      <c r="LK330" s="77"/>
      <c r="LW330" s="77"/>
      <c r="LX330" s="77"/>
    </row>
    <row r="331" spans="1:421" ht="18.600000000000001" customHeight="1" x14ac:dyDescent="0.25">
      <c r="A331" s="119" t="s">
        <v>1842</v>
      </c>
      <c r="B331" s="27" t="s">
        <v>1843</v>
      </c>
      <c r="C331" s="27" t="s">
        <v>1844</v>
      </c>
      <c r="D331" s="30" t="str">
        <f>HYPERLINK("https://twitter.com/EUCouncil","https://twitter.com/EUCouncil")</f>
        <v>https://twitter.com/EUCouncil</v>
      </c>
      <c r="E331" s="30" t="str">
        <f>HYPERLINK("http://twiplomacy.com/info/europe/Europe","http://twiplomacy.com/info/europe/Europe")</f>
        <v>http://twiplomacy.com/info/europe/Europe</v>
      </c>
      <c r="F331" s="10" t="s">
        <v>332</v>
      </c>
      <c r="G331" s="10" t="s">
        <v>1837</v>
      </c>
      <c r="H331" s="10" t="s">
        <v>1843</v>
      </c>
      <c r="I331" s="10" t="s">
        <v>782</v>
      </c>
      <c r="J331" s="27" t="s">
        <v>789</v>
      </c>
      <c r="K331" s="15" t="s">
        <v>777</v>
      </c>
      <c r="L331" s="10" t="s">
        <v>771</v>
      </c>
      <c r="M331" s="10" t="s">
        <v>770</v>
      </c>
      <c r="N331" s="30" t="str">
        <f>HYPERLINK("https://twitter.com/EUCouncil/status/275984563346485248","https://twitter.com/EUCouncil/status/275984563346485248")</f>
        <v>https://twitter.com/EUCouncil/status/275984563346485248</v>
      </c>
      <c r="O331" s="27" t="s">
        <v>5750</v>
      </c>
      <c r="P331" s="80">
        <v>214</v>
      </c>
      <c r="Q331" s="80">
        <v>107</v>
      </c>
      <c r="R331" s="27" t="s">
        <v>2994</v>
      </c>
      <c r="S331" s="30" t="str">
        <f>HYPERLINK("https://twitter.com/EUCouncil/lists","https://twitter.com/EUCouncil/lists")</f>
        <v>https://twitter.com/EUCouncil/lists</v>
      </c>
      <c r="T331" s="10">
        <v>6</v>
      </c>
      <c r="U331" s="10">
        <v>3</v>
      </c>
      <c r="V331" s="30" t="str">
        <f>HYPERLINK("https://twitter.com/EUCouncil/lists/council-on-twitter/members","https://twitter.com/EUCouncil/lists/council-on-twitter/members")</f>
        <v>https://twitter.com/EUCouncil/lists/council-on-twitter/members</v>
      </c>
      <c r="W331" s="10">
        <v>3</v>
      </c>
      <c r="X331" s="27" t="s">
        <v>1842</v>
      </c>
      <c r="Y331" s="27" t="s">
        <v>1843</v>
      </c>
      <c r="Z331" s="80">
        <v>2414</v>
      </c>
      <c r="AA331" s="27">
        <v>453</v>
      </c>
      <c r="AB331" s="80">
        <v>173322</v>
      </c>
      <c r="AC331" s="27">
        <v>52</v>
      </c>
      <c r="AD331" s="27" t="s">
        <v>3666</v>
      </c>
      <c r="AE331" s="27">
        <v>206717989</v>
      </c>
      <c r="AF331" s="27" t="s">
        <v>1844</v>
      </c>
      <c r="AG331" s="27" t="s">
        <v>1845</v>
      </c>
      <c r="AH331" s="79">
        <v>1.1967294350842399</v>
      </c>
      <c r="AI331" s="83">
        <v>1.9381526104417699</v>
      </c>
      <c r="AJ331" s="80">
        <v>10.2342251388188</v>
      </c>
      <c r="AK331" s="80">
        <v>5.2089853609288204</v>
      </c>
      <c r="AL331" s="27">
        <v>252</v>
      </c>
      <c r="AM331" s="97">
        <f>SUM(AL331/Z331)</f>
        <v>0.10439105219552609</v>
      </c>
      <c r="AN331" s="27" t="s">
        <v>1842</v>
      </c>
      <c r="AO331" s="27">
        <v>22</v>
      </c>
      <c r="AP331" s="27">
        <v>78</v>
      </c>
      <c r="AQ331" s="27">
        <v>35</v>
      </c>
      <c r="AR331" s="27">
        <f>SUM(AO331:AQ331)</f>
        <v>135</v>
      </c>
      <c r="AS331" s="27" t="s">
        <v>5109</v>
      </c>
      <c r="AT331" s="27" t="s">
        <v>6288</v>
      </c>
      <c r="AU331" s="84" t="s">
        <v>4713</v>
      </c>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4"/>
      <c r="BR331" s="74"/>
      <c r="BS331" s="74"/>
      <c r="BT331" s="74"/>
      <c r="BU331" s="74"/>
      <c r="BV331" s="74"/>
      <c r="BW331" s="74"/>
      <c r="BX331" s="74"/>
      <c r="BY331" s="74"/>
      <c r="BZ331" s="74"/>
      <c r="CA331" s="74"/>
      <c r="CB331" s="74"/>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ID331" s="77"/>
      <c r="IE331" s="77"/>
      <c r="IF331" s="77"/>
      <c r="IG331" s="77"/>
      <c r="IH331" s="77"/>
      <c r="II331" s="77"/>
      <c r="IJ331" s="77"/>
      <c r="IK331" s="77"/>
      <c r="IL331" s="77"/>
      <c r="IM331" s="77"/>
      <c r="IN331" s="77"/>
      <c r="IO331" s="77"/>
      <c r="IP331" s="77"/>
      <c r="IQ331" s="77"/>
      <c r="IR331" s="77"/>
      <c r="IS331" s="77"/>
      <c r="IT331" s="77"/>
      <c r="IU331" s="77"/>
      <c r="IV331" s="77"/>
      <c r="IW331" s="77"/>
      <c r="IX331" s="77"/>
      <c r="IY331" s="77"/>
      <c r="IZ331" s="77"/>
      <c r="JA331" s="77"/>
      <c r="JB331" s="77"/>
      <c r="JC331" s="77"/>
      <c r="JD331" s="77"/>
      <c r="JE331" s="77"/>
      <c r="JF331" s="77"/>
      <c r="JG331" s="77"/>
      <c r="JH331" s="77"/>
      <c r="JI331" s="77"/>
      <c r="JJ331" s="77"/>
      <c r="JK331" s="77"/>
      <c r="JL331" s="77"/>
      <c r="JM331" s="77"/>
      <c r="JN331" s="77"/>
      <c r="JO331" s="77"/>
      <c r="JP331" s="77"/>
      <c r="JQ331" s="77"/>
      <c r="JR331" s="77"/>
      <c r="JS331" s="77"/>
      <c r="JT331" s="77"/>
      <c r="JU331" s="77"/>
      <c r="JV331" s="77"/>
      <c r="JW331" s="77"/>
      <c r="JX331" s="77"/>
      <c r="JY331" s="77"/>
      <c r="JZ331" s="77"/>
      <c r="KA331" s="77"/>
      <c r="KB331" s="77"/>
      <c r="KC331" s="77"/>
      <c r="KD331" s="77"/>
      <c r="KE331" s="77"/>
      <c r="KF331" s="77"/>
      <c r="KG331" s="77"/>
      <c r="KH331" s="77"/>
      <c r="KI331" s="77"/>
      <c r="KJ331" s="77"/>
      <c r="KK331" s="77"/>
      <c r="KL331" s="77"/>
      <c r="KM331" s="77"/>
      <c r="KN331" s="77"/>
      <c r="KO331" s="77"/>
      <c r="KP331" s="77"/>
      <c r="KQ331" s="77"/>
      <c r="KR331" s="77"/>
      <c r="KS331" s="77"/>
      <c r="KT331" s="77"/>
      <c r="KU331" s="77"/>
      <c r="KV331" s="77"/>
      <c r="KW331" s="77"/>
      <c r="KX331" s="77"/>
      <c r="KY331" s="77"/>
      <c r="KZ331" s="77"/>
      <c r="LA331" s="77"/>
      <c r="LB331" s="77"/>
      <c r="LC331" s="77"/>
      <c r="LD331" s="77"/>
      <c r="LE331" s="77"/>
      <c r="LF331" s="77"/>
      <c r="LG331" s="77"/>
      <c r="LH331" s="77"/>
      <c r="LI331" s="77"/>
      <c r="LJ331" s="77"/>
      <c r="LK331" s="77"/>
      <c r="LL331" s="16"/>
      <c r="LM331" s="16"/>
      <c r="LN331" s="16"/>
      <c r="LO331" s="16"/>
      <c r="LP331" s="16"/>
      <c r="LQ331" s="16"/>
      <c r="LR331" s="16"/>
      <c r="LS331" s="16"/>
      <c r="LT331" s="16"/>
      <c r="LU331" s="16"/>
      <c r="LV331" s="16"/>
      <c r="LW331" s="77"/>
      <c r="LX331" s="77"/>
      <c r="MT331" s="77"/>
      <c r="MU331" s="77"/>
      <c r="MV331" s="77"/>
      <c r="MW331" s="77"/>
      <c r="MX331" s="77"/>
      <c r="MY331" s="77"/>
      <c r="MZ331" s="77"/>
      <c r="NA331" s="77"/>
      <c r="NB331" s="77"/>
      <c r="NC331" s="77"/>
    </row>
    <row r="332" spans="1:421" ht="18.600000000000001" customHeight="1" x14ac:dyDescent="0.25">
      <c r="A332" s="119" t="s">
        <v>221</v>
      </c>
      <c r="B332" s="27" t="s">
        <v>1409</v>
      </c>
      <c r="C332" s="27" t="s">
        <v>1410</v>
      </c>
      <c r="D332" s="30" t="str">
        <f>HYPERLINK("https://twitter.com/PrimeMinistry","https://twitter.com/PrimeMinistry")</f>
        <v>https://twitter.com/PrimeMinistry</v>
      </c>
      <c r="E332" s="30" t="str">
        <f>HYPERLINK("http://twiplomacy.com/info/asia/Jordan","http://twiplomacy.com/info/asia/Jordan")</f>
        <v>http://twiplomacy.com/info/asia/Jordan</v>
      </c>
      <c r="F332" s="10" t="s">
        <v>154</v>
      </c>
      <c r="G332" s="10" t="s">
        <v>217</v>
      </c>
      <c r="H332" s="10" t="s">
        <v>788</v>
      </c>
      <c r="I332" s="10" t="s">
        <v>782</v>
      </c>
      <c r="J332" s="27" t="s">
        <v>789</v>
      </c>
      <c r="K332" s="15" t="s">
        <v>777</v>
      </c>
      <c r="L332" s="10" t="s">
        <v>771</v>
      </c>
      <c r="M332" s="10" t="s">
        <v>770</v>
      </c>
      <c r="N332" s="30" t="str">
        <f>HYPERLINK("https://twitter.com/PrimeMinistry/statuses/23125348000","https://twitter.com/PrimeMinistry/statuses/23125348000")</f>
        <v>https://twitter.com/PrimeMinistry/statuses/23125348000</v>
      </c>
      <c r="O332" s="27" t="s">
        <v>1411</v>
      </c>
      <c r="P332" s="80">
        <v>98</v>
      </c>
      <c r="Q332" s="80">
        <v>58</v>
      </c>
      <c r="R332" s="27" t="s">
        <v>2994</v>
      </c>
      <c r="S332" s="30" t="str">
        <f>HYPERLINK("https://twitter.com/PrimeMinistry/lists","https://twitter.com/PrimeMinistry/lists")</f>
        <v>https://twitter.com/PrimeMinistry/lists</v>
      </c>
      <c r="T332" s="10">
        <v>1</v>
      </c>
      <c r="U332" s="10" t="s">
        <v>771</v>
      </c>
      <c r="V332" s="10" t="s">
        <v>771</v>
      </c>
      <c r="W332" s="10"/>
      <c r="X332" s="27" t="s">
        <v>221</v>
      </c>
      <c r="Y332" s="27" t="s">
        <v>1409</v>
      </c>
      <c r="Z332" s="80">
        <v>2410</v>
      </c>
      <c r="AA332" s="27">
        <v>1596</v>
      </c>
      <c r="AB332" s="80">
        <v>85898</v>
      </c>
      <c r="AC332" s="27">
        <v>3</v>
      </c>
      <c r="AD332" s="27" t="s">
        <v>4392</v>
      </c>
      <c r="AE332" s="27">
        <v>187142863</v>
      </c>
      <c r="AF332" s="27" t="s">
        <v>1410</v>
      </c>
      <c r="AG332" s="27" t="s">
        <v>1401</v>
      </c>
      <c r="AH332" s="79">
        <v>1.16650532429816</v>
      </c>
      <c r="AI332" s="83">
        <v>1.16707021791768</v>
      </c>
      <c r="AJ332" s="80">
        <v>2.2302218501465001</v>
      </c>
      <c r="AK332" s="80">
        <v>3.2478024277940598</v>
      </c>
      <c r="AL332" s="27">
        <v>43</v>
      </c>
      <c r="AM332" s="97">
        <f>SUM(AL332/Z332)</f>
        <v>1.7842323651452281E-2</v>
      </c>
      <c r="AN332" s="27" t="s">
        <v>221</v>
      </c>
      <c r="AO332" s="27">
        <v>7</v>
      </c>
      <c r="AP332" s="27">
        <v>21</v>
      </c>
      <c r="AQ332" s="27">
        <v>1</v>
      </c>
      <c r="AR332" s="27">
        <f>SUM(AO332:AQ332)</f>
        <v>29</v>
      </c>
      <c r="AS332" s="27" t="s">
        <v>5454</v>
      </c>
      <c r="AT332" s="27" t="s">
        <v>5455</v>
      </c>
      <c r="AU332" s="84" t="s">
        <v>223</v>
      </c>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16"/>
      <c r="GM332" s="16"/>
      <c r="GN332" s="16"/>
      <c r="GO332" s="16"/>
      <c r="GP332" s="16"/>
      <c r="GQ332" s="16"/>
      <c r="GR332" s="16"/>
      <c r="GS332" s="16"/>
      <c r="GT332" s="16"/>
      <c r="GU332" s="16"/>
      <c r="GV332" s="16"/>
      <c r="GW332" s="16"/>
      <c r="GX332" s="16"/>
      <c r="GY332" s="16"/>
      <c r="GZ332" s="16"/>
      <c r="HA332" s="16"/>
      <c r="HB332" s="16"/>
      <c r="HC332" s="16"/>
      <c r="HD332" s="16"/>
      <c r="HE332" s="16"/>
      <c r="HF332" s="16"/>
      <c r="HG332" s="16"/>
      <c r="HH332" s="16"/>
      <c r="HI332" s="16"/>
      <c r="HJ332" s="16"/>
      <c r="HK332" s="16"/>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c r="IW332" s="77"/>
      <c r="IX332" s="77"/>
      <c r="IY332" s="77"/>
      <c r="IZ332" s="77"/>
      <c r="JA332" s="77"/>
      <c r="JB332" s="77"/>
      <c r="JC332" s="77"/>
      <c r="JD332" s="77"/>
      <c r="JE332" s="77"/>
      <c r="JF332" s="77"/>
      <c r="JG332" s="77"/>
      <c r="JH332" s="77"/>
      <c r="JI332" s="77"/>
      <c r="JJ332" s="77"/>
      <c r="JK332" s="77"/>
      <c r="JL332" s="77"/>
      <c r="JM332" s="77"/>
      <c r="JN332" s="77"/>
      <c r="JO332" s="77"/>
      <c r="JP332" s="77"/>
      <c r="JQ332" s="77"/>
      <c r="JR332" s="77"/>
      <c r="JS332" s="77"/>
      <c r="JT332" s="77"/>
      <c r="JU332" s="77"/>
      <c r="JV332" s="77"/>
      <c r="JW332" s="77"/>
      <c r="JX332" s="77"/>
      <c r="JY332" s="77"/>
      <c r="JZ332" s="77"/>
      <c r="KA332" s="77"/>
      <c r="KB332" s="77"/>
      <c r="KC332" s="77"/>
      <c r="KD332" s="77"/>
      <c r="KE332" s="77"/>
      <c r="KF332" s="77"/>
      <c r="KG332" s="77"/>
      <c r="KH332" s="77"/>
      <c r="KI332" s="77"/>
      <c r="KJ332" s="77"/>
      <c r="KK332" s="77"/>
      <c r="KL332" s="77"/>
      <c r="KM332" s="77"/>
      <c r="KN332" s="77"/>
      <c r="KO332" s="77"/>
      <c r="KP332" s="77"/>
      <c r="KQ332" s="77"/>
      <c r="KR332" s="77"/>
      <c r="KS332" s="77"/>
      <c r="KT332" s="77"/>
      <c r="KU332" s="77"/>
      <c r="KV332" s="77"/>
      <c r="KW332" s="77"/>
      <c r="KX332" s="77"/>
      <c r="KY332" s="77"/>
      <c r="KZ332" s="77"/>
      <c r="LA332" s="77"/>
      <c r="LB332" s="77"/>
      <c r="LC332" s="77"/>
      <c r="LD332" s="77"/>
      <c r="LE332" s="77"/>
      <c r="LF332" s="77"/>
      <c r="LG332" s="77"/>
      <c r="LH332" s="77"/>
      <c r="LI332" s="77"/>
      <c r="LJ332" s="77"/>
      <c r="LK332" s="77"/>
      <c r="LL332" s="77"/>
      <c r="LM332" s="77"/>
      <c r="LN332" s="77"/>
      <c r="LO332" s="77"/>
      <c r="LP332" s="77"/>
      <c r="LQ332" s="77"/>
      <c r="LR332" s="77"/>
      <c r="LS332" s="77"/>
      <c r="LT332" s="77"/>
      <c r="LU332" s="77"/>
      <c r="LV332" s="77"/>
      <c r="LW332" s="77"/>
      <c r="LX332" s="77"/>
      <c r="MT332" s="77"/>
      <c r="MU332" s="77"/>
      <c r="MV332" s="77"/>
      <c r="MW332" s="77"/>
      <c r="MX332" s="77"/>
      <c r="MY332" s="77"/>
      <c r="MZ332" s="77"/>
      <c r="NA332" s="77"/>
      <c r="NB332" s="77"/>
      <c r="NC332" s="77"/>
    </row>
    <row r="333" spans="1:421" ht="18.600000000000001" customHeight="1" x14ac:dyDescent="0.25">
      <c r="A333" s="119" t="s">
        <v>3283</v>
      </c>
      <c r="B333" s="27" t="s">
        <v>4361</v>
      </c>
      <c r="C333" s="27" t="s">
        <v>4362</v>
      </c>
      <c r="D333" s="30" t="s">
        <v>3282</v>
      </c>
      <c r="E333" s="30" t="str">
        <f>HYPERLINK("http://twiplomacy.com/info/africa/Kenya","http://twiplomacy.com/info/africa/Kenya")</f>
        <v>http://twiplomacy.com/info/africa/Kenya</v>
      </c>
      <c r="F333" s="10" t="s">
        <v>1</v>
      </c>
      <c r="G333" s="10" t="s">
        <v>65</v>
      </c>
      <c r="H333" s="10" t="s">
        <v>772</v>
      </c>
      <c r="I333" s="10" t="s">
        <v>773</v>
      </c>
      <c r="J333" s="27" t="s">
        <v>789</v>
      </c>
      <c r="K333" s="15" t="s">
        <v>777</v>
      </c>
      <c r="L333" s="15"/>
      <c r="M333" s="10" t="s">
        <v>770</v>
      </c>
      <c r="N333" s="100" t="s">
        <v>3292</v>
      </c>
      <c r="O333" s="27" t="s">
        <v>3297</v>
      </c>
      <c r="P333" s="80">
        <v>1075</v>
      </c>
      <c r="Q333" s="80">
        <v>491</v>
      </c>
      <c r="R333" s="27" t="s">
        <v>2994</v>
      </c>
      <c r="S333" s="12" t="s">
        <v>3286</v>
      </c>
      <c r="T333" s="10" t="s">
        <v>771</v>
      </c>
      <c r="U333" s="10" t="s">
        <v>771</v>
      </c>
      <c r="V333" s="10" t="s">
        <v>771</v>
      </c>
      <c r="W333" s="102"/>
      <c r="X333" s="27" t="s">
        <v>3283</v>
      </c>
      <c r="Y333" s="27" t="s">
        <v>4361</v>
      </c>
      <c r="Z333" s="80">
        <v>2403</v>
      </c>
      <c r="AA333" s="27">
        <v>127</v>
      </c>
      <c r="AB333" s="80">
        <v>78241</v>
      </c>
      <c r="AC333" s="27">
        <v>17</v>
      </c>
      <c r="AD333" s="27" t="s">
        <v>4363</v>
      </c>
      <c r="AE333" s="27">
        <v>1629852061</v>
      </c>
      <c r="AF333" s="27" t="s">
        <v>4362</v>
      </c>
      <c r="AG333" s="27" t="s">
        <v>946</v>
      </c>
      <c r="AH333" s="79">
        <v>2.3839285714285698</v>
      </c>
      <c r="AI333" s="83">
        <v>5.08686440677966</v>
      </c>
      <c r="AJ333" s="80">
        <v>117.57</v>
      </c>
      <c r="AK333" s="80">
        <v>54.015000000000001</v>
      </c>
      <c r="AL333" s="27">
        <v>68</v>
      </c>
      <c r="AM333" s="97">
        <f>SUM(AL333/Z333)</f>
        <v>2.8297960882230546E-2</v>
      </c>
      <c r="AN333" s="27" t="s">
        <v>3283</v>
      </c>
      <c r="AO333" s="27">
        <v>22</v>
      </c>
      <c r="AP333" s="27">
        <v>8</v>
      </c>
      <c r="AQ333" s="27">
        <v>6</v>
      </c>
      <c r="AR333" s="27">
        <f>SUM(AO333:AQ333)</f>
        <v>36</v>
      </c>
      <c r="AS333" s="27" t="s">
        <v>6249</v>
      </c>
      <c r="AT333" s="27" t="s">
        <v>5440</v>
      </c>
      <c r="AU333" s="84" t="s">
        <v>4924</v>
      </c>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GL333" s="16"/>
      <c r="GM333" s="16"/>
      <c r="GN333" s="16"/>
      <c r="GO333" s="16"/>
      <c r="GP333" s="16"/>
      <c r="GQ333" s="16"/>
      <c r="GR333" s="16"/>
      <c r="GS333" s="16"/>
      <c r="GT333" s="16"/>
      <c r="GU333" s="16"/>
      <c r="GV333" s="16"/>
      <c r="GW333" s="16"/>
      <c r="GX333" s="16"/>
      <c r="GY333" s="16"/>
      <c r="GZ333" s="16"/>
      <c r="HA333" s="16"/>
      <c r="HB333" s="16"/>
      <c r="HC333" s="16"/>
      <c r="HD333" s="16"/>
      <c r="HE333" s="16"/>
      <c r="HF333" s="16"/>
      <c r="HG333" s="16"/>
      <c r="HH333" s="16"/>
      <c r="HI333" s="16"/>
      <c r="HJ333" s="16"/>
      <c r="HK333" s="16"/>
      <c r="ID333" s="16"/>
      <c r="IE333" s="16"/>
      <c r="IF333" s="77"/>
      <c r="IG333" s="77"/>
      <c r="IH333" s="77"/>
      <c r="II333" s="77"/>
      <c r="IJ333" s="77"/>
      <c r="IK333" s="77"/>
      <c r="IL333" s="77"/>
      <c r="IM333" s="77"/>
      <c r="IN333" s="77"/>
      <c r="IO333" s="77"/>
      <c r="IP333" s="77"/>
      <c r="IQ333" s="77"/>
      <c r="IR333" s="77"/>
      <c r="IS333" s="77"/>
      <c r="IT333" s="77"/>
      <c r="IU333" s="77"/>
      <c r="IV333" s="77"/>
      <c r="IW333" s="77"/>
      <c r="IX333" s="77"/>
      <c r="IY333" s="77"/>
      <c r="IZ333" s="77"/>
      <c r="JA333" s="77"/>
      <c r="JB333" s="77"/>
      <c r="JC333" s="77"/>
      <c r="JD333" s="77"/>
      <c r="JE333" s="77"/>
      <c r="JF333" s="77"/>
      <c r="JG333" s="77"/>
      <c r="JH333" s="77"/>
      <c r="JI333" s="77"/>
      <c r="JJ333" s="77"/>
      <c r="JK333" s="77"/>
      <c r="JL333" s="77"/>
      <c r="JM333" s="77"/>
      <c r="JN333" s="77"/>
      <c r="JO333" s="77"/>
      <c r="JP333" s="77"/>
      <c r="JQ333" s="77"/>
      <c r="JR333" s="77"/>
      <c r="JS333" s="77"/>
      <c r="JT333" s="77"/>
      <c r="JU333" s="77"/>
      <c r="JV333" s="77"/>
      <c r="JW333" s="77"/>
      <c r="JX333" s="77"/>
      <c r="LL333" s="77"/>
      <c r="LM333" s="77"/>
      <c r="LN333" s="77"/>
      <c r="LO333" s="77"/>
      <c r="LP333" s="77"/>
      <c r="LQ333" s="77"/>
      <c r="LR333" s="77"/>
      <c r="LS333" s="77"/>
      <c r="LT333" s="77"/>
      <c r="LU333" s="77"/>
      <c r="LV333" s="77"/>
      <c r="LW333" s="77"/>
      <c r="LX333" s="77"/>
    </row>
    <row r="334" spans="1:421" ht="18.600000000000001" customHeight="1" x14ac:dyDescent="0.25">
      <c r="A334" s="119" t="s">
        <v>334</v>
      </c>
      <c r="B334" s="27" t="s">
        <v>1701</v>
      </c>
      <c r="C334" s="27" t="s">
        <v>1702</v>
      </c>
      <c r="D334" s="30" t="str">
        <f>HYPERLINK("https://twitter.com/ditmirbushati","https://twitter.com/ditmirbushati")</f>
        <v>https://twitter.com/ditmirbushati</v>
      </c>
      <c r="E334" s="30" t="str">
        <f>HYPERLINK("http://twiplomacy.com/info/europe/Albania","http://twiplomacy.com/info/europe/Albania")</f>
        <v>http://twiplomacy.com/info/europe/Albania</v>
      </c>
      <c r="F334" s="10" t="s">
        <v>332</v>
      </c>
      <c r="G334" s="10" t="s">
        <v>331</v>
      </c>
      <c r="H334" s="10" t="s">
        <v>860</v>
      </c>
      <c r="I334" s="10" t="s">
        <v>773</v>
      </c>
      <c r="J334" s="27" t="s">
        <v>789</v>
      </c>
      <c r="K334" s="15" t="s">
        <v>777</v>
      </c>
      <c r="L334" s="10"/>
      <c r="M334" s="10" t="s">
        <v>770</v>
      </c>
      <c r="N334" s="30" t="str">
        <f>HYPERLINK("https://twitter.com/ditmirbushati/statuses/303542109049335808","https://twitter.com/ditmirbushati/statuses/303542109049335808")</f>
        <v>https://twitter.com/ditmirbushati/statuses/303542109049335808</v>
      </c>
      <c r="O334" s="27" t="s">
        <v>5804</v>
      </c>
      <c r="P334" s="80">
        <v>133</v>
      </c>
      <c r="Q334" s="80">
        <v>118</v>
      </c>
      <c r="R334" s="27" t="s">
        <v>2994</v>
      </c>
      <c r="S334" s="10" t="s">
        <v>1703</v>
      </c>
      <c r="T334" s="10" t="s">
        <v>771</v>
      </c>
      <c r="U334" s="10" t="s">
        <v>771</v>
      </c>
      <c r="V334" s="10" t="s">
        <v>771</v>
      </c>
      <c r="W334" s="10"/>
      <c r="X334" s="27" t="s">
        <v>334</v>
      </c>
      <c r="Y334" s="27" t="s">
        <v>1701</v>
      </c>
      <c r="Z334" s="80">
        <v>2390</v>
      </c>
      <c r="AA334" s="27">
        <v>204</v>
      </c>
      <c r="AB334" s="80">
        <v>55470</v>
      </c>
      <c r="AC334" s="27">
        <v>2290</v>
      </c>
      <c r="AD334" s="27" t="s">
        <v>3620</v>
      </c>
      <c r="AE334" s="27">
        <v>1193749242</v>
      </c>
      <c r="AF334" s="27" t="s">
        <v>1702</v>
      </c>
      <c r="AG334" s="27"/>
      <c r="AH334" s="79">
        <v>2.0444824636441399</v>
      </c>
      <c r="AI334" s="83">
        <v>2.0453767123287698</v>
      </c>
      <c r="AJ334" s="80">
        <v>19.184294871794901</v>
      </c>
      <c r="AK334" s="80">
        <v>19.371794871794901</v>
      </c>
      <c r="AL334" s="27">
        <v>46</v>
      </c>
      <c r="AM334" s="97">
        <f>SUM(AL334/Z334)</f>
        <v>1.9246861924686193E-2</v>
      </c>
      <c r="AN334" s="27" t="s">
        <v>334</v>
      </c>
      <c r="AO334" s="27">
        <v>16</v>
      </c>
      <c r="AP334" s="27">
        <v>29</v>
      </c>
      <c r="AQ334" s="27">
        <v>23</v>
      </c>
      <c r="AR334" s="27">
        <f>SUM(AO334:AQ334)</f>
        <v>68</v>
      </c>
      <c r="AS334" s="27" t="s">
        <v>5085</v>
      </c>
      <c r="AT334" s="27" t="s">
        <v>6702</v>
      </c>
      <c r="AU334" s="84" t="s">
        <v>4696</v>
      </c>
      <c r="AV334" s="77"/>
      <c r="AW334" s="77"/>
      <c r="AX334" s="77"/>
      <c r="AY334" s="77"/>
      <c r="AZ334" s="77"/>
      <c r="BA334" s="77"/>
      <c r="BB334" s="77"/>
      <c r="BC334" s="77"/>
      <c r="BD334" s="77"/>
      <c r="BE334" s="77"/>
      <c r="BF334" s="77"/>
      <c r="BG334" s="77"/>
      <c r="BH334" s="77"/>
      <c r="BI334" s="77"/>
      <c r="BJ334" s="77"/>
      <c r="BK334" s="77"/>
      <c r="BL334" s="77"/>
      <c r="BM334" s="77"/>
      <c r="BN334" s="77"/>
      <c r="BO334" s="77"/>
      <c r="BP334" s="77"/>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HL334" s="77"/>
      <c r="HM334" s="77"/>
      <c r="HN334" s="77"/>
      <c r="HO334" s="77"/>
      <c r="HP334" s="77"/>
      <c r="HQ334" s="77"/>
      <c r="HR334" s="77"/>
      <c r="HS334" s="77"/>
      <c r="HT334" s="77"/>
      <c r="HU334" s="77"/>
      <c r="HV334" s="77"/>
      <c r="HW334" s="77"/>
      <c r="HX334" s="77"/>
      <c r="HY334" s="77"/>
      <c r="HZ334" s="77"/>
      <c r="IA334" s="77"/>
      <c r="IB334" s="77"/>
      <c r="IC334" s="77"/>
      <c r="ID334" s="77"/>
      <c r="IE334" s="77"/>
      <c r="JY334" s="77"/>
      <c r="JZ334" s="77"/>
      <c r="KA334" s="77"/>
      <c r="KB334" s="77"/>
      <c r="KC334" s="77"/>
      <c r="KD334" s="77"/>
      <c r="KE334" s="77"/>
      <c r="KF334" s="77"/>
      <c r="KG334" s="77"/>
      <c r="KH334" s="77"/>
      <c r="KI334" s="77"/>
      <c r="KJ334" s="77"/>
      <c r="KK334" s="77"/>
      <c r="KL334" s="77"/>
      <c r="KM334" s="77"/>
      <c r="KN334" s="77"/>
      <c r="KO334" s="77"/>
      <c r="KP334" s="77"/>
      <c r="KQ334" s="77"/>
      <c r="KR334" s="77"/>
      <c r="KS334" s="77"/>
      <c r="KT334" s="77"/>
      <c r="KU334" s="77"/>
      <c r="KV334" s="77"/>
      <c r="KW334" s="77"/>
      <c r="KX334" s="77"/>
      <c r="KY334" s="77"/>
      <c r="KZ334" s="77"/>
      <c r="LA334" s="77"/>
      <c r="LB334" s="77"/>
      <c r="LC334" s="77"/>
      <c r="LD334" s="77"/>
      <c r="LE334" s="77"/>
      <c r="LF334" s="77"/>
      <c r="LG334" s="77"/>
      <c r="LH334" s="77"/>
      <c r="LI334" s="77"/>
      <c r="LJ334" s="77"/>
      <c r="LK334" s="77"/>
      <c r="LW334" s="77"/>
      <c r="LX334" s="77"/>
    </row>
    <row r="335" spans="1:421" ht="18.600000000000001" customHeight="1" x14ac:dyDescent="0.25">
      <c r="A335" s="119" t="s">
        <v>510</v>
      </c>
      <c r="B335" s="27" t="s">
        <v>2181</v>
      </c>
      <c r="C335" s="27" t="s">
        <v>2182</v>
      </c>
      <c r="D335" s="30" t="str">
        <f>HYPERLINK("https://twitter.com/SerbianGov","https://twitter.com/SerbianGov")</f>
        <v>https://twitter.com/SerbianGov</v>
      </c>
      <c r="E335" s="30" t="str">
        <f>HYPERLINK("http://twiplomacy.com/info/europe/Serbia","http://twiplomacy.com/info/europe/Serbia")</f>
        <v>http://twiplomacy.com/info/europe/Serbia</v>
      </c>
      <c r="F335" s="10" t="s">
        <v>332</v>
      </c>
      <c r="G335" s="10" t="s">
        <v>506</v>
      </c>
      <c r="H335" s="10" t="s">
        <v>788</v>
      </c>
      <c r="I335" s="10" t="s">
        <v>782</v>
      </c>
      <c r="J335" s="27" t="s">
        <v>789</v>
      </c>
      <c r="K335" s="15" t="s">
        <v>777</v>
      </c>
      <c r="L335" s="10" t="s">
        <v>771</v>
      </c>
      <c r="M335" s="10" t="s">
        <v>770</v>
      </c>
      <c r="N335" s="30" t="str">
        <f>HYPERLINK("https://twitter.com/SerbianGov/statuses/230079061022629888","https://twitter.com/SerbianGov/statuses/230079061022629888")</f>
        <v>https://twitter.com/SerbianGov/statuses/230079061022629888</v>
      </c>
      <c r="O335" s="27" t="s">
        <v>2183</v>
      </c>
      <c r="P335" s="80">
        <v>42</v>
      </c>
      <c r="Q335" s="80">
        <v>3</v>
      </c>
      <c r="R335" s="27" t="s">
        <v>2995</v>
      </c>
      <c r="S335" s="10" t="s">
        <v>2184</v>
      </c>
      <c r="T335" s="10" t="s">
        <v>771</v>
      </c>
      <c r="U335" s="10" t="s">
        <v>771</v>
      </c>
      <c r="V335" s="10" t="s">
        <v>771</v>
      </c>
      <c r="W335" s="10"/>
      <c r="X335" s="27" t="s">
        <v>510</v>
      </c>
      <c r="Y335" s="27" t="s">
        <v>2181</v>
      </c>
      <c r="Z335" s="80">
        <v>2361</v>
      </c>
      <c r="AA335" s="27">
        <v>116</v>
      </c>
      <c r="AB335" s="80">
        <v>5419</v>
      </c>
      <c r="AC335" s="27">
        <v>131</v>
      </c>
      <c r="AD335" s="27" t="s">
        <v>4468</v>
      </c>
      <c r="AE335" s="27">
        <v>603524800</v>
      </c>
      <c r="AF335" s="27" t="s">
        <v>2182</v>
      </c>
      <c r="AG335" s="27" t="s">
        <v>2185</v>
      </c>
      <c r="AH335" s="79">
        <v>1.65917076598735</v>
      </c>
      <c r="AI335" s="83">
        <v>1.7284040995607599</v>
      </c>
      <c r="AJ335" s="80">
        <v>1.13538873994638</v>
      </c>
      <c r="AK335" s="80">
        <v>0.87488829311885596</v>
      </c>
      <c r="AL335" s="27">
        <v>72</v>
      </c>
      <c r="AM335" s="97">
        <f>SUM(AL335/Z335)</f>
        <v>3.0495552731893267E-2</v>
      </c>
      <c r="AN335" s="27" t="s">
        <v>510</v>
      </c>
      <c r="AO335" s="27">
        <v>11</v>
      </c>
      <c r="AP335" s="27">
        <v>7</v>
      </c>
      <c r="AQ335" s="27">
        <v>17</v>
      </c>
      <c r="AR335" s="27">
        <f>SUM(AO335:AQ335)</f>
        <v>35</v>
      </c>
      <c r="AS335" s="27" t="s">
        <v>5490</v>
      </c>
      <c r="AT335" s="27" t="s">
        <v>6858</v>
      </c>
      <c r="AU335" s="84" t="s">
        <v>6184</v>
      </c>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16"/>
      <c r="CD335" s="16"/>
      <c r="CE335" s="16"/>
      <c r="CF335" s="16"/>
      <c r="CG335" s="16"/>
      <c r="CH335" s="16"/>
      <c r="CI335" s="16"/>
      <c r="CJ335" s="16"/>
      <c r="CK335" s="77"/>
      <c r="CL335" s="77"/>
      <c r="CM335" s="77"/>
      <c r="CN335" s="77"/>
      <c r="CO335" s="77"/>
      <c r="CP335" s="77"/>
      <c r="CQ335" s="77"/>
      <c r="CR335" s="77"/>
      <c r="CS335" s="77"/>
      <c r="CT335" s="77"/>
      <c r="CU335" s="77"/>
      <c r="CV335" s="77"/>
      <c r="CW335" s="77"/>
      <c r="EM335" s="77"/>
      <c r="EN335" s="77"/>
      <c r="EO335" s="77"/>
      <c r="EP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ID335" s="77"/>
      <c r="IE335" s="77"/>
      <c r="JY335" s="77"/>
      <c r="JZ335" s="77"/>
      <c r="KA335" s="77"/>
      <c r="KB335" s="77"/>
      <c r="KC335" s="77"/>
      <c r="KD335" s="77"/>
      <c r="KE335" s="77"/>
      <c r="KF335" s="77"/>
      <c r="KG335" s="77"/>
      <c r="KH335" s="77"/>
      <c r="KI335" s="77"/>
      <c r="KJ335" s="77"/>
      <c r="KK335" s="77"/>
      <c r="KL335" s="77"/>
      <c r="KM335" s="77"/>
      <c r="KN335" s="77"/>
      <c r="KO335" s="77"/>
      <c r="KP335" s="77"/>
      <c r="KQ335" s="77"/>
      <c r="KR335" s="77"/>
      <c r="KS335" s="77"/>
      <c r="KT335" s="77"/>
      <c r="KU335" s="77"/>
      <c r="KV335" s="77"/>
      <c r="KW335" s="77"/>
      <c r="KX335" s="77"/>
      <c r="KY335" s="77"/>
      <c r="KZ335" s="77"/>
      <c r="LA335" s="77"/>
      <c r="LB335" s="77"/>
      <c r="LC335" s="77"/>
      <c r="LD335" s="77"/>
      <c r="LE335" s="77"/>
      <c r="LF335" s="77"/>
      <c r="LG335" s="77"/>
      <c r="LH335" s="77"/>
      <c r="LI335" s="77"/>
      <c r="LJ335" s="77"/>
      <c r="LK335" s="77"/>
      <c r="LL335" s="77"/>
      <c r="LM335" s="77"/>
      <c r="LN335" s="77"/>
      <c r="LO335" s="77"/>
      <c r="LP335" s="77"/>
      <c r="LQ335" s="77"/>
      <c r="LR335" s="77"/>
      <c r="LS335" s="77"/>
      <c r="LT335" s="77"/>
      <c r="LU335" s="77"/>
      <c r="LV335" s="77"/>
      <c r="LW335" s="77"/>
      <c r="LX335" s="77"/>
    </row>
    <row r="336" spans="1:421" s="16" customFormat="1" ht="18.600000000000001" customHeight="1" x14ac:dyDescent="0.25">
      <c r="A336" s="119" t="s">
        <v>1922</v>
      </c>
      <c r="B336" s="27" t="s">
        <v>4387</v>
      </c>
      <c r="C336" s="27" t="s">
        <v>4388</v>
      </c>
      <c r="D336" s="30" t="str">
        <f>HYPERLINK("https://twitter.com/PrimeministerGR","https://twitter.com/PrimeministerGR")</f>
        <v>https://twitter.com/PrimeministerGR</v>
      </c>
      <c r="E336" s="30" t="str">
        <f>HYPERLINK("http://twiplomacy.com/info/europe/Greece","http://twiplomacy.com/info/europe/Greece")</f>
        <v>http://twiplomacy.com/info/europe/Greece</v>
      </c>
      <c r="F336" s="10" t="s">
        <v>332</v>
      </c>
      <c r="G336" s="10" t="s">
        <v>405</v>
      </c>
      <c r="H336" s="10" t="s">
        <v>788</v>
      </c>
      <c r="I336" s="10" t="s">
        <v>782</v>
      </c>
      <c r="J336" s="27" t="s">
        <v>789</v>
      </c>
      <c r="K336" s="15" t="s">
        <v>777</v>
      </c>
      <c r="L336" s="10" t="s">
        <v>771</v>
      </c>
      <c r="M336" s="10" t="s">
        <v>771</v>
      </c>
      <c r="N336" s="30" t="str">
        <f>HYPERLINK("https://twitter.com/PrimeministerGR/statuses/9179722616","https://twitter.com/PrimeministerGR/statuses/9179722616")</f>
        <v>https://twitter.com/PrimeministerGR/statuses/9179722616</v>
      </c>
      <c r="O336" s="27" t="s">
        <v>6057</v>
      </c>
      <c r="P336" s="80">
        <v>1275</v>
      </c>
      <c r="Q336" s="80">
        <v>3028</v>
      </c>
      <c r="R336" s="27" t="s">
        <v>2994</v>
      </c>
      <c r="S336" s="12" t="s">
        <v>1923</v>
      </c>
      <c r="T336" s="10" t="s">
        <v>771</v>
      </c>
      <c r="U336" s="10" t="s">
        <v>771</v>
      </c>
      <c r="V336" s="10" t="s">
        <v>771</v>
      </c>
      <c r="W336" s="10"/>
      <c r="X336" s="27" t="s">
        <v>1922</v>
      </c>
      <c r="Y336" s="27" t="s">
        <v>4387</v>
      </c>
      <c r="Z336" s="80">
        <v>2333</v>
      </c>
      <c r="AA336" s="27">
        <v>179</v>
      </c>
      <c r="AB336" s="80">
        <v>305659</v>
      </c>
      <c r="AC336" s="27">
        <v>3</v>
      </c>
      <c r="AD336" s="27" t="s">
        <v>4389</v>
      </c>
      <c r="AE336" s="27">
        <v>104298598</v>
      </c>
      <c r="AF336" s="27" t="s">
        <v>4388</v>
      </c>
      <c r="AG336" s="27" t="s">
        <v>405</v>
      </c>
      <c r="AH336" s="79">
        <v>1.01390699695784</v>
      </c>
      <c r="AI336" s="83">
        <v>1.02780229479259</v>
      </c>
      <c r="AJ336" s="80">
        <v>26.114035087719301</v>
      </c>
      <c r="AK336" s="80">
        <v>49.279824561403501</v>
      </c>
      <c r="AL336" s="27">
        <v>6</v>
      </c>
      <c r="AM336" s="97">
        <f>SUM(AL336/Z336)</f>
        <v>2.5717959708529792E-3</v>
      </c>
      <c r="AN336" s="27" t="s">
        <v>1922</v>
      </c>
      <c r="AO336" s="27">
        <v>51</v>
      </c>
      <c r="AP336" s="27">
        <v>28</v>
      </c>
      <c r="AQ336" s="27">
        <v>29</v>
      </c>
      <c r="AR336" s="27">
        <f>SUM(AO336:AQ336)</f>
        <v>108</v>
      </c>
      <c r="AS336" s="27" t="s">
        <v>6622</v>
      </c>
      <c r="AT336" s="27" t="s">
        <v>5451</v>
      </c>
      <c r="AU336" s="84" t="s">
        <v>4929</v>
      </c>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c r="IW336" s="77"/>
      <c r="IX336" s="77"/>
      <c r="IY336" s="77"/>
      <c r="IZ336" s="77"/>
      <c r="JA336" s="77"/>
      <c r="JB336" s="77"/>
      <c r="JC336" s="77"/>
      <c r="JD336" s="77"/>
      <c r="JE336" s="77"/>
      <c r="JF336" s="77"/>
      <c r="JG336" s="77"/>
      <c r="JH336" s="77"/>
      <c r="JI336" s="77"/>
      <c r="JJ336" s="77"/>
      <c r="JK336" s="77"/>
      <c r="JL336" s="77"/>
      <c r="JM336" s="77"/>
      <c r="JN336" s="77"/>
      <c r="JO336" s="77"/>
      <c r="JP336" s="77"/>
      <c r="JQ336" s="77"/>
      <c r="JR336" s="77"/>
      <c r="JS336" s="77"/>
      <c r="JT336" s="77"/>
      <c r="JU336" s="77"/>
      <c r="JV336" s="77"/>
      <c r="JW336" s="77"/>
      <c r="JX336" s="77"/>
      <c r="JY336" s="77"/>
      <c r="JZ336" s="77"/>
      <c r="KA336" s="77"/>
      <c r="KB336" s="77"/>
      <c r="KC336" s="77"/>
      <c r="KD336" s="77"/>
      <c r="KE336" s="77"/>
      <c r="KF336" s="77"/>
      <c r="KG336" s="77"/>
      <c r="KH336" s="77"/>
      <c r="KI336" s="77"/>
      <c r="KJ336" s="77"/>
      <c r="KK336" s="77"/>
      <c r="KL336" s="77"/>
      <c r="KM336" s="77"/>
      <c r="KN336" s="77"/>
      <c r="KO336" s="77"/>
      <c r="KP336" s="77"/>
      <c r="KQ336" s="77"/>
      <c r="KR336" s="77"/>
      <c r="KS336" s="77"/>
      <c r="KT336" s="77"/>
      <c r="KU336" s="77"/>
      <c r="KV336" s="77"/>
      <c r="KW336" s="77"/>
      <c r="KX336" s="77"/>
      <c r="KY336" s="77"/>
      <c r="KZ336" s="77"/>
      <c r="LA336" s="77"/>
      <c r="LB336" s="77"/>
      <c r="LC336" s="77"/>
      <c r="LD336" s="77"/>
      <c r="LE336" s="77"/>
      <c r="LF336" s="77"/>
      <c r="LG336" s="77"/>
      <c r="LH336" s="77"/>
      <c r="LI336" s="77"/>
      <c r="LJ336" s="77"/>
      <c r="LK336" s="77"/>
      <c r="LL336" s="77"/>
      <c r="LM336" s="77"/>
      <c r="LN336" s="77"/>
      <c r="LO336" s="77"/>
      <c r="LP336" s="77"/>
      <c r="LQ336" s="77"/>
      <c r="LR336" s="77"/>
      <c r="LS336" s="77"/>
      <c r="LT336" s="77"/>
      <c r="LU336" s="77"/>
      <c r="LV336" s="77"/>
      <c r="LW336" s="77"/>
      <c r="LX336" s="77"/>
      <c r="LY336" s="77"/>
      <c r="LZ336" s="77"/>
      <c r="MA336" s="77"/>
      <c r="MB336" s="77"/>
      <c r="MC336" s="77"/>
      <c r="MD336" s="77"/>
      <c r="ME336" s="77"/>
      <c r="MF336" s="77"/>
      <c r="MG336" s="77"/>
      <c r="MH336" s="77"/>
      <c r="MI336" s="77"/>
      <c r="MJ336" s="77"/>
      <c r="MK336" s="77"/>
      <c r="ML336" s="77"/>
      <c r="MM336" s="77"/>
      <c r="MN336" s="77"/>
      <c r="MO336" s="77"/>
      <c r="MP336" s="77"/>
      <c r="MQ336" s="77"/>
      <c r="MR336" s="77"/>
      <c r="MS336" s="77"/>
      <c r="MT336" s="77"/>
      <c r="MU336" s="77"/>
      <c r="MV336" s="77"/>
      <c r="MW336" s="77"/>
      <c r="MX336" s="77"/>
      <c r="MY336" s="77"/>
      <c r="MZ336" s="77"/>
      <c r="NA336" s="77"/>
      <c r="NB336" s="77"/>
      <c r="NC336" s="77"/>
      <c r="ND336" s="77"/>
      <c r="NE336" s="77"/>
      <c r="NF336" s="77"/>
      <c r="NG336" s="77"/>
      <c r="NH336" s="77"/>
      <c r="NI336" s="77"/>
      <c r="NJ336" s="77"/>
      <c r="NK336" s="77"/>
      <c r="NL336" s="77"/>
      <c r="NM336" s="77"/>
      <c r="NN336" s="77"/>
      <c r="NO336" s="77"/>
      <c r="NP336" s="77"/>
      <c r="NQ336" s="77"/>
      <c r="NR336" s="77"/>
      <c r="NS336" s="77"/>
      <c r="NT336" s="77"/>
      <c r="NU336" s="77"/>
      <c r="NV336" s="77"/>
      <c r="NW336" s="77"/>
      <c r="NX336" s="77"/>
      <c r="NY336" s="77"/>
      <c r="NZ336" s="77"/>
      <c r="OA336" s="77"/>
      <c r="OB336" s="77"/>
      <c r="OC336" s="77"/>
      <c r="OD336" s="77"/>
      <c r="OE336" s="77"/>
      <c r="OF336" s="77"/>
      <c r="OG336" s="77"/>
      <c r="OH336" s="77"/>
      <c r="OI336" s="77"/>
      <c r="OJ336" s="77"/>
      <c r="OK336" s="77"/>
      <c r="OL336" s="77"/>
      <c r="OM336" s="77"/>
      <c r="ON336" s="77"/>
      <c r="OO336" s="77"/>
      <c r="OP336" s="77"/>
      <c r="OQ336" s="77"/>
      <c r="OR336" s="77"/>
      <c r="OS336" s="77"/>
      <c r="OT336" s="77"/>
      <c r="OU336" s="77"/>
      <c r="OV336" s="77"/>
      <c r="OW336" s="77"/>
      <c r="OX336" s="77"/>
      <c r="OY336" s="77"/>
      <c r="OZ336" s="77"/>
      <c r="PA336" s="77"/>
      <c r="PB336" s="77"/>
      <c r="PC336" s="77"/>
      <c r="PD336" s="77"/>
      <c r="PE336" s="77"/>
    </row>
    <row r="337" spans="1:421" ht="18.600000000000001" customHeight="1" x14ac:dyDescent="0.25">
      <c r="A337" s="119" t="s">
        <v>465</v>
      </c>
      <c r="B337" s="27" t="s">
        <v>2070</v>
      </c>
      <c r="C337" s="27" t="s">
        <v>4048</v>
      </c>
      <c r="D337" s="30" t="str">
        <f>HYPERLINK("https://twitter.com/MeGovernment","https://twitter.com/MeGovernment")</f>
        <v>https://twitter.com/MeGovernment</v>
      </c>
      <c r="E337" s="30" t="str">
        <f>HYPERLINK("http://twiplomacy.com/info/europe/Montenegro","http://twiplomacy.com/info/europe/Montenegro")</f>
        <v>http://twiplomacy.com/info/europe/Montenegro</v>
      </c>
      <c r="F337" s="10" t="s">
        <v>332</v>
      </c>
      <c r="G337" s="10" t="s">
        <v>464</v>
      </c>
      <c r="H337" s="10" t="s">
        <v>788</v>
      </c>
      <c r="I337" s="10" t="s">
        <v>782</v>
      </c>
      <c r="J337" s="27" t="s">
        <v>789</v>
      </c>
      <c r="K337" s="15" t="s">
        <v>777</v>
      </c>
      <c r="L337" s="10" t="s">
        <v>771</v>
      </c>
      <c r="M337" s="10" t="s">
        <v>771</v>
      </c>
      <c r="N337" s="30" t="str">
        <f>HYPERLINK("https://twitter.com/MeGovernment/statuses/75928192820576256","https://twitter.com/MeGovernment/statuses/75928192820576256")</f>
        <v>https://twitter.com/MeGovernment/statuses/75928192820576256</v>
      </c>
      <c r="O337" s="27" t="s">
        <v>5935</v>
      </c>
      <c r="P337" s="80">
        <v>296</v>
      </c>
      <c r="Q337" s="80">
        <v>235</v>
      </c>
      <c r="R337" s="27" t="s">
        <v>2994</v>
      </c>
      <c r="S337" s="12" t="s">
        <v>2071</v>
      </c>
      <c r="T337" s="10" t="s">
        <v>771</v>
      </c>
      <c r="U337" s="10" t="s">
        <v>771</v>
      </c>
      <c r="V337" s="10" t="s">
        <v>771</v>
      </c>
      <c r="W337" s="10"/>
      <c r="X337" s="27" t="s">
        <v>465</v>
      </c>
      <c r="Y337" s="27" t="s">
        <v>2070</v>
      </c>
      <c r="Z337" s="80">
        <v>2322</v>
      </c>
      <c r="AA337" s="27">
        <v>727</v>
      </c>
      <c r="AB337" s="80">
        <v>23080</v>
      </c>
      <c r="AC337" s="27">
        <v>346</v>
      </c>
      <c r="AD337" s="27" t="s">
        <v>4049</v>
      </c>
      <c r="AE337" s="27">
        <v>309032583</v>
      </c>
      <c r="AF337" s="27" t="s">
        <v>4048</v>
      </c>
      <c r="AG337" s="27" t="s">
        <v>464</v>
      </c>
      <c r="AH337" s="79">
        <v>1.29215358931553</v>
      </c>
      <c r="AI337" s="83">
        <v>1.2909698996655501</v>
      </c>
      <c r="AJ337" s="80">
        <v>2.7762589928057602</v>
      </c>
      <c r="AK337" s="80">
        <v>2.4582733812949602</v>
      </c>
      <c r="AL337" s="27">
        <v>57</v>
      </c>
      <c r="AM337" s="97">
        <f>SUM(AL337/Z337)</f>
        <v>2.454780361757106E-2</v>
      </c>
      <c r="AN337" s="27" t="s">
        <v>465</v>
      </c>
      <c r="AO337" s="27">
        <v>168</v>
      </c>
      <c r="AP337" s="27">
        <v>1</v>
      </c>
      <c r="AQ337" s="27">
        <v>64</v>
      </c>
      <c r="AR337" s="27">
        <f>SUM(AO337:AQ337)</f>
        <v>233</v>
      </c>
      <c r="AS337" s="27" t="s">
        <v>6596</v>
      </c>
      <c r="AT337" s="27" t="s">
        <v>3364</v>
      </c>
      <c r="AU337" s="84" t="s">
        <v>6505</v>
      </c>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LW337" s="77"/>
      <c r="LX337" s="77"/>
    </row>
    <row r="338" spans="1:421" ht="18.600000000000001" customHeight="1" x14ac:dyDescent="0.25">
      <c r="A338" s="119" t="s">
        <v>542</v>
      </c>
      <c r="B338" s="27" t="s">
        <v>2298</v>
      </c>
      <c r="C338" s="27" t="s">
        <v>4534</v>
      </c>
      <c r="D338" s="30" t="str">
        <f>HYPERLINK("https://twitter.com/trpresidency","https://twitter.com/trpresidency")</f>
        <v>https://twitter.com/trpresidency</v>
      </c>
      <c r="E338" s="30" t="str">
        <f>HYPERLINK("http://twiplomacy.com/info/europe/Turkey","http://twiplomacy.com/info/europe/Turkey")</f>
        <v>http://twiplomacy.com/info/europe/Turkey</v>
      </c>
      <c r="F338" s="10" t="s">
        <v>332</v>
      </c>
      <c r="G338" s="10" t="s">
        <v>536</v>
      </c>
      <c r="H338" s="10" t="s">
        <v>781</v>
      </c>
      <c r="I338" s="10" t="s">
        <v>782</v>
      </c>
      <c r="J338" s="27" t="s">
        <v>2254</v>
      </c>
      <c r="K338" s="15" t="s">
        <v>777</v>
      </c>
      <c r="L338" s="10" t="s">
        <v>771</v>
      </c>
      <c r="M338" s="10" t="s">
        <v>770</v>
      </c>
      <c r="N338" s="30" t="str">
        <f>HYPERLINK("https://twitter.com/trpresidency/statuses/91494898477449216","https://twitter.com/trpresidency/statuses/91494898477449216")</f>
        <v>https://twitter.com/trpresidency/statuses/91494898477449216</v>
      </c>
      <c r="O338" s="27" t="s">
        <v>6112</v>
      </c>
      <c r="P338" s="80">
        <v>1770</v>
      </c>
      <c r="Q338" s="80">
        <v>3376</v>
      </c>
      <c r="R338" s="27" t="s">
        <v>2994</v>
      </c>
      <c r="S338" s="10" t="s">
        <v>2299</v>
      </c>
      <c r="T338" s="10" t="s">
        <v>771</v>
      </c>
      <c r="U338" s="10" t="s">
        <v>771</v>
      </c>
      <c r="V338" s="10" t="s">
        <v>771</v>
      </c>
      <c r="W338" s="10"/>
      <c r="X338" s="27" t="s">
        <v>542</v>
      </c>
      <c r="Y338" s="27" t="s">
        <v>2298</v>
      </c>
      <c r="Z338" s="80">
        <v>2320</v>
      </c>
      <c r="AA338" s="27">
        <v>3</v>
      </c>
      <c r="AB338" s="80">
        <v>579271</v>
      </c>
      <c r="AC338" s="27">
        <v>0</v>
      </c>
      <c r="AD338" s="27" t="s">
        <v>4535</v>
      </c>
      <c r="AE338" s="27">
        <v>272621942</v>
      </c>
      <c r="AF338" s="27" t="s">
        <v>4534</v>
      </c>
      <c r="AG338" s="27" t="s">
        <v>4536</v>
      </c>
      <c r="AH338" s="79">
        <v>1.24530327428878</v>
      </c>
      <c r="AI338" s="83">
        <v>1.3226909920182399</v>
      </c>
      <c r="AJ338" s="80">
        <v>31.26953125</v>
      </c>
      <c r="AK338" s="80">
        <v>56.3658854166667</v>
      </c>
      <c r="AL338" s="13">
        <v>0</v>
      </c>
      <c r="AM338" s="97">
        <f>SUM(AL338/Z338)</f>
        <v>0</v>
      </c>
      <c r="AN338" s="27" t="s">
        <v>542</v>
      </c>
      <c r="AO338" s="27">
        <v>0</v>
      </c>
      <c r="AP338" s="27">
        <v>36</v>
      </c>
      <c r="AQ338" s="27">
        <v>2</v>
      </c>
      <c r="AR338" s="27">
        <f>SUM(AO338:AQ338)</f>
        <v>38</v>
      </c>
      <c r="AS338" s="27"/>
      <c r="AT338" s="27" t="s">
        <v>6867</v>
      </c>
      <c r="AU338" s="84" t="s">
        <v>4971</v>
      </c>
      <c r="AV338" s="77"/>
      <c r="AW338" s="77"/>
      <c r="AX338" s="77"/>
      <c r="AY338" s="77"/>
      <c r="AZ338" s="77"/>
      <c r="BA338" s="77"/>
      <c r="BB338" s="77"/>
      <c r="BC338" s="77"/>
      <c r="BD338" s="77"/>
      <c r="BE338" s="77"/>
      <c r="BF338" s="77"/>
      <c r="BG338" s="77"/>
      <c r="BH338" s="77"/>
      <c r="BI338" s="77"/>
      <c r="BJ338" s="77"/>
      <c r="BK338" s="77"/>
      <c r="BL338" s="77"/>
      <c r="BM338" s="77"/>
      <c r="BN338" s="77"/>
      <c r="BO338" s="77"/>
      <c r="BP338" s="77"/>
      <c r="BQ338" s="77"/>
      <c r="BR338" s="77"/>
      <c r="BS338" s="77"/>
      <c r="BT338" s="77"/>
      <c r="BU338" s="77"/>
      <c r="BV338" s="77"/>
      <c r="BW338" s="77"/>
      <c r="BX338" s="77"/>
      <c r="BY338" s="77"/>
      <c r="BZ338" s="77"/>
      <c r="CA338" s="77"/>
      <c r="CB338" s="77"/>
      <c r="CC338" s="77"/>
      <c r="CD338" s="77"/>
      <c r="CE338" s="77"/>
      <c r="CF338" s="77"/>
      <c r="CG338" s="77"/>
      <c r="CH338" s="77"/>
      <c r="CI338" s="77"/>
      <c r="CJ338" s="77"/>
      <c r="CK338" s="77"/>
      <c r="CL338" s="77"/>
      <c r="CM338" s="77"/>
      <c r="CN338" s="77"/>
      <c r="CO338" s="77"/>
      <c r="CP338" s="77"/>
      <c r="CQ338" s="77"/>
      <c r="CR338" s="77"/>
      <c r="CS338" s="77"/>
      <c r="CT338" s="77"/>
      <c r="CU338" s="77"/>
      <c r="CV338" s="77"/>
      <c r="CW338" s="77"/>
      <c r="CX338" s="77"/>
      <c r="CY338" s="77"/>
      <c r="CZ338" s="77"/>
      <c r="DA338" s="77"/>
      <c r="DB338" s="77"/>
      <c r="DC338" s="77"/>
      <c r="DD338" s="77"/>
      <c r="DE338" s="77"/>
      <c r="DF338" s="77"/>
      <c r="DG338" s="77"/>
      <c r="DH338" s="77"/>
      <c r="DI338" s="77"/>
      <c r="DJ338" s="77"/>
      <c r="DK338" s="77"/>
      <c r="DL338" s="77"/>
      <c r="DM338" s="77"/>
      <c r="DN338" s="77"/>
      <c r="DO338" s="77"/>
      <c r="DP338" s="77"/>
      <c r="DQ338" s="77"/>
      <c r="DR338" s="77"/>
      <c r="DS338" s="77"/>
      <c r="DT338" s="77"/>
      <c r="DU338" s="77"/>
      <c r="DV338" s="77"/>
      <c r="DW338" s="77"/>
      <c r="DX338" s="77"/>
      <c r="DY338" s="77"/>
      <c r="DZ338" s="77"/>
      <c r="EA338" s="77"/>
      <c r="EB338" s="77"/>
      <c r="EC338" s="77"/>
      <c r="ED338" s="77"/>
      <c r="EE338" s="77"/>
      <c r="EF338" s="77"/>
      <c r="EG338" s="77"/>
      <c r="EH338" s="77"/>
      <c r="EI338" s="77"/>
      <c r="EJ338" s="77"/>
      <c r="EK338" s="77"/>
      <c r="EL338" s="77"/>
      <c r="EM338" s="77"/>
      <c r="EN338" s="77"/>
      <c r="EO338" s="77"/>
      <c r="EP338" s="77"/>
      <c r="EQ338" s="77"/>
      <c r="ER338" s="77"/>
      <c r="ES338" s="77"/>
      <c r="ET338" s="77"/>
      <c r="EU338" s="77"/>
      <c r="EV338" s="77"/>
      <c r="EW338" s="77"/>
      <c r="EX338" s="77"/>
      <c r="EY338" s="77"/>
      <c r="EZ338" s="77"/>
      <c r="FA338" s="77"/>
      <c r="FB338" s="77"/>
      <c r="FC338" s="77"/>
      <c r="FD338" s="77"/>
      <c r="FE338" s="77"/>
      <c r="FF338" s="77"/>
      <c r="FG338" s="77"/>
      <c r="FH338" s="77"/>
      <c r="FI338" s="77"/>
      <c r="FJ338" s="77"/>
      <c r="FK338" s="77"/>
      <c r="FL338" s="77"/>
      <c r="FM338" s="77"/>
      <c r="FN338" s="77"/>
      <c r="FO338" s="77"/>
      <c r="FP338" s="77"/>
      <c r="FQ338" s="77"/>
      <c r="FR338" s="77"/>
      <c r="FS338" s="77"/>
      <c r="FT338" s="77"/>
      <c r="FU338" s="77"/>
      <c r="FV338" s="77"/>
      <c r="FW338" s="77"/>
      <c r="FX338" s="77"/>
      <c r="FY338" s="77"/>
      <c r="FZ338" s="77"/>
      <c r="GA338" s="77"/>
      <c r="GB338" s="77"/>
      <c r="GC338" s="77"/>
      <c r="GD338" s="77"/>
      <c r="GE338" s="77"/>
      <c r="GF338" s="77"/>
      <c r="GG338" s="77"/>
      <c r="GH338" s="77"/>
      <c r="GI338" s="77"/>
      <c r="GJ338" s="77"/>
      <c r="GK338" s="77"/>
      <c r="GL338" s="77"/>
      <c r="GM338" s="77"/>
      <c r="GN338" s="77"/>
      <c r="GO338" s="77"/>
      <c r="GP338" s="77"/>
      <c r="GQ338" s="77"/>
      <c r="GR338" s="77"/>
      <c r="GS338" s="77"/>
      <c r="GT338" s="77"/>
      <c r="GU338" s="77"/>
      <c r="GV338" s="77"/>
      <c r="GW338" s="77"/>
      <c r="GX338" s="77"/>
      <c r="GY338" s="77"/>
      <c r="GZ338" s="77"/>
      <c r="HA338" s="77"/>
      <c r="HB338" s="77"/>
      <c r="HC338" s="77"/>
      <c r="HD338" s="77"/>
      <c r="HE338" s="77"/>
      <c r="HF338" s="77"/>
      <c r="HG338" s="77"/>
      <c r="HH338" s="77"/>
      <c r="HI338" s="77"/>
      <c r="HJ338" s="77"/>
      <c r="HK338" s="77"/>
      <c r="HL338" s="16"/>
      <c r="HM338" s="16"/>
      <c r="HN338" s="16"/>
      <c r="HO338" s="16"/>
      <c r="HP338" s="16"/>
      <c r="HQ338" s="16"/>
      <c r="HR338" s="16"/>
      <c r="HS338" s="16"/>
      <c r="HT338" s="16"/>
      <c r="HU338" s="16"/>
      <c r="HV338" s="16"/>
      <c r="HW338" s="16"/>
      <c r="HX338" s="16"/>
      <c r="HY338" s="16"/>
      <c r="HZ338" s="16"/>
      <c r="IA338" s="16"/>
      <c r="IB338" s="16"/>
      <c r="IC338" s="16"/>
      <c r="ID338" s="77"/>
      <c r="IE338" s="77"/>
      <c r="IF338" s="77"/>
      <c r="IG338" s="77"/>
      <c r="IH338" s="77"/>
      <c r="II338" s="77"/>
      <c r="IJ338" s="77"/>
      <c r="IK338" s="77"/>
      <c r="IL338" s="77"/>
      <c r="IM338" s="77"/>
      <c r="IN338" s="77"/>
      <c r="IO338" s="77"/>
      <c r="IP338" s="77"/>
      <c r="IQ338" s="77"/>
      <c r="IR338" s="77"/>
      <c r="IS338" s="77"/>
      <c r="IT338" s="77"/>
      <c r="IU338" s="77"/>
      <c r="IV338" s="77"/>
      <c r="IW338" s="77"/>
      <c r="IX338" s="77"/>
      <c r="IY338" s="77"/>
      <c r="IZ338" s="77"/>
      <c r="JA338" s="77"/>
      <c r="JB338" s="77"/>
      <c r="JC338" s="77"/>
      <c r="JD338" s="77"/>
      <c r="JE338" s="77"/>
      <c r="JF338" s="77"/>
      <c r="JG338" s="77"/>
      <c r="JH338" s="77"/>
      <c r="JI338" s="77"/>
      <c r="JJ338" s="77"/>
      <c r="JK338" s="77"/>
      <c r="JL338" s="77"/>
      <c r="JM338" s="77"/>
      <c r="JN338" s="77"/>
      <c r="JO338" s="77"/>
      <c r="JP338" s="77"/>
      <c r="JQ338" s="77"/>
      <c r="JR338" s="77"/>
      <c r="JS338" s="77"/>
      <c r="JT338" s="77"/>
      <c r="JU338" s="77"/>
      <c r="JV338" s="77"/>
      <c r="JW338" s="77"/>
      <c r="JX338" s="77"/>
      <c r="JY338" s="77"/>
      <c r="JZ338" s="77"/>
      <c r="KA338" s="77"/>
      <c r="KB338" s="77"/>
      <c r="KC338" s="77"/>
      <c r="KD338" s="77"/>
      <c r="KE338" s="77"/>
      <c r="KF338" s="77"/>
      <c r="KG338" s="77"/>
      <c r="KH338" s="77"/>
      <c r="KI338" s="77"/>
      <c r="KJ338" s="77"/>
      <c r="KK338" s="77"/>
      <c r="KL338" s="77"/>
      <c r="LL338" s="77"/>
      <c r="LM338" s="77"/>
      <c r="LN338" s="77"/>
      <c r="LO338" s="77"/>
      <c r="LP338" s="77"/>
      <c r="LQ338" s="77"/>
      <c r="LR338" s="77"/>
      <c r="LS338" s="77"/>
      <c r="LT338" s="77"/>
      <c r="LU338" s="77"/>
      <c r="LV338" s="77"/>
      <c r="LW338" s="77"/>
      <c r="LX338" s="77"/>
      <c r="MS338" s="77"/>
    </row>
    <row r="339" spans="1:421" ht="18.600000000000001" customHeight="1" x14ac:dyDescent="0.25">
      <c r="A339" s="119" t="s">
        <v>115</v>
      </c>
      <c r="B339" s="27" t="s">
        <v>262</v>
      </c>
      <c r="C339" s="27" t="s">
        <v>6453</v>
      </c>
      <c r="D339" s="30" t="str">
        <f>HYPERLINK("https://twitter.com/SomaliPM","https://twitter.com/SomaliPM")</f>
        <v>https://twitter.com/SomaliPM</v>
      </c>
      <c r="E339" s="30" t="str">
        <f>HYPERLINK("http://twiplomacy.com/info/africa/Somalia","http://twiplomacy.com/info/africa/Somalia")</f>
        <v>http://twiplomacy.com/info/africa/Somalia</v>
      </c>
      <c r="F339" s="10" t="s">
        <v>1</v>
      </c>
      <c r="G339" s="10" t="s">
        <v>113</v>
      </c>
      <c r="H339" s="10" t="s">
        <v>776</v>
      </c>
      <c r="I339" s="10" t="s">
        <v>773</v>
      </c>
      <c r="J339" s="27" t="s">
        <v>789</v>
      </c>
      <c r="K339" s="15" t="s">
        <v>777</v>
      </c>
      <c r="L339" s="10" t="s">
        <v>771</v>
      </c>
      <c r="M339" s="10" t="s">
        <v>770</v>
      </c>
      <c r="N339" s="30" t="str">
        <f>HYPERLINK("https://twitter.com/SomaliPM/statuses/298050426417328128","https://twitter.com/SomaliPM/statuses/298050426417328128")</f>
        <v>https://twitter.com/SomaliPM/statuses/298050426417328128</v>
      </c>
      <c r="O339" s="27" t="s">
        <v>6096</v>
      </c>
      <c r="P339" s="80">
        <v>198</v>
      </c>
      <c r="Q339" s="80">
        <v>123</v>
      </c>
      <c r="R339" s="27" t="s">
        <v>2994</v>
      </c>
      <c r="S339" s="10" t="s">
        <v>1081</v>
      </c>
      <c r="T339" s="10" t="s">
        <v>771</v>
      </c>
      <c r="U339" s="10" t="s">
        <v>771</v>
      </c>
      <c r="V339" s="10" t="s">
        <v>771</v>
      </c>
      <c r="W339" s="10"/>
      <c r="X339" s="27" t="s">
        <v>115</v>
      </c>
      <c r="Y339" s="27" t="s">
        <v>262</v>
      </c>
      <c r="Z339" s="80">
        <v>2269</v>
      </c>
      <c r="AA339" s="27">
        <v>208</v>
      </c>
      <c r="AB339" s="80">
        <v>59037</v>
      </c>
      <c r="AC339" s="27">
        <v>227</v>
      </c>
      <c r="AD339" s="27" t="s">
        <v>4480</v>
      </c>
      <c r="AE339" s="27">
        <v>1144935463</v>
      </c>
      <c r="AF339" s="27" t="s">
        <v>6453</v>
      </c>
      <c r="AG339" s="27" t="s">
        <v>1080</v>
      </c>
      <c r="AH339" s="79">
        <v>1.91638513513514</v>
      </c>
      <c r="AI339" s="83">
        <v>1.91116751269036</v>
      </c>
      <c r="AJ339" s="80">
        <v>8.4026465028355393</v>
      </c>
      <c r="AK339" s="80">
        <v>3.7807183364839299</v>
      </c>
      <c r="AL339" s="27">
        <v>87</v>
      </c>
      <c r="AM339" s="97">
        <f>SUM(AL339/Z339)</f>
        <v>3.8342882327016305E-2</v>
      </c>
      <c r="AN339" s="27" t="s">
        <v>115</v>
      </c>
      <c r="AO339" s="27">
        <v>3</v>
      </c>
      <c r="AP339" s="27">
        <v>20</v>
      </c>
      <c r="AQ339" s="27">
        <v>4</v>
      </c>
      <c r="AR339" s="27">
        <f>SUM(AO339:AQ339)</f>
        <v>27</v>
      </c>
      <c r="AS339" s="27" t="s">
        <v>5497</v>
      </c>
      <c r="AT339" s="27" t="s">
        <v>5498</v>
      </c>
      <c r="AU339" s="84" t="s">
        <v>5600</v>
      </c>
      <c r="AV339" s="77"/>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77"/>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c r="DS339" s="77"/>
      <c r="DT339" s="77"/>
      <c r="DU339" s="77"/>
      <c r="DV339" s="77"/>
      <c r="DW339" s="77"/>
      <c r="DX339" s="77"/>
      <c r="DY339" s="77"/>
      <c r="DZ339" s="77"/>
      <c r="EA339" s="77"/>
      <c r="EB339" s="77"/>
      <c r="EC339" s="77"/>
      <c r="ED339" s="77"/>
      <c r="EE339" s="77"/>
      <c r="EF339" s="77"/>
      <c r="EG339" s="77"/>
      <c r="EH339" s="77"/>
      <c r="EI339" s="77"/>
      <c r="EJ339" s="77"/>
      <c r="EK339" s="77"/>
      <c r="EL339" s="77"/>
      <c r="EM339" s="77"/>
      <c r="EN339" s="77"/>
      <c r="EO339" s="77"/>
      <c r="EP339" s="77"/>
      <c r="EQ339" s="77"/>
      <c r="GL339" s="77"/>
      <c r="GM339" s="77"/>
      <c r="GN339" s="77"/>
      <c r="GO339" s="77"/>
      <c r="GP339" s="77"/>
      <c r="GQ339" s="77"/>
      <c r="GR339" s="77"/>
      <c r="GS339" s="77"/>
      <c r="GT339" s="77"/>
      <c r="GU339" s="77"/>
      <c r="GV339" s="77"/>
      <c r="GW339" s="77"/>
      <c r="GX339" s="77"/>
      <c r="GY339" s="77"/>
      <c r="GZ339" s="77"/>
      <c r="HA339" s="77"/>
      <c r="HB339" s="77"/>
      <c r="HC339" s="77"/>
      <c r="HD339" s="77"/>
      <c r="HE339" s="77"/>
      <c r="HF339" s="77"/>
      <c r="HG339" s="77"/>
      <c r="HH339" s="77"/>
      <c r="HI339" s="77"/>
      <c r="HJ339" s="77"/>
      <c r="HK339" s="77"/>
      <c r="ID339" s="77"/>
      <c r="IE339" s="77"/>
      <c r="IF339" s="77"/>
      <c r="IG339" s="77"/>
      <c r="IH339" s="77"/>
      <c r="II339" s="77"/>
      <c r="IJ339" s="77"/>
      <c r="IK339" s="77"/>
      <c r="IL339" s="77"/>
      <c r="IM339" s="77"/>
      <c r="IN339" s="77"/>
      <c r="IO339" s="77"/>
      <c r="IP339" s="77"/>
      <c r="IQ339" s="77"/>
      <c r="IR339" s="77"/>
      <c r="IS339" s="77"/>
      <c r="IT339" s="77"/>
      <c r="IU339" s="77"/>
      <c r="IV339" s="77"/>
      <c r="IW339" s="77"/>
      <c r="IX339" s="77"/>
      <c r="IY339" s="77"/>
      <c r="IZ339" s="77"/>
      <c r="JA339" s="77"/>
      <c r="JB339" s="77"/>
      <c r="JC339" s="77"/>
      <c r="JD339" s="77"/>
      <c r="JE339" s="77"/>
      <c r="JF339" s="77"/>
      <c r="JG339" s="77"/>
      <c r="JH339" s="77"/>
      <c r="JI339" s="77"/>
      <c r="JJ339" s="77"/>
      <c r="JK339" s="77"/>
      <c r="JL339" s="77"/>
      <c r="JM339" s="77"/>
      <c r="JN339" s="77"/>
      <c r="JO339" s="77"/>
      <c r="JP339" s="77"/>
      <c r="JQ339" s="77"/>
      <c r="JR339" s="77"/>
      <c r="JS339" s="77"/>
      <c r="JT339" s="77"/>
      <c r="JU339" s="77"/>
      <c r="JV339" s="77"/>
      <c r="JW339" s="77"/>
      <c r="JX339" s="77"/>
      <c r="KM339" s="77"/>
      <c r="KN339" s="77"/>
      <c r="KO339" s="77"/>
      <c r="KP339" s="77"/>
      <c r="KQ339" s="77"/>
      <c r="KR339" s="77"/>
      <c r="KS339" s="77"/>
      <c r="KT339" s="77"/>
      <c r="KU339" s="77"/>
      <c r="KV339" s="77"/>
      <c r="KW339" s="77"/>
      <c r="KX339" s="77"/>
      <c r="KY339" s="77"/>
      <c r="KZ339" s="77"/>
      <c r="LA339" s="77"/>
      <c r="LB339" s="77"/>
      <c r="LC339" s="77"/>
      <c r="LD339" s="77"/>
      <c r="LE339" s="77"/>
      <c r="LF339" s="77"/>
      <c r="LG339" s="77"/>
      <c r="LH339" s="77"/>
      <c r="LI339" s="77"/>
      <c r="LJ339" s="77"/>
      <c r="LK339" s="77"/>
      <c r="LL339" s="77"/>
      <c r="LM339" s="77"/>
      <c r="LN339" s="77"/>
      <c r="LO339" s="77"/>
      <c r="LP339" s="77"/>
      <c r="LQ339" s="77"/>
      <c r="LR339" s="77"/>
      <c r="LS339" s="77"/>
      <c r="LT339" s="77"/>
      <c r="LU339" s="77"/>
      <c r="LV339" s="77"/>
      <c r="LW339" s="77"/>
      <c r="LX339" s="77"/>
    </row>
    <row r="340" spans="1:421" ht="18.600000000000001" customHeight="1" x14ac:dyDescent="0.25">
      <c r="A340" s="119" t="s">
        <v>111</v>
      </c>
      <c r="B340" s="27" t="s">
        <v>1072</v>
      </c>
      <c r="C340" s="27" t="s">
        <v>5662</v>
      </c>
      <c r="D340" s="30" t="str">
        <f>HYPERLINK("https://twitter.com/StateHouseSL","https://twitter.com/StateHouseSL")</f>
        <v>https://twitter.com/StateHouseSL</v>
      </c>
      <c r="E340" s="30" t="str">
        <f>HYPERLINK("http://twiplomacy.com/info/africa/Sierra-Leone","http://twiplomacy.com/info/africa/Sierra-Leone")</f>
        <v>http://twiplomacy.com/info/africa/Sierra-Leone</v>
      </c>
      <c r="F340" s="10" t="s">
        <v>1</v>
      </c>
      <c r="G340" s="10" t="s">
        <v>109</v>
      </c>
      <c r="H340" s="10" t="s">
        <v>781</v>
      </c>
      <c r="I340" s="10" t="s">
        <v>782</v>
      </c>
      <c r="J340" s="27" t="s">
        <v>789</v>
      </c>
      <c r="K340" s="15" t="s">
        <v>4637</v>
      </c>
      <c r="L340" s="10" t="s">
        <v>771</v>
      </c>
      <c r="M340" s="10" t="s">
        <v>770</v>
      </c>
      <c r="N340" s="30" t="str">
        <f>HYPERLINK("https://twitter.com/StateHouseSL/statuses/239697464918147073","https://twitter.com/StateHouseSL/statuses/239697464918147073")</f>
        <v>https://twitter.com/StateHouseSL/statuses/239697464918147073</v>
      </c>
      <c r="O340" s="27" t="s">
        <v>1073</v>
      </c>
      <c r="P340" s="80">
        <v>24</v>
      </c>
      <c r="Q340" s="80">
        <v>5</v>
      </c>
      <c r="R340" s="27" t="s">
        <v>2995</v>
      </c>
      <c r="S340" s="10" t="s">
        <v>1074</v>
      </c>
      <c r="T340" s="10" t="s">
        <v>771</v>
      </c>
      <c r="U340" s="10" t="s">
        <v>771</v>
      </c>
      <c r="V340" s="10" t="s">
        <v>771</v>
      </c>
      <c r="W340" s="10"/>
      <c r="X340" s="27" t="s">
        <v>111</v>
      </c>
      <c r="Y340" s="27" t="s">
        <v>1072</v>
      </c>
      <c r="Z340" s="80">
        <v>2252</v>
      </c>
      <c r="AA340" s="27">
        <v>14</v>
      </c>
      <c r="AB340" s="80">
        <v>892</v>
      </c>
      <c r="AC340" s="27">
        <v>20</v>
      </c>
      <c r="AD340" s="27" t="s">
        <v>4492</v>
      </c>
      <c r="AE340" s="27">
        <v>782308724</v>
      </c>
      <c r="AF340" s="27" t="s">
        <v>5662</v>
      </c>
      <c r="AG340" s="27" t="s">
        <v>1075</v>
      </c>
      <c r="AH340" s="79">
        <v>1.67434944237918</v>
      </c>
      <c r="AI340" s="83">
        <v>1.67263236390753</v>
      </c>
      <c r="AJ340" s="80">
        <v>1.23461538461538</v>
      </c>
      <c r="AK340" s="80">
        <v>5.4487179487179502E-2</v>
      </c>
      <c r="AL340" s="27">
        <v>6</v>
      </c>
      <c r="AM340" s="97">
        <f>SUM(AL340/Z340)</f>
        <v>2.6642984014209592E-3</v>
      </c>
      <c r="AN340" s="27" t="s">
        <v>111</v>
      </c>
      <c r="AO340" s="27">
        <v>0</v>
      </c>
      <c r="AP340" s="27">
        <v>4</v>
      </c>
      <c r="AQ340" s="27">
        <v>3</v>
      </c>
      <c r="AR340" s="27">
        <f>SUM(AO340:AQ340)</f>
        <v>7</v>
      </c>
      <c r="AS340" s="27"/>
      <c r="AT340" s="27" t="s">
        <v>5063</v>
      </c>
      <c r="AU340" s="84" t="s">
        <v>4960</v>
      </c>
      <c r="AV340" s="77"/>
      <c r="AW340" s="77"/>
      <c r="AX340" s="77"/>
      <c r="AY340" s="77"/>
      <c r="AZ340" s="77"/>
      <c r="BA340" s="77"/>
      <c r="BB340" s="77"/>
      <c r="BC340" s="77"/>
      <c r="BD340" s="77"/>
      <c r="BE340" s="77"/>
      <c r="BF340" s="77"/>
      <c r="BG340" s="77"/>
      <c r="BH340" s="77"/>
      <c r="BI340" s="77"/>
      <c r="BJ340" s="77"/>
      <c r="BK340" s="77"/>
      <c r="BL340" s="77"/>
      <c r="BM340" s="77"/>
      <c r="BN340" s="77"/>
      <c r="BO340" s="77"/>
      <c r="BP340" s="77"/>
      <c r="BQ340" s="77"/>
      <c r="BR340" s="77"/>
      <c r="BS340" s="77"/>
      <c r="BT340" s="77"/>
      <c r="BU340" s="77"/>
      <c r="BV340" s="77"/>
      <c r="BW340" s="77"/>
      <c r="BX340" s="77"/>
      <c r="BY340" s="77"/>
      <c r="BZ340" s="77"/>
      <c r="CA340" s="77"/>
      <c r="CB340" s="77"/>
      <c r="CC340" s="77"/>
      <c r="CD340" s="77"/>
      <c r="CE340" s="77"/>
      <c r="CF340" s="77"/>
      <c r="CG340" s="77"/>
      <c r="CH340" s="77"/>
      <c r="CI340" s="77"/>
      <c r="CJ340" s="77"/>
      <c r="CK340" s="77"/>
      <c r="CL340" s="77"/>
      <c r="CM340" s="77"/>
      <c r="CN340" s="77"/>
      <c r="CO340" s="77"/>
      <c r="CP340" s="77"/>
      <c r="CQ340" s="77"/>
      <c r="CR340" s="77"/>
      <c r="CS340" s="77"/>
      <c r="CT340" s="77"/>
      <c r="CU340" s="77"/>
      <c r="CV340" s="77"/>
      <c r="CW340" s="77"/>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P340" s="77"/>
      <c r="EQ340" s="77"/>
      <c r="ER340" s="77"/>
      <c r="ES340" s="77"/>
      <c r="ET340" s="77"/>
      <c r="EU340" s="77"/>
      <c r="EV340" s="77"/>
      <c r="EW340" s="77"/>
      <c r="EX340" s="77"/>
      <c r="EY340" s="77"/>
      <c r="EZ340" s="77"/>
      <c r="FA340" s="77"/>
      <c r="FB340" s="77"/>
      <c r="FC340" s="77"/>
      <c r="FD340" s="77"/>
      <c r="FE340" s="77"/>
      <c r="FF340" s="77"/>
      <c r="FG340" s="77"/>
      <c r="FH340" s="77"/>
      <c r="FI340" s="77"/>
      <c r="FJ340" s="77"/>
      <c r="FK340" s="77"/>
      <c r="FL340" s="77"/>
      <c r="FM340" s="77"/>
      <c r="FN340" s="77"/>
      <c r="FO340" s="77"/>
      <c r="FP340" s="77"/>
      <c r="FQ340" s="77"/>
      <c r="FR340" s="77"/>
      <c r="FS340" s="77"/>
      <c r="FT340" s="77"/>
      <c r="FU340" s="77"/>
      <c r="FV340" s="77"/>
      <c r="FW340" s="77"/>
      <c r="FX340" s="77"/>
      <c r="FY340" s="77"/>
      <c r="FZ340" s="77"/>
      <c r="GA340" s="77"/>
      <c r="GB340" s="77"/>
      <c r="GC340" s="77"/>
      <c r="GD340" s="77"/>
      <c r="GE340" s="77"/>
      <c r="GF340" s="77"/>
      <c r="GG340" s="77"/>
      <c r="GH340" s="77"/>
      <c r="GI340" s="77"/>
      <c r="GJ340" s="77"/>
      <c r="GK340" s="77"/>
      <c r="HL340" s="77"/>
      <c r="HM340" s="77"/>
      <c r="HN340" s="77"/>
      <c r="HO340" s="77"/>
      <c r="HP340" s="77"/>
      <c r="HQ340" s="77"/>
      <c r="HR340" s="77"/>
      <c r="HS340" s="77"/>
      <c r="HT340" s="77"/>
      <c r="HU340" s="77"/>
      <c r="HV340" s="77"/>
      <c r="HW340" s="77"/>
      <c r="HX340" s="77"/>
      <c r="HY340" s="77"/>
      <c r="HZ340" s="77"/>
      <c r="IA340" s="77"/>
      <c r="IB340" s="77"/>
      <c r="IC340" s="77"/>
      <c r="IF340" s="77"/>
      <c r="IG340" s="77"/>
      <c r="IH340" s="77"/>
      <c r="II340" s="77"/>
      <c r="IJ340" s="77"/>
      <c r="IK340" s="77"/>
      <c r="IL340" s="77"/>
      <c r="IM340" s="77"/>
      <c r="IN340" s="77"/>
      <c r="IO340" s="77"/>
      <c r="IP340" s="77"/>
      <c r="IQ340" s="77"/>
      <c r="IR340" s="77"/>
      <c r="IS340" s="77"/>
      <c r="IT340" s="77"/>
      <c r="IU340" s="77"/>
      <c r="IV340" s="77"/>
      <c r="IW340" s="77"/>
      <c r="IX340" s="77"/>
      <c r="IY340" s="77"/>
      <c r="IZ340" s="77"/>
      <c r="JA340" s="77"/>
      <c r="JB340" s="77"/>
      <c r="JC340" s="77"/>
      <c r="JD340" s="77"/>
      <c r="JE340" s="77"/>
      <c r="JF340" s="77"/>
      <c r="JG340" s="77"/>
      <c r="JH340" s="77"/>
      <c r="JI340" s="77"/>
      <c r="JJ340" s="77"/>
      <c r="JK340" s="77"/>
      <c r="JL340" s="77"/>
      <c r="JM340" s="77"/>
      <c r="JN340" s="77"/>
      <c r="JO340" s="77"/>
      <c r="JP340" s="77"/>
      <c r="JQ340" s="77"/>
      <c r="JR340" s="77"/>
      <c r="JS340" s="77"/>
      <c r="JT340" s="77"/>
      <c r="JU340" s="77"/>
      <c r="JV340" s="77"/>
      <c r="JW340" s="77"/>
      <c r="JX340" s="77"/>
      <c r="JY340" s="77"/>
      <c r="JZ340" s="77"/>
      <c r="KA340" s="77"/>
      <c r="KB340" s="77"/>
      <c r="KC340" s="77"/>
      <c r="KD340" s="77"/>
      <c r="KE340" s="77"/>
      <c r="KF340" s="77"/>
      <c r="KG340" s="77"/>
      <c r="KH340" s="77"/>
      <c r="KI340" s="77"/>
      <c r="KJ340" s="77"/>
      <c r="KK340" s="77"/>
      <c r="KL340" s="77"/>
      <c r="KM340" s="77"/>
      <c r="KN340" s="77"/>
      <c r="KO340" s="77"/>
      <c r="KP340" s="77"/>
      <c r="KQ340" s="77"/>
      <c r="KR340" s="77"/>
      <c r="KS340" s="77"/>
      <c r="KT340" s="77"/>
      <c r="KU340" s="77"/>
      <c r="KV340" s="77"/>
      <c r="KW340" s="77"/>
      <c r="KX340" s="77"/>
      <c r="KY340" s="77"/>
      <c r="KZ340" s="77"/>
      <c r="LA340" s="77"/>
      <c r="LB340" s="77"/>
      <c r="LC340" s="77"/>
      <c r="LD340" s="77"/>
      <c r="LE340" s="77"/>
      <c r="LF340" s="77"/>
      <c r="LG340" s="77"/>
      <c r="LH340" s="77"/>
      <c r="LI340" s="77"/>
      <c r="LJ340" s="77"/>
      <c r="LK340" s="77"/>
      <c r="LL340" s="77"/>
      <c r="LM340" s="77"/>
      <c r="LN340" s="77"/>
      <c r="LO340" s="77"/>
      <c r="LP340" s="77"/>
      <c r="LQ340" s="77"/>
      <c r="LR340" s="77"/>
      <c r="LS340" s="77"/>
      <c r="LT340" s="77"/>
      <c r="LU340" s="77"/>
      <c r="LV340" s="77"/>
      <c r="LW340" s="77"/>
      <c r="LX340" s="77"/>
    </row>
    <row r="341" spans="1:421" ht="18.600000000000001" customHeight="1" x14ac:dyDescent="0.25">
      <c r="A341" s="119" t="s">
        <v>550</v>
      </c>
      <c r="B341" s="27" t="s">
        <v>2342</v>
      </c>
      <c r="C341" s="27" t="s">
        <v>2343</v>
      </c>
      <c r="D341" s="30" t="str">
        <f>HYPERLINK("https://twitter.com/David_Cameron","https://twitter.com/David_Cameron")</f>
        <v>https://twitter.com/David_Cameron</v>
      </c>
      <c r="E341" s="30" t="str">
        <f>HYPERLINK("http://twiplomacy.com/info/europe/United-Kingdom","http://twiplomacy.com/info/europe/United-Kingdom")</f>
        <v>http://twiplomacy.com/info/europe/United-Kingdom</v>
      </c>
      <c r="F341" s="10" t="s">
        <v>332</v>
      </c>
      <c r="G341" s="10" t="s">
        <v>549</v>
      </c>
      <c r="H341" s="10" t="s">
        <v>776</v>
      </c>
      <c r="I341" s="10" t="s">
        <v>773</v>
      </c>
      <c r="J341" s="27" t="s">
        <v>789</v>
      </c>
      <c r="K341" s="15" t="s">
        <v>777</v>
      </c>
      <c r="L341" s="10" t="s">
        <v>1020</v>
      </c>
      <c r="M341" s="10" t="s">
        <v>770</v>
      </c>
      <c r="N341" s="30" t="str">
        <f>HYPERLINK("https://twitter.com/David_Cameron/statuses/254625004321386496","https://twitter.com/David_Cameron/statuses/254625004321386496")</f>
        <v>https://twitter.com/David_Cameron/statuses/254625004321386496</v>
      </c>
      <c r="O341" s="11" t="s">
        <v>5793</v>
      </c>
      <c r="P341" s="80">
        <v>17841</v>
      </c>
      <c r="Q341" s="80">
        <v>14212</v>
      </c>
      <c r="R341" s="27" t="s">
        <v>2994</v>
      </c>
      <c r="S341" s="10" t="s">
        <v>2344</v>
      </c>
      <c r="T341" s="10" t="s">
        <v>771</v>
      </c>
      <c r="U341" s="10" t="s">
        <v>771</v>
      </c>
      <c r="V341" s="10" t="s">
        <v>771</v>
      </c>
      <c r="W341" s="10"/>
      <c r="X341" s="27" t="s">
        <v>550</v>
      </c>
      <c r="Y341" s="27" t="s">
        <v>2342</v>
      </c>
      <c r="Z341" s="80">
        <v>2244</v>
      </c>
      <c r="AA341" s="27">
        <v>385</v>
      </c>
      <c r="AB341" s="80">
        <v>1435010</v>
      </c>
      <c r="AC341" s="27">
        <v>3</v>
      </c>
      <c r="AD341" s="27" t="s">
        <v>3603</v>
      </c>
      <c r="AE341" s="27">
        <v>103065157</v>
      </c>
      <c r="AF341" s="27" t="s">
        <v>2343</v>
      </c>
      <c r="AG341" s="27" t="s">
        <v>2345</v>
      </c>
      <c r="AH341" s="79">
        <v>0.97353579175704996</v>
      </c>
      <c r="AI341" s="83">
        <v>1.7227342549923199</v>
      </c>
      <c r="AJ341" s="80">
        <v>338.06124357176299</v>
      </c>
      <c r="AK341" s="80">
        <v>304.45301542777003</v>
      </c>
      <c r="AL341" s="27">
        <v>23</v>
      </c>
      <c r="AM341" s="97">
        <f>SUM(AL341/Z341)</f>
        <v>1.0249554367201427E-2</v>
      </c>
      <c r="AN341" s="27" t="s">
        <v>550</v>
      </c>
      <c r="AO341" s="27">
        <v>3</v>
      </c>
      <c r="AP341" s="27">
        <v>139</v>
      </c>
      <c r="AQ341" s="27">
        <v>5</v>
      </c>
      <c r="AR341" s="27">
        <f>SUM(AO341:AQ341)</f>
        <v>147</v>
      </c>
      <c r="AS341" s="27" t="s">
        <v>6206</v>
      </c>
      <c r="AT341" s="27" t="s">
        <v>6697</v>
      </c>
      <c r="AU341" s="84" t="s">
        <v>4689</v>
      </c>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77"/>
      <c r="BU341" s="77"/>
      <c r="BV341" s="77"/>
      <c r="BW341" s="77"/>
      <c r="BX341" s="77"/>
      <c r="BY341" s="77"/>
      <c r="BZ341" s="77"/>
      <c r="CA341" s="77"/>
      <c r="CB341" s="77"/>
      <c r="CC341" s="77"/>
      <c r="CD341" s="77"/>
      <c r="CE341" s="77"/>
      <c r="CF341" s="77"/>
      <c r="CG341" s="77"/>
      <c r="CH341" s="77"/>
      <c r="CI341" s="77"/>
      <c r="CJ341" s="77"/>
      <c r="CK341" s="77"/>
      <c r="CL341" s="77"/>
      <c r="CM341" s="77"/>
      <c r="CN341" s="77"/>
      <c r="CO341" s="77"/>
      <c r="CP341" s="77"/>
      <c r="CQ341" s="77"/>
      <c r="CR341" s="77"/>
      <c r="CS341" s="77"/>
      <c r="CT341" s="77"/>
      <c r="CU341" s="77"/>
      <c r="CV341" s="77"/>
      <c r="CW341" s="77"/>
      <c r="CX341" s="77"/>
      <c r="CY341" s="77"/>
      <c r="CZ341" s="77"/>
      <c r="DA341" s="77"/>
      <c r="DB341" s="77"/>
      <c r="DC341" s="77"/>
      <c r="DD341" s="77"/>
      <c r="DE341" s="77"/>
      <c r="DF341" s="77"/>
      <c r="DG341" s="77"/>
      <c r="DH341" s="77"/>
      <c r="DI341" s="77"/>
      <c r="DJ341" s="77"/>
      <c r="DK341" s="77"/>
      <c r="DL341" s="77"/>
      <c r="DM341" s="77"/>
      <c r="DN341" s="77"/>
      <c r="DO341" s="77"/>
      <c r="DP341" s="77"/>
      <c r="DQ341" s="77"/>
      <c r="DR341" s="77"/>
      <c r="DS341" s="77"/>
      <c r="DT341" s="77"/>
      <c r="DU341" s="77"/>
      <c r="DV341" s="77"/>
      <c r="DW341" s="77"/>
      <c r="DX341" s="77"/>
      <c r="DY341" s="77"/>
      <c r="DZ341" s="77"/>
      <c r="EA341" s="77"/>
      <c r="EB341" s="77"/>
      <c r="EC341" s="77"/>
      <c r="ED341" s="77"/>
      <c r="EE341" s="77"/>
      <c r="EF341" s="77"/>
      <c r="EG341" s="77"/>
      <c r="EH341" s="77"/>
      <c r="EI341" s="77"/>
      <c r="EJ341" s="77"/>
      <c r="EK341" s="77"/>
      <c r="EL341" s="77"/>
      <c r="EM341" s="77"/>
      <c r="EN341" s="77"/>
      <c r="EO341" s="77"/>
      <c r="EP341" s="77"/>
      <c r="EQ341" s="77"/>
      <c r="ER341" s="77"/>
      <c r="ES341" s="77"/>
      <c r="ET341" s="77"/>
      <c r="EU341" s="77"/>
      <c r="EV341" s="77"/>
      <c r="EW341" s="77"/>
      <c r="EX341" s="77"/>
      <c r="EY341" s="77"/>
      <c r="EZ341" s="77"/>
      <c r="FA341" s="77"/>
      <c r="FB341" s="77"/>
      <c r="FC341" s="77"/>
      <c r="FD341" s="77"/>
      <c r="FE341" s="77"/>
      <c r="FF341" s="77"/>
      <c r="FG341" s="77"/>
      <c r="FH341" s="77"/>
      <c r="FI341" s="77"/>
      <c r="FJ341" s="77"/>
      <c r="FK341" s="77"/>
      <c r="FL341" s="77"/>
      <c r="FM341" s="77"/>
      <c r="FN341" s="77"/>
      <c r="FO341" s="77"/>
      <c r="FP341" s="77"/>
      <c r="FQ341" s="77"/>
      <c r="FR341" s="77"/>
      <c r="FS341" s="77"/>
      <c r="FT341" s="77"/>
      <c r="FU341" s="77"/>
      <c r="FV341" s="77"/>
      <c r="FW341" s="77"/>
      <c r="FX341" s="77"/>
      <c r="FY341" s="77"/>
      <c r="FZ341" s="77"/>
      <c r="GA341" s="77"/>
      <c r="GB341" s="77"/>
      <c r="GC341" s="77"/>
      <c r="GD341" s="77"/>
      <c r="GE341" s="77"/>
      <c r="GF341" s="77"/>
      <c r="GG341" s="77"/>
      <c r="GH341" s="77"/>
      <c r="GI341" s="77"/>
      <c r="GJ341" s="77"/>
      <c r="GK341" s="77"/>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77"/>
      <c r="HM341" s="77"/>
      <c r="HN341" s="77"/>
      <c r="HO341" s="77"/>
      <c r="HP341" s="77"/>
      <c r="HQ341" s="77"/>
      <c r="HR341" s="77"/>
      <c r="HS341" s="77"/>
      <c r="HT341" s="77"/>
      <c r="HU341" s="77"/>
      <c r="HV341" s="77"/>
      <c r="HW341" s="77"/>
      <c r="HX341" s="77"/>
      <c r="HY341" s="77"/>
      <c r="HZ341" s="77"/>
      <c r="IA341" s="77"/>
      <c r="IB341" s="77"/>
      <c r="IC341" s="77"/>
      <c r="ID341" s="77"/>
      <c r="IE341" s="77"/>
      <c r="IF341" s="77"/>
      <c r="IG341" s="77"/>
      <c r="IH341" s="77"/>
      <c r="II341" s="77"/>
      <c r="IJ341" s="77"/>
      <c r="IK341" s="77"/>
      <c r="IL341" s="77"/>
      <c r="IM341" s="77"/>
      <c r="IN341" s="77"/>
      <c r="IO341" s="77"/>
      <c r="IP341" s="77"/>
      <c r="IQ341" s="77"/>
      <c r="IR341" s="77"/>
      <c r="IS341" s="77"/>
      <c r="IT341" s="77"/>
      <c r="IU341" s="77"/>
      <c r="IV341" s="77"/>
      <c r="IW341" s="77"/>
      <c r="IX341" s="77"/>
      <c r="IY341" s="77"/>
      <c r="IZ341" s="77"/>
      <c r="JA341" s="77"/>
      <c r="JB341" s="77"/>
      <c r="JC341" s="77"/>
      <c r="JD341" s="77"/>
      <c r="JE341" s="77"/>
      <c r="JF341" s="77"/>
      <c r="JG341" s="77"/>
      <c r="JH341" s="77"/>
      <c r="JI341" s="77"/>
      <c r="JJ341" s="77"/>
      <c r="JK341" s="77"/>
      <c r="JL341" s="77"/>
      <c r="JM341" s="77"/>
      <c r="JN341" s="77"/>
      <c r="JO341" s="77"/>
      <c r="JP341" s="77"/>
      <c r="JQ341" s="77"/>
      <c r="JR341" s="77"/>
      <c r="JS341" s="77"/>
      <c r="JT341" s="77"/>
      <c r="JU341" s="77"/>
      <c r="JV341" s="77"/>
      <c r="JW341" s="77"/>
      <c r="JX341" s="77"/>
      <c r="JY341" s="77"/>
      <c r="JZ341" s="77"/>
      <c r="KA341" s="77"/>
      <c r="KB341" s="77"/>
      <c r="KC341" s="77"/>
      <c r="KD341" s="77"/>
      <c r="KE341" s="77"/>
      <c r="KF341" s="77"/>
      <c r="KG341" s="77"/>
      <c r="KH341" s="77"/>
      <c r="KI341" s="77"/>
      <c r="KJ341" s="77"/>
      <c r="KK341" s="77"/>
      <c r="KL341" s="77"/>
      <c r="KM341" s="77"/>
      <c r="KN341" s="77"/>
      <c r="KO341" s="77"/>
      <c r="KP341" s="77"/>
      <c r="KQ341" s="77"/>
      <c r="KR341" s="77"/>
      <c r="KS341" s="77"/>
      <c r="KT341" s="77"/>
      <c r="KU341" s="77"/>
      <c r="KV341" s="77"/>
      <c r="KW341" s="77"/>
      <c r="KX341" s="77"/>
      <c r="KY341" s="77"/>
      <c r="KZ341" s="77"/>
      <c r="LA341" s="77"/>
      <c r="LB341" s="77"/>
      <c r="LC341" s="77"/>
      <c r="LD341" s="77"/>
      <c r="LE341" s="77"/>
      <c r="LF341" s="77"/>
      <c r="LG341" s="77"/>
      <c r="LH341" s="77"/>
      <c r="LI341" s="77"/>
      <c r="LJ341" s="77"/>
      <c r="LK341" s="77"/>
      <c r="LY341" s="77"/>
      <c r="LZ341" s="77"/>
      <c r="MA341" s="77"/>
      <c r="MB341" s="77"/>
      <c r="MC341" s="77"/>
      <c r="MD341" s="77"/>
      <c r="ME341" s="77"/>
      <c r="MF341" s="77"/>
      <c r="MG341" s="77"/>
      <c r="MH341" s="77"/>
      <c r="MI341" s="77"/>
      <c r="MJ341" s="77"/>
      <c r="MK341" s="77"/>
      <c r="ML341" s="77"/>
      <c r="MM341" s="77"/>
      <c r="MN341" s="77"/>
      <c r="MO341" s="77"/>
      <c r="MP341" s="77"/>
      <c r="MQ341" s="77"/>
      <c r="MR341" s="77"/>
      <c r="MS341" s="16"/>
    </row>
    <row r="342" spans="1:421" ht="18.600000000000001" customHeight="1" x14ac:dyDescent="0.25">
      <c r="A342" s="119" t="s">
        <v>1503</v>
      </c>
      <c r="B342" s="27" t="s">
        <v>4167</v>
      </c>
      <c r="C342" s="27" t="s">
        <v>4168</v>
      </c>
      <c r="D342" s="30" t="str">
        <f>HYPERLINK("https://twitter.com/mforeignaffairs","https://twitter.com/MongolDiplomacy")</f>
        <v>https://twitter.com/MongolDiplomacy</v>
      </c>
      <c r="E342" s="30" t="str">
        <f>HYPERLINK("http://twiplomacy.com/info/asia/Mongolia","http://twiplomacy.com/info/asia/Mongolia")</f>
        <v>http://twiplomacy.com/info/asia/Mongolia</v>
      </c>
      <c r="F342" s="10" t="s">
        <v>154</v>
      </c>
      <c r="G342" s="10" t="s">
        <v>252</v>
      </c>
      <c r="H342" s="10" t="s">
        <v>795</v>
      </c>
      <c r="I342" s="10" t="s">
        <v>782</v>
      </c>
      <c r="J342" s="27" t="s">
        <v>789</v>
      </c>
      <c r="K342" s="15" t="s">
        <v>777</v>
      </c>
      <c r="L342" s="10" t="s">
        <v>771</v>
      </c>
      <c r="M342" s="10" t="s">
        <v>770</v>
      </c>
      <c r="N342" s="30" t="str">
        <f>HYPERLINK("https://twitter.com/mforeignaffairs/statuses/14219310544","https://twitter.com/MongolDiplomacy/statuses/14219310544")</f>
        <v>https://twitter.com/MongolDiplomacy/statuses/14219310544</v>
      </c>
      <c r="O342" s="27" t="s">
        <v>5977</v>
      </c>
      <c r="P342" s="80">
        <v>108</v>
      </c>
      <c r="Q342" s="80">
        <v>51</v>
      </c>
      <c r="R342" s="27" t="s">
        <v>2995</v>
      </c>
      <c r="S342" s="10" t="s">
        <v>1504</v>
      </c>
      <c r="T342" s="10" t="s">
        <v>771</v>
      </c>
      <c r="U342" s="10" t="s">
        <v>771</v>
      </c>
      <c r="V342" s="10" t="s">
        <v>771</v>
      </c>
      <c r="W342" s="10"/>
      <c r="X342" s="27" t="s">
        <v>1503</v>
      </c>
      <c r="Y342" s="27" t="s">
        <v>4167</v>
      </c>
      <c r="Z342" s="80">
        <v>2228</v>
      </c>
      <c r="AA342" s="27">
        <v>132</v>
      </c>
      <c r="AB342" s="80">
        <v>4715</v>
      </c>
      <c r="AC342" s="27">
        <v>153</v>
      </c>
      <c r="AD342" s="27" t="s">
        <v>4169</v>
      </c>
      <c r="AE342" s="27">
        <v>145193793</v>
      </c>
      <c r="AF342" s="27" t="s">
        <v>4168</v>
      </c>
      <c r="AG342" s="27" t="s">
        <v>6431</v>
      </c>
      <c r="AH342" s="79">
        <v>1.0238970588235301</v>
      </c>
      <c r="AI342" s="83">
        <v>1.02485043718362</v>
      </c>
      <c r="AJ342" s="80">
        <v>5.5083036773428198</v>
      </c>
      <c r="AK342" s="80">
        <v>1.5759193357058101</v>
      </c>
      <c r="AL342" s="27">
        <v>117</v>
      </c>
      <c r="AM342" s="97">
        <f>SUM(AL342/Z342)</f>
        <v>5.2513464991023343E-2</v>
      </c>
      <c r="AN342" s="27" t="s">
        <v>1503</v>
      </c>
      <c r="AO342" s="27">
        <v>2</v>
      </c>
      <c r="AP342" s="27">
        <v>10</v>
      </c>
      <c r="AQ342" s="27">
        <v>4</v>
      </c>
      <c r="AR342" s="27">
        <f>SUM(AO342:AQ342)</f>
        <v>16</v>
      </c>
      <c r="AS342" s="27" t="s">
        <v>5348</v>
      </c>
      <c r="AT342" s="27" t="s">
        <v>5349</v>
      </c>
      <c r="AU342" s="84" t="s">
        <v>4871</v>
      </c>
      <c r="AV342" s="77"/>
      <c r="AW342" s="77"/>
      <c r="AX342" s="77"/>
      <c r="AY342" s="77"/>
      <c r="AZ342" s="77"/>
      <c r="BA342" s="77"/>
      <c r="BB342" s="77"/>
      <c r="BC342" s="77"/>
      <c r="BD342" s="77"/>
      <c r="BE342" s="77"/>
      <c r="BF342" s="77"/>
      <c r="BG342" s="77"/>
      <c r="BH342" s="77"/>
      <c r="BI342" s="77"/>
      <c r="BJ342" s="77"/>
      <c r="BK342" s="77"/>
      <c r="BL342" s="77"/>
      <c r="BM342" s="77"/>
      <c r="EM342" s="77"/>
      <c r="EN342" s="77"/>
      <c r="EO342" s="77"/>
      <c r="EQ342" s="77"/>
      <c r="GL342" s="77"/>
      <c r="GM342" s="77"/>
      <c r="GN342" s="77"/>
      <c r="GO342" s="77"/>
      <c r="GP342" s="77"/>
      <c r="GQ342" s="77"/>
      <c r="GR342" s="77"/>
      <c r="GS342" s="77"/>
      <c r="GT342" s="77"/>
      <c r="GU342" s="77"/>
      <c r="GV342" s="77"/>
      <c r="GW342" s="77"/>
      <c r="GX342" s="77"/>
      <c r="GY342" s="77"/>
      <c r="GZ342" s="77"/>
      <c r="HA342" s="77"/>
      <c r="HB342" s="77"/>
      <c r="HC342" s="77"/>
      <c r="HD342" s="77"/>
      <c r="HE342" s="77"/>
      <c r="HF342" s="77"/>
      <c r="HG342" s="77"/>
      <c r="HH342" s="77"/>
      <c r="HI342" s="77"/>
      <c r="HJ342" s="77"/>
      <c r="HK342" s="77"/>
      <c r="HL342" s="77"/>
      <c r="HM342" s="77"/>
      <c r="HN342" s="77"/>
      <c r="HO342" s="77"/>
      <c r="HP342" s="77"/>
      <c r="HQ342" s="77"/>
      <c r="HR342" s="77"/>
      <c r="HS342" s="77"/>
      <c r="HT342" s="77"/>
      <c r="HU342" s="77"/>
      <c r="HV342" s="77"/>
      <c r="HW342" s="77"/>
      <c r="HX342" s="77"/>
      <c r="HY342" s="77"/>
      <c r="HZ342" s="77"/>
      <c r="IA342" s="77"/>
      <c r="IB342" s="77"/>
      <c r="IC342" s="77"/>
      <c r="KM342" s="77"/>
      <c r="KN342" s="77"/>
      <c r="KO342" s="77"/>
      <c r="KP342" s="77"/>
      <c r="KQ342" s="77"/>
      <c r="KR342" s="77"/>
      <c r="KS342" s="77"/>
      <c r="KT342" s="77"/>
      <c r="KU342" s="77"/>
      <c r="KV342" s="77"/>
      <c r="KW342" s="77"/>
      <c r="KX342" s="77"/>
      <c r="KY342" s="77"/>
      <c r="KZ342" s="77"/>
      <c r="LA342" s="77"/>
      <c r="LB342" s="77"/>
      <c r="LC342" s="77"/>
      <c r="LD342" s="77"/>
      <c r="LE342" s="77"/>
      <c r="LF342" s="77"/>
      <c r="LG342" s="77"/>
      <c r="LH342" s="77"/>
      <c r="LI342" s="77"/>
      <c r="LJ342" s="77"/>
      <c r="LK342" s="77"/>
      <c r="LW342" s="77"/>
      <c r="LX342" s="77"/>
      <c r="MS342" s="77"/>
      <c r="MT342" s="16"/>
      <c r="MU342" s="16"/>
      <c r="MV342" s="16"/>
      <c r="MW342" s="16"/>
      <c r="MX342" s="16"/>
      <c r="MY342" s="16"/>
      <c r="MZ342" s="16"/>
      <c r="NA342" s="16"/>
      <c r="NB342" s="16"/>
      <c r="NC342" s="16"/>
    </row>
    <row r="343" spans="1:421" ht="18.600000000000001" customHeight="1" x14ac:dyDescent="0.25">
      <c r="A343" s="119" t="s">
        <v>520</v>
      </c>
      <c r="B343" s="27" t="s">
        <v>2208</v>
      </c>
      <c r="C343" s="27" t="s">
        <v>2209</v>
      </c>
      <c r="D343" s="30" t="str">
        <f>HYPERLINK("https://twitter.com/MiroCerar","https://twitter.com/MiroCerar")</f>
        <v>https://twitter.com/MiroCerar</v>
      </c>
      <c r="E343" s="30" t="str">
        <f>HYPERLINK("http://twiplomacy.com/info/europe/Slovenia","http://twiplomacy.com/info/europe/Slovenia")</f>
        <v>http://twiplomacy.com/info/europe/Slovenia</v>
      </c>
      <c r="F343" s="10" t="s">
        <v>332</v>
      </c>
      <c r="G343" s="10" t="s">
        <v>518</v>
      </c>
      <c r="H343" s="10" t="s">
        <v>776</v>
      </c>
      <c r="I343" s="10" t="s">
        <v>773</v>
      </c>
      <c r="J343" s="27" t="s">
        <v>789</v>
      </c>
      <c r="K343" s="15" t="s">
        <v>777</v>
      </c>
      <c r="L343" s="10" t="s">
        <v>1114</v>
      </c>
      <c r="M343" s="10" t="s">
        <v>770</v>
      </c>
      <c r="N343" s="72" t="str">
        <f>HYPERLINK("https://twitter.com/MiroCerar/status/473358362118471680","https://twitter.com/MiroCerar/status/473358362118471680")</f>
        <v>https://twitter.com/MiroCerar/status/473358362118471680</v>
      </c>
      <c r="O343" s="27" t="s">
        <v>5966</v>
      </c>
      <c r="P343" s="80">
        <v>84</v>
      </c>
      <c r="Q343" s="80">
        <v>22</v>
      </c>
      <c r="R343" s="27" t="s">
        <v>2994</v>
      </c>
      <c r="S343" s="12" t="str">
        <f>HYPERLINK("https://twitter.com/MiroCerar/lists","https://twitter.com/MiroCerar/lists")</f>
        <v>https://twitter.com/MiroCerar/lists</v>
      </c>
      <c r="T343" s="10" t="s">
        <v>771</v>
      </c>
      <c r="U343" s="10" t="s">
        <v>771</v>
      </c>
      <c r="V343" s="10" t="s">
        <v>771</v>
      </c>
      <c r="W343" s="10"/>
      <c r="X343" s="27" t="s">
        <v>520</v>
      </c>
      <c r="Y343" s="27" t="s">
        <v>2208</v>
      </c>
      <c r="Z343" s="80">
        <v>2221</v>
      </c>
      <c r="AA343" s="27">
        <v>514</v>
      </c>
      <c r="AB343" s="80">
        <v>17764</v>
      </c>
      <c r="AC343" s="27">
        <v>446</v>
      </c>
      <c r="AD343" s="27" t="s">
        <v>4131</v>
      </c>
      <c r="AE343" s="27">
        <v>1655801280</v>
      </c>
      <c r="AF343" s="27" t="s">
        <v>2209</v>
      </c>
      <c r="AG343" s="27" t="s">
        <v>518</v>
      </c>
      <c r="AH343" s="79">
        <v>2.2254509018036099</v>
      </c>
      <c r="AI343" s="83">
        <v>3.1910919540229901</v>
      </c>
      <c r="AJ343" s="80">
        <v>3.6013363028953198</v>
      </c>
      <c r="AK343" s="80">
        <v>4.1692650334075703</v>
      </c>
      <c r="AL343" s="27">
        <v>80</v>
      </c>
      <c r="AM343" s="97">
        <f>SUM(AL343/Z343)</f>
        <v>3.6019810895992793E-2</v>
      </c>
      <c r="AN343" s="27" t="s">
        <v>520</v>
      </c>
      <c r="AO343" s="27">
        <v>56</v>
      </c>
      <c r="AP343" s="27">
        <v>7</v>
      </c>
      <c r="AQ343" s="27">
        <v>27</v>
      </c>
      <c r="AR343" s="27">
        <f>SUM(AO343:AQ343)</f>
        <v>90</v>
      </c>
      <c r="AS343" s="27" t="s">
        <v>6603</v>
      </c>
      <c r="AT343" s="27" t="s">
        <v>6322</v>
      </c>
      <c r="AU343" s="84" t="s">
        <v>4860</v>
      </c>
      <c r="AV343" s="77"/>
      <c r="AW343" s="77"/>
      <c r="AX343" s="77"/>
      <c r="AY343" s="77"/>
      <c r="AZ343" s="77"/>
      <c r="BA343" s="77"/>
      <c r="BB343" s="77"/>
      <c r="BC343" s="77"/>
      <c r="BD343" s="77"/>
      <c r="BE343" s="77"/>
      <c r="BF343" s="77"/>
      <c r="BG343" s="77"/>
      <c r="BH343" s="77"/>
      <c r="BI343" s="77"/>
      <c r="BJ343" s="77"/>
      <c r="BK343" s="77"/>
      <c r="BL343" s="77"/>
      <c r="BM343" s="77"/>
      <c r="BN343" s="77"/>
      <c r="BO343" s="77"/>
      <c r="BP343" s="77"/>
      <c r="BQ343" s="77"/>
      <c r="BR343" s="77"/>
      <c r="BS343" s="77"/>
      <c r="BT343" s="77"/>
      <c r="BU343" s="77"/>
      <c r="BV343" s="77"/>
      <c r="BW343" s="77"/>
      <c r="BX343" s="77"/>
      <c r="BY343" s="77"/>
      <c r="BZ343" s="77"/>
      <c r="CA343" s="77"/>
      <c r="CB343" s="77"/>
      <c r="CC343" s="77"/>
      <c r="CD343" s="77"/>
      <c r="CE343" s="77"/>
      <c r="CF343" s="77"/>
      <c r="CG343" s="77"/>
      <c r="CH343" s="77"/>
      <c r="CI343" s="77"/>
      <c r="CJ343" s="77"/>
      <c r="CK343" s="77"/>
      <c r="CL343" s="77"/>
      <c r="CM343" s="77"/>
      <c r="CN343" s="77"/>
      <c r="CO343" s="77"/>
      <c r="CP343" s="77"/>
      <c r="CQ343" s="77"/>
      <c r="CR343" s="77"/>
      <c r="CS343" s="77"/>
      <c r="CT343" s="77"/>
      <c r="CU343" s="77"/>
      <c r="CV343" s="77"/>
      <c r="CW343" s="77"/>
      <c r="CX343" s="77"/>
      <c r="CY343" s="77"/>
      <c r="CZ343" s="77"/>
      <c r="DA343" s="77"/>
      <c r="DB343" s="77"/>
      <c r="DC343" s="77"/>
      <c r="DD343" s="77"/>
      <c r="DE343" s="77"/>
      <c r="DF343" s="77"/>
      <c r="DG343" s="77"/>
      <c r="DH343" s="77"/>
      <c r="DI343" s="77"/>
      <c r="DJ343" s="77"/>
      <c r="DK343" s="77"/>
      <c r="DL343" s="77"/>
      <c r="DM343" s="77"/>
      <c r="DN343" s="77"/>
      <c r="DO343" s="77"/>
      <c r="DP343" s="77"/>
      <c r="DQ343" s="77"/>
      <c r="DR343" s="77"/>
      <c r="DS343" s="77"/>
      <c r="DT343" s="77"/>
      <c r="DU343" s="77"/>
      <c r="DV343" s="77"/>
      <c r="DW343" s="77"/>
      <c r="DX343" s="77"/>
      <c r="DY343" s="77"/>
      <c r="DZ343" s="77"/>
      <c r="EA343" s="77"/>
      <c r="EB343" s="77"/>
      <c r="EC343" s="77"/>
      <c r="ED343" s="77"/>
      <c r="EE343" s="77"/>
      <c r="EF343" s="77"/>
      <c r="EG343" s="77"/>
      <c r="EH343" s="77"/>
      <c r="EI343" s="77"/>
      <c r="EJ343" s="77"/>
      <c r="EK343" s="77"/>
      <c r="EL343" s="77"/>
      <c r="EM343" s="77"/>
      <c r="EN343" s="77"/>
      <c r="EO343" s="77"/>
      <c r="EP343" s="16"/>
      <c r="EQ343" s="16"/>
      <c r="GL343" s="77"/>
      <c r="GM343" s="77"/>
      <c r="GN343" s="77"/>
      <c r="GO343" s="77"/>
      <c r="GP343" s="77"/>
      <c r="GQ343" s="77"/>
      <c r="GR343" s="77"/>
      <c r="GS343" s="77"/>
      <c r="GT343" s="77"/>
      <c r="GU343" s="77"/>
      <c r="GV343" s="77"/>
      <c r="GW343" s="77"/>
      <c r="GX343" s="77"/>
      <c r="GY343" s="77"/>
      <c r="GZ343" s="77"/>
      <c r="HA343" s="77"/>
      <c r="HB343" s="77"/>
      <c r="HC343" s="77"/>
      <c r="HD343" s="77"/>
      <c r="HE343" s="77"/>
      <c r="HF343" s="77"/>
      <c r="HG343" s="77"/>
      <c r="HH343" s="77"/>
      <c r="HI343" s="77"/>
      <c r="HJ343" s="77"/>
      <c r="HK343" s="77"/>
      <c r="HL343" s="77"/>
      <c r="HM343" s="77"/>
      <c r="HN343" s="77"/>
      <c r="HO343" s="77"/>
      <c r="HP343" s="77"/>
      <c r="HQ343" s="77"/>
      <c r="HR343" s="77"/>
      <c r="HS343" s="77"/>
      <c r="HT343" s="77"/>
      <c r="HU343" s="77"/>
      <c r="HV343" s="77"/>
      <c r="HW343" s="77"/>
      <c r="HX343" s="77"/>
      <c r="HY343" s="77"/>
      <c r="HZ343" s="77"/>
      <c r="IA343" s="77"/>
      <c r="IB343" s="77"/>
      <c r="IC343" s="77"/>
      <c r="ID343" s="77"/>
      <c r="IE343" s="77"/>
      <c r="LL343" s="77"/>
      <c r="LM343" s="77"/>
      <c r="LN343" s="77"/>
      <c r="LO343" s="77"/>
      <c r="LP343" s="77"/>
      <c r="LQ343" s="77"/>
      <c r="LR343" s="77"/>
      <c r="LS343" s="77"/>
      <c r="LT343" s="77"/>
      <c r="LU343" s="77"/>
      <c r="LV343" s="77"/>
      <c r="LW343" s="77"/>
      <c r="LX343" s="77"/>
      <c r="MS343" s="77"/>
    </row>
    <row r="344" spans="1:421" s="24" customFormat="1" ht="18.600000000000001" customHeight="1" x14ac:dyDescent="0.25">
      <c r="A344" s="119" t="s">
        <v>463</v>
      </c>
      <c r="B344" s="27" t="s">
        <v>2069</v>
      </c>
      <c r="C344" s="27" t="s">
        <v>3766</v>
      </c>
      <c r="D344" s="30" t="str">
        <f>HYPERLINK("https://twitter.com/GovMonaco","https://twitter.com/GovMonaco")</f>
        <v>https://twitter.com/GovMonaco</v>
      </c>
      <c r="E344" s="30" t="str">
        <f>HYPERLINK("http://twiplomacy.com/info/europe/Monaco","http://twiplomacy.com/info/europe/Monaco")</f>
        <v>http://twiplomacy.com/info/europe/Monaco</v>
      </c>
      <c r="F344" s="10" t="s">
        <v>332</v>
      </c>
      <c r="G344" s="10" t="s">
        <v>460</v>
      </c>
      <c r="H344" s="10" t="s">
        <v>788</v>
      </c>
      <c r="I344" s="10" t="s">
        <v>782</v>
      </c>
      <c r="J344" s="27" t="s">
        <v>779</v>
      </c>
      <c r="K344" s="10" t="s">
        <v>777</v>
      </c>
      <c r="L344" s="10" t="s">
        <v>771</v>
      </c>
      <c r="M344" s="10" t="s">
        <v>770</v>
      </c>
      <c r="N344" s="30" t="str">
        <f>HYPERLINK("https://twitter.com/GovMonaco/status/433267393842778113","https://twitter.com/GovMonaco/status/433267393842778113")</f>
        <v>https://twitter.com/GovMonaco/status/433267393842778113</v>
      </c>
      <c r="O344" s="27" t="s">
        <v>5837</v>
      </c>
      <c r="P344" s="80">
        <v>264</v>
      </c>
      <c r="Q344" s="80">
        <v>350</v>
      </c>
      <c r="R344" s="27" t="s">
        <v>2995</v>
      </c>
      <c r="S344" s="30" t="str">
        <f>HYPERLINK("https://twitter.com/GovMonaco/lists","https://twitter.com/GovMonaco/lists")</f>
        <v>https://twitter.com/GovMonaco/lists</v>
      </c>
      <c r="T344" s="10" t="s">
        <v>771</v>
      </c>
      <c r="U344" s="10" t="s">
        <v>771</v>
      </c>
      <c r="V344" s="10" t="s">
        <v>771</v>
      </c>
      <c r="W344" s="10"/>
      <c r="X344" s="27" t="s">
        <v>463</v>
      </c>
      <c r="Y344" s="27" t="s">
        <v>2069</v>
      </c>
      <c r="Z344" s="80">
        <v>2205</v>
      </c>
      <c r="AA344" s="27">
        <v>114</v>
      </c>
      <c r="AB344" s="80">
        <v>8878</v>
      </c>
      <c r="AC344" s="27">
        <v>0</v>
      </c>
      <c r="AD344" s="27" t="s">
        <v>3767</v>
      </c>
      <c r="AE344" s="27">
        <v>2338129315</v>
      </c>
      <c r="AF344" s="27" t="s">
        <v>3766</v>
      </c>
      <c r="AG344" s="27" t="s">
        <v>460</v>
      </c>
      <c r="AH344" s="79">
        <v>2.7188655980271301</v>
      </c>
      <c r="AI344" s="83">
        <v>2.7222222222222201</v>
      </c>
      <c r="AJ344" s="80">
        <v>1.5178735105407899</v>
      </c>
      <c r="AK344" s="80">
        <v>2.5362053162236502</v>
      </c>
      <c r="AL344" s="27">
        <v>16</v>
      </c>
      <c r="AM344" s="97">
        <f>SUM(AL344/Z344)</f>
        <v>7.2562358276643995E-3</v>
      </c>
      <c r="AN344" s="27" t="s">
        <v>463</v>
      </c>
      <c r="AO344" s="27">
        <v>16</v>
      </c>
      <c r="AP344" s="27">
        <v>8</v>
      </c>
      <c r="AQ344" s="27">
        <v>1</v>
      </c>
      <c r="AR344" s="27">
        <f>SUM(AO344:AQ344)</f>
        <v>25</v>
      </c>
      <c r="AS344" s="27" t="s">
        <v>6213</v>
      </c>
      <c r="AT344" s="27" t="s">
        <v>6294</v>
      </c>
      <c r="AU344" s="84" t="s">
        <v>462</v>
      </c>
      <c r="AV344" s="77"/>
      <c r="AW344" s="77"/>
      <c r="AX344" s="77"/>
      <c r="AY344" s="77"/>
      <c r="AZ344" s="77"/>
      <c r="BA344" s="77"/>
      <c r="BB344" s="77"/>
      <c r="BC344" s="77"/>
      <c r="BD344" s="77"/>
      <c r="BE344" s="77"/>
      <c r="BF344" s="77"/>
      <c r="BG344" s="77"/>
      <c r="BH344" s="77"/>
      <c r="BI344" s="77"/>
      <c r="BJ344" s="77"/>
      <c r="BK344" s="77"/>
      <c r="BL344" s="77"/>
      <c r="BM344" s="77"/>
      <c r="BN344" s="77"/>
      <c r="BO344" s="77"/>
      <c r="BP344" s="77"/>
      <c r="CC344" s="77"/>
      <c r="CD344" s="77"/>
      <c r="CE344" s="77"/>
      <c r="CF344" s="77"/>
      <c r="CG344" s="77"/>
      <c r="CH344" s="77"/>
      <c r="CI344" s="77"/>
      <c r="CJ344" s="77"/>
      <c r="CK344" s="77"/>
      <c r="CL344" s="77"/>
      <c r="CM344" s="77"/>
      <c r="CN344" s="77"/>
      <c r="CO344" s="77"/>
      <c r="CP344" s="77"/>
      <c r="CQ344" s="77"/>
      <c r="CR344" s="77"/>
      <c r="CS344" s="77"/>
      <c r="CT344" s="77"/>
      <c r="CU344" s="77"/>
      <c r="CV344" s="77"/>
      <c r="CW344" s="77"/>
      <c r="CX344" s="77"/>
      <c r="CY344" s="77"/>
      <c r="CZ344" s="77"/>
      <c r="DA344" s="77"/>
      <c r="DB344" s="77"/>
      <c r="DC344" s="77"/>
      <c r="DD344" s="77"/>
      <c r="DE344" s="77"/>
      <c r="DF344" s="77"/>
      <c r="DG344" s="77"/>
      <c r="DH344" s="77"/>
      <c r="DI344" s="77"/>
      <c r="DJ344" s="77"/>
      <c r="DK344" s="77"/>
      <c r="DL344" s="77"/>
      <c r="DM344" s="77"/>
      <c r="DN344" s="77"/>
      <c r="DO344" s="77"/>
      <c r="DP344" s="77"/>
      <c r="DQ344" s="77"/>
      <c r="DR344" s="77"/>
      <c r="DS344" s="77"/>
      <c r="DT344" s="77"/>
      <c r="DU344" s="77"/>
      <c r="DV344" s="77"/>
      <c r="DW344" s="77"/>
      <c r="DX344" s="77"/>
      <c r="DY344" s="77"/>
      <c r="DZ344" s="77"/>
      <c r="EA344" s="77"/>
      <c r="EB344" s="77"/>
      <c r="EC344" s="77"/>
      <c r="ED344" s="77"/>
      <c r="EE344" s="77"/>
      <c r="EF344" s="77"/>
      <c r="EG344" s="77"/>
      <c r="EH344" s="77"/>
      <c r="EI344" s="77"/>
      <c r="EJ344" s="77"/>
      <c r="EK344" s="77"/>
      <c r="EL344" s="77"/>
      <c r="EP344" s="77"/>
      <c r="EQ344" s="77"/>
      <c r="ER344" s="77"/>
      <c r="ES344" s="77"/>
      <c r="ET344" s="77"/>
      <c r="EU344" s="77"/>
      <c r="EV344" s="77"/>
      <c r="EW344" s="77"/>
      <c r="EX344" s="77"/>
      <c r="EY344" s="77"/>
      <c r="EZ344" s="77"/>
      <c r="FA344" s="77"/>
      <c r="FB344" s="77"/>
      <c r="FC344" s="77"/>
      <c r="FD344" s="77"/>
      <c r="FE344" s="77"/>
      <c r="FF344" s="77"/>
      <c r="FG344" s="77"/>
      <c r="FH344" s="77"/>
      <c r="FI344" s="77"/>
      <c r="FJ344" s="77"/>
      <c r="FK344" s="77"/>
      <c r="FL344" s="77"/>
      <c r="FM344" s="77"/>
      <c r="FN344" s="77"/>
      <c r="FO344" s="77"/>
      <c r="FP344" s="77"/>
      <c r="FQ344" s="77"/>
      <c r="FR344" s="77"/>
      <c r="FS344" s="77"/>
      <c r="FT344" s="77"/>
      <c r="FU344" s="77"/>
      <c r="FV344" s="77"/>
      <c r="FW344" s="77"/>
      <c r="FX344" s="77"/>
      <c r="FY344" s="77"/>
      <c r="FZ344" s="77"/>
      <c r="GA344" s="77"/>
      <c r="GB344" s="77"/>
      <c r="GC344" s="77"/>
      <c r="GD344" s="77"/>
      <c r="GE344" s="77"/>
      <c r="GF344" s="77"/>
      <c r="GG344" s="77"/>
      <c r="GH344" s="77"/>
      <c r="GI344" s="77"/>
      <c r="GJ344" s="77"/>
      <c r="GK344" s="77"/>
      <c r="ID344" s="77"/>
      <c r="IE344" s="77"/>
      <c r="IF344" s="77"/>
      <c r="IG344" s="77"/>
      <c r="IH344" s="77"/>
      <c r="II344" s="77"/>
      <c r="IJ344" s="77"/>
      <c r="IK344" s="77"/>
      <c r="IL344" s="77"/>
      <c r="IM344" s="77"/>
      <c r="IN344" s="77"/>
      <c r="IO344" s="77"/>
      <c r="IP344" s="77"/>
      <c r="IQ344" s="77"/>
      <c r="IR344" s="77"/>
      <c r="IS344" s="77"/>
      <c r="IT344" s="77"/>
      <c r="IU344" s="77"/>
      <c r="IV344" s="77"/>
      <c r="IW344" s="77"/>
      <c r="IX344" s="77"/>
      <c r="IY344" s="77"/>
      <c r="IZ344" s="77"/>
      <c r="JA344" s="77"/>
      <c r="JB344" s="77"/>
      <c r="JC344" s="77"/>
      <c r="JD344" s="77"/>
      <c r="JE344" s="77"/>
      <c r="JF344" s="77"/>
      <c r="JG344" s="77"/>
      <c r="JH344" s="77"/>
      <c r="JI344" s="77"/>
      <c r="JJ344" s="77"/>
      <c r="JK344" s="77"/>
      <c r="JL344" s="77"/>
      <c r="JM344" s="77"/>
      <c r="JN344" s="77"/>
      <c r="JO344" s="77"/>
      <c r="JP344" s="77"/>
      <c r="JQ344" s="77"/>
      <c r="JR344" s="77"/>
      <c r="JS344" s="77"/>
      <c r="JT344" s="77"/>
      <c r="JU344" s="77"/>
      <c r="JV344" s="77"/>
      <c r="JW344" s="77"/>
      <c r="JX344" s="77"/>
      <c r="JY344" s="77"/>
      <c r="JZ344" s="77"/>
      <c r="KA344" s="77"/>
      <c r="KB344" s="77"/>
      <c r="KC344" s="77"/>
      <c r="KD344" s="77"/>
      <c r="KE344" s="77"/>
      <c r="KF344" s="77"/>
      <c r="KG344" s="77"/>
      <c r="KH344" s="77"/>
      <c r="KI344" s="77"/>
      <c r="KJ344" s="77"/>
      <c r="KK344" s="77"/>
      <c r="KL344" s="77"/>
      <c r="KM344" s="77"/>
      <c r="KN344" s="77"/>
      <c r="KO344" s="77"/>
      <c r="KP344" s="77"/>
      <c r="KQ344" s="77"/>
      <c r="KR344" s="77"/>
      <c r="KS344" s="77"/>
      <c r="KT344" s="77"/>
      <c r="KU344" s="77"/>
      <c r="KV344" s="77"/>
      <c r="KW344" s="77"/>
      <c r="KX344" s="77"/>
      <c r="KY344" s="77"/>
      <c r="KZ344" s="77"/>
      <c r="LA344" s="77"/>
      <c r="LB344" s="77"/>
      <c r="LC344" s="77"/>
      <c r="LD344" s="77"/>
      <c r="LE344" s="77"/>
      <c r="LF344" s="77"/>
      <c r="LG344" s="77"/>
      <c r="LH344" s="77"/>
      <c r="LI344" s="77"/>
      <c r="LJ344" s="77"/>
      <c r="LK344" s="77"/>
      <c r="LL344" s="77"/>
      <c r="LM344" s="77"/>
      <c r="LN344" s="77"/>
      <c r="LO344" s="77"/>
      <c r="LP344" s="77"/>
      <c r="LQ344" s="77"/>
      <c r="LR344" s="77"/>
      <c r="LS344" s="77"/>
      <c r="LT344" s="77"/>
      <c r="LU344" s="77"/>
      <c r="LV344" s="77"/>
      <c r="LW344" s="77"/>
      <c r="LX344" s="77"/>
    </row>
    <row r="345" spans="1:421" ht="18.600000000000001" customHeight="1" x14ac:dyDescent="0.25">
      <c r="A345" s="119" t="s">
        <v>363</v>
      </c>
      <c r="B345" s="27" t="s">
        <v>1773</v>
      </c>
      <c r="C345" s="27" t="s">
        <v>1774</v>
      </c>
      <c r="D345" s="30" t="str">
        <f>HYPERLINK("https://twitter.com/AnastasiadesCY","https://twitter.com/AnastasiadesCY")</f>
        <v>https://twitter.com/AnastasiadesCY</v>
      </c>
      <c r="E345" s="30" t="str">
        <f>HYPERLINK("http://twiplomacy.com/info/europe/Cyprus","http://twiplomacy.com/info/europe/Cyprus")</f>
        <v>http://twiplomacy.com/info/europe/Cyprus</v>
      </c>
      <c r="F345" s="10" t="s">
        <v>332</v>
      </c>
      <c r="G345" s="10" t="s">
        <v>362</v>
      </c>
      <c r="H345" s="10" t="s">
        <v>772</v>
      </c>
      <c r="I345" s="10" t="s">
        <v>773</v>
      </c>
      <c r="J345" s="27" t="s">
        <v>789</v>
      </c>
      <c r="K345" s="15" t="s">
        <v>777</v>
      </c>
      <c r="L345" s="10" t="s">
        <v>771</v>
      </c>
      <c r="M345" s="10" t="s">
        <v>770</v>
      </c>
      <c r="N345" s="30" t="str">
        <f>HYPERLINK("https://twitter.com/AnastasiadesCY/statuses/198411230317248513","https://twitter.com/AnastasiadesCY/statuses/198411230317248513")</f>
        <v>https://twitter.com/AnastasiadesCY/statuses/198411230317248513</v>
      </c>
      <c r="O345" s="27" t="s">
        <v>5683</v>
      </c>
      <c r="P345" s="80">
        <v>251</v>
      </c>
      <c r="Q345" s="80">
        <v>69</v>
      </c>
      <c r="R345" s="27" t="s">
        <v>2994</v>
      </c>
      <c r="S345" s="10" t="s">
        <v>1775</v>
      </c>
      <c r="T345" s="10" t="s">
        <v>771</v>
      </c>
      <c r="U345" s="10" t="s">
        <v>771</v>
      </c>
      <c r="V345" s="10" t="s">
        <v>771</v>
      </c>
      <c r="W345" s="10"/>
      <c r="X345" s="27" t="s">
        <v>363</v>
      </c>
      <c r="Y345" s="27" t="s">
        <v>1773</v>
      </c>
      <c r="Z345" s="80">
        <v>2201</v>
      </c>
      <c r="AA345" s="27">
        <v>126</v>
      </c>
      <c r="AB345" s="80">
        <v>41787</v>
      </c>
      <c r="AC345" s="27">
        <v>95</v>
      </c>
      <c r="AD345" s="27" t="s">
        <v>3457</v>
      </c>
      <c r="AE345" s="27">
        <v>568981074</v>
      </c>
      <c r="AF345" s="27" t="s">
        <v>1774</v>
      </c>
      <c r="AG345" s="27" t="s">
        <v>362</v>
      </c>
      <c r="AH345" s="79">
        <v>1.5065023956194401</v>
      </c>
      <c r="AI345" s="83">
        <v>1.5068587105624101</v>
      </c>
      <c r="AJ345" s="80">
        <v>9.8202576112412192</v>
      </c>
      <c r="AK345" s="80">
        <v>9.5058548009367705</v>
      </c>
      <c r="AL345" s="96">
        <v>1</v>
      </c>
      <c r="AM345" s="97">
        <f>SUM(AL345/Z345)</f>
        <v>4.5433893684688776E-4</v>
      </c>
      <c r="AN345" s="27" t="s">
        <v>363</v>
      </c>
      <c r="AO345" s="27">
        <v>13</v>
      </c>
      <c r="AP345" s="27">
        <v>21</v>
      </c>
      <c r="AQ345" s="27">
        <v>15</v>
      </c>
      <c r="AR345" s="27">
        <f>SUM(AO345:AQ345)</f>
        <v>49</v>
      </c>
      <c r="AS345" s="27" t="s">
        <v>5016</v>
      </c>
      <c r="AT345" s="27" t="s">
        <v>6672</v>
      </c>
      <c r="AU345" s="84" t="s">
        <v>6466</v>
      </c>
      <c r="BM345" s="77"/>
      <c r="BQ345" s="16"/>
      <c r="BR345" s="16"/>
      <c r="BS345" s="16"/>
      <c r="BT345" s="16"/>
      <c r="BU345" s="16"/>
      <c r="BV345" s="16"/>
      <c r="BW345" s="16"/>
      <c r="BX345" s="16"/>
      <c r="BY345" s="16"/>
      <c r="BZ345" s="16"/>
      <c r="CA345" s="16"/>
      <c r="CB345" s="16"/>
      <c r="CC345" s="77"/>
      <c r="CD345" s="77"/>
      <c r="CE345" s="77"/>
      <c r="CF345" s="77"/>
      <c r="CG345" s="77"/>
      <c r="CH345" s="77"/>
      <c r="CI345" s="77"/>
      <c r="CJ345" s="77"/>
      <c r="CK345" s="77"/>
      <c r="CL345" s="77"/>
      <c r="CM345" s="77"/>
      <c r="CN345" s="77"/>
      <c r="CO345" s="77"/>
      <c r="CP345" s="77"/>
      <c r="CQ345" s="77"/>
      <c r="CR345" s="77"/>
      <c r="CS345" s="77"/>
      <c r="CT345" s="77"/>
      <c r="CU345" s="77"/>
      <c r="CV345" s="77"/>
      <c r="CW345" s="77"/>
      <c r="CX345" s="77"/>
      <c r="CY345" s="77"/>
      <c r="CZ345" s="77"/>
      <c r="DA345" s="77"/>
      <c r="DB345" s="77"/>
      <c r="DC345" s="77"/>
      <c r="DD345" s="77"/>
      <c r="DE345" s="77"/>
      <c r="DF345" s="77"/>
      <c r="DG345" s="77"/>
      <c r="DH345" s="77"/>
      <c r="DI345" s="77"/>
      <c r="DJ345" s="77"/>
      <c r="DK345" s="77"/>
      <c r="DL345" s="77"/>
      <c r="DM345" s="77"/>
      <c r="DN345" s="77"/>
      <c r="DO345" s="77"/>
      <c r="DP345" s="77"/>
      <c r="DQ345" s="77"/>
      <c r="DR345" s="77"/>
      <c r="DS345" s="77"/>
      <c r="DT345" s="77"/>
      <c r="DU345" s="77"/>
      <c r="DV345" s="77"/>
      <c r="DW345" s="77"/>
      <c r="DX345" s="77"/>
      <c r="DY345" s="77"/>
      <c r="DZ345" s="77"/>
      <c r="EA345" s="77"/>
      <c r="EB345" s="77"/>
      <c r="EC345" s="77"/>
      <c r="ED345" s="77"/>
      <c r="EE345" s="77"/>
      <c r="EF345" s="77"/>
      <c r="EG345" s="77"/>
      <c r="EH345" s="77"/>
      <c r="EI345" s="77"/>
      <c r="EJ345" s="77"/>
      <c r="EK345" s="77"/>
      <c r="EL345" s="77"/>
      <c r="EM345" s="77"/>
      <c r="EN345" s="77"/>
      <c r="EO345" s="77"/>
      <c r="EQ345" s="77"/>
      <c r="ER345" s="77"/>
      <c r="ES345" s="77"/>
      <c r="ET345" s="77"/>
      <c r="EU345" s="77"/>
      <c r="EV345" s="77"/>
      <c r="EW345" s="77"/>
      <c r="EX345" s="77"/>
      <c r="EY345" s="77"/>
      <c r="EZ345" s="77"/>
      <c r="FA345" s="77"/>
      <c r="FB345" s="77"/>
      <c r="FC345" s="77"/>
      <c r="FD345" s="77"/>
      <c r="FE345" s="77"/>
      <c r="FF345" s="77"/>
      <c r="FG345" s="77"/>
      <c r="FH345" s="77"/>
      <c r="FI345" s="77"/>
      <c r="FJ345" s="77"/>
      <c r="FK345" s="77"/>
      <c r="FL345" s="77"/>
      <c r="FM345" s="77"/>
      <c r="FN345" s="77"/>
      <c r="FO345" s="77"/>
      <c r="FP345" s="77"/>
      <c r="FQ345" s="77"/>
      <c r="FR345" s="77"/>
      <c r="FS345" s="77"/>
      <c r="FT345" s="77"/>
      <c r="FU345" s="77"/>
      <c r="FV345" s="77"/>
      <c r="FW345" s="77"/>
      <c r="FX345" s="77"/>
      <c r="FY345" s="77"/>
      <c r="FZ345" s="77"/>
      <c r="GA345" s="77"/>
      <c r="GB345" s="77"/>
      <c r="GC345" s="77"/>
      <c r="GD345" s="77"/>
      <c r="GE345" s="77"/>
      <c r="GF345" s="77"/>
      <c r="GG345" s="77"/>
      <c r="GH345" s="77"/>
      <c r="GI345" s="77"/>
      <c r="GJ345" s="77"/>
      <c r="GK345" s="77"/>
      <c r="GL345" s="77"/>
      <c r="GM345" s="77"/>
      <c r="GN345" s="77"/>
      <c r="GO345" s="77"/>
      <c r="GP345" s="77"/>
      <c r="GQ345" s="77"/>
      <c r="GR345" s="77"/>
      <c r="GS345" s="77"/>
      <c r="GT345" s="77"/>
      <c r="GU345" s="77"/>
      <c r="GV345" s="77"/>
      <c r="GW345" s="77"/>
      <c r="GX345" s="77"/>
      <c r="GY345" s="77"/>
      <c r="GZ345" s="77"/>
      <c r="HA345" s="77"/>
      <c r="HB345" s="77"/>
      <c r="HC345" s="77"/>
      <c r="HD345" s="77"/>
      <c r="HE345" s="77"/>
      <c r="HF345" s="77"/>
      <c r="HG345" s="77"/>
      <c r="HH345" s="77"/>
      <c r="HI345" s="77"/>
      <c r="HJ345" s="77"/>
      <c r="HK345" s="77"/>
      <c r="HL345" s="77"/>
      <c r="HM345" s="77"/>
      <c r="HN345" s="77"/>
      <c r="HO345" s="77"/>
      <c r="HP345" s="77"/>
      <c r="HQ345" s="77"/>
      <c r="HR345" s="77"/>
      <c r="HS345" s="77"/>
      <c r="HT345" s="77"/>
      <c r="HU345" s="77"/>
      <c r="HV345" s="77"/>
      <c r="HW345" s="77"/>
      <c r="HX345" s="77"/>
      <c r="HY345" s="77"/>
      <c r="HZ345" s="77"/>
      <c r="IA345" s="77"/>
      <c r="IB345" s="77"/>
      <c r="IC345" s="77"/>
      <c r="IF345" s="77"/>
      <c r="IG345" s="77"/>
      <c r="IH345" s="77"/>
      <c r="II345" s="77"/>
      <c r="IJ345" s="77"/>
      <c r="IK345" s="77"/>
      <c r="IL345" s="77"/>
      <c r="IM345" s="77"/>
      <c r="IN345" s="77"/>
      <c r="IO345" s="77"/>
      <c r="IP345" s="77"/>
      <c r="IQ345" s="77"/>
      <c r="IR345" s="77"/>
      <c r="IS345" s="77"/>
      <c r="IT345" s="77"/>
      <c r="IU345" s="77"/>
      <c r="IV345" s="77"/>
      <c r="IW345" s="77"/>
      <c r="IX345" s="77"/>
      <c r="IY345" s="77"/>
      <c r="IZ345" s="77"/>
      <c r="JA345" s="77"/>
      <c r="JB345" s="77"/>
      <c r="JC345" s="77"/>
      <c r="JD345" s="77"/>
      <c r="JE345" s="77"/>
      <c r="JF345" s="77"/>
      <c r="JG345" s="77"/>
      <c r="JH345" s="77"/>
      <c r="JI345" s="77"/>
      <c r="JJ345" s="77"/>
      <c r="JK345" s="77"/>
      <c r="JL345" s="77"/>
      <c r="JM345" s="77"/>
      <c r="JN345" s="77"/>
      <c r="JO345" s="77"/>
      <c r="JP345" s="77"/>
      <c r="JQ345" s="77"/>
      <c r="JR345" s="77"/>
      <c r="JS345" s="77"/>
      <c r="JT345" s="77"/>
      <c r="JU345" s="77"/>
      <c r="JV345" s="77"/>
      <c r="JW345" s="77"/>
      <c r="JX345" s="77"/>
      <c r="JY345" s="16"/>
      <c r="JZ345" s="16"/>
      <c r="KA345" s="16"/>
      <c r="KB345" s="16"/>
      <c r="KC345" s="16"/>
      <c r="KD345" s="16"/>
      <c r="KE345" s="16"/>
      <c r="KF345" s="16"/>
      <c r="KG345" s="16"/>
      <c r="KH345" s="16"/>
      <c r="KI345" s="16"/>
      <c r="KJ345" s="16"/>
      <c r="KK345" s="16"/>
      <c r="KL345" s="16"/>
      <c r="LW345" s="77"/>
      <c r="LX345" s="77"/>
      <c r="MT345" s="77"/>
      <c r="MU345" s="77"/>
      <c r="MV345" s="77"/>
      <c r="MW345" s="77"/>
      <c r="MX345" s="77"/>
      <c r="MY345" s="77"/>
      <c r="MZ345" s="77"/>
      <c r="NA345" s="77"/>
      <c r="NB345" s="77"/>
      <c r="NC345" s="77"/>
    </row>
    <row r="346" spans="1:421" ht="18.600000000000001" customHeight="1" x14ac:dyDescent="0.25">
      <c r="A346" s="119" t="s">
        <v>724</v>
      </c>
      <c r="B346" s="27" t="s">
        <v>4266</v>
      </c>
      <c r="C346" s="27" t="s">
        <v>4267</v>
      </c>
      <c r="D346" s="30" t="s">
        <v>1556</v>
      </c>
      <c r="E346" s="30" t="str">
        <f>HYPERLINK("http://twiplomacy.com/info/asia/Palestine","http://twiplomacy.com/info/asia/Palestine")</f>
        <v>http://twiplomacy.com/info/asia/Palestine</v>
      </c>
      <c r="F346" s="10" t="s">
        <v>154</v>
      </c>
      <c r="G346" s="10" t="s">
        <v>722</v>
      </c>
      <c r="H346" s="10" t="s">
        <v>795</v>
      </c>
      <c r="I346" s="10" t="s">
        <v>782</v>
      </c>
      <c r="J346" s="27" t="s">
        <v>996</v>
      </c>
      <c r="K346" s="15" t="s">
        <v>777</v>
      </c>
      <c r="L346" s="10" t="s">
        <v>771</v>
      </c>
      <c r="M346" s="10" t="s">
        <v>770</v>
      </c>
      <c r="N346" s="30" t="s">
        <v>3136</v>
      </c>
      <c r="O346" s="27" t="s">
        <v>3190</v>
      </c>
      <c r="P346" s="80">
        <v>4</v>
      </c>
      <c r="Q346" s="80">
        <v>0</v>
      </c>
      <c r="R346" s="27" t="s">
        <v>2995</v>
      </c>
      <c r="S346" s="12" t="s">
        <v>3149</v>
      </c>
      <c r="T346" s="10" t="s">
        <v>771</v>
      </c>
      <c r="U346" s="10" t="s">
        <v>771</v>
      </c>
      <c r="V346" s="10" t="s">
        <v>771</v>
      </c>
      <c r="W346" s="10"/>
      <c r="X346" s="27" t="s">
        <v>724</v>
      </c>
      <c r="Y346" s="27" t="s">
        <v>4266</v>
      </c>
      <c r="Z346" s="80">
        <v>2200</v>
      </c>
      <c r="AA346" s="27">
        <v>10</v>
      </c>
      <c r="AB346" s="80">
        <v>218</v>
      </c>
      <c r="AC346" s="27">
        <v>0</v>
      </c>
      <c r="AD346" s="27" t="s">
        <v>4268</v>
      </c>
      <c r="AE346" s="27">
        <v>632654368</v>
      </c>
      <c r="AF346" s="27" t="s">
        <v>4267</v>
      </c>
      <c r="AG346" s="27" t="s">
        <v>1551</v>
      </c>
      <c r="AH346" s="79">
        <v>1.5815959741193399</v>
      </c>
      <c r="AI346" s="83">
        <v>1.5877256317689501</v>
      </c>
      <c r="AJ346" s="80">
        <v>0.110555050045496</v>
      </c>
      <c r="AK346" s="80">
        <v>2.2747952684258398E-2</v>
      </c>
      <c r="AL346" s="27">
        <v>5</v>
      </c>
      <c r="AM346" s="97">
        <f>SUM(AL346/Z346)</f>
        <v>2.2727272727272726E-3</v>
      </c>
      <c r="AN346" s="27" t="s">
        <v>724</v>
      </c>
      <c r="AO346" s="27">
        <v>1</v>
      </c>
      <c r="AP346" s="27">
        <v>2</v>
      </c>
      <c r="AQ346" s="27">
        <v>0</v>
      </c>
      <c r="AR346" s="27">
        <f>SUM(AO346:AQ346)</f>
        <v>3</v>
      </c>
      <c r="AS346" s="27" t="s">
        <v>726</v>
      </c>
      <c r="AT346" s="27" t="s">
        <v>5397</v>
      </c>
      <c r="AU346" s="84"/>
      <c r="AV346" s="77"/>
      <c r="AW346" s="77"/>
      <c r="AX346" s="77"/>
      <c r="AY346" s="77"/>
      <c r="AZ346" s="77"/>
      <c r="BA346" s="77"/>
      <c r="BB346" s="77"/>
      <c r="BC346" s="77"/>
      <c r="BD346" s="77"/>
      <c r="BE346" s="77"/>
      <c r="BF346" s="77"/>
      <c r="BG346" s="77"/>
      <c r="BH346" s="77"/>
      <c r="BI346" s="77"/>
      <c r="BJ346" s="77"/>
      <c r="BK346" s="77"/>
      <c r="BL346" s="77"/>
      <c r="BM346" s="77"/>
      <c r="BN346" s="77"/>
      <c r="BO346" s="77"/>
      <c r="BP346" s="77"/>
      <c r="BQ346" s="77"/>
      <c r="BR346" s="77"/>
      <c r="BS346" s="77"/>
      <c r="BT346" s="77"/>
      <c r="BU346" s="77"/>
      <c r="BV346" s="77"/>
      <c r="BW346" s="77"/>
      <c r="BX346" s="77"/>
      <c r="BY346" s="77"/>
      <c r="BZ346" s="77"/>
      <c r="CA346" s="77"/>
      <c r="CB346" s="77"/>
      <c r="CC346" s="77"/>
      <c r="CD346" s="77"/>
      <c r="CE346" s="77"/>
      <c r="CF346" s="77"/>
      <c r="CG346" s="77"/>
      <c r="CH346" s="77"/>
      <c r="CI346" s="77"/>
      <c r="CJ346" s="77"/>
      <c r="CK346" s="77"/>
      <c r="CL346" s="77"/>
      <c r="CM346" s="77"/>
      <c r="CN346" s="77"/>
      <c r="CO346" s="77"/>
      <c r="CP346" s="77"/>
      <c r="CQ346" s="77"/>
      <c r="CR346" s="77"/>
      <c r="CS346" s="77"/>
      <c r="CT346" s="77"/>
      <c r="CU346" s="77"/>
      <c r="CV346" s="77"/>
      <c r="CW346" s="77"/>
      <c r="CX346" s="77"/>
      <c r="CY346" s="77"/>
      <c r="CZ346" s="77"/>
      <c r="DA346" s="77"/>
      <c r="DB346" s="77"/>
      <c r="DC346" s="77"/>
      <c r="DD346" s="77"/>
      <c r="DE346" s="77"/>
      <c r="DF346" s="77"/>
      <c r="DG346" s="77"/>
      <c r="DH346" s="77"/>
      <c r="DI346" s="77"/>
      <c r="DJ346" s="77"/>
      <c r="DK346" s="77"/>
      <c r="DL346" s="77"/>
      <c r="DM346" s="77"/>
      <c r="DN346" s="77"/>
      <c r="DO346" s="77"/>
      <c r="DP346" s="77"/>
      <c r="DQ346" s="77"/>
      <c r="DR346" s="77"/>
      <c r="DS346" s="77"/>
      <c r="DT346" s="77"/>
      <c r="DU346" s="77"/>
      <c r="DV346" s="77"/>
      <c r="DW346" s="77"/>
      <c r="DX346" s="77"/>
      <c r="DY346" s="77"/>
      <c r="DZ346" s="77"/>
      <c r="EA346" s="77"/>
      <c r="EB346" s="77"/>
      <c r="EC346" s="77"/>
      <c r="ED346" s="77"/>
      <c r="EE346" s="77"/>
      <c r="EF346" s="77"/>
      <c r="EG346" s="77"/>
      <c r="EH346" s="77"/>
      <c r="EI346" s="77"/>
      <c r="EJ346" s="77"/>
      <c r="EK346" s="77"/>
      <c r="EL346" s="77"/>
      <c r="EM346" s="77"/>
      <c r="EN346" s="77"/>
      <c r="EO346" s="77"/>
      <c r="EP346" s="77"/>
      <c r="EQ346" s="77"/>
      <c r="ER346" s="77"/>
      <c r="ES346" s="77"/>
      <c r="ET346" s="77"/>
      <c r="EU346" s="77"/>
      <c r="EV346" s="77"/>
      <c r="EW346" s="77"/>
      <c r="EX346" s="77"/>
      <c r="EY346" s="77"/>
      <c r="EZ346" s="77"/>
      <c r="FA346" s="77"/>
      <c r="FB346" s="77"/>
      <c r="FC346" s="77"/>
      <c r="FD346" s="77"/>
      <c r="FE346" s="77"/>
      <c r="FF346" s="77"/>
      <c r="FG346" s="77"/>
      <c r="FH346" s="77"/>
      <c r="FI346" s="77"/>
      <c r="FJ346" s="77"/>
      <c r="FK346" s="77"/>
      <c r="FL346" s="77"/>
      <c r="FM346" s="77"/>
      <c r="FN346" s="77"/>
      <c r="FO346" s="77"/>
      <c r="FP346" s="77"/>
      <c r="FQ346" s="77"/>
      <c r="FR346" s="77"/>
      <c r="FS346" s="77"/>
      <c r="FT346" s="77"/>
      <c r="FU346" s="77"/>
      <c r="FV346" s="77"/>
      <c r="FW346" s="77"/>
      <c r="FX346" s="77"/>
      <c r="FY346" s="77"/>
      <c r="FZ346" s="77"/>
      <c r="GA346" s="77"/>
      <c r="GB346" s="77"/>
      <c r="GC346" s="77"/>
      <c r="GD346" s="77"/>
      <c r="GE346" s="77"/>
      <c r="GF346" s="77"/>
      <c r="GG346" s="77"/>
      <c r="GH346" s="77"/>
      <c r="GI346" s="77"/>
      <c r="GJ346" s="77"/>
      <c r="GK346" s="77"/>
      <c r="GL346" s="77"/>
      <c r="GM346" s="77"/>
      <c r="GN346" s="77"/>
      <c r="GO346" s="77"/>
      <c r="GP346" s="77"/>
      <c r="GQ346" s="77"/>
      <c r="GR346" s="77"/>
      <c r="GS346" s="77"/>
      <c r="GT346" s="77"/>
      <c r="GU346" s="77"/>
      <c r="GV346" s="77"/>
      <c r="GW346" s="77"/>
      <c r="GX346" s="77"/>
      <c r="GY346" s="77"/>
      <c r="GZ346" s="77"/>
      <c r="HA346" s="77"/>
      <c r="HB346" s="77"/>
      <c r="HC346" s="77"/>
      <c r="HD346" s="77"/>
      <c r="HE346" s="77"/>
      <c r="HF346" s="77"/>
      <c r="HG346" s="77"/>
      <c r="HH346" s="77"/>
      <c r="HI346" s="77"/>
      <c r="HJ346" s="77"/>
      <c r="HK346" s="77"/>
      <c r="HL346" s="77"/>
      <c r="HM346" s="77"/>
      <c r="HN346" s="77"/>
      <c r="HO346" s="77"/>
      <c r="HP346" s="77"/>
      <c r="HQ346" s="77"/>
      <c r="HR346" s="77"/>
      <c r="HS346" s="77"/>
      <c r="HT346" s="77"/>
      <c r="HU346" s="77"/>
      <c r="HV346" s="77"/>
      <c r="HW346" s="77"/>
      <c r="HX346" s="77"/>
      <c r="HY346" s="77"/>
      <c r="HZ346" s="77"/>
      <c r="IA346" s="77"/>
      <c r="IB346" s="77"/>
      <c r="IC346" s="77"/>
      <c r="ID346" s="77"/>
      <c r="IE346" s="77"/>
      <c r="IF346" s="77"/>
      <c r="IG346" s="77"/>
      <c r="IH346" s="77"/>
      <c r="II346" s="77"/>
      <c r="IJ346" s="77"/>
      <c r="IK346" s="77"/>
      <c r="IL346" s="77"/>
      <c r="IM346" s="77"/>
      <c r="IN346" s="77"/>
      <c r="IO346" s="77"/>
      <c r="IP346" s="77"/>
      <c r="IQ346" s="77"/>
      <c r="IR346" s="77"/>
      <c r="IS346" s="77"/>
      <c r="IT346" s="77"/>
      <c r="IU346" s="77"/>
      <c r="IV346" s="77"/>
      <c r="IW346" s="77"/>
      <c r="IX346" s="77"/>
      <c r="IY346" s="77"/>
      <c r="IZ346" s="77"/>
      <c r="JA346" s="77"/>
      <c r="JB346" s="77"/>
      <c r="JC346" s="77"/>
      <c r="JD346" s="77"/>
      <c r="JE346" s="77"/>
      <c r="JF346" s="77"/>
      <c r="JG346" s="77"/>
      <c r="JH346" s="77"/>
      <c r="JI346" s="77"/>
      <c r="JJ346" s="77"/>
      <c r="JK346" s="77"/>
      <c r="JL346" s="77"/>
      <c r="JM346" s="77"/>
      <c r="JN346" s="77"/>
      <c r="JO346" s="77"/>
      <c r="JP346" s="77"/>
      <c r="JQ346" s="77"/>
      <c r="JR346" s="77"/>
      <c r="JS346" s="77"/>
      <c r="JT346" s="77"/>
      <c r="JU346" s="77"/>
      <c r="JV346" s="77"/>
      <c r="JW346" s="77"/>
      <c r="JX346" s="77"/>
      <c r="LL346" s="77"/>
      <c r="LM346" s="77"/>
      <c r="LN346" s="77"/>
      <c r="LO346" s="77"/>
      <c r="LP346" s="77"/>
      <c r="LQ346" s="77"/>
      <c r="LR346" s="77"/>
      <c r="LS346" s="77"/>
      <c r="LT346" s="77"/>
      <c r="LU346" s="77"/>
      <c r="LV346" s="77"/>
      <c r="LW346" s="77"/>
      <c r="LX346" s="77"/>
    </row>
    <row r="347" spans="1:421" ht="18.600000000000001" customHeight="1" x14ac:dyDescent="0.25">
      <c r="A347" s="119" t="s">
        <v>494</v>
      </c>
      <c r="B347" s="27" t="s">
        <v>2132</v>
      </c>
      <c r="C347" s="27" t="s">
        <v>3786</v>
      </c>
      <c r="D347" s="30" t="str">
        <f>HYPERLINK("https://twitter.com/guv_ro","https://twitter.com/guv_ro")</f>
        <v>https://twitter.com/guv_ro</v>
      </c>
      <c r="E347" s="30" t="str">
        <f>HYPERLINK("http://twiplomacy.com/info/europe/Romania","http://twiplomacy.com/info/europe/Romania")</f>
        <v>http://twiplomacy.com/info/europe/Romania</v>
      </c>
      <c r="F347" s="10" t="s">
        <v>332</v>
      </c>
      <c r="G347" s="10" t="s">
        <v>491</v>
      </c>
      <c r="H347" s="10" t="s">
        <v>788</v>
      </c>
      <c r="I347" s="10" t="s">
        <v>782</v>
      </c>
      <c r="J347" s="27" t="s">
        <v>789</v>
      </c>
      <c r="K347" s="15" t="s">
        <v>777</v>
      </c>
      <c r="L347" s="10" t="s">
        <v>771</v>
      </c>
      <c r="M347" s="10" t="s">
        <v>770</v>
      </c>
      <c r="N347" s="30" t="str">
        <f>HYPERLINK("https://twitter.com/guv_ro/statuses/304259890317242369","https://twitter.com/guv_ro/statuses/304259890317242369")</f>
        <v>https://twitter.com/guv_ro/statuses/304259890317242369</v>
      </c>
      <c r="O347" s="27" t="s">
        <v>5850</v>
      </c>
      <c r="P347" s="80">
        <v>14</v>
      </c>
      <c r="Q347" s="80">
        <v>0</v>
      </c>
      <c r="R347" s="27" t="s">
        <v>2994</v>
      </c>
      <c r="S347" s="10" t="s">
        <v>2133</v>
      </c>
      <c r="T347" s="10" t="s">
        <v>771</v>
      </c>
      <c r="U347" s="10" t="s">
        <v>771</v>
      </c>
      <c r="V347" s="10" t="s">
        <v>771</v>
      </c>
      <c r="W347" s="10"/>
      <c r="X347" s="27" t="s">
        <v>494</v>
      </c>
      <c r="Y347" s="27" t="s">
        <v>2132</v>
      </c>
      <c r="Z347" s="80">
        <v>2162</v>
      </c>
      <c r="AA347" s="27">
        <v>110</v>
      </c>
      <c r="AB347" s="80">
        <v>7427</v>
      </c>
      <c r="AC347" s="27">
        <v>630</v>
      </c>
      <c r="AD347" s="27" t="s">
        <v>3787</v>
      </c>
      <c r="AE347" s="27">
        <v>27864636</v>
      </c>
      <c r="AF347" s="27" t="s">
        <v>3786</v>
      </c>
      <c r="AG347" s="27" t="s">
        <v>2134</v>
      </c>
      <c r="AH347" s="79">
        <v>0.83507145616068001</v>
      </c>
      <c r="AI347" s="83">
        <v>1.86379310344828</v>
      </c>
      <c r="AJ347" s="80">
        <v>0.50802692905230495</v>
      </c>
      <c r="AK347" s="80">
        <v>0.797514241325738</v>
      </c>
      <c r="AL347" s="27">
        <v>82</v>
      </c>
      <c r="AM347" s="97">
        <f>SUM(AL347/Z347)</f>
        <v>3.7927844588344126E-2</v>
      </c>
      <c r="AN347" s="27" t="s">
        <v>494</v>
      </c>
      <c r="AO347" s="27">
        <v>5</v>
      </c>
      <c r="AP347" s="27">
        <v>7</v>
      </c>
      <c r="AQ347" s="27">
        <v>2</v>
      </c>
      <c r="AR347" s="27">
        <f>SUM(AO347:AQ347)</f>
        <v>14</v>
      </c>
      <c r="AS347" s="27" t="s">
        <v>5166</v>
      </c>
      <c r="AT347" s="27" t="s">
        <v>6743</v>
      </c>
      <c r="AU347" s="84" t="s">
        <v>4750</v>
      </c>
      <c r="AV347" s="77"/>
      <c r="AW347" s="77"/>
      <c r="AX347" s="77"/>
      <c r="AY347" s="77"/>
      <c r="AZ347" s="77"/>
      <c r="BA347" s="77"/>
      <c r="BB347" s="77"/>
      <c r="BC347" s="77"/>
      <c r="BD347" s="77"/>
      <c r="BE347" s="77"/>
      <c r="BF347" s="77"/>
      <c r="BG347" s="77"/>
      <c r="BH347" s="77"/>
      <c r="BI347" s="77"/>
      <c r="BJ347" s="77"/>
      <c r="BK347" s="77"/>
      <c r="BL347" s="77"/>
      <c r="BM347" s="62"/>
      <c r="BN347" s="77"/>
      <c r="BO347" s="77"/>
      <c r="BP347" s="77"/>
      <c r="BQ347" s="77"/>
      <c r="BR347" s="77"/>
      <c r="BS347" s="77"/>
      <c r="BT347" s="77"/>
      <c r="BU347" s="77"/>
      <c r="BV347" s="77"/>
      <c r="BW347" s="77"/>
      <c r="BX347" s="77"/>
      <c r="BY347" s="77"/>
      <c r="BZ347" s="77"/>
      <c r="CA347" s="77"/>
      <c r="CB347" s="77"/>
      <c r="CC347" s="77"/>
      <c r="CD347" s="77"/>
      <c r="CE347" s="77"/>
      <c r="CF347" s="77"/>
      <c r="CG347" s="77"/>
      <c r="CH347" s="77"/>
      <c r="CI347" s="77"/>
      <c r="CJ347" s="77"/>
      <c r="CK347" s="77"/>
      <c r="CL347" s="77"/>
      <c r="CM347" s="77"/>
      <c r="CN347" s="77"/>
      <c r="CO347" s="77"/>
      <c r="CP347" s="77"/>
      <c r="CQ347" s="77"/>
      <c r="CR347" s="77"/>
      <c r="CS347" s="77"/>
      <c r="CT347" s="77"/>
      <c r="CU347" s="77"/>
      <c r="CV347" s="77"/>
      <c r="CW347" s="77"/>
      <c r="CX347" s="77"/>
      <c r="CY347" s="77"/>
      <c r="CZ347" s="77"/>
      <c r="DA347" s="77"/>
      <c r="DB347" s="77"/>
      <c r="DC347" s="77"/>
      <c r="DD347" s="77"/>
      <c r="DE347" s="77"/>
      <c r="DF347" s="77"/>
      <c r="DG347" s="77"/>
      <c r="DH347" s="77"/>
      <c r="DI347" s="77"/>
      <c r="DJ347" s="77"/>
      <c r="DK347" s="77"/>
      <c r="DL347" s="77"/>
      <c r="DM347" s="77"/>
      <c r="DN347" s="77"/>
      <c r="DO347" s="77"/>
      <c r="DP347" s="77"/>
      <c r="DQ347" s="77"/>
      <c r="DR347" s="77"/>
      <c r="DS347" s="77"/>
      <c r="DT347" s="77"/>
      <c r="DU347" s="77"/>
      <c r="DV347" s="77"/>
      <c r="DW347" s="77"/>
      <c r="DX347" s="77"/>
      <c r="DY347" s="77"/>
      <c r="DZ347" s="77"/>
      <c r="EA347" s="77"/>
      <c r="EB347" s="77"/>
      <c r="EC347" s="77"/>
      <c r="ED347" s="77"/>
      <c r="EE347" s="77"/>
      <c r="EF347" s="77"/>
      <c r="EG347" s="77"/>
      <c r="EH347" s="77"/>
      <c r="EI347" s="77"/>
      <c r="EJ347" s="77"/>
      <c r="EK347" s="77"/>
      <c r="EL347" s="77"/>
      <c r="EM347" s="77"/>
      <c r="EN347" s="77"/>
      <c r="EO347" s="77"/>
      <c r="EP347" s="77"/>
      <c r="EQ347" s="77"/>
      <c r="ER347" s="77"/>
      <c r="ES347" s="77"/>
      <c r="ET347" s="77"/>
      <c r="EU347" s="77"/>
      <c r="EV347" s="77"/>
      <c r="EW347" s="77"/>
      <c r="EX347" s="77"/>
      <c r="EY347" s="77"/>
      <c r="EZ347" s="77"/>
      <c r="FA347" s="77"/>
      <c r="FB347" s="77"/>
      <c r="FC347" s="77"/>
      <c r="FD347" s="77"/>
      <c r="FE347" s="77"/>
      <c r="FF347" s="77"/>
      <c r="FG347" s="77"/>
      <c r="FH347" s="77"/>
      <c r="FI347" s="77"/>
      <c r="FJ347" s="77"/>
      <c r="FK347" s="77"/>
      <c r="FL347" s="77"/>
      <c r="FM347" s="77"/>
      <c r="FN347" s="77"/>
      <c r="FO347" s="77"/>
      <c r="FP347" s="77"/>
      <c r="FQ347" s="77"/>
      <c r="FR347" s="77"/>
      <c r="FS347" s="77"/>
      <c r="FT347" s="77"/>
      <c r="FU347" s="77"/>
      <c r="FV347" s="77"/>
      <c r="FW347" s="77"/>
      <c r="FX347" s="77"/>
      <c r="FY347" s="77"/>
      <c r="FZ347" s="77"/>
      <c r="GA347" s="77"/>
      <c r="GB347" s="77"/>
      <c r="GC347" s="77"/>
      <c r="GD347" s="77"/>
      <c r="GE347" s="77"/>
      <c r="GF347" s="77"/>
      <c r="GG347" s="77"/>
      <c r="GH347" s="77"/>
      <c r="GI347" s="77"/>
      <c r="GJ347" s="77"/>
      <c r="GK347" s="77"/>
      <c r="HL347" s="77"/>
      <c r="HM347" s="77"/>
      <c r="HN347" s="77"/>
      <c r="HO347" s="77"/>
      <c r="HP347" s="77"/>
      <c r="HQ347" s="77"/>
      <c r="HR347" s="77"/>
      <c r="HS347" s="77"/>
      <c r="HT347" s="77"/>
      <c r="HU347" s="77"/>
      <c r="HV347" s="77"/>
      <c r="HW347" s="77"/>
      <c r="HX347" s="77"/>
      <c r="HY347" s="77"/>
      <c r="HZ347" s="77"/>
      <c r="IA347" s="77"/>
      <c r="IB347" s="77"/>
      <c r="IC347" s="77"/>
      <c r="ID347" s="77"/>
      <c r="IE347" s="77"/>
      <c r="IF347" s="77"/>
      <c r="IG347" s="77"/>
      <c r="IH347" s="77"/>
      <c r="II347" s="77"/>
      <c r="IJ347" s="77"/>
      <c r="IK347" s="77"/>
      <c r="IL347" s="77"/>
      <c r="IM347" s="77"/>
      <c r="IN347" s="77"/>
      <c r="IO347" s="77"/>
      <c r="IP347" s="77"/>
      <c r="IQ347" s="77"/>
      <c r="IR347" s="77"/>
      <c r="IS347" s="77"/>
      <c r="IT347" s="77"/>
      <c r="IU347" s="77"/>
      <c r="IV347" s="77"/>
      <c r="IW347" s="77"/>
      <c r="IX347" s="77"/>
      <c r="IY347" s="77"/>
      <c r="IZ347" s="77"/>
      <c r="JA347" s="77"/>
      <c r="JB347" s="77"/>
      <c r="JC347" s="77"/>
      <c r="JD347" s="77"/>
      <c r="JE347" s="77"/>
      <c r="JF347" s="77"/>
      <c r="JG347" s="77"/>
      <c r="JH347" s="77"/>
      <c r="JI347" s="77"/>
      <c r="JJ347" s="77"/>
      <c r="JK347" s="77"/>
      <c r="JL347" s="77"/>
      <c r="JM347" s="77"/>
      <c r="JN347" s="77"/>
      <c r="JO347" s="77"/>
      <c r="JP347" s="77"/>
      <c r="JQ347" s="77"/>
      <c r="JR347" s="77"/>
      <c r="JS347" s="77"/>
      <c r="JT347" s="77"/>
      <c r="JU347" s="77"/>
      <c r="JV347" s="77"/>
      <c r="JW347" s="77"/>
      <c r="JX347" s="77"/>
      <c r="JY347" s="77"/>
      <c r="JZ347" s="77"/>
      <c r="KA347" s="77"/>
      <c r="KB347" s="77"/>
      <c r="KC347" s="77"/>
      <c r="KD347" s="77"/>
      <c r="KE347" s="77"/>
      <c r="KF347" s="77"/>
      <c r="KG347" s="77"/>
      <c r="KH347" s="77"/>
      <c r="KI347" s="77"/>
      <c r="KJ347" s="77"/>
      <c r="KK347" s="77"/>
      <c r="KL347" s="77"/>
      <c r="KM347" s="77"/>
      <c r="KN347" s="77"/>
      <c r="KO347" s="77"/>
      <c r="KP347" s="77"/>
      <c r="KQ347" s="77"/>
      <c r="KR347" s="77"/>
      <c r="KS347" s="77"/>
      <c r="KT347" s="77"/>
      <c r="KU347" s="77"/>
      <c r="KV347" s="77"/>
      <c r="KW347" s="77"/>
      <c r="KX347" s="77"/>
      <c r="KY347" s="77"/>
      <c r="KZ347" s="77"/>
      <c r="LA347" s="77"/>
      <c r="LB347" s="77"/>
      <c r="LC347" s="77"/>
      <c r="LD347" s="77"/>
      <c r="LE347" s="77"/>
      <c r="LF347" s="77"/>
      <c r="LG347" s="77"/>
      <c r="LH347" s="77"/>
      <c r="LI347" s="77"/>
      <c r="LJ347" s="77"/>
      <c r="LK347" s="77"/>
      <c r="LL347" s="77"/>
      <c r="LM347" s="77"/>
      <c r="LN347" s="77"/>
      <c r="LO347" s="77"/>
      <c r="LP347" s="77"/>
      <c r="LQ347" s="77"/>
      <c r="LR347" s="77"/>
      <c r="LS347" s="77"/>
      <c r="LT347" s="77"/>
      <c r="LU347" s="77"/>
      <c r="LV347" s="77"/>
      <c r="LW347" s="77"/>
      <c r="LX347" s="77"/>
      <c r="MS347" s="77"/>
    </row>
    <row r="348" spans="1:421" ht="18.600000000000001" customHeight="1" x14ac:dyDescent="0.25">
      <c r="A348" s="119" t="s">
        <v>598</v>
      </c>
      <c r="B348" s="27" t="s">
        <v>2492</v>
      </c>
      <c r="C348" s="27" t="s">
        <v>4121</v>
      </c>
      <c r="D348" s="30" t="str">
        <f>HYPERLINK("https://twitter.com/MinexGt","https://twitter.com/MinexGt")</f>
        <v>https://twitter.com/MinexGt</v>
      </c>
      <c r="E348" s="30" t="str">
        <f>HYPERLINK("http://twiplomacy.com/info/north-america/Guatemala","http://twiplomacy.com/info/north-america/Guatemala")</f>
        <v>http://twiplomacy.com/info/north-america/Guatemala</v>
      </c>
      <c r="F348" s="10" t="s">
        <v>558</v>
      </c>
      <c r="G348" s="10" t="s">
        <v>595</v>
      </c>
      <c r="H348" s="10" t="s">
        <v>795</v>
      </c>
      <c r="I348" s="10" t="s">
        <v>782</v>
      </c>
      <c r="J348" s="27" t="s">
        <v>2226</v>
      </c>
      <c r="K348" s="15" t="s">
        <v>777</v>
      </c>
      <c r="L348" s="10" t="s">
        <v>771</v>
      </c>
      <c r="M348" s="10" t="s">
        <v>770</v>
      </c>
      <c r="N348" s="30" t="str">
        <f>HYPERLINK("https://twitter.com/MinexGt/statuses/18539119896","https://twitter.com/MinexGt/statuses/18539119896")</f>
        <v>https://twitter.com/MinexGt/statuses/18539119896</v>
      </c>
      <c r="O348" s="27" t="s">
        <v>5961</v>
      </c>
      <c r="P348" s="80">
        <v>68</v>
      </c>
      <c r="Q348" s="80">
        <v>0</v>
      </c>
      <c r="R348" s="27" t="s">
        <v>2995</v>
      </c>
      <c r="S348" s="12" t="s">
        <v>2493</v>
      </c>
      <c r="T348" s="10">
        <v>3</v>
      </c>
      <c r="U348" s="10" t="s">
        <v>771</v>
      </c>
      <c r="V348" s="10" t="s">
        <v>6889</v>
      </c>
      <c r="W348" s="10">
        <v>29</v>
      </c>
      <c r="X348" s="27" t="s">
        <v>598</v>
      </c>
      <c r="Y348" s="27" t="s">
        <v>2492</v>
      </c>
      <c r="Z348" s="80">
        <v>2160</v>
      </c>
      <c r="AA348" s="27">
        <v>413</v>
      </c>
      <c r="AB348" s="80">
        <v>5207</v>
      </c>
      <c r="AC348" s="27">
        <v>569</v>
      </c>
      <c r="AD348" s="27" t="s">
        <v>4122</v>
      </c>
      <c r="AE348" s="27">
        <v>163221131</v>
      </c>
      <c r="AF348" s="27" t="s">
        <v>4121</v>
      </c>
      <c r="AG348" s="27" t="s">
        <v>595</v>
      </c>
      <c r="AH348" s="79">
        <v>1.0155148095909701</v>
      </c>
      <c r="AI348" s="83">
        <v>1.01369216241737</v>
      </c>
      <c r="AJ348" s="80">
        <v>1.8371121718377099</v>
      </c>
      <c r="AK348" s="80">
        <v>1.3019093078758901</v>
      </c>
      <c r="AL348" s="27">
        <v>70</v>
      </c>
      <c r="AM348" s="97">
        <f>SUM(AL348/Z348)</f>
        <v>3.2407407407407406E-2</v>
      </c>
      <c r="AN348" s="27" t="s">
        <v>598</v>
      </c>
      <c r="AO348" s="27">
        <v>51</v>
      </c>
      <c r="AP348" s="27">
        <v>10</v>
      </c>
      <c r="AQ348" s="27">
        <v>31</v>
      </c>
      <c r="AR348" s="27">
        <f>SUM(AO348:AQ348)</f>
        <v>92</v>
      </c>
      <c r="AS348" s="27" t="s">
        <v>6236</v>
      </c>
      <c r="AT348" s="27" t="s">
        <v>6793</v>
      </c>
      <c r="AU348" s="84" t="s">
        <v>6174</v>
      </c>
      <c r="AV348" s="77"/>
      <c r="AW348" s="77"/>
      <c r="AX348" s="77"/>
      <c r="AY348" s="77"/>
      <c r="AZ348" s="77"/>
      <c r="BA348" s="77"/>
      <c r="BB348" s="77"/>
      <c r="BC348" s="77"/>
      <c r="BD348" s="77"/>
      <c r="BE348" s="77"/>
      <c r="BF348" s="77"/>
      <c r="BG348" s="77"/>
      <c r="BH348" s="77"/>
      <c r="BI348" s="77"/>
      <c r="BJ348" s="77"/>
      <c r="BK348" s="77"/>
      <c r="BL348" s="77"/>
      <c r="BM348" s="77"/>
      <c r="BN348" s="16"/>
      <c r="BO348" s="16"/>
      <c r="BP348" s="16"/>
      <c r="BQ348" s="77"/>
      <c r="BR348" s="77"/>
      <c r="BS348" s="77"/>
      <c r="BT348" s="77"/>
      <c r="BU348" s="77"/>
      <c r="BV348" s="77"/>
      <c r="BW348" s="77"/>
      <c r="BX348" s="77"/>
      <c r="BY348" s="77"/>
      <c r="BZ348" s="77"/>
      <c r="CA348" s="77"/>
      <c r="CB348" s="77"/>
      <c r="CC348" s="77"/>
      <c r="CD348" s="77"/>
      <c r="CE348" s="77"/>
      <c r="CF348" s="77"/>
      <c r="CG348" s="77"/>
      <c r="CH348" s="77"/>
      <c r="CI348" s="77"/>
      <c r="CJ348" s="77"/>
      <c r="CK348" s="77"/>
      <c r="CL348" s="77"/>
      <c r="CM348" s="77"/>
      <c r="CN348" s="77"/>
      <c r="CO348" s="77"/>
      <c r="CP348" s="77"/>
      <c r="CQ348" s="77"/>
      <c r="CR348" s="77"/>
      <c r="CS348" s="77"/>
      <c r="CT348" s="77"/>
      <c r="CU348" s="77"/>
      <c r="CV348" s="77"/>
      <c r="CW348" s="77"/>
      <c r="CX348" s="77"/>
      <c r="CY348" s="77"/>
      <c r="CZ348" s="77"/>
      <c r="DA348" s="77"/>
      <c r="DB348" s="77"/>
      <c r="DC348" s="77"/>
      <c r="DD348" s="77"/>
      <c r="DE348" s="77"/>
      <c r="DF348" s="77"/>
      <c r="DG348" s="77"/>
      <c r="DH348" s="77"/>
      <c r="DI348" s="77"/>
      <c r="DJ348" s="77"/>
      <c r="DK348" s="77"/>
      <c r="DL348" s="77"/>
      <c r="DM348" s="77"/>
      <c r="DN348" s="77"/>
      <c r="DO348" s="77"/>
      <c r="DP348" s="77"/>
      <c r="DQ348" s="77"/>
      <c r="DR348" s="77"/>
      <c r="DS348" s="77"/>
      <c r="DT348" s="77"/>
      <c r="DU348" s="77"/>
      <c r="DV348" s="77"/>
      <c r="DW348" s="77"/>
      <c r="DX348" s="77"/>
      <c r="DY348" s="77"/>
      <c r="DZ348" s="77"/>
      <c r="EA348" s="77"/>
      <c r="EB348" s="77"/>
      <c r="EC348" s="77"/>
      <c r="ED348" s="77"/>
      <c r="EE348" s="77"/>
      <c r="EF348" s="77"/>
      <c r="EG348" s="77"/>
      <c r="EH348" s="77"/>
      <c r="EI348" s="77"/>
      <c r="EJ348" s="77"/>
      <c r="EK348" s="77"/>
      <c r="EL348" s="77"/>
      <c r="EM348" s="77"/>
      <c r="EN348" s="77"/>
      <c r="EO348" s="77"/>
      <c r="EP348" s="77"/>
      <c r="GL348" s="77"/>
      <c r="GM348" s="77"/>
      <c r="GN348" s="77"/>
      <c r="GO348" s="77"/>
      <c r="GP348" s="77"/>
      <c r="GQ348" s="77"/>
      <c r="GR348" s="77"/>
      <c r="GS348" s="77"/>
      <c r="GT348" s="77"/>
      <c r="GU348" s="77"/>
      <c r="GV348" s="77"/>
      <c r="GW348" s="77"/>
      <c r="GX348" s="77"/>
      <c r="GY348" s="77"/>
      <c r="GZ348" s="77"/>
      <c r="HA348" s="77"/>
      <c r="HB348" s="77"/>
      <c r="HC348" s="77"/>
      <c r="HD348" s="77"/>
      <c r="HE348" s="77"/>
      <c r="HF348" s="77"/>
      <c r="HG348" s="77"/>
      <c r="HH348" s="77"/>
      <c r="HI348" s="77"/>
      <c r="HJ348" s="77"/>
      <c r="HK348" s="77"/>
      <c r="HL348" s="77"/>
      <c r="HM348" s="77"/>
      <c r="HN348" s="77"/>
      <c r="HO348" s="77"/>
      <c r="HP348" s="77"/>
      <c r="HQ348" s="77"/>
      <c r="HR348" s="77"/>
      <c r="HS348" s="77"/>
      <c r="HT348" s="77"/>
      <c r="HU348" s="77"/>
      <c r="HV348" s="77"/>
      <c r="HW348" s="77"/>
      <c r="HX348" s="77"/>
      <c r="HY348" s="77"/>
      <c r="HZ348" s="77"/>
      <c r="IA348" s="77"/>
      <c r="IB348" s="77"/>
      <c r="IC348" s="77"/>
      <c r="ID348" s="77"/>
      <c r="IE348" s="77"/>
      <c r="IF348" s="77"/>
      <c r="IG348" s="77"/>
      <c r="IH348" s="77"/>
      <c r="II348" s="77"/>
      <c r="IJ348" s="77"/>
      <c r="IK348" s="77"/>
      <c r="IL348" s="77"/>
      <c r="IM348" s="77"/>
      <c r="IN348" s="77"/>
      <c r="IO348" s="77"/>
      <c r="IP348" s="77"/>
      <c r="IQ348" s="77"/>
      <c r="IR348" s="77"/>
      <c r="IS348" s="77"/>
      <c r="IT348" s="77"/>
      <c r="IU348" s="77"/>
      <c r="IV348" s="77"/>
      <c r="IW348" s="77"/>
      <c r="IX348" s="77"/>
      <c r="IY348" s="77"/>
      <c r="IZ348" s="77"/>
      <c r="JA348" s="77"/>
      <c r="JB348" s="77"/>
      <c r="JC348" s="77"/>
      <c r="JD348" s="77"/>
      <c r="JE348" s="77"/>
      <c r="JF348" s="77"/>
      <c r="JG348" s="77"/>
      <c r="JH348" s="77"/>
      <c r="JI348" s="77"/>
      <c r="JJ348" s="77"/>
      <c r="JK348" s="77"/>
      <c r="JL348" s="77"/>
      <c r="JM348" s="77"/>
      <c r="JN348" s="77"/>
      <c r="JO348" s="77"/>
      <c r="JP348" s="77"/>
      <c r="JQ348" s="77"/>
      <c r="JR348" s="77"/>
      <c r="JS348" s="77"/>
      <c r="JT348" s="77"/>
      <c r="JU348" s="77"/>
      <c r="JV348" s="77"/>
      <c r="JW348" s="77"/>
      <c r="JX348" s="77"/>
      <c r="JY348" s="77"/>
      <c r="JZ348" s="77"/>
      <c r="KA348" s="77"/>
      <c r="KB348" s="77"/>
      <c r="KC348" s="77"/>
      <c r="KD348" s="77"/>
      <c r="KE348" s="77"/>
      <c r="KF348" s="77"/>
      <c r="KG348" s="77"/>
      <c r="KH348" s="77"/>
      <c r="KI348" s="77"/>
      <c r="KJ348" s="77"/>
      <c r="KK348" s="77"/>
      <c r="KL348" s="77"/>
      <c r="KM348" s="77"/>
      <c r="KN348" s="77"/>
      <c r="KO348" s="77"/>
      <c r="KP348" s="77"/>
      <c r="KQ348" s="77"/>
      <c r="KR348" s="77"/>
      <c r="KS348" s="77"/>
      <c r="KT348" s="77"/>
      <c r="KU348" s="77"/>
      <c r="KV348" s="77"/>
      <c r="KW348" s="77"/>
      <c r="KX348" s="77"/>
      <c r="KY348" s="77"/>
      <c r="KZ348" s="77"/>
      <c r="LA348" s="77"/>
      <c r="LB348" s="77"/>
      <c r="LC348" s="77"/>
      <c r="LD348" s="77"/>
      <c r="LE348" s="77"/>
      <c r="LF348" s="77"/>
      <c r="LG348" s="77"/>
      <c r="LH348" s="77"/>
      <c r="LI348" s="77"/>
      <c r="LJ348" s="77"/>
      <c r="LK348" s="77"/>
      <c r="LL348" s="77"/>
      <c r="LM348" s="77"/>
      <c r="LN348" s="77"/>
      <c r="LO348" s="77"/>
      <c r="LP348" s="77"/>
      <c r="LQ348" s="77"/>
      <c r="LR348" s="77"/>
      <c r="LS348" s="77"/>
      <c r="LT348" s="77"/>
      <c r="LU348" s="77"/>
      <c r="LV348" s="77"/>
      <c r="LW348" s="16"/>
      <c r="LX348" s="16"/>
      <c r="LY348" s="77"/>
      <c r="LZ348" s="77"/>
      <c r="MA348" s="77"/>
      <c r="MB348" s="77"/>
      <c r="MC348" s="77"/>
      <c r="MD348" s="77"/>
      <c r="ME348" s="77"/>
      <c r="MF348" s="77"/>
      <c r="MG348" s="77"/>
      <c r="MH348" s="77"/>
      <c r="MI348" s="77"/>
      <c r="MJ348" s="77"/>
      <c r="MK348" s="77"/>
      <c r="ML348" s="77"/>
      <c r="MM348" s="77"/>
      <c r="MN348" s="77"/>
      <c r="MO348" s="77"/>
      <c r="MP348" s="77"/>
      <c r="MQ348" s="77"/>
      <c r="MR348" s="77"/>
    </row>
    <row r="349" spans="1:421" ht="18.600000000000001" customHeight="1" x14ac:dyDescent="0.25">
      <c r="A349" s="119" t="s">
        <v>426</v>
      </c>
      <c r="B349" s="27" t="s">
        <v>426</v>
      </c>
      <c r="C349" s="27" t="s">
        <v>1972</v>
      </c>
      <c r="D349" s="30" t="str">
        <f>HYPERLINK("https://twitter.com/Palazzo_Chigi","https://twitter.com/Palazzo_Chigi")</f>
        <v>https://twitter.com/Palazzo_Chigi</v>
      </c>
      <c r="E349" s="30" t="str">
        <f>HYPERLINK("http://twiplomacy.com/info/europe/Italy","http://twiplomacy.com/info/europe/Italy")</f>
        <v>http://twiplomacy.com/info/europe/Italy</v>
      </c>
      <c r="F349" s="10" t="s">
        <v>332</v>
      </c>
      <c r="G349" s="10" t="s">
        <v>424</v>
      </c>
      <c r="H349" s="10" t="s">
        <v>788</v>
      </c>
      <c r="I349" s="10" t="s">
        <v>782</v>
      </c>
      <c r="J349" s="27" t="s">
        <v>1852</v>
      </c>
      <c r="K349" s="15" t="s">
        <v>777</v>
      </c>
      <c r="L349" s="10" t="s">
        <v>771</v>
      </c>
      <c r="M349" s="10" t="s">
        <v>770</v>
      </c>
      <c r="N349" s="30" t="str">
        <f>HYPERLINK("https://twitter.com/Palazzo_Chigi/statuses/271569532924092416","https://twitter.com/Palazzo_Chigi/statuses/271569532924092416")</f>
        <v>https://twitter.com/Palazzo_Chigi/statuses/271569532924092416</v>
      </c>
      <c r="O349" s="27" t="s">
        <v>1973</v>
      </c>
      <c r="P349" s="80">
        <v>1594</v>
      </c>
      <c r="Q349" s="80">
        <v>939</v>
      </c>
      <c r="R349" s="27" t="s">
        <v>2994</v>
      </c>
      <c r="S349" s="12" t="s">
        <v>1974</v>
      </c>
      <c r="T349" s="10" t="s">
        <v>771</v>
      </c>
      <c r="U349" s="10" t="s">
        <v>771</v>
      </c>
      <c r="V349" s="10" t="s">
        <v>771</v>
      </c>
      <c r="W349" s="10"/>
      <c r="X349" s="27" t="s">
        <v>426</v>
      </c>
      <c r="Y349" s="27" t="s">
        <v>426</v>
      </c>
      <c r="Z349" s="80">
        <v>2157</v>
      </c>
      <c r="AA349" s="27">
        <v>1779</v>
      </c>
      <c r="AB349" s="80">
        <v>516538</v>
      </c>
      <c r="AC349" s="27">
        <v>1</v>
      </c>
      <c r="AD349" s="27" t="s">
        <v>4231</v>
      </c>
      <c r="AE349" s="27">
        <v>963938472</v>
      </c>
      <c r="AF349" s="27" t="s">
        <v>1972</v>
      </c>
      <c r="AG349" s="27"/>
      <c r="AH349" s="79">
        <v>1.7159904534606201</v>
      </c>
      <c r="AI349" s="83">
        <v>1.7159904534606201</v>
      </c>
      <c r="AJ349" s="80">
        <v>24.554406964091399</v>
      </c>
      <c r="AK349" s="80">
        <v>14.313384113166499</v>
      </c>
      <c r="AL349" s="27">
        <v>80</v>
      </c>
      <c r="AM349" s="97">
        <f>SUM(AL349/Z349)</f>
        <v>3.7088548910523877E-2</v>
      </c>
      <c r="AN349" s="27" t="s">
        <v>426</v>
      </c>
      <c r="AO349" s="27">
        <v>73</v>
      </c>
      <c r="AP349" s="27">
        <v>11</v>
      </c>
      <c r="AQ349" s="27">
        <v>26</v>
      </c>
      <c r="AR349" s="27">
        <f>SUM(AO349:AQ349)</f>
        <v>110</v>
      </c>
      <c r="AS349" s="27" t="s">
        <v>6608</v>
      </c>
      <c r="AT349" s="27" t="s">
        <v>5380</v>
      </c>
      <c r="AU349" s="84" t="s">
        <v>6522</v>
      </c>
      <c r="BM349" s="77"/>
      <c r="BQ349" s="77"/>
      <c r="BR349" s="77"/>
      <c r="BS349" s="77"/>
      <c r="BT349" s="77"/>
      <c r="BU349" s="77"/>
      <c r="BV349" s="77"/>
      <c r="BW349" s="77"/>
      <c r="BX349" s="77"/>
      <c r="BY349" s="77"/>
      <c r="BZ349" s="77"/>
      <c r="CA349" s="77"/>
      <c r="CB349" s="77"/>
      <c r="CC349" s="77"/>
      <c r="CD349" s="77"/>
      <c r="CE349" s="77"/>
      <c r="CF349" s="77"/>
      <c r="CG349" s="77"/>
      <c r="CH349" s="77"/>
      <c r="CI349" s="77"/>
      <c r="CJ349" s="77"/>
      <c r="CX349" s="77"/>
      <c r="CY349" s="77"/>
      <c r="CZ349" s="77"/>
      <c r="DA349" s="77"/>
      <c r="DB349" s="77"/>
      <c r="DC349" s="77"/>
      <c r="DD349" s="77"/>
      <c r="DE349" s="77"/>
      <c r="DF349" s="77"/>
      <c r="DG349" s="77"/>
      <c r="DH349" s="77"/>
      <c r="DI349" s="77"/>
      <c r="DJ349" s="77"/>
      <c r="DK349" s="77"/>
      <c r="DL349" s="77"/>
      <c r="DM349" s="77"/>
      <c r="DN349" s="77"/>
      <c r="DO349" s="77"/>
      <c r="DP349" s="77"/>
      <c r="DQ349" s="77"/>
      <c r="DR349" s="77"/>
      <c r="DS349" s="77"/>
      <c r="DT349" s="77"/>
      <c r="DU349" s="77"/>
      <c r="DV349" s="77"/>
      <c r="DW349" s="77"/>
      <c r="DX349" s="77"/>
      <c r="DY349" s="77"/>
      <c r="DZ349" s="77"/>
      <c r="EA349" s="77"/>
      <c r="EB349" s="77"/>
      <c r="EC349" s="77"/>
      <c r="ED349" s="77"/>
      <c r="EE349" s="77"/>
      <c r="EF349" s="77"/>
      <c r="EG349" s="77"/>
      <c r="EH349" s="77"/>
      <c r="EI349" s="77"/>
      <c r="EJ349" s="77"/>
      <c r="EK349" s="77"/>
      <c r="EL349" s="77"/>
      <c r="EM349" s="77"/>
      <c r="EN349" s="77"/>
      <c r="EO349" s="77"/>
      <c r="EP349" s="77"/>
      <c r="GL349" s="77"/>
      <c r="GM349" s="77"/>
      <c r="GN349" s="77"/>
      <c r="GO349" s="77"/>
      <c r="GP349" s="77"/>
      <c r="GQ349" s="77"/>
      <c r="GR349" s="77"/>
      <c r="GS349" s="77"/>
      <c r="GT349" s="77"/>
      <c r="GU349" s="77"/>
      <c r="GV349" s="77"/>
      <c r="GW349" s="77"/>
      <c r="GX349" s="77"/>
      <c r="GY349" s="77"/>
      <c r="GZ349" s="77"/>
      <c r="HA349" s="77"/>
      <c r="HB349" s="77"/>
      <c r="HC349" s="77"/>
      <c r="HD349" s="77"/>
      <c r="HE349" s="77"/>
      <c r="HF349" s="77"/>
      <c r="HG349" s="77"/>
      <c r="HH349" s="77"/>
      <c r="HI349" s="77"/>
      <c r="HJ349" s="77"/>
      <c r="HK349" s="77"/>
      <c r="HL349" s="77"/>
      <c r="HM349" s="77"/>
      <c r="HN349" s="77"/>
      <c r="HO349" s="77"/>
      <c r="HP349" s="77"/>
      <c r="HQ349" s="77"/>
      <c r="HR349" s="77"/>
      <c r="HS349" s="77"/>
      <c r="HT349" s="77"/>
      <c r="HU349" s="77"/>
      <c r="HV349" s="77"/>
      <c r="HW349" s="77"/>
      <c r="HX349" s="77"/>
      <c r="HY349" s="77"/>
      <c r="HZ349" s="77"/>
      <c r="IA349" s="77"/>
      <c r="IB349" s="77"/>
      <c r="IC349" s="77"/>
      <c r="ID349" s="77"/>
      <c r="IE349" s="77"/>
      <c r="IF349" s="77"/>
      <c r="IG349" s="77"/>
      <c r="IH349" s="77"/>
      <c r="II349" s="77"/>
      <c r="IJ349" s="77"/>
      <c r="IK349" s="77"/>
      <c r="IL349" s="77"/>
      <c r="IM349" s="77"/>
      <c r="IN349" s="77"/>
      <c r="IO349" s="77"/>
      <c r="IP349" s="77"/>
      <c r="IQ349" s="77"/>
      <c r="IR349" s="77"/>
      <c r="IS349" s="77"/>
      <c r="IT349" s="77"/>
      <c r="IU349" s="77"/>
      <c r="IV349" s="77"/>
      <c r="IW349" s="77"/>
      <c r="IX349" s="77"/>
      <c r="IY349" s="77"/>
      <c r="IZ349" s="77"/>
      <c r="JA349" s="77"/>
      <c r="JB349" s="77"/>
      <c r="JC349" s="77"/>
      <c r="JD349" s="77"/>
      <c r="JE349" s="77"/>
      <c r="JF349" s="77"/>
      <c r="JG349" s="77"/>
      <c r="JH349" s="77"/>
      <c r="JI349" s="77"/>
      <c r="JJ349" s="77"/>
      <c r="JK349" s="77"/>
      <c r="JL349" s="77"/>
      <c r="JM349" s="77"/>
      <c r="JN349" s="77"/>
      <c r="JO349" s="77"/>
      <c r="JP349" s="77"/>
      <c r="JQ349" s="77"/>
      <c r="JR349" s="77"/>
      <c r="JS349" s="77"/>
      <c r="JT349" s="77"/>
      <c r="JU349" s="77"/>
      <c r="JV349" s="77"/>
      <c r="JW349" s="77"/>
      <c r="JX349" s="77"/>
      <c r="JY349" s="77"/>
      <c r="JZ349" s="77"/>
      <c r="KA349" s="77"/>
      <c r="KB349" s="77"/>
      <c r="KC349" s="77"/>
      <c r="KD349" s="77"/>
      <c r="KE349" s="77"/>
      <c r="KF349" s="77"/>
      <c r="KG349" s="77"/>
      <c r="KH349" s="77"/>
      <c r="KI349" s="77"/>
      <c r="KJ349" s="77"/>
      <c r="KK349" s="77"/>
      <c r="KL349" s="77"/>
      <c r="KM349" s="77"/>
      <c r="KN349" s="77"/>
      <c r="KO349" s="77"/>
      <c r="KP349" s="77"/>
      <c r="KQ349" s="77"/>
      <c r="KR349" s="77"/>
      <c r="KS349" s="77"/>
      <c r="KT349" s="77"/>
      <c r="KU349" s="77"/>
      <c r="KV349" s="77"/>
      <c r="KW349" s="77"/>
      <c r="KX349" s="77"/>
      <c r="KY349" s="77"/>
      <c r="KZ349" s="77"/>
      <c r="LA349" s="77"/>
      <c r="LB349" s="77"/>
      <c r="LC349" s="77"/>
      <c r="LD349" s="77"/>
      <c r="LE349" s="77"/>
      <c r="LF349" s="77"/>
      <c r="LG349" s="77"/>
      <c r="LH349" s="77"/>
      <c r="LI349" s="77"/>
      <c r="LJ349" s="77"/>
      <c r="LK349" s="77"/>
      <c r="LW349" s="77"/>
      <c r="LX349" s="77"/>
      <c r="LY349" s="77"/>
      <c r="LZ349" s="77"/>
      <c r="MA349" s="77"/>
      <c r="MB349" s="77"/>
      <c r="MC349" s="77"/>
      <c r="MD349" s="77"/>
      <c r="ME349" s="77"/>
      <c r="MF349" s="77"/>
      <c r="MG349" s="77"/>
      <c r="MH349" s="77"/>
      <c r="MI349" s="77"/>
      <c r="MJ349" s="77"/>
      <c r="MK349" s="77"/>
      <c r="ML349" s="77"/>
      <c r="MM349" s="77"/>
      <c r="MN349" s="77"/>
      <c r="MO349" s="77"/>
      <c r="MP349" s="77"/>
      <c r="MQ349" s="77"/>
      <c r="MR349" s="77"/>
    </row>
    <row r="350" spans="1:421" ht="18.600000000000001" customHeight="1" x14ac:dyDescent="0.25">
      <c r="A350" s="119" t="s">
        <v>377</v>
      </c>
      <c r="B350" s="27" t="s">
        <v>1815</v>
      </c>
      <c r="C350" s="27" t="s">
        <v>1816</v>
      </c>
      <c r="D350" s="30" t="str">
        <f>HYPERLINK("https://twitter.com/UM_dk","https://twitter.com/UM_dk")</f>
        <v>https://twitter.com/UM_dk</v>
      </c>
      <c r="E350" s="30" t="str">
        <f>HYPERLINK("http://twiplomacy.com/info/europe/Denmark","http://twiplomacy.com/info/europe/Denmark")</f>
        <v>http://twiplomacy.com/info/europe/Denmark</v>
      </c>
      <c r="F350" s="10" t="s">
        <v>332</v>
      </c>
      <c r="G350" s="10" t="s">
        <v>374</v>
      </c>
      <c r="H350" s="10" t="s">
        <v>795</v>
      </c>
      <c r="I350" s="10" t="s">
        <v>782</v>
      </c>
      <c r="J350" s="27" t="s">
        <v>1818</v>
      </c>
      <c r="K350" s="10" t="s">
        <v>777</v>
      </c>
      <c r="L350" s="10" t="s">
        <v>771</v>
      </c>
      <c r="M350" s="10" t="s">
        <v>770</v>
      </c>
      <c r="N350" s="30" t="str">
        <f>HYPERLINK("https://twitter.com/UM_dk/status/324446694819368960","https://twitter.com/UM_dk/status/324446694819368960")</f>
        <v>https://twitter.com/UM_dk/status/324446694819368960</v>
      </c>
      <c r="O350" s="27" t="s">
        <v>6120</v>
      </c>
      <c r="P350" s="80">
        <v>96</v>
      </c>
      <c r="Q350" s="80">
        <v>0</v>
      </c>
      <c r="R350" s="27" t="s">
        <v>2994</v>
      </c>
      <c r="S350" s="30" t="str">
        <f>HYPERLINK("https://twitter.com/UM_dk/lists","https://twitter.com/UM_dk/lists")</f>
        <v>https://twitter.com/UM_dk/lists</v>
      </c>
      <c r="T350" s="10">
        <v>1</v>
      </c>
      <c r="U350" s="10" t="s">
        <v>771</v>
      </c>
      <c r="V350" s="30" t="str">
        <f>HYPERLINK("https://twitter.com/UM_dk/lists/um-p%C3%A5-twitter/members","https://twitter.com/UM_dk/lists/um-p%C3%A5-twitter/members")</f>
        <v>https://twitter.com/UM_dk/lists/um-p%C3%A5-twitter/members</v>
      </c>
      <c r="W350" s="10">
        <v>72</v>
      </c>
      <c r="X350" s="27" t="s">
        <v>377</v>
      </c>
      <c r="Y350" s="27" t="s">
        <v>1815</v>
      </c>
      <c r="Z350" s="80">
        <v>2149</v>
      </c>
      <c r="AA350" s="27">
        <v>257</v>
      </c>
      <c r="AB350" s="80">
        <v>5673</v>
      </c>
      <c r="AC350" s="27">
        <v>4469</v>
      </c>
      <c r="AD350" s="27" t="s">
        <v>4557</v>
      </c>
      <c r="AE350" s="27">
        <v>1358883631</v>
      </c>
      <c r="AF350" s="27" t="s">
        <v>1816</v>
      </c>
      <c r="AG350" s="27" t="s">
        <v>1817</v>
      </c>
      <c r="AH350" s="79">
        <v>1.9342934293429299</v>
      </c>
      <c r="AI350" s="83">
        <v>1.9377817853922501</v>
      </c>
      <c r="AJ350" s="80">
        <v>2.5228966986155501</v>
      </c>
      <c r="AK350" s="80">
        <v>1.76570820021299</v>
      </c>
      <c r="AL350" s="96">
        <v>53</v>
      </c>
      <c r="AM350" s="97">
        <f>SUM(AL350/Z350)</f>
        <v>2.4662633783154957E-2</v>
      </c>
      <c r="AN350" s="27" t="s">
        <v>377</v>
      </c>
      <c r="AO350" s="27">
        <v>18</v>
      </c>
      <c r="AP350" s="27">
        <v>27</v>
      </c>
      <c r="AQ350" s="27">
        <v>17</v>
      </c>
      <c r="AR350" s="27">
        <f>SUM(AO350:AQ350)</f>
        <v>62</v>
      </c>
      <c r="AS350" s="27" t="s">
        <v>5539</v>
      </c>
      <c r="AT350" s="27" t="s">
        <v>5540</v>
      </c>
      <c r="AU350" s="84" t="s">
        <v>4980</v>
      </c>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LL350" s="77"/>
      <c r="LM350" s="77"/>
      <c r="LN350" s="77"/>
      <c r="LO350" s="77"/>
      <c r="LP350" s="77"/>
      <c r="LQ350" s="77"/>
      <c r="LR350" s="77"/>
      <c r="LS350" s="77"/>
      <c r="LT350" s="77"/>
      <c r="LU350" s="77"/>
      <c r="LV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77"/>
      <c r="OF350" s="77"/>
      <c r="OG350" s="77"/>
      <c r="OH350" s="77"/>
      <c r="OI350" s="77"/>
      <c r="OJ350" s="77"/>
      <c r="OK350" s="77"/>
      <c r="OL350" s="77"/>
      <c r="OM350" s="77"/>
      <c r="ON350" s="77"/>
      <c r="OO350" s="77"/>
      <c r="OP350" s="77"/>
      <c r="OQ350" s="77"/>
      <c r="OR350" s="77"/>
      <c r="OS350" s="77"/>
      <c r="OT350" s="77"/>
      <c r="OU350" s="77"/>
      <c r="OV350" s="77"/>
      <c r="OW350" s="77"/>
      <c r="OX350" s="77"/>
      <c r="OY350" s="77"/>
      <c r="OZ350" s="77"/>
      <c r="PA350" s="77"/>
      <c r="PB350" s="77"/>
      <c r="PC350" s="77"/>
      <c r="PD350" s="77"/>
      <c r="PE350" s="77"/>
    </row>
    <row r="351" spans="1:421" ht="18.600000000000001" customHeight="1" x14ac:dyDescent="0.25">
      <c r="A351" s="119" t="s">
        <v>135</v>
      </c>
      <c r="B351" s="27" t="s">
        <v>1124</v>
      </c>
      <c r="C351" s="27" t="s">
        <v>1125</v>
      </c>
      <c r="D351" s="30" t="str">
        <f>HYPERLINK("https://twitter.com/BejiCEOfficial","https://twitter.com/BejiCEOfficial")</f>
        <v>https://twitter.com/BejiCEOfficial</v>
      </c>
      <c r="E351" s="30" t="str">
        <f>HYPERLINK("http://twiplomacy.com/info/africa/Tunisia","http://twiplomacy.com/info/africa/Tunisia")</f>
        <v>http://twiplomacy.com/info/africa/Tunisia</v>
      </c>
      <c r="F351" s="10" t="s">
        <v>1</v>
      </c>
      <c r="G351" s="10" t="s">
        <v>134</v>
      </c>
      <c r="H351" s="10" t="s">
        <v>772</v>
      </c>
      <c r="I351" s="10" t="s">
        <v>773</v>
      </c>
      <c r="J351" s="27" t="s">
        <v>779</v>
      </c>
      <c r="K351" s="10" t="s">
        <v>777</v>
      </c>
      <c r="L351" s="10" t="s">
        <v>771</v>
      </c>
      <c r="M351" s="10" t="s">
        <v>770</v>
      </c>
      <c r="N351" s="30" t="str">
        <f>HYPERLINK("https://twitter.com/BejiCEOfficial/status/510382393706835968","https://twitter.com/BejiCEOfficial/status/510382393706835968")</f>
        <v>https://twitter.com/BejiCEOfficial/status/510382393706835968</v>
      </c>
      <c r="O351" s="27" t="s">
        <v>5704</v>
      </c>
      <c r="P351" s="80">
        <v>127</v>
      </c>
      <c r="Q351" s="80">
        <v>58</v>
      </c>
      <c r="R351" s="27" t="s">
        <v>2995</v>
      </c>
      <c r="S351" s="30" t="str">
        <f>HYPERLINK("https://twitter.com/BejiCEOfficial/lists","https://twitter.com/BejiCEOfficial/lists")</f>
        <v>https://twitter.com/BejiCEOfficial/lists</v>
      </c>
      <c r="T351" s="10" t="s">
        <v>771</v>
      </c>
      <c r="U351" s="10" t="s">
        <v>771</v>
      </c>
      <c r="V351" s="10" t="s">
        <v>771</v>
      </c>
      <c r="W351" s="10"/>
      <c r="X351" s="27" t="s">
        <v>135</v>
      </c>
      <c r="Y351" s="27" t="s">
        <v>1124</v>
      </c>
      <c r="Z351" s="80">
        <v>2112</v>
      </c>
      <c r="AA351" s="27">
        <v>14</v>
      </c>
      <c r="AB351" s="80">
        <v>27755</v>
      </c>
      <c r="AC351" s="27">
        <v>59</v>
      </c>
      <c r="AD351" s="27" t="s">
        <v>3508</v>
      </c>
      <c r="AE351" s="27">
        <v>2799385956</v>
      </c>
      <c r="AF351" s="27" t="s">
        <v>1125</v>
      </c>
      <c r="AG351" s="27"/>
      <c r="AH351" s="79">
        <v>3.5116279069767402</v>
      </c>
      <c r="AI351" s="83">
        <v>3.53511705685619</v>
      </c>
      <c r="AJ351" s="80">
        <v>3.1923404255319099</v>
      </c>
      <c r="AK351" s="80">
        <v>3.1472340425531899</v>
      </c>
      <c r="AL351" s="27">
        <v>285</v>
      </c>
      <c r="AM351" s="97">
        <f>SUM(AL351/Z351)</f>
        <v>0.13494318181818182</v>
      </c>
      <c r="AN351" s="27" t="s">
        <v>135</v>
      </c>
      <c r="AO351" s="27">
        <v>0</v>
      </c>
      <c r="AP351" s="27">
        <v>4</v>
      </c>
      <c r="AQ351" s="27">
        <v>1</v>
      </c>
      <c r="AR351" s="27">
        <f>SUM(AO351:AQ351)</f>
        <v>5</v>
      </c>
      <c r="AS351" s="27"/>
      <c r="AT351" s="27" t="s">
        <v>5037</v>
      </c>
      <c r="AU351" s="84" t="s">
        <v>136</v>
      </c>
      <c r="AV351" s="77"/>
      <c r="AW351" s="77"/>
      <c r="AX351" s="77"/>
      <c r="AY351" s="77"/>
      <c r="AZ351" s="77"/>
      <c r="BA351" s="77"/>
      <c r="BB351" s="77"/>
      <c r="BC351" s="77"/>
      <c r="BD351" s="77"/>
      <c r="BE351" s="77"/>
      <c r="BF351" s="77"/>
      <c r="BG351" s="77"/>
      <c r="BH351" s="77"/>
      <c r="BI351" s="77"/>
      <c r="BJ351" s="77"/>
      <c r="BK351" s="77"/>
      <c r="BL351" s="77"/>
      <c r="BM351" s="71"/>
      <c r="BQ351" s="77"/>
      <c r="BR351" s="77"/>
      <c r="BS351" s="77"/>
      <c r="BT351" s="77"/>
      <c r="BU351" s="77"/>
      <c r="BV351" s="77"/>
      <c r="BW351" s="77"/>
      <c r="BX351" s="77"/>
      <c r="BY351" s="77"/>
      <c r="BZ351" s="77"/>
      <c r="CA351" s="77"/>
      <c r="CB351" s="77"/>
      <c r="CC351" s="77"/>
      <c r="CD351" s="77"/>
      <c r="CE351" s="77"/>
      <c r="CF351" s="77"/>
      <c r="CG351" s="77"/>
      <c r="CH351" s="77"/>
      <c r="CI351" s="77"/>
      <c r="CJ351" s="77"/>
      <c r="CK351" s="77"/>
      <c r="CL351" s="77"/>
      <c r="CM351" s="77"/>
      <c r="CN351" s="77"/>
      <c r="CO351" s="77"/>
      <c r="CP351" s="77"/>
      <c r="CQ351" s="77"/>
      <c r="CR351" s="77"/>
      <c r="CS351" s="77"/>
      <c r="CT351" s="77"/>
      <c r="CU351" s="77"/>
      <c r="CV351" s="77"/>
      <c r="CW351" s="77"/>
      <c r="EM351" s="77"/>
      <c r="EN351" s="77"/>
      <c r="EO351" s="77"/>
      <c r="EP351" s="77"/>
      <c r="EQ351" s="77"/>
      <c r="ER351" s="77"/>
      <c r="ES351" s="77"/>
      <c r="ET351" s="77"/>
      <c r="EU351" s="77"/>
      <c r="EV351" s="77"/>
      <c r="EW351" s="77"/>
      <c r="EX351" s="77"/>
      <c r="EY351" s="77"/>
      <c r="EZ351" s="77"/>
      <c r="FA351" s="77"/>
      <c r="FB351" s="77"/>
      <c r="FC351" s="77"/>
      <c r="FD351" s="77"/>
      <c r="FE351" s="77"/>
      <c r="FF351" s="77"/>
      <c r="FG351" s="77"/>
      <c r="FH351" s="77"/>
      <c r="FI351" s="77"/>
      <c r="FJ351" s="77"/>
      <c r="FK351" s="77"/>
      <c r="FL351" s="77"/>
      <c r="FM351" s="77"/>
      <c r="FN351" s="77"/>
      <c r="FO351" s="77"/>
      <c r="FP351" s="77"/>
      <c r="FQ351" s="77"/>
      <c r="FR351" s="77"/>
      <c r="FS351" s="77"/>
      <c r="FT351" s="77"/>
      <c r="FU351" s="77"/>
      <c r="FV351" s="77"/>
      <c r="FW351" s="77"/>
      <c r="FX351" s="77"/>
      <c r="FY351" s="77"/>
      <c r="FZ351" s="77"/>
      <c r="GA351" s="77"/>
      <c r="GB351" s="77"/>
      <c r="GC351" s="77"/>
      <c r="GD351" s="77"/>
      <c r="GE351" s="77"/>
      <c r="GF351" s="77"/>
      <c r="GG351" s="77"/>
      <c r="GH351" s="77"/>
      <c r="GI351" s="77"/>
      <c r="GJ351" s="77"/>
      <c r="GK351" s="77"/>
      <c r="GL351" s="77"/>
      <c r="GM351" s="77"/>
      <c r="GN351" s="77"/>
      <c r="GO351" s="77"/>
      <c r="GP351" s="77"/>
      <c r="GQ351" s="77"/>
      <c r="GR351" s="77"/>
      <c r="GS351" s="77"/>
      <c r="GT351" s="77"/>
      <c r="GU351" s="77"/>
      <c r="GV351" s="77"/>
      <c r="GW351" s="77"/>
      <c r="GX351" s="77"/>
      <c r="GY351" s="77"/>
      <c r="GZ351" s="77"/>
      <c r="HA351" s="77"/>
      <c r="HB351" s="77"/>
      <c r="HC351" s="77"/>
      <c r="HD351" s="77"/>
      <c r="HE351" s="77"/>
      <c r="HF351" s="77"/>
      <c r="HG351" s="77"/>
      <c r="HH351" s="77"/>
      <c r="HI351" s="77"/>
      <c r="HJ351" s="77"/>
      <c r="HK351" s="77"/>
      <c r="HL351" s="77"/>
      <c r="HM351" s="77"/>
      <c r="HN351" s="77"/>
      <c r="HO351" s="77"/>
      <c r="HP351" s="77"/>
      <c r="HQ351" s="77"/>
      <c r="HR351" s="77"/>
      <c r="HS351" s="77"/>
      <c r="HT351" s="77"/>
      <c r="HU351" s="77"/>
      <c r="HV351" s="77"/>
      <c r="HW351" s="77"/>
      <c r="HX351" s="77"/>
      <c r="HY351" s="77"/>
      <c r="HZ351" s="77"/>
      <c r="IA351" s="77"/>
      <c r="IB351" s="77"/>
      <c r="IC351" s="77"/>
      <c r="ID351" s="77"/>
      <c r="IE351" s="77"/>
      <c r="IF351" s="77"/>
      <c r="IG351" s="77"/>
      <c r="IH351" s="77"/>
      <c r="II351" s="77"/>
      <c r="IJ351" s="77"/>
      <c r="IK351" s="77"/>
      <c r="IL351" s="77"/>
      <c r="IM351" s="77"/>
      <c r="IN351" s="77"/>
      <c r="IO351" s="77"/>
      <c r="IP351" s="77"/>
      <c r="IQ351" s="77"/>
      <c r="IR351" s="77"/>
      <c r="IS351" s="77"/>
      <c r="IT351" s="77"/>
      <c r="IU351" s="77"/>
      <c r="IV351" s="77"/>
      <c r="IW351" s="77"/>
      <c r="IX351" s="77"/>
      <c r="IY351" s="77"/>
      <c r="IZ351" s="77"/>
      <c r="JA351" s="77"/>
      <c r="JB351" s="77"/>
      <c r="JC351" s="77"/>
      <c r="JD351" s="77"/>
      <c r="JE351" s="77"/>
      <c r="JF351" s="77"/>
      <c r="JG351" s="77"/>
      <c r="JH351" s="77"/>
      <c r="JI351" s="77"/>
      <c r="JJ351" s="77"/>
      <c r="JK351" s="77"/>
      <c r="JL351" s="77"/>
      <c r="JM351" s="77"/>
      <c r="JN351" s="77"/>
      <c r="JO351" s="77"/>
      <c r="JP351" s="77"/>
      <c r="JQ351" s="77"/>
      <c r="JR351" s="77"/>
      <c r="JS351" s="77"/>
      <c r="JT351" s="77"/>
      <c r="JU351" s="77"/>
      <c r="JV351" s="77"/>
      <c r="JW351" s="77"/>
      <c r="JX351" s="77"/>
      <c r="JY351" s="77"/>
      <c r="JZ351" s="77"/>
      <c r="KA351" s="77"/>
      <c r="KB351" s="77"/>
      <c r="KC351" s="77"/>
      <c r="KD351" s="77"/>
      <c r="KE351" s="77"/>
      <c r="KF351" s="77"/>
      <c r="KG351" s="77"/>
      <c r="KH351" s="77"/>
      <c r="KI351" s="77"/>
      <c r="KJ351" s="77"/>
      <c r="KK351" s="77"/>
      <c r="KL351" s="77"/>
      <c r="KM351" s="77"/>
      <c r="KN351" s="77"/>
      <c r="KO351" s="77"/>
      <c r="KP351" s="77"/>
      <c r="KQ351" s="77"/>
      <c r="KR351" s="77"/>
      <c r="KS351" s="77"/>
      <c r="KT351" s="77"/>
      <c r="KU351" s="77"/>
      <c r="KV351" s="77"/>
      <c r="KW351" s="77"/>
      <c r="KX351" s="77"/>
      <c r="KY351" s="77"/>
      <c r="KZ351" s="77"/>
      <c r="LA351" s="77"/>
      <c r="LB351" s="77"/>
      <c r="LC351" s="77"/>
      <c r="LD351" s="77"/>
      <c r="LE351" s="77"/>
      <c r="LF351" s="77"/>
      <c r="LG351" s="77"/>
      <c r="LH351" s="77"/>
      <c r="LI351" s="77"/>
      <c r="LJ351" s="77"/>
      <c r="LK351" s="77"/>
      <c r="LL351" s="77"/>
      <c r="LM351" s="77"/>
      <c r="LN351" s="77"/>
      <c r="LO351" s="77"/>
      <c r="LP351" s="77"/>
      <c r="LQ351" s="77"/>
      <c r="LR351" s="77"/>
      <c r="LS351" s="77"/>
      <c r="LT351" s="77"/>
      <c r="LU351" s="77"/>
      <c r="LV351" s="77"/>
      <c r="ND351" s="77"/>
    </row>
    <row r="352" spans="1:421" ht="18.600000000000001" customHeight="1" x14ac:dyDescent="0.25">
      <c r="A352" s="119" t="s">
        <v>2705</v>
      </c>
      <c r="B352" s="27" t="s">
        <v>2706</v>
      </c>
      <c r="C352" s="27" t="s">
        <v>3867</v>
      </c>
      <c r="D352" s="30" t="str">
        <f>HYPERLINK("https://twitter.com/Itamaraty_EN","https://twitter.com/Itamaraty_EN")</f>
        <v>https://twitter.com/Itamaraty_EN</v>
      </c>
      <c r="E352" s="30" t="str">
        <f>HYPERLINK("http://twiplomacy.com/info/south-america/Brazil","http://twiplomacy.com/info/south-america/Brazil")</f>
        <v>http://twiplomacy.com/info/south-america/Brazil</v>
      </c>
      <c r="F352" s="10" t="s">
        <v>668</v>
      </c>
      <c r="G352" s="10" t="s">
        <v>673</v>
      </c>
      <c r="H352" s="10" t="s">
        <v>795</v>
      </c>
      <c r="I352" s="10" t="s">
        <v>782</v>
      </c>
      <c r="J352" s="27" t="s">
        <v>785</v>
      </c>
      <c r="K352" s="15" t="s">
        <v>777</v>
      </c>
      <c r="L352" s="10" t="s">
        <v>771</v>
      </c>
      <c r="M352" s="10" t="s">
        <v>770</v>
      </c>
      <c r="N352" s="72" t="str">
        <f>HYPERLINK("https://twitter.com/luiz_figueiredo/status/525630783881768960","https://twitter.com/luiz_figueiredo/status/525630783881768960")</f>
        <v>https://twitter.com/luiz_figueiredo/status/525630783881768960</v>
      </c>
      <c r="O352" s="27" t="s">
        <v>2707</v>
      </c>
      <c r="P352" s="80">
        <v>166</v>
      </c>
      <c r="Q352" s="80">
        <v>102</v>
      </c>
      <c r="R352" s="27" t="s">
        <v>2994</v>
      </c>
      <c r="S352" s="30" t="str">
        <f>HYPERLINK("https://twitter.com/Itamaraty_EN/lists","https://twitter.com/Itamaraty_EN/lists")</f>
        <v>https://twitter.com/Itamaraty_EN/lists</v>
      </c>
      <c r="T352" s="10" t="s">
        <v>771</v>
      </c>
      <c r="U352" s="10">
        <v>1</v>
      </c>
      <c r="V352" s="10" t="s">
        <v>771</v>
      </c>
      <c r="W352" s="10"/>
      <c r="X352" s="27" t="s">
        <v>2705</v>
      </c>
      <c r="Y352" s="27" t="s">
        <v>2706</v>
      </c>
      <c r="Z352" s="80">
        <v>2102</v>
      </c>
      <c r="AA352" s="27">
        <v>607</v>
      </c>
      <c r="AB352" s="80">
        <v>2218</v>
      </c>
      <c r="AC352" s="27">
        <v>365</v>
      </c>
      <c r="AD352" s="27" t="s">
        <v>3868</v>
      </c>
      <c r="AE352" s="27">
        <v>2784508755</v>
      </c>
      <c r="AF352" s="27" t="s">
        <v>3867</v>
      </c>
      <c r="AG352" s="27" t="s">
        <v>2708</v>
      </c>
      <c r="AH352" s="79">
        <v>3.5993150684931501</v>
      </c>
      <c r="AI352" s="83">
        <v>3.8010849909584099</v>
      </c>
      <c r="AJ352" s="80">
        <v>2.36575562700965</v>
      </c>
      <c r="AK352" s="80">
        <v>1.5434083601286199</v>
      </c>
      <c r="AL352" s="27">
        <v>76</v>
      </c>
      <c r="AM352" s="97">
        <f>SUM(AL352/Z352)</f>
        <v>3.6156041864890583E-2</v>
      </c>
      <c r="AN352" s="27" t="s">
        <v>2705</v>
      </c>
      <c r="AO352" s="27">
        <v>186</v>
      </c>
      <c r="AP352" s="27">
        <v>6</v>
      </c>
      <c r="AQ352" s="27">
        <v>45</v>
      </c>
      <c r="AR352" s="27">
        <f>SUM(AO352:AQ352)</f>
        <v>237</v>
      </c>
      <c r="AS352" s="27" t="s">
        <v>6927</v>
      </c>
      <c r="AT352" s="27" t="s">
        <v>5210</v>
      </c>
      <c r="AU352" s="84" t="s">
        <v>6494</v>
      </c>
      <c r="AV352" s="77"/>
      <c r="AW352" s="77"/>
      <c r="AX352" s="77"/>
      <c r="AY352" s="77"/>
      <c r="AZ352" s="77"/>
      <c r="BA352" s="77"/>
      <c r="BB352" s="77"/>
      <c r="BC352" s="77"/>
      <c r="BD352" s="77"/>
      <c r="BE352" s="77"/>
      <c r="BF352" s="77"/>
      <c r="BG352" s="77"/>
      <c r="BH352" s="77"/>
      <c r="BI352" s="77"/>
      <c r="BJ352" s="77"/>
      <c r="BK352" s="77"/>
      <c r="BL352" s="77"/>
      <c r="BM352" s="77"/>
      <c r="BN352" s="77"/>
      <c r="BO352" s="77"/>
      <c r="BP352" s="77"/>
      <c r="BQ352" s="77"/>
      <c r="BR352" s="77"/>
      <c r="BS352" s="77"/>
      <c r="BT352" s="77"/>
      <c r="BU352" s="77"/>
      <c r="BV352" s="77"/>
      <c r="BW352" s="77"/>
      <c r="BX352" s="77"/>
      <c r="BY352" s="77"/>
      <c r="BZ352" s="77"/>
      <c r="CA352" s="77"/>
      <c r="CB352" s="77"/>
      <c r="CC352" s="77"/>
      <c r="CD352" s="77"/>
      <c r="CE352" s="77"/>
      <c r="CF352" s="77"/>
      <c r="CG352" s="77"/>
      <c r="CH352" s="77"/>
      <c r="CI352" s="77"/>
      <c r="CJ352" s="77"/>
      <c r="CK352" s="77"/>
      <c r="CL352" s="77"/>
      <c r="CM352" s="77"/>
      <c r="CN352" s="77"/>
      <c r="CO352" s="77"/>
      <c r="CP352" s="77"/>
      <c r="CQ352" s="77"/>
      <c r="CR352" s="77"/>
      <c r="CS352" s="77"/>
      <c r="CT352" s="77"/>
      <c r="CU352" s="77"/>
      <c r="CV352" s="77"/>
      <c r="CW352" s="77"/>
      <c r="CX352" s="77"/>
      <c r="CY352" s="77"/>
      <c r="CZ352" s="77"/>
      <c r="DA352" s="77"/>
      <c r="DB352" s="77"/>
      <c r="DC352" s="77"/>
      <c r="DD352" s="77"/>
      <c r="DE352" s="77"/>
      <c r="DF352" s="77"/>
      <c r="DG352" s="77"/>
      <c r="DH352" s="77"/>
      <c r="DI352" s="77"/>
      <c r="DJ352" s="77"/>
      <c r="DK352" s="77"/>
      <c r="DL352" s="77"/>
      <c r="DM352" s="77"/>
      <c r="DN352" s="77"/>
      <c r="DO352" s="77"/>
      <c r="DP352" s="77"/>
      <c r="DQ352" s="77"/>
      <c r="DR352" s="77"/>
      <c r="DS352" s="77"/>
      <c r="DT352" s="77"/>
      <c r="DU352" s="77"/>
      <c r="DV352" s="77"/>
      <c r="DW352" s="77"/>
      <c r="DX352" s="77"/>
      <c r="DY352" s="77"/>
      <c r="DZ352" s="77"/>
      <c r="EA352" s="77"/>
      <c r="EB352" s="77"/>
      <c r="EC352" s="77"/>
      <c r="ED352" s="77"/>
      <c r="EE352" s="77"/>
      <c r="EF352" s="77"/>
      <c r="EG352" s="77"/>
      <c r="EH352" s="77"/>
      <c r="EI352" s="77"/>
      <c r="EJ352" s="77"/>
      <c r="EK352" s="77"/>
      <c r="EL352" s="77"/>
      <c r="EM352" s="77"/>
      <c r="EN352" s="77"/>
      <c r="EO352" s="77"/>
      <c r="EP352" s="77"/>
      <c r="EQ352" s="77"/>
      <c r="HL352" s="77"/>
      <c r="HM352" s="77"/>
      <c r="HN352" s="77"/>
      <c r="HO352" s="77"/>
      <c r="HP352" s="77"/>
      <c r="HQ352" s="77"/>
      <c r="HR352" s="77"/>
      <c r="HS352" s="77"/>
      <c r="HT352" s="77"/>
      <c r="HU352" s="77"/>
      <c r="HV352" s="77"/>
      <c r="HW352" s="77"/>
      <c r="HX352" s="77"/>
      <c r="HY352" s="77"/>
      <c r="HZ352" s="77"/>
      <c r="IA352" s="77"/>
      <c r="IB352" s="77"/>
      <c r="IC352" s="77"/>
      <c r="KM352" s="77"/>
      <c r="KN352" s="77"/>
      <c r="KO352" s="77"/>
      <c r="KP352" s="77"/>
      <c r="KQ352" s="77"/>
      <c r="KR352" s="77"/>
      <c r="KS352" s="77"/>
      <c r="KT352" s="77"/>
      <c r="KU352" s="77"/>
      <c r="KV352" s="77"/>
      <c r="KW352" s="77"/>
      <c r="KX352" s="77"/>
      <c r="KY352" s="77"/>
      <c r="KZ352" s="77"/>
      <c r="LA352" s="77"/>
      <c r="LB352" s="77"/>
      <c r="LC352" s="77"/>
      <c r="LD352" s="77"/>
      <c r="LE352" s="77"/>
      <c r="LF352" s="77"/>
      <c r="LG352" s="77"/>
      <c r="LH352" s="77"/>
      <c r="LI352" s="77"/>
      <c r="LJ352" s="77"/>
      <c r="LK352" s="77"/>
      <c r="LW352" s="77"/>
      <c r="LX352" s="77"/>
      <c r="MT352" s="77"/>
      <c r="MU352" s="77"/>
      <c r="MV352" s="77"/>
      <c r="MW352" s="77"/>
      <c r="MX352" s="77"/>
      <c r="MY352" s="77"/>
      <c r="MZ352" s="77"/>
      <c r="NA352" s="77"/>
      <c r="NB352" s="77"/>
      <c r="NC352" s="77"/>
    </row>
    <row r="353" spans="1:368" ht="18.600000000000001" customHeight="1" x14ac:dyDescent="0.25">
      <c r="A353" s="119" t="s">
        <v>466</v>
      </c>
      <c r="B353" s="27" t="s">
        <v>2072</v>
      </c>
      <c r="C353" s="27" t="s">
        <v>4584</v>
      </c>
      <c r="D353" s="30" t="str">
        <f>HYPERLINK("https://twitter.com/VladaCG","https://twitter.com/VladaCG")</f>
        <v>https://twitter.com/VladaCG</v>
      </c>
      <c r="E353" s="30" t="str">
        <f>HYPERLINK("http://twiplomacy.com/info/europe/Montenegro","http://twiplomacy.com/info/europe/Montenegro")</f>
        <v>http://twiplomacy.com/info/europe/Montenegro</v>
      </c>
      <c r="F353" s="10" t="s">
        <v>332</v>
      </c>
      <c r="G353" s="10" t="s">
        <v>464</v>
      </c>
      <c r="H353" s="10" t="s">
        <v>788</v>
      </c>
      <c r="I353" s="10" t="s">
        <v>782</v>
      </c>
      <c r="J353" s="27" t="s">
        <v>789</v>
      </c>
      <c r="K353" s="15" t="s">
        <v>777</v>
      </c>
      <c r="L353" s="10" t="s">
        <v>771</v>
      </c>
      <c r="M353" s="10" t="s">
        <v>771</v>
      </c>
      <c r="N353" s="30" t="str">
        <f>HYPERLINK("https://twitter.com/VladaCG/statuses/248431012151980032","https://twitter.com/VladaCG/statuses/248431012151980032")</f>
        <v>https://twitter.com/VladaCG/statuses/248431012151980032</v>
      </c>
      <c r="O353" s="27" t="s">
        <v>6129</v>
      </c>
      <c r="P353" s="80">
        <v>245</v>
      </c>
      <c r="Q353" s="80">
        <v>220</v>
      </c>
      <c r="R353" s="27" t="s">
        <v>2994</v>
      </c>
      <c r="S353" s="10" t="s">
        <v>2073</v>
      </c>
      <c r="T353" s="10" t="s">
        <v>771</v>
      </c>
      <c r="U353" s="10" t="s">
        <v>771</v>
      </c>
      <c r="V353" s="10" t="s">
        <v>771</v>
      </c>
      <c r="W353" s="10"/>
      <c r="X353" s="27" t="s">
        <v>466</v>
      </c>
      <c r="Y353" s="27" t="s">
        <v>2072</v>
      </c>
      <c r="Z353" s="80">
        <v>2068</v>
      </c>
      <c r="AA353" s="27">
        <v>219</v>
      </c>
      <c r="AB353" s="80">
        <v>6493</v>
      </c>
      <c r="AC353" s="27">
        <v>1040</v>
      </c>
      <c r="AD353" s="27" t="s">
        <v>4585</v>
      </c>
      <c r="AE353" s="27">
        <v>450605189</v>
      </c>
      <c r="AF353" s="27" t="s">
        <v>4584</v>
      </c>
      <c r="AG353" s="27" t="s">
        <v>464</v>
      </c>
      <c r="AH353" s="79">
        <v>1.30473186119874</v>
      </c>
      <c r="AI353" s="83">
        <v>1.56590909090909</v>
      </c>
      <c r="AJ353" s="80">
        <v>1.8406344410876101</v>
      </c>
      <c r="AK353" s="80">
        <v>3.2794561933534698</v>
      </c>
      <c r="AL353" s="96">
        <v>92</v>
      </c>
      <c r="AM353" s="97">
        <f>SUM(AL353/Z353)</f>
        <v>4.4487427466150871E-2</v>
      </c>
      <c r="AN353" s="27" t="s">
        <v>466</v>
      </c>
      <c r="AO353" s="27">
        <v>35</v>
      </c>
      <c r="AP353" s="27">
        <v>6</v>
      </c>
      <c r="AQ353" s="27">
        <v>14</v>
      </c>
      <c r="AR353" s="27">
        <f>SUM(AO353:AQ353)</f>
        <v>55</v>
      </c>
      <c r="AS353" s="27" t="s">
        <v>6266</v>
      </c>
      <c r="AT353" s="27" t="s">
        <v>5557</v>
      </c>
      <c r="AU353" s="84" t="s">
        <v>6196</v>
      </c>
      <c r="AV353" s="77"/>
      <c r="AW353" s="77"/>
      <c r="AX353" s="77"/>
      <c r="AY353" s="77"/>
      <c r="AZ353" s="77"/>
      <c r="BA353" s="77"/>
      <c r="BB353" s="77"/>
      <c r="BC353" s="77"/>
      <c r="BD353" s="77"/>
      <c r="BE353" s="77"/>
      <c r="BF353" s="77"/>
      <c r="BG353" s="77"/>
      <c r="BH353" s="77"/>
      <c r="BI353" s="77"/>
      <c r="BJ353" s="77"/>
      <c r="BK353" s="77"/>
      <c r="BL353" s="77"/>
      <c r="BM353" s="77"/>
      <c r="BN353" s="77"/>
      <c r="BO353" s="77"/>
      <c r="BP353" s="77"/>
      <c r="BQ353" s="77"/>
      <c r="BR353" s="77"/>
      <c r="BS353" s="77"/>
      <c r="BT353" s="77"/>
      <c r="BU353" s="77"/>
      <c r="BV353" s="77"/>
      <c r="BW353" s="77"/>
      <c r="BX353" s="77"/>
      <c r="BY353" s="77"/>
      <c r="BZ353" s="77"/>
      <c r="CA353" s="77"/>
      <c r="CB353" s="77"/>
      <c r="CX353" s="77"/>
      <c r="CY353" s="77"/>
      <c r="CZ353" s="77"/>
      <c r="DA353" s="77"/>
      <c r="DB353" s="77"/>
      <c r="DC353" s="77"/>
      <c r="DD353" s="77"/>
      <c r="DE353" s="77"/>
      <c r="DF353" s="77"/>
      <c r="DG353" s="77"/>
      <c r="DH353" s="77"/>
      <c r="DI353" s="77"/>
      <c r="DJ353" s="77"/>
      <c r="DK353" s="77"/>
      <c r="DL353" s="77"/>
      <c r="DM353" s="77"/>
      <c r="DN353" s="77"/>
      <c r="DO353" s="77"/>
      <c r="DP353" s="77"/>
      <c r="DQ353" s="77"/>
      <c r="DR353" s="77"/>
      <c r="DS353" s="77"/>
      <c r="DT353" s="77"/>
      <c r="DU353" s="77"/>
      <c r="DV353" s="77"/>
      <c r="DW353" s="77"/>
      <c r="DX353" s="77"/>
      <c r="DY353" s="77"/>
      <c r="DZ353" s="77"/>
      <c r="EA353" s="77"/>
      <c r="EB353" s="77"/>
      <c r="EC353" s="77"/>
      <c r="ED353" s="77"/>
      <c r="EE353" s="77"/>
      <c r="EF353" s="77"/>
      <c r="EG353" s="77"/>
      <c r="EH353" s="77"/>
      <c r="EI353" s="77"/>
      <c r="EJ353" s="77"/>
      <c r="EK353" s="77"/>
      <c r="EL353" s="77"/>
      <c r="EP353" s="77"/>
      <c r="EQ353" s="77"/>
      <c r="ER353" s="77"/>
      <c r="ES353" s="77"/>
      <c r="ET353" s="77"/>
      <c r="EU353" s="77"/>
      <c r="EV353" s="77"/>
      <c r="EW353" s="77"/>
      <c r="EX353" s="77"/>
      <c r="EY353" s="77"/>
      <c r="EZ353" s="77"/>
      <c r="FA353" s="77"/>
      <c r="FB353" s="77"/>
      <c r="FC353" s="77"/>
      <c r="FD353" s="77"/>
      <c r="FE353" s="77"/>
      <c r="FF353" s="77"/>
      <c r="FG353" s="77"/>
      <c r="FH353" s="77"/>
      <c r="FI353" s="77"/>
      <c r="FJ353" s="77"/>
      <c r="FK353" s="77"/>
      <c r="FL353" s="77"/>
      <c r="FM353" s="77"/>
      <c r="FN353" s="77"/>
      <c r="FO353" s="77"/>
      <c r="FP353" s="77"/>
      <c r="FQ353" s="77"/>
      <c r="FR353" s="77"/>
      <c r="FS353" s="77"/>
      <c r="FT353" s="77"/>
      <c r="FU353" s="77"/>
      <c r="FV353" s="77"/>
      <c r="FW353" s="77"/>
      <c r="FX353" s="77"/>
      <c r="FY353" s="77"/>
      <c r="FZ353" s="77"/>
      <c r="GA353" s="77"/>
      <c r="GB353" s="77"/>
      <c r="GC353" s="77"/>
      <c r="GD353" s="77"/>
      <c r="GE353" s="77"/>
      <c r="GF353" s="77"/>
      <c r="GG353" s="77"/>
      <c r="GH353" s="77"/>
      <c r="GI353" s="77"/>
      <c r="GJ353" s="77"/>
      <c r="GK353" s="77"/>
      <c r="GL353" s="77"/>
      <c r="GM353" s="77"/>
      <c r="GN353" s="77"/>
      <c r="GO353" s="77"/>
      <c r="GP353" s="77"/>
      <c r="GQ353" s="77"/>
      <c r="GR353" s="77"/>
      <c r="GS353" s="77"/>
      <c r="GT353" s="77"/>
      <c r="GU353" s="77"/>
      <c r="GV353" s="77"/>
      <c r="GW353" s="77"/>
      <c r="GX353" s="77"/>
      <c r="GY353" s="77"/>
      <c r="GZ353" s="77"/>
      <c r="HA353" s="77"/>
      <c r="HB353" s="77"/>
      <c r="HC353" s="77"/>
      <c r="HD353" s="77"/>
      <c r="HE353" s="77"/>
      <c r="HF353" s="77"/>
      <c r="HG353" s="77"/>
      <c r="HH353" s="77"/>
      <c r="HI353" s="77"/>
      <c r="HJ353" s="77"/>
      <c r="HK353" s="77"/>
      <c r="HL353" s="77"/>
      <c r="HM353" s="77"/>
      <c r="HN353" s="77"/>
      <c r="HO353" s="77"/>
      <c r="HP353" s="77"/>
      <c r="HQ353" s="77"/>
      <c r="HR353" s="77"/>
      <c r="HS353" s="77"/>
      <c r="HT353" s="77"/>
      <c r="HU353" s="77"/>
      <c r="HV353" s="77"/>
      <c r="HW353" s="77"/>
      <c r="HX353" s="77"/>
      <c r="HY353" s="77"/>
      <c r="HZ353" s="77"/>
      <c r="IA353" s="77"/>
      <c r="IB353" s="77"/>
      <c r="IC353" s="77"/>
      <c r="ID353" s="77"/>
      <c r="IE353" s="77"/>
      <c r="KM353" s="77"/>
      <c r="KN353" s="77"/>
      <c r="KO353" s="77"/>
      <c r="KP353" s="77"/>
      <c r="KQ353" s="77"/>
      <c r="KR353" s="77"/>
      <c r="KS353" s="77"/>
      <c r="KT353" s="77"/>
      <c r="KU353" s="77"/>
      <c r="KV353" s="77"/>
      <c r="KW353" s="77"/>
      <c r="KX353" s="77"/>
      <c r="KY353" s="77"/>
      <c r="KZ353" s="77"/>
      <c r="LA353" s="77"/>
      <c r="LB353" s="77"/>
      <c r="LC353" s="77"/>
      <c r="LD353" s="77"/>
      <c r="LE353" s="77"/>
      <c r="LF353" s="77"/>
      <c r="LG353" s="77"/>
      <c r="LH353" s="77"/>
      <c r="LI353" s="77"/>
      <c r="LJ353" s="77"/>
      <c r="LK353" s="77"/>
      <c r="LL353" s="77"/>
      <c r="LM353" s="77"/>
      <c r="LN353" s="77"/>
      <c r="LO353" s="77"/>
      <c r="LP353" s="77"/>
      <c r="LQ353" s="77"/>
      <c r="LR353" s="77"/>
      <c r="LS353" s="77"/>
      <c r="LT353" s="77"/>
      <c r="LU353" s="77"/>
      <c r="LV353" s="77"/>
      <c r="LY353" s="77"/>
      <c r="LZ353" s="77"/>
      <c r="MA353" s="77"/>
      <c r="MB353" s="77"/>
      <c r="MC353" s="77"/>
      <c r="MD353" s="77"/>
      <c r="ME353" s="77"/>
      <c r="MF353" s="77"/>
      <c r="MG353" s="77"/>
      <c r="MH353" s="77"/>
      <c r="MI353" s="77"/>
      <c r="MJ353" s="77"/>
      <c r="MK353" s="77"/>
      <c r="ML353" s="77"/>
      <c r="MM353" s="77"/>
      <c r="MN353" s="77"/>
      <c r="MO353" s="77"/>
      <c r="MP353" s="77"/>
      <c r="MQ353" s="77"/>
      <c r="MR353" s="77"/>
      <c r="MS353" s="16"/>
    </row>
    <row r="354" spans="1:368" ht="18.600000000000001" customHeight="1" x14ac:dyDescent="0.25">
      <c r="A354" s="119" t="s">
        <v>535</v>
      </c>
      <c r="B354" s="27" t="s">
        <v>2246</v>
      </c>
      <c r="C354" s="27" t="s">
        <v>2247</v>
      </c>
      <c r="D354" s="30" t="str">
        <f>HYPERLINK("https://twitter.com/BR_Sprecher","https://twitter.com/BR_Sprecher")</f>
        <v>https://twitter.com/BR_Sprecher</v>
      </c>
      <c r="E354" s="30" t="str">
        <f>HYPERLINK("http://twiplomacy.com/info/europe/Switzerland","http://twiplomacy.com/info/europe/Switzerland")</f>
        <v>http://twiplomacy.com/info/europe/Switzerland</v>
      </c>
      <c r="F354" s="10" t="s">
        <v>332</v>
      </c>
      <c r="G354" s="10" t="s">
        <v>534</v>
      </c>
      <c r="H354" s="10" t="s">
        <v>788</v>
      </c>
      <c r="I354" s="10" t="s">
        <v>782</v>
      </c>
      <c r="J354" s="27" t="s">
        <v>1716</v>
      </c>
      <c r="K354" s="15" t="s">
        <v>777</v>
      </c>
      <c r="L354" s="10" t="s">
        <v>770</v>
      </c>
      <c r="M354" s="10" t="s">
        <v>770</v>
      </c>
      <c r="N354" s="30" t="str">
        <f>HYPERLINK("https://twitter.com/BR_Sprecher/statuses/212921588478263296","https://twitter.com/BR_Sprecher/statuses/212921588478263296")</f>
        <v>https://twitter.com/BR_Sprecher/statuses/212921588478263296</v>
      </c>
      <c r="O354" s="27" t="s">
        <v>5716</v>
      </c>
      <c r="P354" s="80">
        <v>230</v>
      </c>
      <c r="Q354" s="80">
        <v>122</v>
      </c>
      <c r="R354" s="27" t="s">
        <v>2994</v>
      </c>
      <c r="S354" s="10" t="s">
        <v>2248</v>
      </c>
      <c r="T354" s="10" t="s">
        <v>771</v>
      </c>
      <c r="U354" s="10" t="s">
        <v>771</v>
      </c>
      <c r="V354" s="10" t="s">
        <v>771</v>
      </c>
      <c r="W354" s="10"/>
      <c r="X354" s="27" t="s">
        <v>535</v>
      </c>
      <c r="Y354" s="27" t="s">
        <v>2246</v>
      </c>
      <c r="Z354" s="80">
        <v>2068</v>
      </c>
      <c r="AA354" s="27">
        <v>29</v>
      </c>
      <c r="AB354" s="80">
        <v>14580</v>
      </c>
      <c r="AC354" s="27">
        <v>2</v>
      </c>
      <c r="AD354" s="27" t="s">
        <v>3524</v>
      </c>
      <c r="AE354" s="27">
        <v>311941092</v>
      </c>
      <c r="AF354" s="27" t="s">
        <v>2247</v>
      </c>
      <c r="AG354" s="27" t="s">
        <v>2249</v>
      </c>
      <c r="AH354" s="79">
        <v>1.1540178571428601</v>
      </c>
      <c r="AI354" s="83">
        <v>1.45871559633028</v>
      </c>
      <c r="AJ354" s="80">
        <v>2.2016713091922</v>
      </c>
      <c r="AK354" s="80">
        <v>1.2852367688022299</v>
      </c>
      <c r="AL354" s="27">
        <v>134</v>
      </c>
      <c r="AM354" s="97">
        <f>SUM(AL354/Z354)</f>
        <v>6.479690522243714E-2</v>
      </c>
      <c r="AN354" s="27" t="s">
        <v>535</v>
      </c>
      <c r="AO354" s="27">
        <v>3</v>
      </c>
      <c r="AP354" s="27">
        <v>4</v>
      </c>
      <c r="AQ354" s="27">
        <v>4</v>
      </c>
      <c r="AR354" s="27">
        <f>SUM(AO354:AQ354)</f>
        <v>11</v>
      </c>
      <c r="AS354" s="27" t="s">
        <v>5044</v>
      </c>
      <c r="AT354" s="27" t="s">
        <v>5045</v>
      </c>
      <c r="AU354" s="84" t="s">
        <v>4664</v>
      </c>
      <c r="AV354" s="77"/>
      <c r="AW354" s="77"/>
      <c r="AX354" s="77"/>
      <c r="AY354" s="77"/>
      <c r="AZ354" s="77"/>
      <c r="BA354" s="77"/>
      <c r="BB354" s="77"/>
      <c r="BC354" s="77"/>
      <c r="BD354" s="77"/>
      <c r="BE354" s="77"/>
      <c r="BF354" s="77"/>
      <c r="BG354" s="77"/>
      <c r="BH354" s="77"/>
      <c r="BI354" s="77"/>
      <c r="BJ354" s="77"/>
      <c r="BK354" s="77"/>
      <c r="BL354" s="77"/>
      <c r="BM354" s="77"/>
      <c r="BN354" s="77"/>
      <c r="BO354" s="77"/>
      <c r="BP354" s="77"/>
      <c r="BQ354" s="77"/>
      <c r="BR354" s="77"/>
      <c r="BS354" s="77"/>
      <c r="BT354" s="77"/>
      <c r="BU354" s="77"/>
      <c r="BV354" s="77"/>
      <c r="BW354" s="77"/>
      <c r="BX354" s="77"/>
      <c r="BY354" s="77"/>
      <c r="BZ354" s="77"/>
      <c r="CA354" s="77"/>
      <c r="CB354" s="77"/>
      <c r="CC354" s="77"/>
      <c r="CD354" s="77"/>
      <c r="CE354" s="77"/>
      <c r="CF354" s="77"/>
      <c r="CG354" s="77"/>
      <c r="CH354" s="77"/>
      <c r="CI354" s="77"/>
      <c r="CJ354" s="77"/>
      <c r="CK354" s="77"/>
      <c r="CL354" s="77"/>
      <c r="CM354" s="77"/>
      <c r="CN354" s="77"/>
      <c r="CO354" s="77"/>
      <c r="CP354" s="77"/>
      <c r="CQ354" s="77"/>
      <c r="CR354" s="77"/>
      <c r="CS354" s="77"/>
      <c r="CT354" s="77"/>
      <c r="CU354" s="77"/>
      <c r="CV354" s="77"/>
      <c r="CW354" s="77"/>
      <c r="CX354" s="77"/>
      <c r="CY354" s="77"/>
      <c r="CZ354" s="77"/>
      <c r="DA354" s="77"/>
      <c r="DB354" s="77"/>
      <c r="DC354" s="77"/>
      <c r="DD354" s="77"/>
      <c r="DE354" s="77"/>
      <c r="DF354" s="77"/>
      <c r="DG354" s="77"/>
      <c r="DH354" s="77"/>
      <c r="DI354" s="77"/>
      <c r="DJ354" s="77"/>
      <c r="DK354" s="77"/>
      <c r="DL354" s="77"/>
      <c r="DM354" s="77"/>
      <c r="DN354" s="77"/>
      <c r="DO354" s="77"/>
      <c r="DP354" s="77"/>
      <c r="DQ354" s="77"/>
      <c r="DR354" s="77"/>
      <c r="DS354" s="77"/>
      <c r="DT354" s="77"/>
      <c r="DU354" s="77"/>
      <c r="DV354" s="77"/>
      <c r="DW354" s="77"/>
      <c r="DX354" s="77"/>
      <c r="DY354" s="77"/>
      <c r="DZ354" s="77"/>
      <c r="EA354" s="77"/>
      <c r="EB354" s="77"/>
      <c r="EC354" s="77"/>
      <c r="ED354" s="77"/>
      <c r="EE354" s="77"/>
      <c r="EF354" s="77"/>
      <c r="EG354" s="77"/>
      <c r="EH354" s="77"/>
      <c r="EI354" s="77"/>
      <c r="EJ354" s="77"/>
      <c r="EK354" s="77"/>
      <c r="EL354" s="77"/>
      <c r="EM354" s="77"/>
      <c r="EN354" s="77"/>
      <c r="EO354" s="77"/>
      <c r="EP354" s="77"/>
      <c r="ER354" s="77"/>
      <c r="ES354" s="77"/>
      <c r="ET354" s="77"/>
      <c r="EU354" s="77"/>
      <c r="EV354" s="77"/>
      <c r="EW354" s="77"/>
      <c r="EX354" s="77"/>
      <c r="EY354" s="77"/>
      <c r="EZ354" s="77"/>
      <c r="FA354" s="77"/>
      <c r="FB354" s="77"/>
      <c r="FC354" s="77"/>
      <c r="FD354" s="77"/>
      <c r="FE354" s="77"/>
      <c r="FF354" s="77"/>
      <c r="FG354" s="77"/>
      <c r="FH354" s="77"/>
      <c r="FI354" s="77"/>
      <c r="FJ354" s="77"/>
      <c r="FK354" s="77"/>
      <c r="FL354" s="77"/>
      <c r="FM354" s="77"/>
      <c r="FN354" s="77"/>
      <c r="FO354" s="77"/>
      <c r="FP354" s="77"/>
      <c r="FQ354" s="77"/>
      <c r="FR354" s="77"/>
      <c r="FS354" s="77"/>
      <c r="FT354" s="77"/>
      <c r="FU354" s="77"/>
      <c r="FV354" s="77"/>
      <c r="FW354" s="77"/>
      <c r="FX354" s="77"/>
      <c r="FY354" s="77"/>
      <c r="FZ354" s="77"/>
      <c r="GA354" s="77"/>
      <c r="GB354" s="77"/>
      <c r="GC354" s="77"/>
      <c r="GD354" s="77"/>
      <c r="GE354" s="77"/>
      <c r="GF354" s="77"/>
      <c r="GG354" s="77"/>
      <c r="GH354" s="77"/>
      <c r="GI354" s="77"/>
      <c r="GJ354" s="77"/>
      <c r="GK354" s="77"/>
      <c r="GL354" s="77"/>
      <c r="GM354" s="77"/>
      <c r="GN354" s="77"/>
      <c r="GO354" s="77"/>
      <c r="GP354" s="77"/>
      <c r="GQ354" s="77"/>
      <c r="GR354" s="77"/>
      <c r="GS354" s="77"/>
      <c r="GT354" s="77"/>
      <c r="GU354" s="77"/>
      <c r="GV354" s="77"/>
      <c r="GW354" s="77"/>
      <c r="GX354" s="77"/>
      <c r="GY354" s="77"/>
      <c r="GZ354" s="77"/>
      <c r="HA354" s="77"/>
      <c r="HB354" s="77"/>
      <c r="HC354" s="77"/>
      <c r="HD354" s="77"/>
      <c r="HE354" s="77"/>
      <c r="HF354" s="77"/>
      <c r="HG354" s="77"/>
      <c r="HH354" s="77"/>
      <c r="HI354" s="77"/>
      <c r="HJ354" s="77"/>
      <c r="HK354" s="77"/>
      <c r="HL354" s="16"/>
      <c r="HM354" s="16"/>
      <c r="HN354" s="16"/>
      <c r="HO354" s="16"/>
      <c r="HP354" s="16"/>
      <c r="HQ354" s="16"/>
      <c r="HR354" s="16"/>
      <c r="HS354" s="16"/>
      <c r="HT354" s="16"/>
      <c r="HU354" s="16"/>
      <c r="HV354" s="16"/>
      <c r="HW354" s="16"/>
      <c r="HX354" s="16"/>
      <c r="HY354" s="16"/>
      <c r="HZ354" s="16"/>
      <c r="IA354" s="16"/>
      <c r="IB354" s="16"/>
      <c r="IC354" s="16"/>
      <c r="ID354" s="77"/>
      <c r="IE354" s="77"/>
      <c r="IF354" s="77"/>
      <c r="IG354" s="77"/>
      <c r="IH354" s="77"/>
      <c r="II354" s="77"/>
      <c r="IJ354" s="77"/>
      <c r="IK354" s="77"/>
      <c r="IL354" s="77"/>
      <c r="IM354" s="77"/>
      <c r="IN354" s="77"/>
      <c r="IO354" s="77"/>
      <c r="IP354" s="77"/>
      <c r="IQ354" s="77"/>
      <c r="IR354" s="77"/>
      <c r="IS354" s="77"/>
      <c r="IT354" s="77"/>
      <c r="IU354" s="77"/>
      <c r="IV354" s="77"/>
      <c r="IW354" s="77"/>
      <c r="IX354" s="77"/>
      <c r="IY354" s="77"/>
      <c r="IZ354" s="77"/>
      <c r="JA354" s="77"/>
      <c r="JB354" s="77"/>
      <c r="JC354" s="77"/>
      <c r="JD354" s="77"/>
      <c r="JE354" s="77"/>
      <c r="JF354" s="77"/>
      <c r="JG354" s="77"/>
      <c r="JH354" s="77"/>
      <c r="JI354" s="77"/>
      <c r="JJ354" s="77"/>
      <c r="JK354" s="77"/>
      <c r="JL354" s="77"/>
      <c r="JM354" s="77"/>
      <c r="JN354" s="77"/>
      <c r="JO354" s="77"/>
      <c r="JP354" s="77"/>
      <c r="JQ354" s="77"/>
      <c r="JR354" s="77"/>
      <c r="JS354" s="77"/>
      <c r="JT354" s="77"/>
      <c r="JU354" s="77"/>
      <c r="JV354" s="77"/>
      <c r="JW354" s="77"/>
      <c r="JX354" s="77"/>
      <c r="JY354" s="77"/>
      <c r="JZ354" s="77"/>
      <c r="KA354" s="77"/>
      <c r="KB354" s="77"/>
      <c r="KC354" s="77"/>
      <c r="KD354" s="77"/>
      <c r="KE354" s="77"/>
      <c r="KF354" s="77"/>
      <c r="KG354" s="77"/>
      <c r="KH354" s="77"/>
      <c r="KI354" s="77"/>
      <c r="KJ354" s="77"/>
      <c r="KK354" s="77"/>
      <c r="KL354" s="77"/>
      <c r="KM354" s="77"/>
      <c r="KN354" s="77"/>
      <c r="KO354" s="77"/>
      <c r="KP354" s="77"/>
      <c r="KQ354" s="77"/>
      <c r="KR354" s="77"/>
      <c r="KS354" s="77"/>
      <c r="KT354" s="77"/>
      <c r="KU354" s="77"/>
      <c r="KV354" s="77"/>
      <c r="KW354" s="77"/>
      <c r="KX354" s="77"/>
      <c r="KY354" s="77"/>
      <c r="KZ354" s="77"/>
      <c r="LA354" s="77"/>
      <c r="LB354" s="77"/>
      <c r="LC354" s="77"/>
      <c r="LD354" s="77"/>
      <c r="LE354" s="77"/>
      <c r="LF354" s="77"/>
      <c r="LG354" s="77"/>
      <c r="LH354" s="77"/>
      <c r="LI354" s="77"/>
      <c r="LJ354" s="77"/>
      <c r="LK354" s="77"/>
      <c r="LL354" s="77"/>
      <c r="LM354" s="77"/>
      <c r="LN354" s="77"/>
      <c r="LO354" s="77"/>
      <c r="LP354" s="77"/>
      <c r="LQ354" s="77"/>
      <c r="LR354" s="77"/>
      <c r="LS354" s="77"/>
      <c r="LT354" s="77"/>
      <c r="LU354" s="77"/>
      <c r="LV354" s="77"/>
      <c r="MS354" s="77"/>
    </row>
    <row r="355" spans="1:368" ht="18.600000000000001" customHeight="1" x14ac:dyDescent="0.25">
      <c r="A355" s="119" t="s">
        <v>248</v>
      </c>
      <c r="B355" s="27" t="s">
        <v>1485</v>
      </c>
      <c r="C355" s="27" t="s">
        <v>1486</v>
      </c>
      <c r="D355" s="30" t="str">
        <f>HYPERLINK("https://twitter.com/MDVForeign","https://twitter.com/MDVForeign")</f>
        <v>https://twitter.com/MDVForeign</v>
      </c>
      <c r="E355" s="30" t="str">
        <f>HYPERLINK("http://twiplomacy.com/info/asia/Maldives","http://twiplomacy.com/info/asia/Maldives")</f>
        <v>http://twiplomacy.com/info/asia/Maldives</v>
      </c>
      <c r="F355" s="10" t="s">
        <v>154</v>
      </c>
      <c r="G355" s="10" t="s">
        <v>244</v>
      </c>
      <c r="H355" s="10" t="s">
        <v>795</v>
      </c>
      <c r="I355" s="10" t="s">
        <v>782</v>
      </c>
      <c r="J355" s="27" t="s">
        <v>789</v>
      </c>
      <c r="K355" s="10" t="s">
        <v>777</v>
      </c>
      <c r="L355" s="10" t="s">
        <v>771</v>
      </c>
      <c r="M355" s="10" t="s">
        <v>770</v>
      </c>
      <c r="N355" s="30" t="str">
        <f>HYPERLINK("https://twitter.com/MDVForeign/status/540758316196966400","https://twitter.com/MDVForeign/status/540758316196966400")</f>
        <v>https://twitter.com/MDVForeign/status/540758316196966400</v>
      </c>
      <c r="O355" s="27" t="s">
        <v>5931</v>
      </c>
      <c r="P355" s="80">
        <v>224</v>
      </c>
      <c r="Q355" s="80">
        <v>60</v>
      </c>
      <c r="R355" s="27" t="s">
        <v>2994</v>
      </c>
      <c r="S355" s="30" t="str">
        <f>HYPERLINK("https://twitter.com/MDVForeign/lists","https://twitter.com/MDVForeign/lists")</f>
        <v>https://twitter.com/MDVForeign/lists</v>
      </c>
      <c r="T355" s="10" t="s">
        <v>771</v>
      </c>
      <c r="U355" s="10" t="s">
        <v>771</v>
      </c>
      <c r="V355" s="10" t="s">
        <v>771</v>
      </c>
      <c r="W355" s="10"/>
      <c r="X355" s="27" t="s">
        <v>248</v>
      </c>
      <c r="Y355" s="27" t="s">
        <v>1485</v>
      </c>
      <c r="Z355" s="80">
        <v>2063</v>
      </c>
      <c r="AA355" s="27">
        <v>84</v>
      </c>
      <c r="AB355" s="80">
        <v>7693</v>
      </c>
      <c r="AC355" s="27">
        <v>2</v>
      </c>
      <c r="AD355" s="27" t="s">
        <v>4042</v>
      </c>
      <c r="AE355" s="27">
        <v>2919314966</v>
      </c>
      <c r="AF355" s="27" t="s">
        <v>1486</v>
      </c>
      <c r="AG355" s="27"/>
      <c r="AH355" s="79">
        <v>4.0136186770427997</v>
      </c>
      <c r="AI355" s="83">
        <v>4.0136186770427997</v>
      </c>
      <c r="AJ355" s="80">
        <v>25.902912621359199</v>
      </c>
      <c r="AK355" s="80">
        <v>6.6969486823855799</v>
      </c>
      <c r="AL355" s="27">
        <v>15</v>
      </c>
      <c r="AM355" s="97">
        <f>SUM(AL355/Z355)</f>
        <v>7.2709646146388758E-3</v>
      </c>
      <c r="AN355" s="27" t="s">
        <v>248</v>
      </c>
      <c r="AO355" s="27">
        <v>9</v>
      </c>
      <c r="AP355" s="27">
        <v>17</v>
      </c>
      <c r="AQ355" s="27">
        <v>6</v>
      </c>
      <c r="AR355" s="27">
        <f>SUM(AO355:AQ355)</f>
        <v>32</v>
      </c>
      <c r="AS355" s="27" t="s">
        <v>6585</v>
      </c>
      <c r="AT355" s="27" t="s">
        <v>6315</v>
      </c>
      <c r="AU355" s="84" t="s">
        <v>4833</v>
      </c>
      <c r="AV355" s="77"/>
      <c r="AW355" s="77"/>
      <c r="AX355" s="77"/>
      <c r="AY355" s="77"/>
      <c r="AZ355" s="77"/>
      <c r="BA355" s="77"/>
      <c r="BB355" s="77"/>
      <c r="BC355" s="77"/>
      <c r="BD355" s="77"/>
      <c r="BE355" s="77"/>
      <c r="BF355" s="77"/>
      <c r="BG355" s="77"/>
      <c r="BH355" s="77"/>
      <c r="BI355" s="77"/>
      <c r="BJ355" s="77"/>
      <c r="BK355" s="77"/>
      <c r="BL355" s="77"/>
      <c r="BM355" s="77"/>
      <c r="BN355" s="77"/>
      <c r="BO355" s="77"/>
      <c r="BP355" s="77"/>
      <c r="BQ355" s="77"/>
      <c r="BR355" s="77"/>
      <c r="BS355" s="77"/>
      <c r="BT355" s="77"/>
      <c r="BU355" s="77"/>
      <c r="BV355" s="77"/>
      <c r="BW355" s="77"/>
      <c r="BX355" s="77"/>
      <c r="BY355" s="77"/>
      <c r="BZ355" s="77"/>
      <c r="CA355" s="77"/>
      <c r="CB355" s="77"/>
      <c r="CC355" s="77"/>
      <c r="CD355" s="77"/>
      <c r="CE355" s="77"/>
      <c r="CF355" s="77"/>
      <c r="CG355" s="77"/>
      <c r="CH355" s="77"/>
      <c r="CI355" s="77"/>
      <c r="CJ355" s="77"/>
      <c r="CK355" s="77"/>
      <c r="CL355" s="77"/>
      <c r="CM355" s="77"/>
      <c r="CN355" s="77"/>
      <c r="CO355" s="77"/>
      <c r="CP355" s="77"/>
      <c r="CQ355" s="77"/>
      <c r="CR355" s="77"/>
      <c r="CS355" s="77"/>
      <c r="CT355" s="77"/>
      <c r="CU355" s="77"/>
      <c r="CV355" s="77"/>
      <c r="CW355" s="77"/>
      <c r="CX355" s="77"/>
      <c r="CY355" s="77"/>
      <c r="CZ355" s="77"/>
      <c r="DA355" s="77"/>
      <c r="DB355" s="77"/>
      <c r="DC355" s="77"/>
      <c r="DD355" s="77"/>
      <c r="DE355" s="77"/>
      <c r="DF355" s="77"/>
      <c r="DG355" s="77"/>
      <c r="DH355" s="77"/>
      <c r="DI355" s="77"/>
      <c r="DJ355" s="77"/>
      <c r="DK355" s="77"/>
      <c r="DL355" s="77"/>
      <c r="DM355" s="77"/>
      <c r="DN355" s="77"/>
      <c r="DO355" s="77"/>
      <c r="DP355" s="77"/>
      <c r="DQ355" s="77"/>
      <c r="DR355" s="77"/>
      <c r="DS355" s="77"/>
      <c r="DT355" s="77"/>
      <c r="DU355" s="77"/>
      <c r="DV355" s="77"/>
      <c r="DW355" s="77"/>
      <c r="DX355" s="77"/>
      <c r="DY355" s="77"/>
      <c r="DZ355" s="77"/>
      <c r="EA355" s="77"/>
      <c r="EB355" s="77"/>
      <c r="EC355" s="77"/>
      <c r="ED355" s="77"/>
      <c r="EE355" s="77"/>
      <c r="EF355" s="77"/>
      <c r="EG355" s="77"/>
      <c r="EH355" s="77"/>
      <c r="EI355" s="77"/>
      <c r="EJ355" s="77"/>
      <c r="EK355" s="77"/>
      <c r="EL355" s="77"/>
      <c r="EM355" s="77"/>
      <c r="EN355" s="77"/>
      <c r="EO355" s="77"/>
      <c r="EP355" s="77"/>
      <c r="EQ355" s="77"/>
      <c r="ER355" s="77"/>
      <c r="ES355" s="77"/>
      <c r="ET355" s="77"/>
      <c r="EU355" s="77"/>
      <c r="EV355" s="77"/>
      <c r="EW355" s="77"/>
      <c r="EX355" s="77"/>
      <c r="EY355" s="77"/>
      <c r="EZ355" s="77"/>
      <c r="FA355" s="77"/>
      <c r="FB355" s="77"/>
      <c r="FC355" s="77"/>
      <c r="FD355" s="77"/>
      <c r="FE355" s="77"/>
      <c r="FF355" s="77"/>
      <c r="FG355" s="77"/>
      <c r="FH355" s="77"/>
      <c r="FI355" s="77"/>
      <c r="FJ355" s="77"/>
      <c r="FK355" s="77"/>
      <c r="FL355" s="77"/>
      <c r="FM355" s="77"/>
      <c r="FN355" s="77"/>
      <c r="FO355" s="77"/>
      <c r="FP355" s="77"/>
      <c r="FQ355" s="77"/>
      <c r="FR355" s="77"/>
      <c r="FS355" s="77"/>
      <c r="FT355" s="77"/>
      <c r="FU355" s="77"/>
      <c r="FV355" s="77"/>
      <c r="FW355" s="77"/>
      <c r="FX355" s="77"/>
      <c r="FY355" s="77"/>
      <c r="FZ355" s="77"/>
      <c r="GA355" s="77"/>
      <c r="GB355" s="77"/>
      <c r="GC355" s="77"/>
      <c r="GD355" s="77"/>
      <c r="GE355" s="77"/>
      <c r="GF355" s="77"/>
      <c r="GG355" s="77"/>
      <c r="GH355" s="77"/>
      <c r="GI355" s="77"/>
      <c r="GJ355" s="77"/>
      <c r="GK355" s="77"/>
      <c r="GL355" s="77"/>
      <c r="GM355" s="77"/>
      <c r="GN355" s="77"/>
      <c r="GO355" s="77"/>
      <c r="GP355" s="77"/>
      <c r="GQ355" s="77"/>
      <c r="GR355" s="77"/>
      <c r="GS355" s="77"/>
      <c r="GT355" s="77"/>
      <c r="GU355" s="77"/>
      <c r="GV355" s="77"/>
      <c r="GW355" s="77"/>
      <c r="GX355" s="77"/>
      <c r="GY355" s="77"/>
      <c r="GZ355" s="77"/>
      <c r="HA355" s="77"/>
      <c r="HB355" s="77"/>
      <c r="HC355" s="77"/>
      <c r="HD355" s="77"/>
      <c r="HE355" s="77"/>
      <c r="HF355" s="77"/>
      <c r="HG355" s="77"/>
      <c r="HH355" s="77"/>
      <c r="HI355" s="77"/>
      <c r="HJ355" s="77"/>
      <c r="HK355" s="77"/>
      <c r="HL355" s="77"/>
      <c r="HM355" s="77"/>
      <c r="HN355" s="77"/>
      <c r="HO355" s="77"/>
      <c r="HP355" s="77"/>
      <c r="HQ355" s="77"/>
      <c r="HR355" s="77"/>
      <c r="HS355" s="77"/>
      <c r="HT355" s="77"/>
      <c r="HU355" s="77"/>
      <c r="HV355" s="77"/>
      <c r="HW355" s="77"/>
      <c r="HX355" s="77"/>
      <c r="HY355" s="77"/>
      <c r="HZ355" s="77"/>
      <c r="IA355" s="77"/>
      <c r="IB355" s="77"/>
      <c r="IC355" s="77"/>
      <c r="IF355" s="77"/>
      <c r="IG355" s="77"/>
      <c r="IH355" s="77"/>
      <c r="II355" s="77"/>
      <c r="IJ355" s="77"/>
      <c r="IK355" s="77"/>
      <c r="IL355" s="77"/>
      <c r="IM355" s="77"/>
      <c r="IN355" s="77"/>
      <c r="IO355" s="77"/>
      <c r="IP355" s="77"/>
      <c r="IQ355" s="77"/>
      <c r="IR355" s="77"/>
      <c r="IS355" s="77"/>
      <c r="IT355" s="77"/>
      <c r="IU355" s="77"/>
      <c r="IV355" s="77"/>
      <c r="IW355" s="77"/>
      <c r="IX355" s="77"/>
      <c r="IY355" s="77"/>
      <c r="IZ355" s="77"/>
      <c r="JA355" s="77"/>
      <c r="JB355" s="77"/>
      <c r="JC355" s="77"/>
      <c r="JD355" s="77"/>
      <c r="JE355" s="77"/>
      <c r="JF355" s="77"/>
      <c r="JG355" s="77"/>
      <c r="JH355" s="77"/>
      <c r="JI355" s="77"/>
      <c r="JJ355" s="77"/>
      <c r="JK355" s="77"/>
      <c r="JL355" s="77"/>
      <c r="JM355" s="77"/>
      <c r="JN355" s="77"/>
      <c r="JO355" s="77"/>
      <c r="JP355" s="77"/>
      <c r="JQ355" s="77"/>
      <c r="JR355" s="77"/>
      <c r="JS355" s="77"/>
      <c r="JT355" s="77"/>
      <c r="JU355" s="77"/>
      <c r="JV355" s="77"/>
      <c r="JW355" s="77"/>
      <c r="JX355" s="77"/>
      <c r="KM355" s="77"/>
      <c r="KN355" s="77"/>
      <c r="KO355" s="77"/>
      <c r="KP355" s="77"/>
      <c r="KQ355" s="77"/>
      <c r="KR355" s="77"/>
      <c r="KS355" s="77"/>
      <c r="KT355" s="77"/>
      <c r="KU355" s="77"/>
      <c r="KV355" s="77"/>
      <c r="KW355" s="77"/>
      <c r="KX355" s="77"/>
      <c r="KY355" s="77"/>
      <c r="KZ355" s="77"/>
      <c r="LA355" s="77"/>
      <c r="LB355" s="77"/>
      <c r="LC355" s="77"/>
      <c r="LD355" s="77"/>
      <c r="LE355" s="77"/>
      <c r="LF355" s="77"/>
      <c r="LG355" s="77"/>
      <c r="LH355" s="77"/>
      <c r="LI355" s="77"/>
      <c r="LJ355" s="77"/>
      <c r="LK355" s="77"/>
      <c r="LL355" s="77"/>
      <c r="LM355" s="77"/>
      <c r="LN355" s="77"/>
      <c r="LO355" s="77"/>
      <c r="LP355" s="77"/>
      <c r="LQ355" s="77"/>
      <c r="LR355" s="77"/>
      <c r="LS355" s="77"/>
      <c r="LT355" s="77"/>
      <c r="LU355" s="77"/>
      <c r="LV355" s="77"/>
      <c r="LW355" s="77"/>
      <c r="LX355" s="77"/>
    </row>
    <row r="356" spans="1:368" ht="18.600000000000001" customHeight="1" x14ac:dyDescent="0.25">
      <c r="A356" s="119" t="s">
        <v>114</v>
      </c>
      <c r="B356" s="27" t="s">
        <v>1078</v>
      </c>
      <c r="C356" s="27" t="s">
        <v>4525</v>
      </c>
      <c r="D356" s="30" t="str">
        <f>HYPERLINK("https://twitter.com/TheVillaSomalia","https://twitter.com/TheVillaSomalia")</f>
        <v>https://twitter.com/TheVillaSomalia</v>
      </c>
      <c r="E356" s="30" t="str">
        <f>HYPERLINK("http://twiplomacy.com/info/africa/Somalia","http://twiplomacy.com/info/africa/Somalia")</f>
        <v>http://twiplomacy.com/info/africa/Somalia</v>
      </c>
      <c r="F356" s="10" t="s">
        <v>1</v>
      </c>
      <c r="G356" s="10" t="s">
        <v>113</v>
      </c>
      <c r="H356" s="10" t="s">
        <v>781</v>
      </c>
      <c r="I356" s="10" t="s">
        <v>782</v>
      </c>
      <c r="J356" s="27" t="s">
        <v>789</v>
      </c>
      <c r="K356" s="15" t="s">
        <v>777</v>
      </c>
      <c r="L356" s="10" t="s">
        <v>771</v>
      </c>
      <c r="M356" s="10" t="s">
        <v>770</v>
      </c>
      <c r="N356" s="30" t="str">
        <f>HYPERLINK("https://twitter.com/TheVillaSomalia/statuses/269171818710040576","https://twitter.com/TheVillaSomalia/statuses/269171818710040576")</f>
        <v>https://twitter.com/TheVillaSomalia/statuses/269171818710040576</v>
      </c>
      <c r="O356" s="27" t="s">
        <v>6108</v>
      </c>
      <c r="P356" s="80">
        <v>141</v>
      </c>
      <c r="Q356" s="80">
        <v>64</v>
      </c>
      <c r="R356" s="27" t="s">
        <v>2994</v>
      </c>
      <c r="S356" s="10" t="s">
        <v>1079</v>
      </c>
      <c r="T356" s="10" t="s">
        <v>771</v>
      </c>
      <c r="U356" s="10" t="s">
        <v>771</v>
      </c>
      <c r="V356" s="10" t="s">
        <v>771</v>
      </c>
      <c r="W356" s="10"/>
      <c r="X356" s="27" t="s">
        <v>114</v>
      </c>
      <c r="Y356" s="27" t="s">
        <v>1078</v>
      </c>
      <c r="Z356" s="80">
        <v>1998</v>
      </c>
      <c r="AA356" s="27">
        <v>175</v>
      </c>
      <c r="AB356" s="80">
        <v>63409</v>
      </c>
      <c r="AC356" s="27">
        <v>164</v>
      </c>
      <c r="AD356" s="27" t="s">
        <v>4526</v>
      </c>
      <c r="AE356" s="27">
        <v>950313240</v>
      </c>
      <c r="AF356" s="27" t="s">
        <v>4525</v>
      </c>
      <c r="AG356" s="27" t="s">
        <v>1080</v>
      </c>
      <c r="AH356" s="79">
        <v>1.5819477434679301</v>
      </c>
      <c r="AI356" s="83">
        <v>1.58036421219319</v>
      </c>
      <c r="AJ356" s="80">
        <v>5.8173391494002198</v>
      </c>
      <c r="AK356" s="80">
        <v>4.01744820065431</v>
      </c>
      <c r="AL356" s="27">
        <v>54</v>
      </c>
      <c r="AM356" s="97">
        <f>SUM(AL356/Z356)</f>
        <v>2.7027027027027029E-2</v>
      </c>
      <c r="AN356" s="27" t="s">
        <v>114</v>
      </c>
      <c r="AO356" s="27">
        <v>9</v>
      </c>
      <c r="AP356" s="27">
        <v>14</v>
      </c>
      <c r="AQ356" s="27">
        <v>4</v>
      </c>
      <c r="AR356" s="27">
        <f>SUM(AO356:AQ356)</f>
        <v>27</v>
      </c>
      <c r="AS356" s="27" t="s">
        <v>5517</v>
      </c>
      <c r="AT356" s="27" t="s">
        <v>5634</v>
      </c>
      <c r="AU356" s="84" t="s">
        <v>4968</v>
      </c>
      <c r="AV356" s="77"/>
      <c r="AW356" s="77"/>
      <c r="AX356" s="77"/>
      <c r="AY356" s="77"/>
      <c r="AZ356" s="77"/>
      <c r="BA356" s="77"/>
      <c r="BB356" s="77"/>
      <c r="BC356" s="77"/>
      <c r="BD356" s="77"/>
      <c r="BE356" s="77"/>
      <c r="BF356" s="77"/>
      <c r="BG356" s="77"/>
      <c r="BH356" s="77"/>
      <c r="BI356" s="77"/>
      <c r="BJ356" s="77"/>
      <c r="BK356" s="77"/>
      <c r="BL356" s="77"/>
      <c r="BM356" s="77"/>
      <c r="BN356" s="77"/>
      <c r="BO356" s="77"/>
      <c r="BP356" s="77"/>
      <c r="BQ356" s="77"/>
      <c r="BR356" s="77"/>
      <c r="BS356" s="77"/>
      <c r="BT356" s="77"/>
      <c r="BU356" s="77"/>
      <c r="BV356" s="77"/>
      <c r="BW356" s="77"/>
      <c r="BX356" s="77"/>
      <c r="BY356" s="77"/>
      <c r="BZ356" s="77"/>
      <c r="CA356" s="77"/>
      <c r="CB356" s="77"/>
      <c r="CK356" s="77"/>
      <c r="CL356" s="77"/>
      <c r="CM356" s="77"/>
      <c r="CN356" s="77"/>
      <c r="CO356" s="77"/>
      <c r="CP356" s="77"/>
      <c r="CQ356" s="77"/>
      <c r="CR356" s="77"/>
      <c r="CS356" s="77"/>
      <c r="CT356" s="77"/>
      <c r="CU356" s="77"/>
      <c r="CV356" s="77"/>
      <c r="CW356" s="77"/>
      <c r="CX356" s="77"/>
      <c r="CY356" s="77"/>
      <c r="CZ356" s="77"/>
      <c r="DA356" s="77"/>
      <c r="DB356" s="77"/>
      <c r="DC356" s="77"/>
      <c r="DD356" s="77"/>
      <c r="DE356" s="77"/>
      <c r="DF356" s="77"/>
      <c r="DG356" s="77"/>
      <c r="DH356" s="77"/>
      <c r="DI356" s="77"/>
      <c r="DJ356" s="77"/>
      <c r="DK356" s="77"/>
      <c r="DL356" s="77"/>
      <c r="DM356" s="77"/>
      <c r="DN356" s="77"/>
      <c r="DO356" s="77"/>
      <c r="DP356" s="77"/>
      <c r="DQ356" s="77"/>
      <c r="DR356" s="77"/>
      <c r="DS356" s="77"/>
      <c r="DT356" s="77"/>
      <c r="DU356" s="77"/>
      <c r="DV356" s="77"/>
      <c r="DW356" s="77"/>
      <c r="DX356" s="77"/>
      <c r="DY356" s="77"/>
      <c r="DZ356" s="77"/>
      <c r="EA356" s="77"/>
      <c r="EB356" s="77"/>
      <c r="EC356" s="77"/>
      <c r="ED356" s="77"/>
      <c r="EE356" s="77"/>
      <c r="EF356" s="77"/>
      <c r="EG356" s="77"/>
      <c r="EH356" s="77"/>
      <c r="EI356" s="77"/>
      <c r="EJ356" s="77"/>
      <c r="EK356" s="77"/>
      <c r="EL356" s="77"/>
      <c r="EQ356" s="77"/>
      <c r="ER356" s="77"/>
      <c r="ES356" s="77"/>
      <c r="ET356" s="77"/>
      <c r="EU356" s="77"/>
      <c r="EV356" s="77"/>
      <c r="EW356" s="77"/>
      <c r="EX356" s="77"/>
      <c r="EY356" s="77"/>
      <c r="EZ356" s="77"/>
      <c r="FA356" s="77"/>
      <c r="FB356" s="77"/>
      <c r="FC356" s="77"/>
      <c r="FD356" s="77"/>
      <c r="FE356" s="77"/>
      <c r="FF356" s="77"/>
      <c r="FG356" s="77"/>
      <c r="FH356" s="77"/>
      <c r="FI356" s="77"/>
      <c r="FJ356" s="77"/>
      <c r="FK356" s="77"/>
      <c r="FL356" s="77"/>
      <c r="FM356" s="77"/>
      <c r="FN356" s="77"/>
      <c r="FO356" s="77"/>
      <c r="FP356" s="77"/>
      <c r="FQ356" s="77"/>
      <c r="FR356" s="77"/>
      <c r="FS356" s="77"/>
      <c r="FT356" s="77"/>
      <c r="FU356" s="77"/>
      <c r="FV356" s="77"/>
      <c r="FW356" s="77"/>
      <c r="FX356" s="77"/>
      <c r="FY356" s="77"/>
      <c r="FZ356" s="77"/>
      <c r="GA356" s="77"/>
      <c r="GB356" s="77"/>
      <c r="GC356" s="77"/>
      <c r="GD356" s="77"/>
      <c r="GE356" s="77"/>
      <c r="GF356" s="77"/>
      <c r="GG356" s="77"/>
      <c r="GH356" s="77"/>
      <c r="GI356" s="77"/>
      <c r="GJ356" s="77"/>
      <c r="GK356" s="77"/>
      <c r="GL356" s="77"/>
      <c r="GM356" s="77"/>
      <c r="GN356" s="77"/>
      <c r="GO356" s="77"/>
      <c r="GP356" s="77"/>
      <c r="GQ356" s="77"/>
      <c r="GR356" s="77"/>
      <c r="GS356" s="77"/>
      <c r="GT356" s="77"/>
      <c r="GU356" s="77"/>
      <c r="GV356" s="77"/>
      <c r="GW356" s="77"/>
      <c r="GX356" s="77"/>
      <c r="GY356" s="77"/>
      <c r="GZ356" s="77"/>
      <c r="HA356" s="77"/>
      <c r="HB356" s="77"/>
      <c r="HC356" s="77"/>
      <c r="HD356" s="77"/>
      <c r="HE356" s="77"/>
      <c r="HF356" s="77"/>
      <c r="HG356" s="77"/>
      <c r="HH356" s="77"/>
      <c r="HI356" s="77"/>
      <c r="HJ356" s="77"/>
      <c r="HK356" s="77"/>
      <c r="HL356" s="77"/>
      <c r="HM356" s="77"/>
      <c r="HN356" s="77"/>
      <c r="HO356" s="77"/>
      <c r="HP356" s="77"/>
      <c r="HQ356" s="77"/>
      <c r="HR356" s="77"/>
      <c r="HS356" s="77"/>
      <c r="HT356" s="77"/>
      <c r="HU356" s="77"/>
      <c r="HV356" s="77"/>
      <c r="HW356" s="77"/>
      <c r="HX356" s="77"/>
      <c r="HY356" s="77"/>
      <c r="HZ356" s="77"/>
      <c r="IA356" s="77"/>
      <c r="IB356" s="77"/>
      <c r="IC356" s="77"/>
      <c r="ID356" s="77"/>
      <c r="IE356" s="77"/>
      <c r="IF356" s="77"/>
      <c r="IG356" s="77"/>
      <c r="IH356" s="77"/>
      <c r="II356" s="77"/>
      <c r="IJ356" s="77"/>
      <c r="IK356" s="77"/>
      <c r="IL356" s="77"/>
      <c r="IM356" s="77"/>
      <c r="IN356" s="77"/>
      <c r="IO356" s="77"/>
      <c r="IP356" s="77"/>
      <c r="IQ356" s="77"/>
      <c r="IR356" s="77"/>
      <c r="IS356" s="77"/>
      <c r="IT356" s="77"/>
      <c r="IU356" s="77"/>
      <c r="IV356" s="77"/>
      <c r="IW356" s="77"/>
      <c r="IX356" s="77"/>
      <c r="IY356" s="77"/>
      <c r="IZ356" s="77"/>
      <c r="JA356" s="77"/>
      <c r="JB356" s="77"/>
      <c r="JC356" s="77"/>
      <c r="JD356" s="77"/>
      <c r="JE356" s="77"/>
      <c r="JF356" s="77"/>
      <c r="JG356" s="77"/>
      <c r="JH356" s="77"/>
      <c r="JI356" s="77"/>
      <c r="JJ356" s="77"/>
      <c r="JK356" s="77"/>
      <c r="JL356" s="77"/>
      <c r="JM356" s="77"/>
      <c r="JN356" s="77"/>
      <c r="JO356" s="77"/>
      <c r="JP356" s="77"/>
      <c r="JQ356" s="77"/>
      <c r="JR356" s="77"/>
      <c r="JS356" s="77"/>
      <c r="JT356" s="77"/>
      <c r="JU356" s="77"/>
      <c r="JV356" s="77"/>
      <c r="JW356" s="77"/>
      <c r="JX356" s="77"/>
      <c r="JY356" s="77"/>
      <c r="JZ356" s="77"/>
      <c r="KA356" s="77"/>
      <c r="KB356" s="77"/>
      <c r="KC356" s="77"/>
      <c r="KD356" s="77"/>
      <c r="KE356" s="77"/>
      <c r="KF356" s="77"/>
      <c r="KG356" s="77"/>
      <c r="KH356" s="77"/>
      <c r="KI356" s="77"/>
      <c r="KJ356" s="77"/>
      <c r="KK356" s="77"/>
      <c r="KL356" s="77"/>
      <c r="KM356" s="77"/>
      <c r="KN356" s="77"/>
      <c r="KO356" s="77"/>
      <c r="KP356" s="77"/>
      <c r="KQ356" s="77"/>
      <c r="KR356" s="77"/>
      <c r="KS356" s="77"/>
      <c r="KT356" s="77"/>
      <c r="KU356" s="77"/>
      <c r="KV356" s="77"/>
      <c r="KW356" s="77"/>
      <c r="KX356" s="77"/>
      <c r="KY356" s="77"/>
      <c r="KZ356" s="77"/>
      <c r="LA356" s="77"/>
      <c r="LB356" s="77"/>
      <c r="LC356" s="77"/>
      <c r="LD356" s="77"/>
      <c r="LE356" s="77"/>
      <c r="LF356" s="77"/>
      <c r="LG356" s="77"/>
      <c r="LH356" s="77"/>
      <c r="LI356" s="77"/>
      <c r="LJ356" s="77"/>
      <c r="LK356" s="77"/>
      <c r="LW356" s="77"/>
      <c r="LX356" s="77"/>
      <c r="MS356" s="77"/>
      <c r="ND356" s="77"/>
    </row>
    <row r="357" spans="1:368" ht="18.600000000000001" customHeight="1" x14ac:dyDescent="0.25">
      <c r="A357" s="119" t="s">
        <v>46</v>
      </c>
      <c r="B357" s="27" t="s">
        <v>880</v>
      </c>
      <c r="C357" s="27" t="s">
        <v>6444</v>
      </c>
      <c r="D357" s="72" t="str">
        <f>HYPERLINK("https://twitter.com/PresidenceGA","https://twitter.com/PresidenceGA")</f>
        <v>https://twitter.com/PresidenceGA</v>
      </c>
      <c r="E357" s="72" t="str">
        <f>HYPERLINK("http://twiplomacy.com/info/africa/Gabon","http://twiplomacy.com/info/africa/Gabon")</f>
        <v>http://twiplomacy.com/info/africa/Gabon</v>
      </c>
      <c r="F357" s="10" t="s">
        <v>1</v>
      </c>
      <c r="G357" s="10" t="s">
        <v>44</v>
      </c>
      <c r="H357" s="10" t="s">
        <v>781</v>
      </c>
      <c r="I357" s="10" t="s">
        <v>782</v>
      </c>
      <c r="J357" s="27" t="s">
        <v>779</v>
      </c>
      <c r="K357" s="10" t="s">
        <v>777</v>
      </c>
      <c r="L357" s="10" t="s">
        <v>771</v>
      </c>
      <c r="M357" s="10" t="s">
        <v>770</v>
      </c>
      <c r="N357" s="30" t="str">
        <f>HYPERLINK("https://twitter.com/PresidenceGA/status/566208682908995584","https://twitter.com/PresidenceGA/status/566208682908995584")</f>
        <v>https://twitter.com/PresidenceGA/status/566208682908995584</v>
      </c>
      <c r="O357" s="27" t="s">
        <v>6032</v>
      </c>
      <c r="P357" s="80">
        <v>110</v>
      </c>
      <c r="Q357" s="80">
        <v>25</v>
      </c>
      <c r="R357" s="27" t="s">
        <v>2994</v>
      </c>
      <c r="S357" s="30" t="str">
        <f>HYPERLINK("https://twitter.com/PresidenceGA/lists","https://twitter.com/PresidenceGA/lists")</f>
        <v>https://twitter.com/PresidenceGA/lists</v>
      </c>
      <c r="T357" s="10" t="s">
        <v>771</v>
      </c>
      <c r="U357" s="10" t="s">
        <v>771</v>
      </c>
      <c r="V357" s="10" t="s">
        <v>771</v>
      </c>
      <c r="W357" s="10"/>
      <c r="X357" s="27" t="s">
        <v>46</v>
      </c>
      <c r="Y357" s="27" t="s">
        <v>880</v>
      </c>
      <c r="Z357" s="80">
        <v>1984</v>
      </c>
      <c r="AA357" s="27">
        <v>10</v>
      </c>
      <c r="AB357" s="80">
        <v>12606</v>
      </c>
      <c r="AC357" s="27">
        <v>3</v>
      </c>
      <c r="AD357" s="27" t="s">
        <v>4317</v>
      </c>
      <c r="AE357" s="27">
        <v>3028266616</v>
      </c>
      <c r="AF357" s="27" t="s">
        <v>6444</v>
      </c>
      <c r="AG357" s="27" t="s">
        <v>44</v>
      </c>
      <c r="AH357" s="79">
        <v>4.4384787472035798</v>
      </c>
      <c r="AI357" s="83">
        <v>4.4684684684684699</v>
      </c>
      <c r="AJ357" s="80">
        <v>28.1930136175252</v>
      </c>
      <c r="AK357" s="80">
        <v>6.3818827708703401</v>
      </c>
      <c r="AL357" s="27">
        <v>1</v>
      </c>
      <c r="AM357" s="97">
        <f>SUM(AL357/Z357)</f>
        <v>5.0403225806451612E-4</v>
      </c>
      <c r="AN357" s="27" t="s">
        <v>46</v>
      </c>
      <c r="AO357" s="27">
        <v>0</v>
      </c>
      <c r="AP357" s="27">
        <v>5</v>
      </c>
      <c r="AQ357" s="27">
        <v>1</v>
      </c>
      <c r="AR357" s="27">
        <f>SUM(AO357:AQ357)</f>
        <v>6</v>
      </c>
      <c r="AS357" s="27"/>
      <c r="AT357" s="27" t="s">
        <v>5422</v>
      </c>
      <c r="AU357" s="84" t="s">
        <v>45</v>
      </c>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A357" s="77"/>
      <c r="CB357" s="77"/>
      <c r="CC357" s="77"/>
      <c r="CD357" s="77"/>
      <c r="CE357" s="77"/>
      <c r="CF357" s="77"/>
      <c r="CG357" s="77"/>
      <c r="CH357" s="77"/>
      <c r="CI357" s="77"/>
      <c r="CJ357" s="77"/>
      <c r="CK357" s="77"/>
      <c r="CL357" s="77"/>
      <c r="CM357" s="77"/>
      <c r="CN357" s="77"/>
      <c r="CO357" s="77"/>
      <c r="CP357" s="77"/>
      <c r="CQ357" s="77"/>
      <c r="CR357" s="77"/>
      <c r="CS357" s="77"/>
      <c r="CT357" s="77"/>
      <c r="CU357" s="77"/>
      <c r="CV357" s="77"/>
      <c r="CW357" s="77"/>
      <c r="CX357" s="77"/>
      <c r="CY357" s="77"/>
      <c r="CZ357" s="77"/>
      <c r="DA357" s="77"/>
      <c r="DB357" s="77"/>
      <c r="DC357" s="77"/>
      <c r="DD357" s="77"/>
      <c r="DE357" s="77"/>
      <c r="DF357" s="77"/>
      <c r="DG357" s="77"/>
      <c r="DH357" s="77"/>
      <c r="DI357" s="77"/>
      <c r="DJ357" s="77"/>
      <c r="DK357" s="77"/>
      <c r="DL357" s="77"/>
      <c r="DM357" s="77"/>
      <c r="DN357" s="77"/>
      <c r="DO357" s="77"/>
      <c r="DP357" s="77"/>
      <c r="DQ357" s="77"/>
      <c r="DR357" s="77"/>
      <c r="DS357" s="77"/>
      <c r="DT357" s="77"/>
      <c r="DU357" s="77"/>
      <c r="DV357" s="77"/>
      <c r="DW357" s="77"/>
      <c r="DX357" s="77"/>
      <c r="DY357" s="77"/>
      <c r="DZ357" s="77"/>
      <c r="EA357" s="77"/>
      <c r="EB357" s="77"/>
      <c r="EC357" s="77"/>
      <c r="ED357" s="77"/>
      <c r="EE357" s="77"/>
      <c r="EF357" s="77"/>
      <c r="EG357" s="77"/>
      <c r="EH357" s="77"/>
      <c r="EI357" s="77"/>
      <c r="EJ357" s="77"/>
      <c r="EK357" s="77"/>
      <c r="EL357" s="77"/>
      <c r="EM357" s="77"/>
      <c r="EN357" s="77"/>
      <c r="EO357" s="77"/>
      <c r="EP357" s="77"/>
      <c r="EQ357" s="77"/>
      <c r="ER357" s="77"/>
      <c r="ES357" s="77"/>
      <c r="ET357" s="77"/>
      <c r="EU357" s="77"/>
      <c r="EV357" s="77"/>
      <c r="EW357" s="77"/>
      <c r="EX357" s="77"/>
      <c r="EY357" s="77"/>
      <c r="EZ357" s="77"/>
      <c r="FA357" s="77"/>
      <c r="FB357" s="77"/>
      <c r="FC357" s="77"/>
      <c r="FD357" s="77"/>
      <c r="FE357" s="77"/>
      <c r="FF357" s="77"/>
      <c r="FG357" s="77"/>
      <c r="FH357" s="77"/>
      <c r="FI357" s="77"/>
      <c r="FJ357" s="77"/>
      <c r="FK357" s="77"/>
      <c r="FL357" s="77"/>
      <c r="FM357" s="77"/>
      <c r="FN357" s="77"/>
      <c r="FO357" s="77"/>
      <c r="FP357" s="77"/>
      <c r="FQ357" s="77"/>
      <c r="FR357" s="77"/>
      <c r="FS357" s="77"/>
      <c r="FT357" s="77"/>
      <c r="FU357" s="77"/>
      <c r="FV357" s="77"/>
      <c r="FW357" s="77"/>
      <c r="FX357" s="77"/>
      <c r="FY357" s="77"/>
      <c r="FZ357" s="77"/>
      <c r="GA357" s="77"/>
      <c r="GB357" s="77"/>
      <c r="GC357" s="77"/>
      <c r="GD357" s="77"/>
      <c r="GE357" s="77"/>
      <c r="GF357" s="77"/>
      <c r="GG357" s="77"/>
      <c r="GH357" s="77"/>
      <c r="GI357" s="77"/>
      <c r="GJ357" s="77"/>
      <c r="GK357" s="77"/>
      <c r="GL357" s="77"/>
      <c r="GM357" s="77"/>
      <c r="GN357" s="77"/>
      <c r="GO357" s="77"/>
      <c r="GP357" s="77"/>
      <c r="GQ357" s="77"/>
      <c r="GR357" s="77"/>
      <c r="GS357" s="77"/>
      <c r="GT357" s="77"/>
      <c r="GU357" s="77"/>
      <c r="GV357" s="77"/>
      <c r="GW357" s="77"/>
      <c r="GX357" s="77"/>
      <c r="GY357" s="77"/>
      <c r="GZ357" s="77"/>
      <c r="HA357" s="77"/>
      <c r="HB357" s="77"/>
      <c r="HC357" s="77"/>
      <c r="HD357" s="77"/>
      <c r="HE357" s="77"/>
      <c r="HF357" s="77"/>
      <c r="HG357" s="77"/>
      <c r="HH357" s="77"/>
      <c r="HI357" s="77"/>
      <c r="HJ357" s="77"/>
      <c r="HK357" s="77"/>
      <c r="ID357" s="77"/>
      <c r="IE357" s="77"/>
      <c r="JY357" s="77"/>
      <c r="JZ357" s="77"/>
      <c r="KA357" s="77"/>
      <c r="KB357" s="77"/>
      <c r="KC357" s="77"/>
      <c r="KD357" s="77"/>
      <c r="KE357" s="77"/>
      <c r="KF357" s="77"/>
      <c r="KG357" s="77"/>
      <c r="KH357" s="77"/>
      <c r="KI357" s="77"/>
      <c r="KJ357" s="77"/>
      <c r="KK357" s="77"/>
      <c r="KL357" s="77"/>
      <c r="KM357" s="77"/>
      <c r="KN357" s="77"/>
      <c r="KO357" s="77"/>
      <c r="KP357" s="77"/>
      <c r="KQ357" s="77"/>
      <c r="KR357" s="77"/>
      <c r="KS357" s="77"/>
      <c r="KT357" s="77"/>
      <c r="KU357" s="77"/>
      <c r="KV357" s="77"/>
      <c r="KW357" s="77"/>
      <c r="KX357" s="77"/>
      <c r="KY357" s="77"/>
      <c r="KZ357" s="77"/>
      <c r="LA357" s="77"/>
      <c r="LB357" s="77"/>
      <c r="LC357" s="77"/>
      <c r="LD357" s="77"/>
      <c r="LE357" s="77"/>
      <c r="LF357" s="77"/>
      <c r="LG357" s="77"/>
      <c r="LH357" s="77"/>
      <c r="LI357" s="77"/>
      <c r="LJ357" s="77"/>
      <c r="LK357" s="77"/>
      <c r="LW357" s="77"/>
      <c r="LX357" s="77"/>
    </row>
    <row r="358" spans="1:368" ht="18.600000000000001" customHeight="1" x14ac:dyDescent="0.25">
      <c r="A358" s="119" t="s">
        <v>497</v>
      </c>
      <c r="B358" s="27" t="s">
        <v>2136</v>
      </c>
      <c r="C358" s="27" t="s">
        <v>2137</v>
      </c>
      <c r="D358" s="30" t="str">
        <f>HYPERLINK("https://twitter.com/PutinRF","https://twitter.com/PutinRF")</f>
        <v>https://twitter.com/PutinRF</v>
      </c>
      <c r="E358" s="30" t="str">
        <f>HYPERLINK("http://twiplomacy.com/info/europe/Russia","http://twiplomacy.com/info/europe/Russia")</f>
        <v>http://twiplomacy.com/info/europe/Russia</v>
      </c>
      <c r="F358" s="10" t="s">
        <v>332</v>
      </c>
      <c r="G358" s="10" t="s">
        <v>496</v>
      </c>
      <c r="H358" s="10" t="s">
        <v>772</v>
      </c>
      <c r="I358" s="10" t="s">
        <v>773</v>
      </c>
      <c r="J358" s="27" t="s">
        <v>1420</v>
      </c>
      <c r="K358" s="15" t="s">
        <v>777</v>
      </c>
      <c r="L358" s="10" t="s">
        <v>771</v>
      </c>
      <c r="M358" s="10" t="s">
        <v>770</v>
      </c>
      <c r="N358" s="30" t="str">
        <f>HYPERLINK("https://twitter.com/PutinRF/statuses/162789651801833472","https://twitter.com/PutinRF/statuses/162789651801833472")</f>
        <v>https://twitter.com/PutinRF/statuses/162789651801833472</v>
      </c>
      <c r="O358" s="27" t="s">
        <v>6060</v>
      </c>
      <c r="P358" s="80">
        <v>1487</v>
      </c>
      <c r="Q358" s="80">
        <v>1346</v>
      </c>
      <c r="R358" s="27" t="s">
        <v>2995</v>
      </c>
      <c r="S358" s="10" t="s">
        <v>2138</v>
      </c>
      <c r="T358" s="10" t="s">
        <v>771</v>
      </c>
      <c r="U358" s="10" t="s">
        <v>771</v>
      </c>
      <c r="V358" s="10" t="s">
        <v>771</v>
      </c>
      <c r="W358" s="10"/>
      <c r="X358" s="27" t="s">
        <v>497</v>
      </c>
      <c r="Y358" s="27" t="s">
        <v>2136</v>
      </c>
      <c r="Z358" s="80">
        <v>1980</v>
      </c>
      <c r="AA358" s="27">
        <v>2</v>
      </c>
      <c r="AB358" s="80">
        <v>1895887</v>
      </c>
      <c r="AC358" s="27">
        <v>27</v>
      </c>
      <c r="AD358" s="27" t="s">
        <v>4395</v>
      </c>
      <c r="AE358" s="27">
        <v>438133358</v>
      </c>
      <c r="AF358" s="27" t="s">
        <v>2137</v>
      </c>
      <c r="AG358" s="27" t="s">
        <v>2139</v>
      </c>
      <c r="AH358" s="79">
        <v>1.2382739212007501</v>
      </c>
      <c r="AI358" s="83">
        <v>1.27495170637476</v>
      </c>
      <c r="AJ358" s="80">
        <v>59.861648016276703</v>
      </c>
      <c r="AK358" s="80">
        <v>64.7380467955239</v>
      </c>
      <c r="AL358" s="13">
        <v>0</v>
      </c>
      <c r="AM358" s="97">
        <f>SUM(AL358/Z358)</f>
        <v>0</v>
      </c>
      <c r="AN358" s="27" t="s">
        <v>497</v>
      </c>
      <c r="AO358" s="27">
        <v>1</v>
      </c>
      <c r="AP358" s="27">
        <v>14</v>
      </c>
      <c r="AQ358" s="27">
        <v>1</v>
      </c>
      <c r="AR358" s="27">
        <f>SUM(AO358:AQ358)</f>
        <v>16</v>
      </c>
      <c r="AS358" s="27" t="s">
        <v>496</v>
      </c>
      <c r="AT358" s="27" t="s">
        <v>6842</v>
      </c>
      <c r="AU358" s="84" t="s">
        <v>502</v>
      </c>
      <c r="AV358" s="77"/>
      <c r="AW358" s="77"/>
      <c r="AX358" s="77"/>
      <c r="AY358" s="77"/>
      <c r="AZ358" s="77"/>
      <c r="BA358" s="77"/>
      <c r="BB358" s="77"/>
      <c r="BC358" s="77"/>
      <c r="BD358" s="77"/>
      <c r="BE358" s="77"/>
      <c r="BF358" s="77"/>
      <c r="BG358" s="77"/>
      <c r="BH358" s="77"/>
      <c r="BI358" s="77"/>
      <c r="BJ358" s="77"/>
      <c r="BK358" s="77"/>
      <c r="BL358" s="77"/>
      <c r="BM358" s="77"/>
      <c r="BN358" s="77"/>
      <c r="BO358" s="77"/>
      <c r="BP358" s="77"/>
      <c r="BQ358" s="77"/>
      <c r="BR358" s="77"/>
      <c r="BS358" s="77"/>
      <c r="BT358" s="77"/>
      <c r="BU358" s="77"/>
      <c r="BV358" s="77"/>
      <c r="BW358" s="77"/>
      <c r="BX358" s="77"/>
      <c r="BY358" s="77"/>
      <c r="BZ358" s="77"/>
      <c r="CA358" s="77"/>
      <c r="CB358" s="77"/>
      <c r="CC358" s="77"/>
      <c r="CD358" s="77"/>
      <c r="CE358" s="77"/>
      <c r="CF358" s="77"/>
      <c r="CG358" s="77"/>
      <c r="CH358" s="77"/>
      <c r="CI358" s="77"/>
      <c r="CJ358" s="77"/>
      <c r="CK358" s="77"/>
      <c r="CL358" s="77"/>
      <c r="CM358" s="77"/>
      <c r="CN358" s="77"/>
      <c r="CO358" s="77"/>
      <c r="CP358" s="77"/>
      <c r="CQ358" s="77"/>
      <c r="CR358" s="77"/>
      <c r="CS358" s="77"/>
      <c r="CT358" s="77"/>
      <c r="CU358" s="77"/>
      <c r="CV358" s="77"/>
      <c r="CW358" s="77"/>
      <c r="CX358" s="77"/>
      <c r="CY358" s="77"/>
      <c r="CZ358" s="77"/>
      <c r="DA358" s="77"/>
      <c r="DB358" s="77"/>
      <c r="DC358" s="77"/>
      <c r="DD358" s="77"/>
      <c r="DE358" s="77"/>
      <c r="DF358" s="77"/>
      <c r="DG358" s="77"/>
      <c r="DH358" s="77"/>
      <c r="DI358" s="77"/>
      <c r="DJ358" s="77"/>
      <c r="DK358" s="77"/>
      <c r="DL358" s="77"/>
      <c r="DM358" s="77"/>
      <c r="DN358" s="77"/>
      <c r="DO358" s="77"/>
      <c r="DP358" s="77"/>
      <c r="DQ358" s="77"/>
      <c r="DR358" s="77"/>
      <c r="DS358" s="77"/>
      <c r="DT358" s="77"/>
      <c r="DU358" s="77"/>
      <c r="DV358" s="77"/>
      <c r="DW358" s="77"/>
      <c r="DX358" s="77"/>
      <c r="DY358" s="77"/>
      <c r="DZ358" s="77"/>
      <c r="EA358" s="77"/>
      <c r="EB358" s="77"/>
      <c r="EC358" s="77"/>
      <c r="ED358" s="77"/>
      <c r="EE358" s="77"/>
      <c r="EF358" s="77"/>
      <c r="EG358" s="77"/>
      <c r="EH358" s="77"/>
      <c r="EI358" s="77"/>
      <c r="EJ358" s="77"/>
      <c r="EK358" s="77"/>
      <c r="EL358" s="77"/>
      <c r="EM358" s="77"/>
      <c r="EN358" s="77"/>
      <c r="EO358" s="77"/>
      <c r="EP358" s="77"/>
      <c r="EQ358" s="77"/>
      <c r="ER358" s="77"/>
      <c r="ES358" s="77"/>
      <c r="ET358" s="77"/>
      <c r="EU358" s="77"/>
      <c r="EV358" s="77"/>
      <c r="EW358" s="77"/>
      <c r="EX358" s="77"/>
      <c r="EY358" s="77"/>
      <c r="EZ358" s="77"/>
      <c r="FA358" s="77"/>
      <c r="FB358" s="77"/>
      <c r="FC358" s="77"/>
      <c r="FD358" s="77"/>
      <c r="FE358" s="77"/>
      <c r="FF358" s="77"/>
      <c r="FG358" s="77"/>
      <c r="FH358" s="77"/>
      <c r="FI358" s="77"/>
      <c r="FJ358" s="77"/>
      <c r="FK358" s="77"/>
      <c r="FL358" s="77"/>
      <c r="FM358" s="77"/>
      <c r="FN358" s="77"/>
      <c r="FO358" s="77"/>
      <c r="FP358" s="77"/>
      <c r="FQ358" s="77"/>
      <c r="FR358" s="77"/>
      <c r="FS358" s="77"/>
      <c r="FT358" s="77"/>
      <c r="FU358" s="77"/>
      <c r="FV358" s="77"/>
      <c r="FW358" s="77"/>
      <c r="FX358" s="77"/>
      <c r="FY358" s="77"/>
      <c r="FZ358" s="77"/>
      <c r="GA358" s="77"/>
      <c r="GB358" s="77"/>
      <c r="GC358" s="77"/>
      <c r="GD358" s="77"/>
      <c r="GE358" s="77"/>
      <c r="GF358" s="77"/>
      <c r="GG358" s="77"/>
      <c r="GH358" s="77"/>
      <c r="GI358" s="77"/>
      <c r="GJ358" s="77"/>
      <c r="GK358" s="77"/>
      <c r="GL358" s="77"/>
      <c r="GM358" s="77"/>
      <c r="GN358" s="77"/>
      <c r="GO358" s="77"/>
      <c r="GP358" s="77"/>
      <c r="GQ358" s="77"/>
      <c r="GR358" s="77"/>
      <c r="GS358" s="77"/>
      <c r="GT358" s="77"/>
      <c r="GU358" s="77"/>
      <c r="GV358" s="77"/>
      <c r="GW358" s="77"/>
      <c r="GX358" s="77"/>
      <c r="GY358" s="77"/>
      <c r="GZ358" s="77"/>
      <c r="HA358" s="77"/>
      <c r="HB358" s="77"/>
      <c r="HC358" s="77"/>
      <c r="HD358" s="77"/>
      <c r="HE358" s="77"/>
      <c r="HF358" s="77"/>
      <c r="HG358" s="77"/>
      <c r="HH358" s="77"/>
      <c r="HI358" s="77"/>
      <c r="HJ358" s="77"/>
      <c r="HK358" s="77"/>
      <c r="HL358" s="77"/>
      <c r="HM358" s="77"/>
      <c r="HN358" s="77"/>
      <c r="HO358" s="77"/>
      <c r="HP358" s="77"/>
      <c r="HQ358" s="77"/>
      <c r="HR358" s="77"/>
      <c r="HS358" s="77"/>
      <c r="HT358" s="77"/>
      <c r="HU358" s="77"/>
      <c r="HV358" s="77"/>
      <c r="HW358" s="77"/>
      <c r="HX358" s="77"/>
      <c r="HY358" s="77"/>
      <c r="HZ358" s="77"/>
      <c r="IA358" s="77"/>
      <c r="IB358" s="77"/>
      <c r="IC358" s="77"/>
      <c r="IF358" s="77"/>
      <c r="IG358" s="77"/>
      <c r="IH358" s="77"/>
      <c r="II358" s="77"/>
      <c r="IJ358" s="77"/>
      <c r="IK358" s="77"/>
      <c r="IL358" s="77"/>
      <c r="IM358" s="77"/>
      <c r="IN358" s="77"/>
      <c r="IO358" s="77"/>
      <c r="IP358" s="77"/>
      <c r="IQ358" s="77"/>
      <c r="IR358" s="77"/>
      <c r="IS358" s="77"/>
      <c r="IT358" s="77"/>
      <c r="IU358" s="77"/>
      <c r="IV358" s="77"/>
      <c r="IW358" s="77"/>
      <c r="IX358" s="77"/>
      <c r="IY358" s="77"/>
      <c r="IZ358" s="77"/>
      <c r="JA358" s="77"/>
      <c r="JB358" s="77"/>
      <c r="JC358" s="77"/>
      <c r="JD358" s="77"/>
      <c r="JE358" s="77"/>
      <c r="JF358" s="77"/>
      <c r="JG358" s="77"/>
      <c r="JH358" s="77"/>
      <c r="JI358" s="77"/>
      <c r="JJ358" s="77"/>
      <c r="JK358" s="77"/>
      <c r="JL358" s="77"/>
      <c r="JM358" s="77"/>
      <c r="JN358" s="77"/>
      <c r="JO358" s="77"/>
      <c r="JP358" s="77"/>
      <c r="JQ358" s="77"/>
      <c r="JR358" s="77"/>
      <c r="JS358" s="77"/>
      <c r="JT358" s="77"/>
      <c r="JU358" s="77"/>
      <c r="JV358" s="77"/>
      <c r="JW358" s="77"/>
      <c r="JX358" s="77"/>
      <c r="JY358" s="77"/>
      <c r="JZ358" s="77"/>
      <c r="KA358" s="77"/>
      <c r="KB358" s="77"/>
      <c r="KC358" s="77"/>
      <c r="KD358" s="77"/>
      <c r="KE358" s="77"/>
      <c r="KF358" s="77"/>
      <c r="KG358" s="77"/>
      <c r="KH358" s="77"/>
      <c r="KI358" s="77"/>
      <c r="KJ358" s="77"/>
      <c r="KK358" s="77"/>
      <c r="KL358" s="77"/>
      <c r="KM358" s="16"/>
      <c r="KN358" s="16"/>
      <c r="KO358" s="16"/>
      <c r="KP358" s="16"/>
      <c r="KQ358" s="16"/>
      <c r="KR358" s="16"/>
      <c r="KS358" s="16"/>
      <c r="KT358" s="16"/>
      <c r="KU358" s="16"/>
      <c r="KV358" s="16"/>
      <c r="KW358" s="16"/>
      <c r="KX358" s="16"/>
      <c r="KY358" s="16"/>
      <c r="KZ358" s="16"/>
      <c r="LA358" s="16"/>
      <c r="LB358" s="16"/>
      <c r="LC358" s="16"/>
      <c r="LD358" s="16"/>
      <c r="LE358" s="16"/>
      <c r="LF358" s="16"/>
      <c r="LG358" s="16"/>
      <c r="LH358" s="16"/>
      <c r="LI358" s="16"/>
      <c r="LJ358" s="16"/>
      <c r="LK358" s="16"/>
      <c r="LL358" s="77"/>
      <c r="LM358" s="77"/>
      <c r="LN358" s="77"/>
      <c r="LO358" s="77"/>
      <c r="LP358" s="77"/>
      <c r="LQ358" s="77"/>
      <c r="LR358" s="77"/>
      <c r="LS358" s="77"/>
      <c r="LT358" s="77"/>
      <c r="LU358" s="77"/>
      <c r="LV358" s="77"/>
      <c r="LW358" s="77"/>
      <c r="LX358" s="77"/>
      <c r="LY358" s="77"/>
      <c r="LZ358" s="77"/>
      <c r="MA358" s="77"/>
      <c r="MB358" s="77"/>
      <c r="MC358" s="77"/>
      <c r="MD358" s="77"/>
      <c r="ME358" s="77"/>
      <c r="MF358" s="77"/>
      <c r="MG358" s="77"/>
      <c r="MH358" s="77"/>
      <c r="MI358" s="77"/>
      <c r="MJ358" s="77"/>
      <c r="MK358" s="77"/>
      <c r="ML358" s="77"/>
      <c r="MM358" s="77"/>
      <c r="MN358" s="77"/>
      <c r="MO358" s="77"/>
      <c r="MP358" s="77"/>
      <c r="MQ358" s="77"/>
      <c r="MR358" s="77"/>
    </row>
    <row r="359" spans="1:368" ht="18.600000000000001" customHeight="1" x14ac:dyDescent="0.25">
      <c r="A359" s="119" t="s">
        <v>209</v>
      </c>
      <c r="B359" s="27" t="s">
        <v>1355</v>
      </c>
      <c r="C359" s="27" t="s">
        <v>4189</v>
      </c>
      <c r="D359" s="30" t="str">
        <f>HYPERLINK("https://twitter.com/netanyahu","https://twitter.com/netanyahu")</f>
        <v>https://twitter.com/netanyahu</v>
      </c>
      <c r="E359" s="30" t="str">
        <f>HYPERLINK("http://twiplomacy.com/info/asia/Israel","http://twiplomacy.com/info/asia/Israel")</f>
        <v>http://twiplomacy.com/info/asia/Israel</v>
      </c>
      <c r="F359" s="10" t="s">
        <v>154</v>
      </c>
      <c r="G359" s="10" t="s">
        <v>207</v>
      </c>
      <c r="H359" s="10" t="s">
        <v>776</v>
      </c>
      <c r="I359" s="10" t="s">
        <v>773</v>
      </c>
      <c r="J359" s="27" t="s">
        <v>789</v>
      </c>
      <c r="K359" s="15" t="s">
        <v>777</v>
      </c>
      <c r="L359" s="10" t="s">
        <v>771</v>
      </c>
      <c r="M359" s="10" t="s">
        <v>770</v>
      </c>
      <c r="N359" s="30" t="str">
        <f>HYPERLINK("https://twitter.com/netanyahu/statuses/981805657","https://twitter.com/netanyahu/statuses/981805657")</f>
        <v>https://twitter.com/netanyahu/statuses/981805657</v>
      </c>
      <c r="O359" s="27" t="s">
        <v>5986</v>
      </c>
      <c r="P359" s="80">
        <v>19140</v>
      </c>
      <c r="Q359" s="80">
        <v>7533</v>
      </c>
      <c r="R359" s="27" t="s">
        <v>2994</v>
      </c>
      <c r="S359" s="10" t="s">
        <v>1351</v>
      </c>
      <c r="T359" s="10" t="s">
        <v>771</v>
      </c>
      <c r="U359" s="10" t="s">
        <v>771</v>
      </c>
      <c r="V359" s="10" t="s">
        <v>771</v>
      </c>
      <c r="W359" s="10"/>
      <c r="X359" s="27" t="s">
        <v>209</v>
      </c>
      <c r="Y359" s="27" t="s">
        <v>1355</v>
      </c>
      <c r="Z359" s="80">
        <v>1972</v>
      </c>
      <c r="AA359" s="27">
        <v>77</v>
      </c>
      <c r="AB359" s="80">
        <v>572134</v>
      </c>
      <c r="AC359" s="27">
        <v>3</v>
      </c>
      <c r="AD359" s="27" t="s">
        <v>4190</v>
      </c>
      <c r="AE359" s="27">
        <v>17061263</v>
      </c>
      <c r="AF359" s="27" t="s">
        <v>4189</v>
      </c>
      <c r="AG359" s="27" t="s">
        <v>207</v>
      </c>
      <c r="AH359" s="79">
        <v>0.71944545786209402</v>
      </c>
      <c r="AI359" s="83">
        <v>0.72049689440993803</v>
      </c>
      <c r="AJ359" s="80">
        <v>299.32624928202199</v>
      </c>
      <c r="AK359" s="80">
        <v>242.90350373348701</v>
      </c>
      <c r="AL359" s="27">
        <v>108</v>
      </c>
      <c r="AM359" s="97">
        <f>SUM(AL359/Z359)</f>
        <v>5.4766734279918863E-2</v>
      </c>
      <c r="AN359" s="27" t="s">
        <v>209</v>
      </c>
      <c r="AO359" s="27">
        <v>2</v>
      </c>
      <c r="AP359" s="27">
        <v>56</v>
      </c>
      <c r="AQ359" s="27">
        <v>2</v>
      </c>
      <c r="AR359" s="27">
        <f>SUM(AO359:AQ359)</f>
        <v>60</v>
      </c>
      <c r="AS359" s="27" t="s">
        <v>4769</v>
      </c>
      <c r="AT359" s="27" t="s">
        <v>6801</v>
      </c>
      <c r="AU359" s="84" t="s">
        <v>4878</v>
      </c>
      <c r="AV359" s="77"/>
      <c r="AW359" s="77"/>
      <c r="AX359" s="77"/>
      <c r="AY359" s="77"/>
      <c r="AZ359" s="77"/>
      <c r="BA359" s="77"/>
      <c r="BB359" s="77"/>
      <c r="BC359" s="77"/>
      <c r="BD359" s="77"/>
      <c r="BE359" s="77"/>
      <c r="BF359" s="77"/>
      <c r="BG359" s="77"/>
      <c r="BH359" s="77"/>
      <c r="BI359" s="77"/>
      <c r="BJ359" s="77"/>
      <c r="BK359" s="77"/>
      <c r="BL359" s="77"/>
      <c r="BM359" s="77"/>
      <c r="BN359" s="77"/>
      <c r="BO359" s="77"/>
      <c r="BP359" s="77"/>
      <c r="BQ359" s="77"/>
      <c r="BR359" s="77"/>
      <c r="BS359" s="77"/>
      <c r="BT359" s="77"/>
      <c r="BU359" s="77"/>
      <c r="BV359" s="77"/>
      <c r="BW359" s="77"/>
      <c r="BX359" s="77"/>
      <c r="BY359" s="77"/>
      <c r="BZ359" s="77"/>
      <c r="CA359" s="77"/>
      <c r="CB359" s="77"/>
      <c r="CC359" s="77"/>
      <c r="CD359" s="77"/>
      <c r="CE359" s="77"/>
      <c r="CF359" s="77"/>
      <c r="CG359" s="77"/>
      <c r="CH359" s="77"/>
      <c r="CI359" s="77"/>
      <c r="CJ359" s="77"/>
      <c r="CK359" s="77"/>
      <c r="CL359" s="77"/>
      <c r="CM359" s="77"/>
      <c r="CN359" s="77"/>
      <c r="CO359" s="77"/>
      <c r="CP359" s="77"/>
      <c r="CQ359" s="77"/>
      <c r="CR359" s="77"/>
      <c r="CS359" s="77"/>
      <c r="CT359" s="77"/>
      <c r="CU359" s="77"/>
      <c r="CV359" s="77"/>
      <c r="CW359" s="77"/>
      <c r="CX359" s="77"/>
      <c r="CY359" s="77"/>
      <c r="CZ359" s="77"/>
      <c r="DA359" s="77"/>
      <c r="DB359" s="77"/>
      <c r="DC359" s="77"/>
      <c r="DD359" s="77"/>
      <c r="DE359" s="77"/>
      <c r="DF359" s="77"/>
      <c r="DG359" s="77"/>
      <c r="DH359" s="77"/>
      <c r="DI359" s="77"/>
      <c r="DJ359" s="77"/>
      <c r="DK359" s="77"/>
      <c r="DL359" s="77"/>
      <c r="DM359" s="77"/>
      <c r="DN359" s="77"/>
      <c r="DO359" s="77"/>
      <c r="DP359" s="77"/>
      <c r="DQ359" s="77"/>
      <c r="DR359" s="77"/>
      <c r="DS359" s="77"/>
      <c r="DT359" s="77"/>
      <c r="DU359" s="77"/>
      <c r="DV359" s="77"/>
      <c r="DW359" s="77"/>
      <c r="DX359" s="77"/>
      <c r="DY359" s="77"/>
      <c r="DZ359" s="77"/>
      <c r="EA359" s="77"/>
      <c r="EB359" s="77"/>
      <c r="EC359" s="77"/>
      <c r="ED359" s="77"/>
      <c r="EE359" s="77"/>
      <c r="EF359" s="77"/>
      <c r="EG359" s="77"/>
      <c r="EH359" s="77"/>
      <c r="EI359" s="77"/>
      <c r="EJ359" s="77"/>
      <c r="EK359" s="77"/>
      <c r="EL359" s="77"/>
      <c r="EM359" s="77"/>
      <c r="EN359" s="77"/>
      <c r="EO359" s="77"/>
      <c r="EP359" s="77"/>
      <c r="EQ359" s="77"/>
      <c r="ER359" s="77"/>
      <c r="ES359" s="77"/>
      <c r="ET359" s="77"/>
      <c r="EU359" s="77"/>
      <c r="EV359" s="77"/>
      <c r="EW359" s="77"/>
      <c r="EX359" s="77"/>
      <c r="EY359" s="77"/>
      <c r="EZ359" s="77"/>
      <c r="FA359" s="77"/>
      <c r="FB359" s="77"/>
      <c r="FC359" s="77"/>
      <c r="FD359" s="77"/>
      <c r="FE359" s="77"/>
      <c r="FF359" s="77"/>
      <c r="FG359" s="77"/>
      <c r="FH359" s="77"/>
      <c r="FI359" s="77"/>
      <c r="FJ359" s="77"/>
      <c r="FK359" s="77"/>
      <c r="FL359" s="77"/>
      <c r="FM359" s="77"/>
      <c r="FN359" s="77"/>
      <c r="FO359" s="77"/>
      <c r="FP359" s="77"/>
      <c r="FQ359" s="77"/>
      <c r="FR359" s="77"/>
      <c r="FS359" s="77"/>
      <c r="FT359" s="77"/>
      <c r="FU359" s="77"/>
      <c r="FV359" s="77"/>
      <c r="FW359" s="77"/>
      <c r="FX359" s="77"/>
      <c r="FY359" s="77"/>
      <c r="FZ359" s="77"/>
      <c r="GA359" s="77"/>
      <c r="GB359" s="77"/>
      <c r="GC359" s="77"/>
      <c r="GD359" s="77"/>
      <c r="GE359" s="77"/>
      <c r="GF359" s="77"/>
      <c r="GG359" s="77"/>
      <c r="GH359" s="77"/>
      <c r="GI359" s="77"/>
      <c r="GJ359" s="77"/>
      <c r="GK359" s="77"/>
      <c r="GL359" s="77"/>
      <c r="GM359" s="77"/>
      <c r="GN359" s="77"/>
      <c r="GO359" s="77"/>
      <c r="GP359" s="77"/>
      <c r="GQ359" s="77"/>
      <c r="GR359" s="77"/>
      <c r="GS359" s="77"/>
      <c r="GT359" s="77"/>
      <c r="GU359" s="77"/>
      <c r="GV359" s="77"/>
      <c r="GW359" s="77"/>
      <c r="GX359" s="77"/>
      <c r="GY359" s="77"/>
      <c r="GZ359" s="77"/>
      <c r="HA359" s="77"/>
      <c r="HB359" s="77"/>
      <c r="HC359" s="77"/>
      <c r="HD359" s="77"/>
      <c r="HE359" s="77"/>
      <c r="HF359" s="77"/>
      <c r="HG359" s="77"/>
      <c r="HH359" s="77"/>
      <c r="HI359" s="77"/>
      <c r="HJ359" s="77"/>
      <c r="HK359" s="77"/>
      <c r="HL359" s="77"/>
      <c r="HM359" s="77"/>
      <c r="HN359" s="77"/>
      <c r="HO359" s="77"/>
      <c r="HP359" s="77"/>
      <c r="HQ359" s="77"/>
      <c r="HR359" s="77"/>
      <c r="HS359" s="77"/>
      <c r="HT359" s="77"/>
      <c r="HU359" s="77"/>
      <c r="HV359" s="77"/>
      <c r="HW359" s="77"/>
      <c r="HX359" s="77"/>
      <c r="HY359" s="77"/>
      <c r="HZ359" s="77"/>
      <c r="IA359" s="77"/>
      <c r="IB359" s="77"/>
      <c r="IC359" s="77"/>
      <c r="ID359" s="77"/>
      <c r="IE359" s="77"/>
      <c r="IF359" s="77"/>
      <c r="IG359" s="77"/>
      <c r="IH359" s="77"/>
      <c r="II359" s="77"/>
      <c r="IJ359" s="77"/>
      <c r="IK359" s="77"/>
      <c r="IL359" s="77"/>
      <c r="IM359" s="77"/>
      <c r="IN359" s="77"/>
      <c r="IO359" s="77"/>
      <c r="IP359" s="77"/>
      <c r="IQ359" s="77"/>
      <c r="IR359" s="77"/>
      <c r="IS359" s="77"/>
      <c r="IT359" s="77"/>
      <c r="IU359" s="77"/>
      <c r="IV359" s="77"/>
      <c r="IW359" s="77"/>
      <c r="IX359" s="77"/>
      <c r="IY359" s="77"/>
      <c r="IZ359" s="77"/>
      <c r="JA359" s="77"/>
      <c r="JB359" s="77"/>
      <c r="JC359" s="77"/>
      <c r="JD359" s="77"/>
      <c r="JE359" s="77"/>
      <c r="JF359" s="77"/>
      <c r="JG359" s="77"/>
      <c r="JH359" s="77"/>
      <c r="JI359" s="77"/>
      <c r="JJ359" s="77"/>
      <c r="JK359" s="77"/>
      <c r="JL359" s="77"/>
      <c r="JM359" s="77"/>
      <c r="JN359" s="77"/>
      <c r="JO359" s="77"/>
      <c r="JP359" s="77"/>
      <c r="JQ359" s="77"/>
      <c r="JR359" s="77"/>
      <c r="JS359" s="77"/>
      <c r="JT359" s="77"/>
      <c r="JU359" s="77"/>
      <c r="JV359" s="77"/>
      <c r="JW359" s="77"/>
      <c r="JX359" s="77"/>
      <c r="LW359" s="77"/>
      <c r="LX359" s="77"/>
    </row>
    <row r="360" spans="1:368" ht="18.600000000000001" customHeight="1" x14ac:dyDescent="0.25">
      <c r="A360" s="119" t="s">
        <v>717</v>
      </c>
      <c r="B360" s="27" t="s">
        <v>1981</v>
      </c>
      <c r="C360" s="27" t="s">
        <v>5654</v>
      </c>
      <c r="D360" s="30" t="str">
        <f>HYPERLINK("https://twitter.com/HashimThaciRKS","https://twitter.com/HashimThaciRKS")</f>
        <v>https://twitter.com/HashimThaciRKS</v>
      </c>
      <c r="E360" s="30" t="str">
        <f>HYPERLINK("http://twiplomacy.com/info/europe/Kosovo","http://twiplomacy.com/info/europe/Kosovo")</f>
        <v>http://twiplomacy.com/info/europe/Kosovo</v>
      </c>
      <c r="F360" s="10" t="s">
        <v>332</v>
      </c>
      <c r="G360" s="10" t="s">
        <v>716</v>
      </c>
      <c r="H360" s="10" t="s">
        <v>772</v>
      </c>
      <c r="I360" s="10" t="s">
        <v>773</v>
      </c>
      <c r="J360" s="27" t="s">
        <v>789</v>
      </c>
      <c r="K360" s="15" t="s">
        <v>777</v>
      </c>
      <c r="L360" s="15"/>
      <c r="M360" s="10" t="s">
        <v>770</v>
      </c>
      <c r="N360" s="30" t="str">
        <f>HYPERLINK("https://twitter.com/pmkosovo/statuses/132028809905049601","https://twitter.com/pmkosovo/statuses/132028809905049601")</f>
        <v>https://twitter.com/pmkosovo/statuses/132028809905049601</v>
      </c>
      <c r="O360" s="27" t="s">
        <v>5859</v>
      </c>
      <c r="P360" s="80">
        <v>133</v>
      </c>
      <c r="Q360" s="80">
        <v>113</v>
      </c>
      <c r="R360" s="27" t="s">
        <v>2994</v>
      </c>
      <c r="S360" s="12" t="s">
        <v>1982</v>
      </c>
      <c r="T360" s="10" t="s">
        <v>771</v>
      </c>
      <c r="U360" s="10" t="s">
        <v>771</v>
      </c>
      <c r="V360" s="10" t="s">
        <v>771</v>
      </c>
      <c r="W360" s="10"/>
      <c r="X360" s="27" t="s">
        <v>717</v>
      </c>
      <c r="Y360" s="27" t="s">
        <v>1981</v>
      </c>
      <c r="Z360" s="80">
        <v>1965</v>
      </c>
      <c r="AA360" s="27">
        <v>299</v>
      </c>
      <c r="AB360" s="80">
        <v>19088</v>
      </c>
      <c r="AC360" s="27">
        <v>218</v>
      </c>
      <c r="AD360" s="27" t="s">
        <v>3802</v>
      </c>
      <c r="AE360" s="27">
        <v>403346563</v>
      </c>
      <c r="AF360" s="27" t="s">
        <v>5654</v>
      </c>
      <c r="AG360" s="27" t="s">
        <v>1983</v>
      </c>
      <c r="AH360" s="79">
        <v>1.1959829580036501</v>
      </c>
      <c r="AI360" s="83">
        <v>1.19610231425091</v>
      </c>
      <c r="AJ360" s="80">
        <v>6.4055555555555603</v>
      </c>
      <c r="AK360" s="80">
        <v>10.6152777777778</v>
      </c>
      <c r="AL360" s="27">
        <v>18</v>
      </c>
      <c r="AM360" s="97">
        <f>SUM(AL360/Z360)</f>
        <v>9.1603053435114507E-3</v>
      </c>
      <c r="AN360" s="27" t="s">
        <v>717</v>
      </c>
      <c r="AO360" s="27">
        <v>51</v>
      </c>
      <c r="AP360" s="27">
        <v>3</v>
      </c>
      <c r="AQ360" s="27">
        <v>30</v>
      </c>
      <c r="AR360" s="27">
        <f>SUM(AO360:AQ360)</f>
        <v>84</v>
      </c>
      <c r="AS360" s="27" t="s">
        <v>5173</v>
      </c>
      <c r="AT360" s="27" t="s">
        <v>5174</v>
      </c>
      <c r="AU360" s="84" t="s">
        <v>6488</v>
      </c>
      <c r="AV360" s="77"/>
      <c r="AW360" s="77"/>
      <c r="AX360" s="77"/>
      <c r="AY360" s="77"/>
      <c r="AZ360" s="77"/>
      <c r="BA360" s="77"/>
      <c r="BB360" s="77"/>
      <c r="BC360" s="77"/>
      <c r="BD360" s="77"/>
      <c r="BE360" s="77"/>
      <c r="BF360" s="77"/>
      <c r="BG360" s="77"/>
      <c r="BH360" s="77"/>
      <c r="BI360" s="77"/>
      <c r="BJ360" s="77"/>
      <c r="BK360" s="77"/>
      <c r="BL360" s="77"/>
      <c r="BM360" s="70"/>
      <c r="BQ360" s="77"/>
      <c r="BR360" s="77"/>
      <c r="BS360" s="77"/>
      <c r="BT360" s="77"/>
      <c r="BU360" s="77"/>
      <c r="BV360" s="77"/>
      <c r="BW360" s="77"/>
      <c r="BX360" s="77"/>
      <c r="BY360" s="77"/>
      <c r="BZ360" s="77"/>
      <c r="CA360" s="77"/>
      <c r="CB360" s="77"/>
      <c r="CC360" s="77"/>
      <c r="CD360" s="77"/>
      <c r="CE360" s="77"/>
      <c r="CF360" s="77"/>
      <c r="CG360" s="77"/>
      <c r="CH360" s="77"/>
      <c r="CI360" s="77"/>
      <c r="CJ360" s="77"/>
      <c r="CK360" s="77"/>
      <c r="CL360" s="77"/>
      <c r="CM360" s="77"/>
      <c r="CN360" s="77"/>
      <c r="CO360" s="77"/>
      <c r="CP360" s="77"/>
      <c r="CQ360" s="77"/>
      <c r="CR360" s="77"/>
      <c r="CS360" s="77"/>
      <c r="CT360" s="77"/>
      <c r="CU360" s="77"/>
      <c r="CV360" s="77"/>
      <c r="CW360" s="77"/>
      <c r="EM360" s="77"/>
      <c r="EN360" s="77"/>
      <c r="EO360" s="77"/>
      <c r="EP360" s="77"/>
      <c r="EQ360" s="77"/>
      <c r="ER360" s="77"/>
      <c r="ES360" s="77"/>
      <c r="ET360" s="77"/>
      <c r="EU360" s="77"/>
      <c r="EV360" s="77"/>
      <c r="EW360" s="77"/>
      <c r="EX360" s="77"/>
      <c r="EY360" s="77"/>
      <c r="EZ360" s="77"/>
      <c r="FA360" s="77"/>
      <c r="FB360" s="77"/>
      <c r="FC360" s="77"/>
      <c r="FD360" s="77"/>
      <c r="FE360" s="77"/>
      <c r="FF360" s="77"/>
      <c r="FG360" s="77"/>
      <c r="FH360" s="77"/>
      <c r="FI360" s="77"/>
      <c r="FJ360" s="77"/>
      <c r="FK360" s="77"/>
      <c r="FL360" s="77"/>
      <c r="FM360" s="77"/>
      <c r="FN360" s="77"/>
      <c r="FO360" s="77"/>
      <c r="FP360" s="77"/>
      <c r="FQ360" s="77"/>
      <c r="FR360" s="77"/>
      <c r="FS360" s="77"/>
      <c r="FT360" s="77"/>
      <c r="FU360" s="77"/>
      <c r="FV360" s="77"/>
      <c r="FW360" s="77"/>
      <c r="FX360" s="77"/>
      <c r="FY360" s="77"/>
      <c r="FZ360" s="77"/>
      <c r="GA360" s="77"/>
      <c r="GB360" s="77"/>
      <c r="GC360" s="77"/>
      <c r="GD360" s="77"/>
      <c r="GE360" s="77"/>
      <c r="GF360" s="77"/>
      <c r="GG360" s="77"/>
      <c r="GH360" s="77"/>
      <c r="GI360" s="77"/>
      <c r="GJ360" s="77"/>
      <c r="GK360" s="77"/>
      <c r="GL360" s="77"/>
      <c r="GM360" s="77"/>
      <c r="GN360" s="77"/>
      <c r="GO360" s="77"/>
      <c r="GP360" s="77"/>
      <c r="GQ360" s="77"/>
      <c r="GR360" s="77"/>
      <c r="GS360" s="77"/>
      <c r="GT360" s="77"/>
      <c r="GU360" s="77"/>
      <c r="GV360" s="77"/>
      <c r="GW360" s="77"/>
      <c r="GX360" s="77"/>
      <c r="GY360" s="77"/>
      <c r="GZ360" s="77"/>
      <c r="HA360" s="77"/>
      <c r="HB360" s="77"/>
      <c r="HC360" s="77"/>
      <c r="HD360" s="77"/>
      <c r="HE360" s="77"/>
      <c r="HF360" s="77"/>
      <c r="HG360" s="77"/>
      <c r="HH360" s="77"/>
      <c r="HI360" s="77"/>
      <c r="HJ360" s="77"/>
      <c r="HK360" s="77"/>
      <c r="HL360" s="77"/>
      <c r="HM360" s="77"/>
      <c r="HN360" s="77"/>
      <c r="HO360" s="77"/>
      <c r="HP360" s="77"/>
      <c r="HQ360" s="77"/>
      <c r="HR360" s="77"/>
      <c r="HS360" s="77"/>
      <c r="HT360" s="77"/>
      <c r="HU360" s="77"/>
      <c r="HV360" s="77"/>
      <c r="HW360" s="77"/>
      <c r="HX360" s="77"/>
      <c r="HY360" s="77"/>
      <c r="HZ360" s="77"/>
      <c r="IA360" s="77"/>
      <c r="IB360" s="77"/>
      <c r="IC360" s="77"/>
      <c r="ID360" s="77"/>
      <c r="IE360" s="77"/>
      <c r="IF360" s="77"/>
      <c r="IG360" s="77"/>
      <c r="IH360" s="77"/>
      <c r="II360" s="77"/>
      <c r="IJ360" s="77"/>
      <c r="IK360" s="77"/>
      <c r="IL360" s="77"/>
      <c r="IM360" s="77"/>
      <c r="IN360" s="77"/>
      <c r="IO360" s="77"/>
      <c r="IP360" s="77"/>
      <c r="IQ360" s="77"/>
      <c r="IR360" s="77"/>
      <c r="IS360" s="77"/>
      <c r="IT360" s="77"/>
      <c r="IU360" s="77"/>
      <c r="IV360" s="77"/>
      <c r="IW360" s="77"/>
      <c r="IX360" s="77"/>
      <c r="IY360" s="77"/>
      <c r="IZ360" s="77"/>
      <c r="JA360" s="77"/>
      <c r="JB360" s="77"/>
      <c r="JC360" s="77"/>
      <c r="JD360" s="77"/>
      <c r="JE360" s="77"/>
      <c r="JF360" s="77"/>
      <c r="JG360" s="77"/>
      <c r="JH360" s="77"/>
      <c r="JI360" s="77"/>
      <c r="JJ360" s="77"/>
      <c r="JK360" s="77"/>
      <c r="JL360" s="77"/>
      <c r="JM360" s="77"/>
      <c r="JN360" s="77"/>
      <c r="JO360" s="77"/>
      <c r="JP360" s="77"/>
      <c r="JQ360" s="77"/>
      <c r="JR360" s="77"/>
      <c r="JS360" s="77"/>
      <c r="JT360" s="77"/>
      <c r="JU360" s="77"/>
      <c r="JV360" s="77"/>
      <c r="JW360" s="77"/>
      <c r="JX360" s="77"/>
      <c r="JY360" s="77"/>
      <c r="JZ360" s="77"/>
      <c r="KA360" s="77"/>
      <c r="KB360" s="77"/>
      <c r="KC360" s="77"/>
      <c r="KD360" s="77"/>
      <c r="KE360" s="77"/>
      <c r="KF360" s="77"/>
      <c r="KG360" s="77"/>
      <c r="KH360" s="77"/>
      <c r="KI360" s="77"/>
      <c r="KJ360" s="77"/>
      <c r="KK360" s="77"/>
      <c r="KL360" s="77"/>
      <c r="KM360" s="77"/>
      <c r="KN360" s="77"/>
      <c r="KO360" s="77"/>
      <c r="KP360" s="77"/>
      <c r="KQ360" s="77"/>
      <c r="KR360" s="77"/>
      <c r="KS360" s="77"/>
      <c r="KT360" s="77"/>
      <c r="KU360" s="77"/>
      <c r="KV360" s="77"/>
      <c r="KW360" s="77"/>
      <c r="KX360" s="77"/>
      <c r="KY360" s="77"/>
      <c r="KZ360" s="77"/>
      <c r="LA360" s="77"/>
      <c r="LB360" s="77"/>
      <c r="LC360" s="77"/>
      <c r="LD360" s="77"/>
      <c r="LE360" s="77"/>
      <c r="LF360" s="77"/>
      <c r="LG360" s="77"/>
      <c r="LH360" s="77"/>
      <c r="LI360" s="77"/>
      <c r="LJ360" s="77"/>
      <c r="LK360" s="77"/>
      <c r="LW360" s="77"/>
      <c r="LX360" s="77"/>
      <c r="MT360" s="77"/>
      <c r="MU360" s="77"/>
      <c r="MV360" s="77"/>
      <c r="MW360" s="77"/>
      <c r="MX360" s="77"/>
      <c r="MY360" s="77"/>
      <c r="MZ360" s="77"/>
      <c r="NA360" s="77"/>
      <c r="NB360" s="77"/>
      <c r="NC360" s="77"/>
    </row>
    <row r="361" spans="1:368" ht="18.600000000000001" customHeight="1" x14ac:dyDescent="0.25">
      <c r="A361" s="119" t="s">
        <v>469</v>
      </c>
      <c r="B361" s="27" t="s">
        <v>2079</v>
      </c>
      <c r="C361" s="27" t="s">
        <v>2080</v>
      </c>
      <c r="D361" s="30" t="str">
        <f>HYPERLINK("https://twitter.com/MinPres","https://twitter.com/MinPres")</f>
        <v>https://twitter.com/MinPres</v>
      </c>
      <c r="E361" s="30" t="str">
        <f>HYPERLINK("http://twiplomacy.com/info/europe/Netherlands","http://twiplomacy.com/info/europe/Netherlands")</f>
        <v>http://twiplomacy.com/info/europe/Netherlands</v>
      </c>
      <c r="F361" s="10" t="s">
        <v>332</v>
      </c>
      <c r="G361" s="10" t="s">
        <v>467</v>
      </c>
      <c r="H361" s="10" t="s">
        <v>776</v>
      </c>
      <c r="I361" s="10" t="s">
        <v>773</v>
      </c>
      <c r="J361" s="27" t="s">
        <v>789</v>
      </c>
      <c r="K361" s="15" t="s">
        <v>777</v>
      </c>
      <c r="L361" s="10" t="s">
        <v>771</v>
      </c>
      <c r="M361" s="10" t="s">
        <v>770</v>
      </c>
      <c r="N361" s="30" t="str">
        <f>HYPERLINK("https://twitter.com/minpres/statuses/28965629825","https://twitter.com/minpres/statuses/28965629825")</f>
        <v>https://twitter.com/minpres/statuses/28965629825</v>
      </c>
      <c r="O361" s="27" t="s">
        <v>5964</v>
      </c>
      <c r="P361" s="80">
        <v>2285</v>
      </c>
      <c r="Q361" s="80">
        <v>2778</v>
      </c>
      <c r="R361" s="27" t="s">
        <v>2994</v>
      </c>
      <c r="S361" s="10" t="s">
        <v>2081</v>
      </c>
      <c r="T361" s="10" t="s">
        <v>771</v>
      </c>
      <c r="U361" s="10" t="s">
        <v>771</v>
      </c>
      <c r="V361" s="10" t="s">
        <v>771</v>
      </c>
      <c r="W361" s="10"/>
      <c r="X361" s="27" t="s">
        <v>469</v>
      </c>
      <c r="Y361" s="27" t="s">
        <v>2079</v>
      </c>
      <c r="Z361" s="80">
        <v>1956</v>
      </c>
      <c r="AA361" s="27">
        <v>0</v>
      </c>
      <c r="AB361" s="80">
        <v>624261</v>
      </c>
      <c r="AC361" s="27">
        <v>5</v>
      </c>
      <c r="AD361" s="27" t="s">
        <v>4126</v>
      </c>
      <c r="AE361" s="27">
        <v>155507136</v>
      </c>
      <c r="AF361" s="27" t="s">
        <v>2080</v>
      </c>
      <c r="AG361" s="27" t="s">
        <v>2082</v>
      </c>
      <c r="AH361" s="79">
        <v>0.91019078641228501</v>
      </c>
      <c r="AI361" s="83">
        <v>0.97115862754848303</v>
      </c>
      <c r="AJ361" s="80">
        <v>30.113024757804101</v>
      </c>
      <c r="AK361" s="80">
        <v>15.6345532831001</v>
      </c>
      <c r="AL361" s="27">
        <v>19</v>
      </c>
      <c r="AM361" s="97">
        <f>SUM(AL361/Z361)</f>
        <v>9.7137014314928431E-3</v>
      </c>
      <c r="AN361" s="27" t="s">
        <v>469</v>
      </c>
      <c r="AO361" s="27">
        <v>0</v>
      </c>
      <c r="AP361" s="27">
        <v>42</v>
      </c>
      <c r="AQ361" s="27">
        <v>0</v>
      </c>
      <c r="AR361" s="27">
        <f>SUM(AO361:AQ361)</f>
        <v>42</v>
      </c>
      <c r="AS361" s="27"/>
      <c r="AT361" s="27" t="s">
        <v>5329</v>
      </c>
      <c r="AU361" s="84"/>
      <c r="AV361" s="77"/>
      <c r="AW361" s="77"/>
      <c r="AX361" s="77"/>
      <c r="AY361" s="77"/>
      <c r="AZ361" s="77"/>
      <c r="BA361" s="77"/>
      <c r="BB361" s="77"/>
      <c r="BC361" s="77"/>
      <c r="BD361" s="77"/>
      <c r="BE361" s="77"/>
      <c r="BF361" s="77"/>
      <c r="BG361" s="77"/>
      <c r="BH361" s="77"/>
      <c r="BI361" s="77"/>
      <c r="BJ361" s="77"/>
      <c r="BK361" s="77"/>
      <c r="BL361" s="77"/>
      <c r="BM361" s="77"/>
      <c r="BN361" s="77"/>
      <c r="BO361" s="77"/>
      <c r="BP361" s="77"/>
      <c r="BQ361" s="77"/>
      <c r="BR361" s="77"/>
      <c r="BS361" s="77"/>
      <c r="BT361" s="77"/>
      <c r="BU361" s="77"/>
      <c r="BV361" s="77"/>
      <c r="BW361" s="77"/>
      <c r="BX361" s="77"/>
      <c r="BY361" s="77"/>
      <c r="BZ361" s="77"/>
      <c r="CA361" s="77"/>
      <c r="CB361" s="77"/>
      <c r="CC361" s="77"/>
      <c r="CD361" s="77"/>
      <c r="CE361" s="77"/>
      <c r="CF361" s="77"/>
      <c r="CG361" s="77"/>
      <c r="CH361" s="77"/>
      <c r="CI361" s="77"/>
      <c r="CJ361" s="77"/>
      <c r="EM361" s="77"/>
      <c r="EN361" s="77"/>
      <c r="EO361" s="77"/>
      <c r="EP361" s="77"/>
      <c r="EQ361" s="77"/>
      <c r="GL361" s="77"/>
      <c r="GM361" s="77"/>
      <c r="GN361" s="77"/>
      <c r="GO361" s="77"/>
      <c r="GP361" s="77"/>
      <c r="GQ361" s="77"/>
      <c r="GR361" s="77"/>
      <c r="GS361" s="77"/>
      <c r="GT361" s="77"/>
      <c r="GU361" s="77"/>
      <c r="GV361" s="77"/>
      <c r="GW361" s="77"/>
      <c r="GX361" s="77"/>
      <c r="GY361" s="77"/>
      <c r="GZ361" s="77"/>
      <c r="HA361" s="77"/>
      <c r="HB361" s="77"/>
      <c r="HC361" s="77"/>
      <c r="HD361" s="77"/>
      <c r="HE361" s="77"/>
      <c r="HF361" s="77"/>
      <c r="HG361" s="77"/>
      <c r="HH361" s="77"/>
      <c r="HI361" s="77"/>
      <c r="HJ361" s="77"/>
      <c r="HK361" s="77"/>
      <c r="IF361" s="77"/>
      <c r="IG361" s="77"/>
      <c r="IH361" s="77"/>
      <c r="II361" s="77"/>
      <c r="IJ361" s="77"/>
      <c r="IK361" s="77"/>
      <c r="IL361" s="77"/>
      <c r="IM361" s="77"/>
      <c r="IN361" s="77"/>
      <c r="IO361" s="77"/>
      <c r="IP361" s="77"/>
      <c r="IQ361" s="77"/>
      <c r="IR361" s="77"/>
      <c r="IS361" s="77"/>
      <c r="IT361" s="77"/>
      <c r="IU361" s="77"/>
      <c r="IV361" s="77"/>
      <c r="IW361" s="77"/>
      <c r="IX361" s="77"/>
      <c r="IY361" s="77"/>
      <c r="IZ361" s="77"/>
      <c r="JA361" s="77"/>
      <c r="JB361" s="77"/>
      <c r="JC361" s="77"/>
      <c r="JD361" s="77"/>
      <c r="JE361" s="77"/>
      <c r="JF361" s="77"/>
      <c r="JG361" s="77"/>
      <c r="JH361" s="77"/>
      <c r="JI361" s="77"/>
      <c r="JJ361" s="77"/>
      <c r="JK361" s="77"/>
      <c r="JL361" s="77"/>
      <c r="JM361" s="77"/>
      <c r="JN361" s="77"/>
      <c r="JO361" s="77"/>
      <c r="JP361" s="77"/>
      <c r="JQ361" s="77"/>
      <c r="JR361" s="77"/>
      <c r="JS361" s="77"/>
      <c r="JT361" s="77"/>
      <c r="JU361" s="77"/>
      <c r="JV361" s="77"/>
      <c r="JW361" s="77"/>
      <c r="JX361" s="77"/>
      <c r="JY361" s="77"/>
      <c r="JZ361" s="77"/>
      <c r="KA361" s="77"/>
      <c r="KB361" s="77"/>
      <c r="KC361" s="77"/>
      <c r="KD361" s="77"/>
      <c r="KE361" s="77"/>
      <c r="KF361" s="77"/>
      <c r="KG361" s="77"/>
      <c r="KH361" s="77"/>
      <c r="KI361" s="77"/>
      <c r="KJ361" s="77"/>
      <c r="KK361" s="77"/>
      <c r="KL361" s="77"/>
      <c r="LL361" s="77"/>
      <c r="LM361" s="77"/>
      <c r="LN361" s="77"/>
      <c r="LO361" s="77"/>
      <c r="LP361" s="77"/>
      <c r="LQ361" s="77"/>
      <c r="LR361" s="77"/>
      <c r="LS361" s="77"/>
      <c r="LT361" s="77"/>
      <c r="LU361" s="77"/>
      <c r="LV361" s="77"/>
      <c r="LY361" s="77"/>
      <c r="LZ361" s="77"/>
      <c r="MA361" s="77"/>
      <c r="MB361" s="77"/>
      <c r="MC361" s="77"/>
      <c r="MD361" s="77"/>
      <c r="ME361" s="77"/>
      <c r="MF361" s="77"/>
      <c r="MG361" s="77"/>
      <c r="MH361" s="77"/>
      <c r="MI361" s="77"/>
      <c r="MJ361" s="77"/>
      <c r="MK361" s="77"/>
      <c r="ML361" s="77"/>
      <c r="MM361" s="77"/>
      <c r="MN361" s="77"/>
      <c r="MO361" s="77"/>
      <c r="MP361" s="77"/>
      <c r="MQ361" s="77"/>
      <c r="MR361" s="77"/>
    </row>
    <row r="362" spans="1:368" ht="18.600000000000001" customHeight="1" x14ac:dyDescent="0.25">
      <c r="A362" s="119" t="s">
        <v>18</v>
      </c>
      <c r="B362" s="27" t="s">
        <v>810</v>
      </c>
      <c r="C362" s="27" t="s">
        <v>811</v>
      </c>
      <c r="D362" s="72" t="str">
        <f>HYPERLINK("https://twitter.com/PR_Paul_Biya","https://twitter.com/PR_Paul_Biya")</f>
        <v>https://twitter.com/PR_Paul_Biya</v>
      </c>
      <c r="E362" s="72" t="str">
        <f>HYPERLINK("http://twiplomacy.com/info/africa/Cameroon","http://twiplomacy.com/info/africa/Cameroon")</f>
        <v>http://twiplomacy.com/info/africa/Cameroon</v>
      </c>
      <c r="F362" s="10" t="s">
        <v>1</v>
      </c>
      <c r="G362" s="10" t="s">
        <v>17</v>
      </c>
      <c r="H362" s="10" t="s">
        <v>772</v>
      </c>
      <c r="I362" s="10" t="s">
        <v>773</v>
      </c>
      <c r="J362" s="27" t="s">
        <v>814</v>
      </c>
      <c r="K362" s="15" t="s">
        <v>777</v>
      </c>
      <c r="L362" s="10" t="s">
        <v>771</v>
      </c>
      <c r="M362" s="10" t="s">
        <v>771</v>
      </c>
      <c r="N362" s="30" t="str">
        <f>HYPERLINK("https://twitter.com/PR_Paul_Biya/statuses/83272997632360449","https://twitter.com/PR_Paul_Biya/statuses/83272997632360449")</f>
        <v>https://twitter.com/PR_Paul_Biya/statuses/83272997632360449</v>
      </c>
      <c r="O362" s="27" t="s">
        <v>6026</v>
      </c>
      <c r="P362" s="80">
        <v>110</v>
      </c>
      <c r="Q362" s="80">
        <v>9</v>
      </c>
      <c r="R362" s="27" t="s">
        <v>2995</v>
      </c>
      <c r="S362" s="10" t="s">
        <v>812</v>
      </c>
      <c r="T362" s="10" t="s">
        <v>771</v>
      </c>
      <c r="U362" s="10" t="s">
        <v>771</v>
      </c>
      <c r="V362" s="10" t="s">
        <v>771</v>
      </c>
      <c r="W362" s="10"/>
      <c r="X362" s="27" t="s">
        <v>18</v>
      </c>
      <c r="Y362" s="27" t="s">
        <v>810</v>
      </c>
      <c r="Z362" s="80">
        <v>1953</v>
      </c>
      <c r="AA362" s="27">
        <v>1820</v>
      </c>
      <c r="AB362" s="80">
        <v>51697</v>
      </c>
      <c r="AC362" s="27">
        <v>0</v>
      </c>
      <c r="AD362" s="27" t="s">
        <v>4293</v>
      </c>
      <c r="AE362" s="27">
        <v>301026859</v>
      </c>
      <c r="AF362" s="27" t="s">
        <v>811</v>
      </c>
      <c r="AG362" s="27" t="s">
        <v>813</v>
      </c>
      <c r="AH362" s="79">
        <v>1.0790055248618799</v>
      </c>
      <c r="AI362" s="83">
        <v>1.0985360360360401</v>
      </c>
      <c r="AJ362" s="80">
        <v>4.3623782675551004</v>
      </c>
      <c r="AK362" s="80">
        <v>2.4003075345976401</v>
      </c>
      <c r="AL362" s="27">
        <v>27</v>
      </c>
      <c r="AM362" s="97">
        <f>SUM(AL362/Z362)</f>
        <v>1.3824884792626729E-2</v>
      </c>
      <c r="AN362" s="27" t="s">
        <v>18</v>
      </c>
      <c r="AO362" s="27">
        <v>3</v>
      </c>
      <c r="AP362" s="27">
        <v>16</v>
      </c>
      <c r="AQ362" s="27">
        <v>0</v>
      </c>
      <c r="AR362" s="27">
        <f>SUM(AO362:AQ362)</f>
        <v>19</v>
      </c>
      <c r="AS362" s="27" t="s">
        <v>5407</v>
      </c>
      <c r="AT362" s="27" t="s">
        <v>5408</v>
      </c>
      <c r="AU362" s="84"/>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A362" s="77"/>
      <c r="CB362" s="77"/>
      <c r="CC362" s="77"/>
      <c r="CD362" s="77"/>
      <c r="CE362" s="77"/>
      <c r="CF362" s="77"/>
      <c r="CG362" s="77"/>
      <c r="CH362" s="77"/>
      <c r="CI362" s="77"/>
      <c r="CJ362" s="77"/>
      <c r="CK362" s="77"/>
      <c r="CL362" s="77"/>
      <c r="CM362" s="77"/>
      <c r="CN362" s="77"/>
      <c r="CO362" s="77"/>
      <c r="CP362" s="77"/>
      <c r="CQ362" s="77"/>
      <c r="CR362" s="77"/>
      <c r="CS362" s="77"/>
      <c r="CT362" s="77"/>
      <c r="CU362" s="77"/>
      <c r="CV362" s="77"/>
      <c r="CW362" s="77"/>
      <c r="EQ362" s="77"/>
      <c r="ER362" s="77"/>
      <c r="ES362" s="77"/>
      <c r="ET362" s="77"/>
      <c r="EU362" s="77"/>
      <c r="EV362" s="77"/>
      <c r="EW362" s="77"/>
      <c r="EX362" s="77"/>
      <c r="EY362" s="77"/>
      <c r="EZ362" s="77"/>
      <c r="FA362" s="77"/>
      <c r="FB362" s="77"/>
      <c r="FC362" s="77"/>
      <c r="FD362" s="77"/>
      <c r="FE362" s="77"/>
      <c r="FF362" s="77"/>
      <c r="FG362" s="77"/>
      <c r="FH362" s="77"/>
      <c r="FI362" s="77"/>
      <c r="FJ362" s="77"/>
      <c r="FK362" s="77"/>
      <c r="FL362" s="77"/>
      <c r="FM362" s="77"/>
      <c r="FN362" s="77"/>
      <c r="FO362" s="77"/>
      <c r="FP362" s="77"/>
      <c r="FQ362" s="77"/>
      <c r="FR362" s="77"/>
      <c r="FS362" s="77"/>
      <c r="FT362" s="77"/>
      <c r="FU362" s="77"/>
      <c r="FV362" s="77"/>
      <c r="FW362" s="77"/>
      <c r="FX362" s="77"/>
      <c r="FY362" s="77"/>
      <c r="FZ362" s="77"/>
      <c r="GA362" s="77"/>
      <c r="GB362" s="77"/>
      <c r="GC362" s="77"/>
      <c r="GD362" s="77"/>
      <c r="GE362" s="77"/>
      <c r="GF362" s="77"/>
      <c r="GG362" s="77"/>
      <c r="GH362" s="77"/>
      <c r="GI362" s="77"/>
      <c r="GJ362" s="77"/>
      <c r="GK362" s="77"/>
      <c r="GL362" s="77"/>
      <c r="GM362" s="77"/>
      <c r="GN362" s="77"/>
      <c r="GO362" s="77"/>
      <c r="GP362" s="77"/>
      <c r="GQ362" s="77"/>
      <c r="GR362" s="77"/>
      <c r="GS362" s="77"/>
      <c r="GT362" s="77"/>
      <c r="GU362" s="77"/>
      <c r="GV362" s="77"/>
      <c r="GW362" s="77"/>
      <c r="GX362" s="77"/>
      <c r="GY362" s="77"/>
      <c r="GZ362" s="77"/>
      <c r="HA362" s="77"/>
      <c r="HB362" s="77"/>
      <c r="HC362" s="77"/>
      <c r="HD362" s="77"/>
      <c r="HE362" s="77"/>
      <c r="HF362" s="77"/>
      <c r="HG362" s="77"/>
      <c r="HH362" s="77"/>
      <c r="HI362" s="77"/>
      <c r="HJ362" s="77"/>
      <c r="HK362" s="77"/>
      <c r="ID362" s="77"/>
      <c r="IE362" s="77"/>
      <c r="IF362" s="77"/>
      <c r="IG362" s="77"/>
      <c r="IH362" s="77"/>
      <c r="II362" s="77"/>
      <c r="IJ362" s="77"/>
      <c r="IK362" s="77"/>
      <c r="IL362" s="77"/>
      <c r="IM362" s="77"/>
      <c r="IN362" s="77"/>
      <c r="IO362" s="77"/>
      <c r="IP362" s="77"/>
      <c r="IQ362" s="77"/>
      <c r="IR362" s="77"/>
      <c r="IS362" s="77"/>
      <c r="IT362" s="77"/>
      <c r="IU362" s="77"/>
      <c r="IV362" s="77"/>
      <c r="IW362" s="77"/>
      <c r="IX362" s="77"/>
      <c r="IY362" s="77"/>
      <c r="IZ362" s="77"/>
      <c r="JA362" s="77"/>
      <c r="JB362" s="77"/>
      <c r="JC362" s="77"/>
      <c r="JD362" s="77"/>
      <c r="JE362" s="77"/>
      <c r="JF362" s="77"/>
      <c r="JG362" s="77"/>
      <c r="JH362" s="77"/>
      <c r="JI362" s="77"/>
      <c r="JJ362" s="77"/>
      <c r="JK362" s="77"/>
      <c r="JL362" s="77"/>
      <c r="JM362" s="77"/>
      <c r="JN362" s="77"/>
      <c r="JO362" s="77"/>
      <c r="JP362" s="77"/>
      <c r="JQ362" s="77"/>
      <c r="JR362" s="77"/>
      <c r="JS362" s="77"/>
      <c r="JT362" s="77"/>
      <c r="JU362" s="77"/>
      <c r="JV362" s="77"/>
      <c r="JW362" s="77"/>
      <c r="JX362" s="77"/>
      <c r="KM362" s="77"/>
      <c r="KN362" s="77"/>
      <c r="KO362" s="77"/>
      <c r="KP362" s="77"/>
      <c r="KQ362" s="77"/>
      <c r="KR362" s="77"/>
      <c r="KS362" s="77"/>
      <c r="KT362" s="77"/>
      <c r="KU362" s="77"/>
      <c r="KV362" s="77"/>
      <c r="KW362" s="77"/>
      <c r="KX362" s="77"/>
      <c r="KY362" s="77"/>
      <c r="KZ362" s="77"/>
      <c r="LA362" s="77"/>
      <c r="LB362" s="77"/>
      <c r="LC362" s="77"/>
      <c r="LD362" s="77"/>
      <c r="LE362" s="77"/>
      <c r="LF362" s="77"/>
      <c r="LG362" s="77"/>
      <c r="LH362" s="77"/>
      <c r="LI362" s="77"/>
      <c r="LJ362" s="77"/>
      <c r="LK362" s="77"/>
      <c r="LL362" s="77"/>
      <c r="LM362" s="77"/>
      <c r="LN362" s="77"/>
      <c r="LO362" s="77"/>
      <c r="LP362" s="77"/>
      <c r="LQ362" s="77"/>
      <c r="LR362" s="77"/>
      <c r="LS362" s="77"/>
      <c r="LT362" s="77"/>
      <c r="LU362" s="77"/>
      <c r="LV362" s="77"/>
      <c r="MS362" s="16"/>
    </row>
    <row r="363" spans="1:368" ht="18.600000000000001" customHeight="1" x14ac:dyDescent="0.25">
      <c r="A363" s="119" t="s">
        <v>87</v>
      </c>
      <c r="B363" s="27" t="s">
        <v>1000</v>
      </c>
      <c r="C363" s="27" t="s">
        <v>1001</v>
      </c>
      <c r="D363" s="30" t="str">
        <f>HYPERLINK("https://twitter.com/MarocDiplomatie","https://twitter.com/MarocDiplomatie")</f>
        <v>https://twitter.com/MarocDiplomatie</v>
      </c>
      <c r="E363" s="30" t="str">
        <f>HYPERLINK("http://twiplomacy.com/info/africa/Morrocco","http://twiplomacy.com/info/africa/Morrocco")</f>
        <v>http://twiplomacy.com/info/africa/Morrocco</v>
      </c>
      <c r="F363" s="10" t="s">
        <v>1</v>
      </c>
      <c r="G363" s="10" t="s">
        <v>85</v>
      </c>
      <c r="H363" s="10" t="s">
        <v>795</v>
      </c>
      <c r="I363" s="10" t="s">
        <v>782</v>
      </c>
      <c r="J363" s="27" t="s">
        <v>779</v>
      </c>
      <c r="K363" s="10" t="s">
        <v>777</v>
      </c>
      <c r="L363" s="10" t="s">
        <v>771</v>
      </c>
      <c r="M363" s="10" t="s">
        <v>770</v>
      </c>
      <c r="N363" s="30" t="str">
        <f>HYPERLINK("https://twitter.com/MarocDiplomatie/statuses/464508079053492224","https://twitter.com/MarocDiplomatie/statuses/464508079053492224")</f>
        <v>https://twitter.com/MarocDiplomatie/statuses/464508079053492224</v>
      </c>
      <c r="O363" s="27" t="s">
        <v>5929</v>
      </c>
      <c r="P363" s="80">
        <v>62</v>
      </c>
      <c r="Q363" s="80">
        <v>23</v>
      </c>
      <c r="R363" s="27" t="s">
        <v>2995</v>
      </c>
      <c r="S363" s="10" t="s">
        <v>1002</v>
      </c>
      <c r="T363" s="10" t="s">
        <v>771</v>
      </c>
      <c r="U363" s="10" t="s">
        <v>771</v>
      </c>
      <c r="V363" s="10" t="s">
        <v>771</v>
      </c>
      <c r="W363" s="10"/>
      <c r="X363" s="27" t="s">
        <v>87</v>
      </c>
      <c r="Y363" s="27" t="s">
        <v>1000</v>
      </c>
      <c r="Z363" s="80">
        <v>1944</v>
      </c>
      <c r="AA363" s="27">
        <v>0</v>
      </c>
      <c r="AB363" s="80">
        <v>39962</v>
      </c>
      <c r="AC363" s="27">
        <v>16</v>
      </c>
      <c r="AD363" s="27" t="s">
        <v>4032</v>
      </c>
      <c r="AE363" s="27">
        <v>2535581429</v>
      </c>
      <c r="AF363" s="27" t="s">
        <v>1001</v>
      </c>
      <c r="AG363" s="27" t="s">
        <v>1003</v>
      </c>
      <c r="AH363" s="79">
        <v>2.68137931034483</v>
      </c>
      <c r="AI363" s="83">
        <v>2.68879668049793</v>
      </c>
      <c r="AJ363" s="80">
        <v>4.9393459915611801</v>
      </c>
      <c r="AK363" s="80">
        <v>2.8011603375527399</v>
      </c>
      <c r="AL363" s="27">
        <v>11</v>
      </c>
      <c r="AM363" s="97">
        <f>SUM(AL363/Z363)</f>
        <v>5.6584362139917698E-3</v>
      </c>
      <c r="AN363" s="27" t="s">
        <v>87</v>
      </c>
      <c r="AO363" s="27">
        <v>0</v>
      </c>
      <c r="AP363" s="27">
        <v>53</v>
      </c>
      <c r="AQ363" s="27">
        <v>0</v>
      </c>
      <c r="AR363" s="27">
        <f>SUM(AO363:AQ363)</f>
        <v>53</v>
      </c>
      <c r="AS363" s="27"/>
      <c r="AT363" s="27" t="s">
        <v>5283</v>
      </c>
      <c r="AU363" s="84"/>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16"/>
      <c r="HM363" s="16"/>
      <c r="HN363" s="16"/>
      <c r="HO363" s="16"/>
      <c r="HP363" s="16"/>
      <c r="HQ363" s="16"/>
      <c r="HR363" s="16"/>
      <c r="HS363" s="16"/>
      <c r="HT363" s="16"/>
      <c r="HU363" s="16"/>
      <c r="HV363" s="16"/>
      <c r="HW363" s="16"/>
      <c r="HX363" s="16"/>
      <c r="HY363" s="16"/>
      <c r="HZ363" s="16"/>
      <c r="IA363" s="16"/>
      <c r="IB363" s="16"/>
      <c r="IC363" s="16"/>
      <c r="ID363" s="77"/>
      <c r="IE363" s="77"/>
      <c r="LL363" s="77"/>
      <c r="LM363" s="77"/>
      <c r="LN363" s="77"/>
      <c r="LO363" s="77"/>
      <c r="LP363" s="77"/>
      <c r="LQ363" s="77"/>
      <c r="LR363" s="77"/>
      <c r="LS363" s="77"/>
      <c r="LT363" s="77"/>
      <c r="LU363" s="77"/>
      <c r="LV363" s="77"/>
      <c r="LY363" s="77"/>
      <c r="LZ363" s="77"/>
      <c r="MA363" s="77"/>
      <c r="MB363" s="77"/>
      <c r="MC363" s="77"/>
      <c r="MD363" s="77"/>
      <c r="ME363" s="77"/>
      <c r="MF363" s="77"/>
      <c r="MG363" s="77"/>
      <c r="MH363" s="77"/>
      <c r="MI363" s="77"/>
      <c r="MJ363" s="77"/>
      <c r="MK363" s="77"/>
      <c r="ML363" s="77"/>
      <c r="MM363" s="77"/>
      <c r="MN363" s="77"/>
      <c r="MO363" s="77"/>
      <c r="MP363" s="77"/>
      <c r="MQ363" s="77"/>
      <c r="MR363" s="77"/>
      <c r="MT363" s="77"/>
      <c r="MU363" s="77"/>
      <c r="MV363" s="77"/>
      <c r="MW363" s="77"/>
      <c r="MX363" s="77"/>
      <c r="MY363" s="77"/>
      <c r="MZ363" s="77"/>
      <c r="NA363" s="77"/>
      <c r="NB363" s="77"/>
      <c r="NC363" s="77"/>
    </row>
    <row r="364" spans="1:368" ht="18.600000000000001" customHeight="1" x14ac:dyDescent="0.25">
      <c r="A364" s="119" t="s">
        <v>638</v>
      </c>
      <c r="B364" s="27" t="s">
        <v>2572</v>
      </c>
      <c r="C364" s="27" t="s">
        <v>2573</v>
      </c>
      <c r="D364" s="30" t="str">
        <f>HYPERLINK("https://twitter.com/JohnKerry","https://twitter.com/JohnKerry")</f>
        <v>https://twitter.com/JohnKerry</v>
      </c>
      <c r="E364" s="30" t="str">
        <f>HYPERLINK("http://twiplomacy.com/info/north-america/United-States","http://twiplomacy.com/info/north-america/United-States")</f>
        <v>http://twiplomacy.com/info/north-america/United-States</v>
      </c>
      <c r="F364" s="10" t="s">
        <v>558</v>
      </c>
      <c r="G364" s="10" t="s">
        <v>633</v>
      </c>
      <c r="H364" s="10" t="s">
        <v>2575</v>
      </c>
      <c r="I364" s="10" t="s">
        <v>773</v>
      </c>
      <c r="J364" s="27" t="s">
        <v>789</v>
      </c>
      <c r="K364" s="15" t="s">
        <v>777</v>
      </c>
      <c r="L364" s="10" t="s">
        <v>771</v>
      </c>
      <c r="M364" s="10" t="s">
        <v>770</v>
      </c>
      <c r="N364" s="30" t="str">
        <f>HYPERLINK("https://twitter.com/JohnKerry/status/1438540259","https://twitter.com/JohnKerry/status/1438540259")</f>
        <v>https://twitter.com/JohnKerry/status/1438540259</v>
      </c>
      <c r="O364" s="27" t="s">
        <v>2576</v>
      </c>
      <c r="P364" s="80">
        <v>9753</v>
      </c>
      <c r="Q364" s="80">
        <v>4197</v>
      </c>
      <c r="R364" s="27" t="s">
        <v>2994</v>
      </c>
      <c r="S364" s="10" t="s">
        <v>2577</v>
      </c>
      <c r="T364" s="10" t="s">
        <v>771</v>
      </c>
      <c r="U364" s="10" t="s">
        <v>771</v>
      </c>
      <c r="V364" s="10" t="s">
        <v>771</v>
      </c>
      <c r="W364" s="10"/>
      <c r="X364" s="27" t="s">
        <v>638</v>
      </c>
      <c r="Y364" s="27" t="s">
        <v>2572</v>
      </c>
      <c r="Z364" s="80">
        <v>1938</v>
      </c>
      <c r="AA364" s="27">
        <v>538</v>
      </c>
      <c r="AB364" s="80">
        <v>1367475</v>
      </c>
      <c r="AC364" s="27">
        <v>14</v>
      </c>
      <c r="AD364" s="27" t="s">
        <v>3893</v>
      </c>
      <c r="AE364" s="27">
        <v>15007149</v>
      </c>
      <c r="AF364" s="27" t="s">
        <v>2573</v>
      </c>
      <c r="AG364" s="27" t="s">
        <v>2578</v>
      </c>
      <c r="AH364" s="79">
        <v>0.67082035306334398</v>
      </c>
      <c r="AI364" s="83">
        <v>0.74845201238390102</v>
      </c>
      <c r="AJ364" s="80">
        <v>213.77706185567001</v>
      </c>
      <c r="AK364" s="80">
        <v>235.77126288659801</v>
      </c>
      <c r="AL364" s="27">
        <v>68</v>
      </c>
      <c r="AM364" s="97">
        <f>SUM(AL364/Z364)</f>
        <v>3.5087719298245612E-2</v>
      </c>
      <c r="AN364" s="27" t="s">
        <v>638</v>
      </c>
      <c r="AO364" s="27">
        <v>12</v>
      </c>
      <c r="AP364" s="27">
        <v>126</v>
      </c>
      <c r="AQ364" s="27">
        <v>68</v>
      </c>
      <c r="AR364" s="27">
        <f>SUM(AO364:AQ364)</f>
        <v>206</v>
      </c>
      <c r="AS364" s="27" t="s">
        <v>6577</v>
      </c>
      <c r="AT364" s="27" t="s">
        <v>6758</v>
      </c>
      <c r="AU364" s="120" t="s">
        <v>6904</v>
      </c>
      <c r="AV364" s="77"/>
      <c r="AW364" s="77"/>
      <c r="AX364" s="77"/>
      <c r="AY364" s="77"/>
      <c r="AZ364" s="77"/>
      <c r="BA364" s="77"/>
      <c r="BB364" s="77"/>
      <c r="BC364" s="77"/>
      <c r="BD364" s="77"/>
      <c r="BE364" s="77"/>
      <c r="BF364" s="77"/>
      <c r="BG364" s="77"/>
      <c r="BH364" s="77"/>
      <c r="BI364" s="77"/>
      <c r="BJ364" s="77"/>
      <c r="BK364" s="77"/>
      <c r="BL364" s="77"/>
      <c r="BM364" s="77"/>
      <c r="BN364" s="77"/>
      <c r="BO364" s="77"/>
      <c r="BP364" s="77"/>
      <c r="BQ364" s="71"/>
      <c r="BR364" s="71"/>
      <c r="BS364" s="71"/>
      <c r="BT364" s="71"/>
      <c r="BU364" s="71"/>
      <c r="BV364" s="71"/>
      <c r="BW364" s="71"/>
      <c r="BX364" s="71"/>
      <c r="BY364" s="71"/>
      <c r="BZ364" s="71"/>
      <c r="CA364" s="71"/>
      <c r="CB364" s="71"/>
      <c r="CK364" s="77"/>
      <c r="CL364" s="77"/>
      <c r="CM364" s="77"/>
      <c r="CN364" s="77"/>
      <c r="CO364" s="77"/>
      <c r="CP364" s="77"/>
      <c r="CQ364" s="77"/>
      <c r="CR364" s="77"/>
      <c r="CS364" s="77"/>
      <c r="CT364" s="77"/>
      <c r="CU364" s="77"/>
      <c r="CV364" s="77"/>
      <c r="CW364" s="77"/>
      <c r="CX364" s="77"/>
      <c r="CY364" s="77"/>
      <c r="CZ364" s="77"/>
      <c r="DA364" s="77"/>
      <c r="DB364" s="77"/>
      <c r="DC364" s="77"/>
      <c r="DD364" s="77"/>
      <c r="DE364" s="77"/>
      <c r="DF364" s="77"/>
      <c r="DG364" s="77"/>
      <c r="DH364" s="77"/>
      <c r="DI364" s="77"/>
      <c r="DJ364" s="77"/>
      <c r="DK364" s="77"/>
      <c r="DL364" s="77"/>
      <c r="DM364" s="77"/>
      <c r="DN364" s="77"/>
      <c r="DO364" s="77"/>
      <c r="DP364" s="77"/>
      <c r="DQ364" s="77"/>
      <c r="DR364" s="77"/>
      <c r="DS364" s="77"/>
      <c r="DT364" s="77"/>
      <c r="DU364" s="77"/>
      <c r="DV364" s="77"/>
      <c r="DW364" s="77"/>
      <c r="DX364" s="77"/>
      <c r="DY364" s="77"/>
      <c r="DZ364" s="77"/>
      <c r="EA364" s="77"/>
      <c r="EB364" s="77"/>
      <c r="EC364" s="77"/>
      <c r="ED364" s="77"/>
      <c r="EE364" s="77"/>
      <c r="EF364" s="77"/>
      <c r="EG364" s="77"/>
      <c r="EH364" s="77"/>
      <c r="EI364" s="77"/>
      <c r="EJ364" s="77"/>
      <c r="EK364" s="77"/>
      <c r="EL364" s="77"/>
      <c r="EM364" s="77"/>
      <c r="EN364" s="77"/>
      <c r="EO364" s="77"/>
      <c r="EP364" s="77"/>
      <c r="EQ364" s="77"/>
      <c r="GL364" s="77"/>
      <c r="GM364" s="77"/>
      <c r="GN364" s="77"/>
      <c r="GO364" s="77"/>
      <c r="GP364" s="77"/>
      <c r="GQ364" s="77"/>
      <c r="GR364" s="77"/>
      <c r="GS364" s="77"/>
      <c r="GT364" s="77"/>
      <c r="GU364" s="77"/>
      <c r="GV364" s="77"/>
      <c r="GW364" s="77"/>
      <c r="GX364" s="77"/>
      <c r="GY364" s="77"/>
      <c r="GZ364" s="77"/>
      <c r="HA364" s="77"/>
      <c r="HB364" s="77"/>
      <c r="HC364" s="77"/>
      <c r="HD364" s="77"/>
      <c r="HE364" s="77"/>
      <c r="HF364" s="77"/>
      <c r="HG364" s="77"/>
      <c r="HH364" s="77"/>
      <c r="HI364" s="77"/>
      <c r="HJ364" s="77"/>
      <c r="HK364" s="77"/>
      <c r="HL364" s="77"/>
      <c r="HM364" s="77"/>
      <c r="HN364" s="77"/>
      <c r="HO364" s="77"/>
      <c r="HP364" s="77"/>
      <c r="HQ364" s="77"/>
      <c r="HR364" s="77"/>
      <c r="HS364" s="77"/>
      <c r="HT364" s="77"/>
      <c r="HU364" s="77"/>
      <c r="HV364" s="77"/>
      <c r="HW364" s="77"/>
      <c r="HX364" s="77"/>
      <c r="HY364" s="77"/>
      <c r="HZ364" s="77"/>
      <c r="IA364" s="77"/>
      <c r="IB364" s="77"/>
      <c r="IC364" s="77"/>
      <c r="IF364" s="77"/>
      <c r="IG364" s="77"/>
      <c r="IH364" s="77"/>
      <c r="II364" s="77"/>
      <c r="IJ364" s="77"/>
      <c r="IK364" s="77"/>
      <c r="IL364" s="77"/>
      <c r="IM364" s="77"/>
      <c r="IN364" s="77"/>
      <c r="IO364" s="77"/>
      <c r="IP364" s="77"/>
      <c r="IQ364" s="77"/>
      <c r="IR364" s="77"/>
      <c r="IS364" s="77"/>
      <c r="IT364" s="77"/>
      <c r="IU364" s="77"/>
      <c r="IV364" s="77"/>
      <c r="IW364" s="77"/>
      <c r="IX364" s="77"/>
      <c r="IY364" s="77"/>
      <c r="IZ364" s="77"/>
      <c r="JA364" s="77"/>
      <c r="JB364" s="77"/>
      <c r="JC364" s="77"/>
      <c r="JD364" s="77"/>
      <c r="JE364" s="77"/>
      <c r="JF364" s="77"/>
      <c r="JG364" s="77"/>
      <c r="JH364" s="77"/>
      <c r="JI364" s="77"/>
      <c r="JJ364" s="77"/>
      <c r="JK364" s="77"/>
      <c r="JL364" s="77"/>
      <c r="JM364" s="77"/>
      <c r="JN364" s="77"/>
      <c r="JO364" s="77"/>
      <c r="JP364" s="77"/>
      <c r="JQ364" s="77"/>
      <c r="JR364" s="77"/>
      <c r="JS364" s="77"/>
      <c r="JT364" s="77"/>
      <c r="JU364" s="77"/>
      <c r="JV364" s="77"/>
      <c r="JW364" s="77"/>
      <c r="JX364" s="77"/>
      <c r="KM364" s="77"/>
      <c r="KN364" s="77"/>
      <c r="KO364" s="77"/>
      <c r="KP364" s="77"/>
      <c r="KQ364" s="77"/>
      <c r="KR364" s="77"/>
      <c r="KS364" s="77"/>
      <c r="KT364" s="77"/>
      <c r="KU364" s="77"/>
      <c r="KV364" s="77"/>
      <c r="KW364" s="77"/>
      <c r="KX364" s="77"/>
      <c r="KY364" s="77"/>
      <c r="KZ364" s="77"/>
      <c r="LA364" s="77"/>
      <c r="LB364" s="77"/>
      <c r="LC364" s="77"/>
      <c r="LD364" s="77"/>
      <c r="LE364" s="77"/>
      <c r="LF364" s="77"/>
      <c r="LG364" s="77"/>
      <c r="LH364" s="77"/>
      <c r="LI364" s="77"/>
      <c r="LJ364" s="77"/>
      <c r="LK364" s="77"/>
      <c r="LL364" s="77"/>
      <c r="LM364" s="77"/>
      <c r="LN364" s="77"/>
      <c r="LO364" s="77"/>
      <c r="LP364" s="77"/>
      <c r="LQ364" s="77"/>
      <c r="LR364" s="77"/>
      <c r="LS364" s="77"/>
      <c r="LT364" s="77"/>
      <c r="LU364" s="77"/>
      <c r="LV364" s="77"/>
      <c r="MS364" s="77"/>
    </row>
    <row r="365" spans="1:368" ht="18.600000000000001" customHeight="1" x14ac:dyDescent="0.25">
      <c r="A365" s="119" t="s">
        <v>29</v>
      </c>
      <c r="B365" s="27" t="s">
        <v>844</v>
      </c>
      <c r="C365" s="27" t="s">
        <v>845</v>
      </c>
      <c r="D365" s="72" t="str">
        <f>HYPERLINK("https://twitter.com/mapon_matata","https://twitter.com/mapon_matata")</f>
        <v>https://twitter.com/mapon_matata</v>
      </c>
      <c r="E365" s="72" t="str">
        <f>HYPERLINK("http://twiplomacy.com/info/africa/Democratic-Republic-of-Congo","http://twiplomacy.com/info/africa/Democratic-Republic-of-Congo")</f>
        <v>http://twiplomacy.com/info/africa/Democratic-Republic-of-Congo</v>
      </c>
      <c r="F365" s="10" t="s">
        <v>1</v>
      </c>
      <c r="G365" s="10" t="s">
        <v>843</v>
      </c>
      <c r="H365" s="10" t="s">
        <v>776</v>
      </c>
      <c r="I365" s="10" t="s">
        <v>773</v>
      </c>
      <c r="J365" s="27" t="s">
        <v>779</v>
      </c>
      <c r="K365" s="10" t="s">
        <v>777</v>
      </c>
      <c r="L365" s="10" t="s">
        <v>771</v>
      </c>
      <c r="M365" s="10" t="s">
        <v>770</v>
      </c>
      <c r="N365" s="30" t="str">
        <f>HYPERLINK("https://twitter.com/Mapon_Matata/statuses/435737696258883584","https://twitter.com/Mapon_Matata/statuses/435737696258883584")</f>
        <v>https://twitter.com/Mapon_Matata/statuses/435737696258883584</v>
      </c>
      <c r="O365" s="27" t="s">
        <v>5923</v>
      </c>
      <c r="P365" s="80">
        <v>117</v>
      </c>
      <c r="Q365" s="80">
        <v>178</v>
      </c>
      <c r="R365" s="27" t="s">
        <v>2995</v>
      </c>
      <c r="S365" s="30" t="str">
        <f>HYPERLINK("https://twitter.com/mapon_matata/lists","https://twitter.com/mapon_matata/lists")</f>
        <v>https://twitter.com/mapon_matata/lists</v>
      </c>
      <c r="T365" s="10" t="s">
        <v>771</v>
      </c>
      <c r="U365" s="10" t="s">
        <v>771</v>
      </c>
      <c r="V365" s="10" t="s">
        <v>771</v>
      </c>
      <c r="W365" s="10"/>
      <c r="X365" s="27" t="s">
        <v>29</v>
      </c>
      <c r="Y365" s="27" t="s">
        <v>844</v>
      </c>
      <c r="Z365" s="80">
        <v>1934</v>
      </c>
      <c r="AA365" s="27">
        <v>161</v>
      </c>
      <c r="AB365" s="80">
        <v>39503</v>
      </c>
      <c r="AC365" s="27">
        <v>20</v>
      </c>
      <c r="AD365" s="27" t="s">
        <v>4023</v>
      </c>
      <c r="AE365" s="27">
        <v>2349940394</v>
      </c>
      <c r="AF365" s="27" t="s">
        <v>845</v>
      </c>
      <c r="AG365" s="27" t="s">
        <v>846</v>
      </c>
      <c r="AH365" s="79">
        <v>2.4054726368159201</v>
      </c>
      <c r="AI365" s="83">
        <v>2.4265997490589699</v>
      </c>
      <c r="AJ365" s="80">
        <v>3.10241596638655</v>
      </c>
      <c r="AK365" s="80">
        <v>3.5661764705882399</v>
      </c>
      <c r="AL365" s="27">
        <v>1498</v>
      </c>
      <c r="AM365" s="97">
        <f>SUM(AL365/Z365)</f>
        <v>0.77456049638055846</v>
      </c>
      <c r="AN365" s="27" t="s">
        <v>29</v>
      </c>
      <c r="AO365" s="27">
        <v>14</v>
      </c>
      <c r="AP365" s="27">
        <v>5</v>
      </c>
      <c r="AQ365" s="27">
        <v>1</v>
      </c>
      <c r="AR365" s="27">
        <f>SUM(AO365:AQ365)</f>
        <v>20</v>
      </c>
      <c r="AS365" s="27" t="s">
        <v>5274</v>
      </c>
      <c r="AT365" s="27" t="s">
        <v>5275</v>
      </c>
      <c r="AU365" s="84" t="s">
        <v>30</v>
      </c>
      <c r="AV365" s="77"/>
      <c r="AW365" s="77"/>
      <c r="AX365" s="77"/>
      <c r="AY365" s="77"/>
      <c r="AZ365" s="77"/>
      <c r="BA365" s="77"/>
      <c r="BB365" s="77"/>
      <c r="BC365" s="77"/>
      <c r="BD365" s="77"/>
      <c r="BE365" s="77"/>
      <c r="BF365" s="77"/>
      <c r="BG365" s="77"/>
      <c r="BH365" s="77"/>
      <c r="BI365" s="77"/>
      <c r="BJ365" s="77"/>
      <c r="BK365" s="77"/>
      <c r="BL365" s="77"/>
      <c r="BM365" s="77"/>
      <c r="BN365" s="77"/>
      <c r="BO365" s="77"/>
      <c r="BP365" s="77"/>
      <c r="CC365" s="77"/>
      <c r="CD365" s="77"/>
      <c r="CE365" s="77"/>
      <c r="CF365" s="77"/>
      <c r="CG365" s="77"/>
      <c r="CH365" s="77"/>
      <c r="CI365" s="77"/>
      <c r="CJ365" s="77"/>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16"/>
      <c r="DW365" s="16"/>
      <c r="DX365" s="16"/>
      <c r="DY365" s="16"/>
      <c r="DZ365" s="16"/>
      <c r="EA365" s="16"/>
      <c r="EB365" s="16"/>
      <c r="EC365" s="16"/>
      <c r="ED365" s="16"/>
      <c r="EE365" s="16"/>
      <c r="EF365" s="16"/>
      <c r="EG365" s="16"/>
      <c r="EH365" s="16"/>
      <c r="EI365" s="16"/>
      <c r="EJ365" s="16"/>
      <c r="EK365" s="16"/>
      <c r="EL365" s="16"/>
      <c r="EM365" s="77"/>
      <c r="EN365" s="77"/>
      <c r="EO365" s="77"/>
      <c r="EP365" s="77"/>
      <c r="EQ365" s="77"/>
      <c r="HL365" s="77"/>
      <c r="HM365" s="77"/>
      <c r="HN365" s="77"/>
      <c r="HO365" s="77"/>
      <c r="HP365" s="77"/>
      <c r="HQ365" s="77"/>
      <c r="HR365" s="77"/>
      <c r="HS365" s="77"/>
      <c r="HT365" s="77"/>
      <c r="HU365" s="77"/>
      <c r="HV365" s="77"/>
      <c r="HW365" s="77"/>
      <c r="HX365" s="77"/>
      <c r="HY365" s="77"/>
      <c r="HZ365" s="77"/>
      <c r="IA365" s="77"/>
      <c r="IB365" s="77"/>
      <c r="IC365" s="77"/>
      <c r="ID365" s="77"/>
      <c r="IE365" s="77"/>
      <c r="JY365" s="77"/>
      <c r="JZ365" s="77"/>
      <c r="KA365" s="77"/>
      <c r="KB365" s="77"/>
      <c r="KC365" s="77"/>
      <c r="KD365" s="77"/>
      <c r="KE365" s="77"/>
      <c r="KF365" s="77"/>
      <c r="KG365" s="77"/>
      <c r="KH365" s="77"/>
      <c r="KI365" s="77"/>
      <c r="KJ365" s="77"/>
      <c r="KK365" s="77"/>
      <c r="KL365" s="77"/>
      <c r="KM365" s="77"/>
      <c r="KN365" s="77"/>
      <c r="KO365" s="77"/>
      <c r="KP365" s="77"/>
      <c r="KQ365" s="77"/>
      <c r="KR365" s="77"/>
      <c r="KS365" s="77"/>
      <c r="KT365" s="77"/>
      <c r="KU365" s="77"/>
      <c r="KV365" s="77"/>
      <c r="KW365" s="77"/>
      <c r="KX365" s="77"/>
      <c r="KY365" s="77"/>
      <c r="KZ365" s="77"/>
      <c r="LA365" s="77"/>
      <c r="LB365" s="77"/>
      <c r="LC365" s="77"/>
      <c r="LD365" s="77"/>
      <c r="LE365" s="77"/>
      <c r="LF365" s="77"/>
      <c r="LG365" s="77"/>
      <c r="LH365" s="77"/>
      <c r="LI365" s="77"/>
      <c r="LJ365" s="77"/>
      <c r="LK365" s="77"/>
      <c r="LW365" s="77"/>
      <c r="LX365" s="77"/>
    </row>
    <row r="366" spans="1:368" ht="18.600000000000001" customHeight="1" x14ac:dyDescent="0.25">
      <c r="A366" s="119" t="s">
        <v>101</v>
      </c>
      <c r="B366" s="27" t="s">
        <v>1049</v>
      </c>
      <c r="C366" s="27" t="s">
        <v>1050</v>
      </c>
      <c r="D366" s="30" t="str">
        <f>HYPERLINK("https://twitter.com/Lmushikiwabo","https://twitter.com/Lmushikiwabo")</f>
        <v>https://twitter.com/Lmushikiwabo</v>
      </c>
      <c r="E366" s="30" t="str">
        <f>HYPERLINK("http://twiplomacy.com/info/africa/Rwanda","http://twiplomacy.com/info/africa/Rwanda")</f>
        <v>http://twiplomacy.com/info/africa/Rwanda</v>
      </c>
      <c r="F366" s="10" t="s">
        <v>1</v>
      </c>
      <c r="G366" s="10" t="s">
        <v>97</v>
      </c>
      <c r="H366" s="10" t="s">
        <v>860</v>
      </c>
      <c r="I366" s="10" t="s">
        <v>773</v>
      </c>
      <c r="J366" s="27" t="s">
        <v>789</v>
      </c>
      <c r="K366" s="15" t="s">
        <v>777</v>
      </c>
      <c r="L366" s="10" t="s">
        <v>905</v>
      </c>
      <c r="M366" s="10" t="s">
        <v>771</v>
      </c>
      <c r="N366" s="30" t="str">
        <f>HYPERLINK("https://twitter.com/LMushikiwabo/statuses/37993946638598144","https://twitter.com/LMushikiwabo/statuses/37993946638598144")</f>
        <v>https://twitter.com/LMushikiwabo/statuses/37993946638598144</v>
      </c>
      <c r="O366" s="27" t="s">
        <v>5912</v>
      </c>
      <c r="P366" s="80">
        <v>602</v>
      </c>
      <c r="Q366" s="80">
        <v>212</v>
      </c>
      <c r="R366" s="27" t="s">
        <v>2994</v>
      </c>
      <c r="S366" s="10" t="s">
        <v>1051</v>
      </c>
      <c r="T366" s="10" t="s">
        <v>771</v>
      </c>
      <c r="U366" s="10" t="s">
        <v>771</v>
      </c>
      <c r="V366" s="10" t="s">
        <v>771</v>
      </c>
      <c r="W366" s="10"/>
      <c r="X366" s="27" t="s">
        <v>101</v>
      </c>
      <c r="Y366" s="27" t="s">
        <v>1049</v>
      </c>
      <c r="Z366" s="80">
        <v>1934</v>
      </c>
      <c r="AA366" s="27">
        <v>170</v>
      </c>
      <c r="AB366" s="80">
        <v>112245</v>
      </c>
      <c r="AC366" s="27">
        <v>50</v>
      </c>
      <c r="AD366" s="27" t="s">
        <v>3976</v>
      </c>
      <c r="AE366" s="27">
        <v>253213737</v>
      </c>
      <c r="AF366" s="27" t="s">
        <v>1050</v>
      </c>
      <c r="AG366" s="27" t="s">
        <v>1042</v>
      </c>
      <c r="AH366" s="79">
        <v>1.01735928458706</v>
      </c>
      <c r="AI366" s="83">
        <v>1.0173684210526299</v>
      </c>
      <c r="AJ366" s="80">
        <v>24.219858156028401</v>
      </c>
      <c r="AK366" s="80">
        <v>12.889479905437399</v>
      </c>
      <c r="AL366" s="27">
        <v>1073</v>
      </c>
      <c r="AM366" s="97">
        <f>SUM(AL366/Z366)</f>
        <v>0.55480868665977245</v>
      </c>
      <c r="AN366" s="27" t="s">
        <v>101</v>
      </c>
      <c r="AO366" s="27">
        <v>6</v>
      </c>
      <c r="AP366" s="27">
        <v>35</v>
      </c>
      <c r="AQ366" s="27">
        <v>5</v>
      </c>
      <c r="AR366" s="27">
        <f>SUM(AO366:AQ366)</f>
        <v>46</v>
      </c>
      <c r="AS366" s="27" t="s">
        <v>5255</v>
      </c>
      <c r="AT366" s="27" t="s">
        <v>5256</v>
      </c>
      <c r="AU366" s="84" t="s">
        <v>4807</v>
      </c>
      <c r="AV366" s="77"/>
      <c r="AW366" s="77"/>
      <c r="AX366" s="77"/>
      <c r="AY366" s="77"/>
      <c r="AZ366" s="77"/>
      <c r="BA366" s="77"/>
      <c r="BB366" s="77"/>
      <c r="BC366" s="77"/>
      <c r="BD366" s="77"/>
      <c r="BE366" s="77"/>
      <c r="BF366" s="77"/>
      <c r="BG366" s="77"/>
      <c r="BH366" s="77"/>
      <c r="BI366" s="77"/>
      <c r="BJ366" s="77"/>
      <c r="BK366" s="77"/>
      <c r="BL366" s="77"/>
      <c r="BM366" s="77"/>
      <c r="BN366" s="77"/>
      <c r="BO366" s="77"/>
      <c r="BP366" s="77"/>
      <c r="BQ366" s="77"/>
      <c r="BR366" s="77"/>
      <c r="BS366" s="77"/>
      <c r="BT366" s="77"/>
      <c r="BU366" s="77"/>
      <c r="BV366" s="77"/>
      <c r="BW366" s="77"/>
      <c r="BX366" s="77"/>
      <c r="BY366" s="77"/>
      <c r="BZ366" s="77"/>
      <c r="CA366" s="77"/>
      <c r="CB366" s="77"/>
      <c r="CC366" s="77"/>
      <c r="CD366" s="77"/>
      <c r="CE366" s="77"/>
      <c r="CF366" s="77"/>
      <c r="CG366" s="77"/>
      <c r="CH366" s="77"/>
      <c r="CI366" s="77"/>
      <c r="CJ366" s="77"/>
      <c r="CK366" s="77"/>
      <c r="CL366" s="77"/>
      <c r="CM366" s="77"/>
      <c r="CN366" s="77"/>
      <c r="CO366" s="77"/>
      <c r="CP366" s="77"/>
      <c r="CQ366" s="77"/>
      <c r="CR366" s="77"/>
      <c r="CS366" s="77"/>
      <c r="CT366" s="77"/>
      <c r="CU366" s="77"/>
      <c r="CV366" s="77"/>
      <c r="CW366" s="77"/>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77"/>
      <c r="EN366" s="77"/>
      <c r="EO366" s="77"/>
      <c r="EP366" s="16"/>
      <c r="EQ366" s="77"/>
      <c r="ER366" s="77"/>
      <c r="ES366" s="77"/>
      <c r="ET366" s="77"/>
      <c r="EU366" s="77"/>
      <c r="EV366" s="77"/>
      <c r="EW366" s="77"/>
      <c r="EX366" s="77"/>
      <c r="EY366" s="77"/>
      <c r="EZ366" s="77"/>
      <c r="FA366" s="77"/>
      <c r="FB366" s="77"/>
      <c r="FC366" s="77"/>
      <c r="FD366" s="77"/>
      <c r="FE366" s="77"/>
      <c r="FF366" s="77"/>
      <c r="FG366" s="77"/>
      <c r="FH366" s="77"/>
      <c r="FI366" s="77"/>
      <c r="FJ366" s="77"/>
      <c r="FK366" s="77"/>
      <c r="FL366" s="77"/>
      <c r="FM366" s="77"/>
      <c r="FN366" s="77"/>
      <c r="FO366" s="77"/>
      <c r="FP366" s="77"/>
      <c r="FQ366" s="77"/>
      <c r="FR366" s="77"/>
      <c r="FS366" s="77"/>
      <c r="FT366" s="77"/>
      <c r="FU366" s="77"/>
      <c r="FV366" s="77"/>
      <c r="FW366" s="77"/>
      <c r="FX366" s="77"/>
      <c r="FY366" s="77"/>
      <c r="FZ366" s="77"/>
      <c r="GA366" s="77"/>
      <c r="GB366" s="77"/>
      <c r="GC366" s="77"/>
      <c r="GD366" s="77"/>
      <c r="GE366" s="77"/>
      <c r="GF366" s="77"/>
      <c r="GG366" s="77"/>
      <c r="GH366" s="77"/>
      <c r="GI366" s="77"/>
      <c r="GJ366" s="77"/>
      <c r="GK366" s="77"/>
      <c r="GL366" s="77"/>
      <c r="GM366" s="77"/>
      <c r="GN366" s="77"/>
      <c r="GO366" s="77"/>
      <c r="GP366" s="77"/>
      <c r="GQ366" s="77"/>
      <c r="GR366" s="77"/>
      <c r="GS366" s="77"/>
      <c r="GT366" s="77"/>
      <c r="GU366" s="77"/>
      <c r="GV366" s="77"/>
      <c r="GW366" s="77"/>
      <c r="GX366" s="77"/>
      <c r="GY366" s="77"/>
      <c r="GZ366" s="77"/>
      <c r="HA366" s="77"/>
      <c r="HB366" s="77"/>
      <c r="HC366" s="77"/>
      <c r="HD366" s="77"/>
      <c r="HE366" s="77"/>
      <c r="HF366" s="77"/>
      <c r="HG366" s="77"/>
      <c r="HH366" s="77"/>
      <c r="HI366" s="77"/>
      <c r="HJ366" s="77"/>
      <c r="HK366" s="77"/>
      <c r="HL366" s="77"/>
      <c r="HM366" s="77"/>
      <c r="HN366" s="77"/>
      <c r="HO366" s="77"/>
      <c r="HP366" s="77"/>
      <c r="HQ366" s="77"/>
      <c r="HR366" s="77"/>
      <c r="HS366" s="77"/>
      <c r="HT366" s="77"/>
      <c r="HU366" s="77"/>
      <c r="HV366" s="77"/>
      <c r="HW366" s="77"/>
      <c r="HX366" s="77"/>
      <c r="HY366" s="77"/>
      <c r="HZ366" s="77"/>
      <c r="IA366" s="77"/>
      <c r="IB366" s="77"/>
      <c r="IC366" s="77"/>
      <c r="ID366" s="77"/>
      <c r="IE366" s="77"/>
      <c r="IF366" s="77"/>
      <c r="IG366" s="77"/>
      <c r="IH366" s="77"/>
      <c r="II366" s="77"/>
      <c r="IJ366" s="77"/>
      <c r="IK366" s="77"/>
      <c r="IL366" s="77"/>
      <c r="IM366" s="77"/>
      <c r="IN366" s="77"/>
      <c r="IO366" s="77"/>
      <c r="IP366" s="77"/>
      <c r="IQ366" s="77"/>
      <c r="IR366" s="77"/>
      <c r="IS366" s="77"/>
      <c r="IT366" s="77"/>
      <c r="IU366" s="77"/>
      <c r="IV366" s="77"/>
      <c r="IW366" s="77"/>
      <c r="IX366" s="77"/>
      <c r="IY366" s="77"/>
      <c r="IZ366" s="77"/>
      <c r="JA366" s="77"/>
      <c r="JB366" s="77"/>
      <c r="JC366" s="77"/>
      <c r="JD366" s="77"/>
      <c r="JE366" s="77"/>
      <c r="JF366" s="77"/>
      <c r="JG366" s="77"/>
      <c r="JH366" s="77"/>
      <c r="JI366" s="77"/>
      <c r="JJ366" s="77"/>
      <c r="JK366" s="77"/>
      <c r="JL366" s="77"/>
      <c r="JM366" s="77"/>
      <c r="JN366" s="77"/>
      <c r="JO366" s="77"/>
      <c r="JP366" s="77"/>
      <c r="JQ366" s="77"/>
      <c r="JR366" s="77"/>
      <c r="JS366" s="77"/>
      <c r="JT366" s="77"/>
      <c r="JU366" s="77"/>
      <c r="JV366" s="77"/>
      <c r="JW366" s="77"/>
      <c r="JX366" s="77"/>
      <c r="JY366" s="77"/>
      <c r="JZ366" s="77"/>
      <c r="KA366" s="77"/>
      <c r="KB366" s="77"/>
      <c r="KC366" s="77"/>
      <c r="KD366" s="77"/>
      <c r="KE366" s="77"/>
      <c r="KF366" s="77"/>
      <c r="KG366" s="77"/>
      <c r="KH366" s="77"/>
      <c r="KI366" s="77"/>
      <c r="KJ366" s="77"/>
      <c r="KK366" s="77"/>
      <c r="KL366" s="77"/>
      <c r="LW366" s="77"/>
      <c r="LX366" s="77"/>
      <c r="LY366" s="77"/>
      <c r="LZ366" s="77"/>
      <c r="MA366" s="77"/>
      <c r="MB366" s="77"/>
      <c r="MC366" s="77"/>
      <c r="MD366" s="77"/>
      <c r="ME366" s="77"/>
      <c r="MF366" s="77"/>
      <c r="MG366" s="77"/>
      <c r="MH366" s="77"/>
      <c r="MI366" s="77"/>
      <c r="MJ366" s="77"/>
      <c r="MK366" s="77"/>
      <c r="ML366" s="77"/>
      <c r="MM366" s="77"/>
      <c r="MN366" s="77"/>
      <c r="MO366" s="77"/>
      <c r="MP366" s="77"/>
      <c r="MQ366" s="77"/>
      <c r="MR366" s="77"/>
      <c r="MS366" s="77"/>
    </row>
    <row r="367" spans="1:368" ht="18.600000000000001" customHeight="1" x14ac:dyDescent="0.25">
      <c r="A367" s="119" t="s">
        <v>3060</v>
      </c>
      <c r="B367" s="27" t="s">
        <v>3754</v>
      </c>
      <c r="C367" s="27" t="s">
        <v>3755</v>
      </c>
      <c r="D367" s="30" t="s">
        <v>968</v>
      </c>
      <c r="E367" s="30" t="str">
        <f>HYPERLINK("http://twiplomacy.com/info/africa/Libya","http://twiplomacy.com/info/africa/Libya")</f>
        <v>http://twiplomacy.com/info/africa/Libya</v>
      </c>
      <c r="F367" s="10" t="s">
        <v>1</v>
      </c>
      <c r="G367" s="10" t="s">
        <v>74</v>
      </c>
      <c r="H367" s="10" t="s">
        <v>788</v>
      </c>
      <c r="I367" s="10" t="s">
        <v>782</v>
      </c>
      <c r="J367" s="27" t="s">
        <v>789</v>
      </c>
      <c r="K367" s="15" t="s">
        <v>777</v>
      </c>
      <c r="L367" s="10" t="s">
        <v>771</v>
      </c>
      <c r="M367" s="10" t="s">
        <v>771</v>
      </c>
      <c r="N367" s="30" t="str">
        <f>HYPERLINK("https://twitter.com/LibyaInterimGov/statuses/318625575277301762","https://twitter.com/LibyaInterimGov/statuses/318625575277301762")</f>
        <v>https://twitter.com/LibyaInterimGov/statuses/318625575277301762</v>
      </c>
      <c r="O367" s="27" t="s">
        <v>5831</v>
      </c>
      <c r="P367" s="80">
        <v>37</v>
      </c>
      <c r="Q367" s="80">
        <v>36</v>
      </c>
      <c r="R367" s="27" t="s">
        <v>2995</v>
      </c>
      <c r="S367" s="30" t="str">
        <f>HYPERLINK("https://twitter.com/LibyaInterimGov/lists","https://twitter.com/LibyaInterimGov/lists")</f>
        <v>https://twitter.com/LibyaInterimGov/lists</v>
      </c>
      <c r="T367" s="10" t="s">
        <v>771</v>
      </c>
      <c r="U367" s="10" t="s">
        <v>771</v>
      </c>
      <c r="V367" s="10" t="s">
        <v>771</v>
      </c>
      <c r="W367" s="10"/>
      <c r="X367" s="27" t="s">
        <v>3060</v>
      </c>
      <c r="Y367" s="27" t="s">
        <v>3754</v>
      </c>
      <c r="Z367" s="80">
        <v>1897</v>
      </c>
      <c r="AA367" s="27">
        <v>0</v>
      </c>
      <c r="AB367" s="80">
        <v>16922</v>
      </c>
      <c r="AC367" s="27">
        <v>3</v>
      </c>
      <c r="AD367" s="27" t="s">
        <v>3756</v>
      </c>
      <c r="AE367" s="27">
        <v>1319832283</v>
      </c>
      <c r="AF367" s="27" t="s">
        <v>3755</v>
      </c>
      <c r="AG367" s="27" t="s">
        <v>74</v>
      </c>
      <c r="AH367" s="79">
        <v>1.6832298136646</v>
      </c>
      <c r="AI367" s="83">
        <v>1.6937500000000001</v>
      </c>
      <c r="AJ367" s="80">
        <v>2.7780706378492401</v>
      </c>
      <c r="AK367" s="80">
        <v>2.78755930416447</v>
      </c>
      <c r="AL367" s="27">
        <v>8</v>
      </c>
      <c r="AM367" s="97">
        <f>SUM(AL367/Z367)</f>
        <v>4.2171850289931473E-3</v>
      </c>
      <c r="AN367" s="27" t="s">
        <v>3060</v>
      </c>
      <c r="AO367" s="27">
        <v>0</v>
      </c>
      <c r="AP367" s="27">
        <v>2</v>
      </c>
      <c r="AQ367" s="27">
        <v>0</v>
      </c>
      <c r="AR367" s="27">
        <f>SUM(AO367:AQ367)</f>
        <v>2</v>
      </c>
      <c r="AS367" s="27"/>
      <c r="AT367" s="27" t="s">
        <v>5005</v>
      </c>
      <c r="AU367" s="84"/>
      <c r="AV367" s="77"/>
      <c r="AW367" s="77"/>
      <c r="AX367" s="77"/>
      <c r="AY367" s="77"/>
      <c r="AZ367" s="77"/>
      <c r="BA367" s="77"/>
      <c r="BB367" s="77"/>
      <c r="BC367" s="77"/>
      <c r="BD367" s="77"/>
      <c r="BE367" s="77"/>
      <c r="BF367" s="77"/>
      <c r="BG367" s="77"/>
      <c r="BH367" s="77"/>
      <c r="BI367" s="77"/>
      <c r="BJ367" s="77"/>
      <c r="BK367" s="77"/>
      <c r="BL367" s="77"/>
      <c r="BM367" s="77"/>
      <c r="BN367" s="77"/>
      <c r="BO367" s="77"/>
      <c r="BP367" s="77"/>
      <c r="BQ367" s="77"/>
      <c r="BR367" s="77"/>
      <c r="BS367" s="77"/>
      <c r="BT367" s="77"/>
      <c r="BU367" s="77"/>
      <c r="BV367" s="77"/>
      <c r="BW367" s="77"/>
      <c r="BX367" s="77"/>
      <c r="BY367" s="77"/>
      <c r="BZ367" s="77"/>
      <c r="CA367" s="77"/>
      <c r="CB367" s="77"/>
      <c r="CC367" s="77"/>
      <c r="CD367" s="77"/>
      <c r="CE367" s="77"/>
      <c r="CF367" s="77"/>
      <c r="CG367" s="77"/>
      <c r="CH367" s="77"/>
      <c r="CI367" s="77"/>
      <c r="CJ367" s="77"/>
      <c r="CX367" s="77"/>
      <c r="CY367" s="77"/>
      <c r="CZ367" s="77"/>
      <c r="DA367" s="77"/>
      <c r="DB367" s="77"/>
      <c r="DC367" s="77"/>
      <c r="DD367" s="77"/>
      <c r="DE367" s="77"/>
      <c r="DF367" s="77"/>
      <c r="DG367" s="77"/>
      <c r="DH367" s="77"/>
      <c r="DI367" s="77"/>
      <c r="DJ367" s="77"/>
      <c r="DK367" s="77"/>
      <c r="DL367" s="77"/>
      <c r="DM367" s="77"/>
      <c r="DN367" s="77"/>
      <c r="DO367" s="77"/>
      <c r="DP367" s="77"/>
      <c r="DQ367" s="77"/>
      <c r="DR367" s="77"/>
      <c r="DS367" s="77"/>
      <c r="DT367" s="77"/>
      <c r="DU367" s="77"/>
      <c r="DV367" s="77"/>
      <c r="DW367" s="77"/>
      <c r="DX367" s="77"/>
      <c r="DY367" s="77"/>
      <c r="DZ367" s="77"/>
      <c r="EA367" s="77"/>
      <c r="EB367" s="77"/>
      <c r="EC367" s="77"/>
      <c r="ED367" s="77"/>
      <c r="EE367" s="77"/>
      <c r="EF367" s="77"/>
      <c r="EG367" s="77"/>
      <c r="EH367" s="77"/>
      <c r="EI367" s="77"/>
      <c r="EJ367" s="77"/>
      <c r="EK367" s="77"/>
      <c r="EL367" s="77"/>
      <c r="EP367" s="77"/>
      <c r="GL367" s="77"/>
      <c r="GM367" s="77"/>
      <c r="GN367" s="77"/>
      <c r="GO367" s="77"/>
      <c r="GP367" s="77"/>
      <c r="GQ367" s="77"/>
      <c r="GR367" s="77"/>
      <c r="GS367" s="77"/>
      <c r="GT367" s="77"/>
      <c r="GU367" s="77"/>
      <c r="GV367" s="77"/>
      <c r="GW367" s="77"/>
      <c r="GX367" s="77"/>
      <c r="GY367" s="77"/>
      <c r="GZ367" s="77"/>
      <c r="HA367" s="77"/>
      <c r="HB367" s="77"/>
      <c r="HC367" s="77"/>
      <c r="HD367" s="77"/>
      <c r="HE367" s="77"/>
      <c r="HF367" s="77"/>
      <c r="HG367" s="77"/>
      <c r="HH367" s="77"/>
      <c r="HI367" s="77"/>
      <c r="HJ367" s="77"/>
      <c r="HK367" s="77"/>
      <c r="HL367" s="77"/>
      <c r="HM367" s="77"/>
      <c r="HN367" s="77"/>
      <c r="HO367" s="77"/>
      <c r="HP367" s="77"/>
      <c r="HQ367" s="77"/>
      <c r="HR367" s="77"/>
      <c r="HS367" s="77"/>
      <c r="HT367" s="77"/>
      <c r="HU367" s="77"/>
      <c r="HV367" s="77"/>
      <c r="HW367" s="77"/>
      <c r="HX367" s="77"/>
      <c r="HY367" s="77"/>
      <c r="HZ367" s="77"/>
      <c r="IA367" s="77"/>
      <c r="IB367" s="77"/>
      <c r="IC367" s="77"/>
      <c r="ID367" s="77"/>
      <c r="IE367" s="77"/>
      <c r="JY367" s="77"/>
      <c r="JZ367" s="77"/>
      <c r="KA367" s="77"/>
      <c r="KB367" s="77"/>
      <c r="KC367" s="77"/>
      <c r="KD367" s="77"/>
      <c r="KE367" s="77"/>
      <c r="KF367" s="77"/>
      <c r="KG367" s="77"/>
      <c r="KH367" s="77"/>
      <c r="KI367" s="77"/>
      <c r="KJ367" s="77"/>
      <c r="KK367" s="77"/>
      <c r="KL367" s="77"/>
      <c r="KM367" s="77"/>
      <c r="KN367" s="77"/>
      <c r="KO367" s="77"/>
      <c r="KP367" s="77"/>
      <c r="KQ367" s="77"/>
      <c r="KR367" s="77"/>
      <c r="KS367" s="77"/>
      <c r="KT367" s="77"/>
      <c r="KU367" s="77"/>
      <c r="KV367" s="77"/>
      <c r="KW367" s="77"/>
      <c r="KX367" s="77"/>
      <c r="KY367" s="77"/>
      <c r="KZ367" s="77"/>
      <c r="LA367" s="77"/>
      <c r="LB367" s="77"/>
      <c r="LC367" s="77"/>
      <c r="LD367" s="77"/>
      <c r="LE367" s="77"/>
      <c r="LF367" s="77"/>
      <c r="LG367" s="77"/>
      <c r="LH367" s="77"/>
      <c r="LI367" s="77"/>
      <c r="LJ367" s="77"/>
      <c r="LK367" s="77"/>
      <c r="LL367" s="77"/>
      <c r="LM367" s="77"/>
      <c r="LN367" s="77"/>
      <c r="LO367" s="77"/>
      <c r="LP367" s="77"/>
      <c r="LQ367" s="77"/>
      <c r="LR367" s="77"/>
      <c r="LS367" s="77"/>
      <c r="LT367" s="77"/>
      <c r="LU367" s="77"/>
      <c r="LV367" s="77"/>
      <c r="LW367" s="77"/>
      <c r="LX367" s="77"/>
      <c r="LY367" s="77"/>
      <c r="LZ367" s="77"/>
      <c r="MA367" s="77"/>
      <c r="MB367" s="77"/>
      <c r="MC367" s="77"/>
      <c r="MD367" s="77"/>
      <c r="ME367" s="77"/>
      <c r="MF367" s="77"/>
      <c r="MG367" s="77"/>
      <c r="MH367" s="77"/>
      <c r="MI367" s="77"/>
      <c r="MJ367" s="77"/>
      <c r="MK367" s="77"/>
      <c r="ML367" s="77"/>
      <c r="MM367" s="77"/>
      <c r="MN367" s="77"/>
      <c r="MO367" s="77"/>
      <c r="MP367" s="77"/>
      <c r="MQ367" s="77"/>
      <c r="MR367" s="77"/>
    </row>
    <row r="368" spans="1:368" ht="18.600000000000001" customHeight="1" x14ac:dyDescent="0.25">
      <c r="A368" s="119" t="s">
        <v>545</v>
      </c>
      <c r="B368" s="27" t="s">
        <v>2316</v>
      </c>
      <c r="C368" s="27" t="s">
        <v>5582</v>
      </c>
      <c r="D368" s="30" t="str">
        <f>HYPERLINK("https://twitter.com/Yatsenyuk_AP","https://twitter.com/Yatsenyuk_AP")</f>
        <v>https://twitter.com/Yatsenyuk_AP</v>
      </c>
      <c r="E368" s="30" t="str">
        <f>HYPERLINK("http://twiplomacy.com/info/europe/Ukraine","http://twiplomacy.com/info/europe/Ukraine")</f>
        <v>http://twiplomacy.com/info/europe/Ukraine</v>
      </c>
      <c r="F368" s="10" t="s">
        <v>332</v>
      </c>
      <c r="G368" s="10" t="s">
        <v>543</v>
      </c>
      <c r="H368" s="10" t="s">
        <v>776</v>
      </c>
      <c r="I368" s="10" t="s">
        <v>773</v>
      </c>
      <c r="J368" s="27" t="s">
        <v>2312</v>
      </c>
      <c r="K368" s="15" t="s">
        <v>777</v>
      </c>
      <c r="L368" s="10"/>
      <c r="M368" s="10" t="s">
        <v>771</v>
      </c>
      <c r="N368" s="30" t="str">
        <f>HYPERLINK("https://twitter.com/Yatsenyuk_AP/statuses/385703445644079105","https://twitter.com/Yatsenyuk_AP/statuses/385703445644079105")</f>
        <v>https://twitter.com/Yatsenyuk_AP/statuses/385703445644079105</v>
      </c>
      <c r="O368" s="27" t="s">
        <v>6135</v>
      </c>
      <c r="P368" s="80">
        <v>1174</v>
      </c>
      <c r="Q368" s="80">
        <v>9</v>
      </c>
      <c r="R368" s="27" t="s">
        <v>2995</v>
      </c>
      <c r="S368" s="10" t="s">
        <v>2317</v>
      </c>
      <c r="T368" s="10" t="s">
        <v>771</v>
      </c>
      <c r="U368" s="10" t="s">
        <v>771</v>
      </c>
      <c r="V368" s="10" t="s">
        <v>771</v>
      </c>
      <c r="W368" s="10"/>
      <c r="X368" s="27" t="s">
        <v>545</v>
      </c>
      <c r="Y368" s="27" t="s">
        <v>2316</v>
      </c>
      <c r="Z368" s="80">
        <v>1884</v>
      </c>
      <c r="AA368" s="27">
        <v>47</v>
      </c>
      <c r="AB368" s="80">
        <v>581460</v>
      </c>
      <c r="AC368" s="27">
        <v>3</v>
      </c>
      <c r="AD368" s="27" t="s">
        <v>4603</v>
      </c>
      <c r="AE368" s="27">
        <v>1896985040</v>
      </c>
      <c r="AF368" s="27" t="s">
        <v>5582</v>
      </c>
      <c r="AG368" s="27" t="s">
        <v>2318</v>
      </c>
      <c r="AH368" s="79">
        <v>1.97899159663866</v>
      </c>
      <c r="AI368" s="83">
        <v>2.00106269925611</v>
      </c>
      <c r="AJ368" s="80">
        <v>62.578360290016697</v>
      </c>
      <c r="AK368" s="80">
        <v>24.9375348577803</v>
      </c>
      <c r="AL368" s="96">
        <v>191</v>
      </c>
      <c r="AM368" s="97">
        <f>SUM(AL368/Z368)</f>
        <v>0.10138004246284502</v>
      </c>
      <c r="AN368" s="27" t="s">
        <v>545</v>
      </c>
      <c r="AO368" s="27">
        <v>2</v>
      </c>
      <c r="AP368" s="27">
        <v>24</v>
      </c>
      <c r="AQ368" s="27">
        <v>5</v>
      </c>
      <c r="AR368" s="27">
        <f>SUM(AO368:AQ368)</f>
        <v>31</v>
      </c>
      <c r="AS368" s="27" t="s">
        <v>5564</v>
      </c>
      <c r="AT368" s="27" t="s">
        <v>6877</v>
      </c>
      <c r="AU368" s="84" t="s">
        <v>4995</v>
      </c>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77"/>
      <c r="BR368" s="77"/>
      <c r="BS368" s="77"/>
      <c r="BT368" s="77"/>
      <c r="BU368" s="77"/>
      <c r="BV368" s="77"/>
      <c r="BW368" s="77"/>
      <c r="BX368" s="77"/>
      <c r="BY368" s="77"/>
      <c r="BZ368" s="77"/>
      <c r="CA368" s="77"/>
      <c r="CB368" s="77"/>
      <c r="CC368" s="77"/>
      <c r="CD368" s="77"/>
      <c r="CE368" s="77"/>
      <c r="CF368" s="77"/>
      <c r="CG368" s="77"/>
      <c r="CH368" s="77"/>
      <c r="CI368" s="77"/>
      <c r="CJ368" s="77"/>
      <c r="CX368" s="77"/>
      <c r="CY368" s="77"/>
      <c r="CZ368" s="77"/>
      <c r="DA368" s="77"/>
      <c r="DB368" s="77"/>
      <c r="DC368" s="77"/>
      <c r="DD368" s="77"/>
      <c r="DE368" s="77"/>
      <c r="DF368" s="77"/>
      <c r="DG368" s="77"/>
      <c r="DH368" s="77"/>
      <c r="DI368" s="77"/>
      <c r="DJ368" s="77"/>
      <c r="DK368" s="77"/>
      <c r="DL368" s="77"/>
      <c r="DM368" s="77"/>
      <c r="DN368" s="77"/>
      <c r="DO368" s="77"/>
      <c r="DP368" s="77"/>
      <c r="DQ368" s="77"/>
      <c r="DR368" s="77"/>
      <c r="DS368" s="77"/>
      <c r="DT368" s="77"/>
      <c r="DU368" s="77"/>
      <c r="DV368" s="77"/>
      <c r="DW368" s="77"/>
      <c r="DX368" s="77"/>
      <c r="DY368" s="77"/>
      <c r="DZ368" s="77"/>
      <c r="EA368" s="77"/>
      <c r="EB368" s="77"/>
      <c r="EC368" s="77"/>
      <c r="ED368" s="77"/>
      <c r="EE368" s="77"/>
      <c r="EF368" s="77"/>
      <c r="EG368" s="77"/>
      <c r="EH368" s="77"/>
      <c r="EI368" s="77"/>
      <c r="EJ368" s="77"/>
      <c r="EK368" s="77"/>
      <c r="EL368" s="77"/>
      <c r="EM368" s="77"/>
      <c r="EN368" s="77"/>
      <c r="EO368" s="77"/>
      <c r="EP368" s="77"/>
      <c r="EQ368" s="16"/>
      <c r="ER368" s="77"/>
      <c r="ES368" s="77"/>
      <c r="ET368" s="77"/>
      <c r="EU368" s="77"/>
      <c r="EV368" s="77"/>
      <c r="EW368" s="77"/>
      <c r="EX368" s="77"/>
      <c r="EY368" s="77"/>
      <c r="EZ368" s="77"/>
      <c r="FA368" s="77"/>
      <c r="FB368" s="77"/>
      <c r="FC368" s="77"/>
      <c r="FD368" s="77"/>
      <c r="FE368" s="77"/>
      <c r="FF368" s="77"/>
      <c r="FG368" s="77"/>
      <c r="FH368" s="77"/>
      <c r="FI368" s="77"/>
      <c r="FJ368" s="77"/>
      <c r="FK368" s="77"/>
      <c r="FL368" s="77"/>
      <c r="FM368" s="77"/>
      <c r="FN368" s="77"/>
      <c r="FO368" s="77"/>
      <c r="FP368" s="77"/>
      <c r="FQ368" s="77"/>
      <c r="FR368" s="77"/>
      <c r="FS368" s="77"/>
      <c r="FT368" s="77"/>
      <c r="FU368" s="77"/>
      <c r="FV368" s="77"/>
      <c r="FW368" s="77"/>
      <c r="FX368" s="77"/>
      <c r="FY368" s="77"/>
      <c r="FZ368" s="77"/>
      <c r="GA368" s="77"/>
      <c r="GB368" s="77"/>
      <c r="GC368" s="77"/>
      <c r="GD368" s="77"/>
      <c r="GE368" s="77"/>
      <c r="GF368" s="77"/>
      <c r="GG368" s="77"/>
      <c r="GH368" s="77"/>
      <c r="GI368" s="77"/>
      <c r="GJ368" s="77"/>
      <c r="GK368" s="77"/>
      <c r="GL368" s="77"/>
      <c r="GM368" s="77"/>
      <c r="GN368" s="77"/>
      <c r="GO368" s="77"/>
      <c r="GP368" s="77"/>
      <c r="GQ368" s="77"/>
      <c r="GR368" s="77"/>
      <c r="GS368" s="77"/>
      <c r="GT368" s="77"/>
      <c r="GU368" s="77"/>
      <c r="GV368" s="77"/>
      <c r="GW368" s="77"/>
      <c r="GX368" s="77"/>
      <c r="GY368" s="77"/>
      <c r="GZ368" s="77"/>
      <c r="HA368" s="77"/>
      <c r="HB368" s="77"/>
      <c r="HC368" s="77"/>
      <c r="HD368" s="77"/>
      <c r="HE368" s="77"/>
      <c r="HF368" s="77"/>
      <c r="HG368" s="77"/>
      <c r="HH368" s="77"/>
      <c r="HI368" s="77"/>
      <c r="HJ368" s="77"/>
      <c r="HK368" s="77"/>
      <c r="HL368" s="77"/>
      <c r="HM368" s="77"/>
      <c r="HN368" s="77"/>
      <c r="HO368" s="77"/>
      <c r="HP368" s="77"/>
      <c r="HQ368" s="77"/>
      <c r="HR368" s="77"/>
      <c r="HS368" s="77"/>
      <c r="HT368" s="77"/>
      <c r="HU368" s="77"/>
      <c r="HV368" s="77"/>
      <c r="HW368" s="77"/>
      <c r="HX368" s="77"/>
      <c r="HY368" s="77"/>
      <c r="HZ368" s="77"/>
      <c r="IA368" s="77"/>
      <c r="IB368" s="77"/>
      <c r="IC368" s="77"/>
      <c r="ID368" s="77"/>
      <c r="IE368" s="77"/>
      <c r="JY368" s="77"/>
      <c r="JZ368" s="77"/>
      <c r="KA368" s="77"/>
      <c r="KB368" s="77"/>
      <c r="KC368" s="77"/>
      <c r="KD368" s="77"/>
      <c r="KE368" s="77"/>
      <c r="KF368" s="77"/>
      <c r="KG368" s="77"/>
      <c r="KH368" s="77"/>
      <c r="KI368" s="77"/>
      <c r="KJ368" s="77"/>
      <c r="KK368" s="77"/>
      <c r="KL368" s="77"/>
      <c r="KM368" s="77"/>
      <c r="KN368" s="77"/>
      <c r="KO368" s="77"/>
      <c r="KP368" s="77"/>
      <c r="KQ368" s="77"/>
      <c r="KR368" s="77"/>
      <c r="KS368" s="77"/>
      <c r="KT368" s="77"/>
      <c r="KU368" s="77"/>
      <c r="KV368" s="77"/>
      <c r="KW368" s="77"/>
      <c r="KX368" s="77"/>
      <c r="KY368" s="77"/>
      <c r="KZ368" s="77"/>
      <c r="LA368" s="77"/>
      <c r="LB368" s="77"/>
      <c r="LC368" s="77"/>
      <c r="LD368" s="77"/>
      <c r="LE368" s="77"/>
      <c r="LF368" s="77"/>
      <c r="LG368" s="77"/>
      <c r="LH368" s="77"/>
      <c r="LI368" s="77"/>
      <c r="LJ368" s="77"/>
      <c r="LK368" s="77"/>
      <c r="LL368" s="77"/>
      <c r="LM368" s="77"/>
      <c r="LN368" s="77"/>
      <c r="LO368" s="77"/>
      <c r="LP368" s="77"/>
      <c r="LQ368" s="77"/>
      <c r="LR368" s="77"/>
      <c r="LS368" s="77"/>
      <c r="LT368" s="77"/>
      <c r="LU368" s="77"/>
      <c r="LV368" s="77"/>
      <c r="LW368" s="77"/>
      <c r="LX368" s="77"/>
      <c r="ND368" s="77"/>
    </row>
    <row r="369" spans="1:368" ht="18.600000000000001" customHeight="1" x14ac:dyDescent="0.25">
      <c r="A369" s="119" t="s">
        <v>235</v>
      </c>
      <c r="B369" s="27" t="s">
        <v>1456</v>
      </c>
      <c r="C369" s="27" t="s">
        <v>1457</v>
      </c>
      <c r="D369" s="30" t="str">
        <f>HYPERLINK("https://twitter.com/pressslujba","https://twitter.com/pressslujba")</f>
        <v>https://twitter.com/pressslujba</v>
      </c>
      <c r="E369" s="30" t="str">
        <f>HYPERLINK("http://twiplomacy.com/info/asia/Kyrgyzstan","http://twiplomacy.com/info/asia/Kyrgyzstan")</f>
        <v>http://twiplomacy.com/info/asia/Kyrgyzstan</v>
      </c>
      <c r="F369" s="10" t="s">
        <v>154</v>
      </c>
      <c r="G369" s="10" t="s">
        <v>233</v>
      </c>
      <c r="H369" s="10" t="s">
        <v>795</v>
      </c>
      <c r="I369" s="10" t="s">
        <v>782</v>
      </c>
      <c r="J369" s="27" t="s">
        <v>1420</v>
      </c>
      <c r="K369" s="15" t="s">
        <v>777</v>
      </c>
      <c r="L369" s="10" t="s">
        <v>771</v>
      </c>
      <c r="M369" s="10" t="s">
        <v>770</v>
      </c>
      <c r="N369" s="30" t="str">
        <f>HYPERLINK("https://twitter.com/pressslujba/statuses/231332270189981696","https://twitter.com/pressslujba/statuses/231332270189981696")</f>
        <v>https://twitter.com/pressslujba/statuses/231332270189981696</v>
      </c>
      <c r="O369" s="27" t="s">
        <v>6051</v>
      </c>
      <c r="P369" s="80">
        <v>78</v>
      </c>
      <c r="Q369" s="80">
        <v>21</v>
      </c>
      <c r="R369" s="27" t="s">
        <v>2995</v>
      </c>
      <c r="S369" s="30" t="str">
        <f>HYPERLINK("https://twitter.com/pressslujba/lists","https://twitter.com/pressslujba/lists")</f>
        <v>https://twitter.com/pressslujba/lists</v>
      </c>
      <c r="T369" s="10">
        <v>1</v>
      </c>
      <c r="U369" s="10">
        <v>2</v>
      </c>
      <c r="V369" s="10" t="s">
        <v>771</v>
      </c>
      <c r="W369" s="10"/>
      <c r="X369" s="27" t="s">
        <v>235</v>
      </c>
      <c r="Y369" s="27" t="s">
        <v>1456</v>
      </c>
      <c r="Z369" s="80">
        <v>1873</v>
      </c>
      <c r="AA369" s="27">
        <v>559</v>
      </c>
      <c r="AB369" s="80">
        <v>1432</v>
      </c>
      <c r="AC369" s="27">
        <v>233</v>
      </c>
      <c r="AD369" s="27" t="s">
        <v>4371</v>
      </c>
      <c r="AE369" s="27">
        <v>734489138</v>
      </c>
      <c r="AF369" s="27" t="s">
        <v>1457</v>
      </c>
      <c r="AG369" s="27" t="s">
        <v>1458</v>
      </c>
      <c r="AH369" s="79">
        <v>1.36915204678363</v>
      </c>
      <c r="AI369" s="83">
        <v>1.3694220921726401</v>
      </c>
      <c r="AJ369" s="80">
        <v>0.30785907859078598</v>
      </c>
      <c r="AK369" s="80">
        <v>0.14471544715447199</v>
      </c>
      <c r="AL369" s="27">
        <v>9</v>
      </c>
      <c r="AM369" s="97">
        <f>SUM(AL369/Z369)</f>
        <v>4.8051254671649763E-3</v>
      </c>
      <c r="AN369" s="27" t="s">
        <v>235</v>
      </c>
      <c r="AO369" s="27">
        <v>124</v>
      </c>
      <c r="AP369" s="27">
        <v>2</v>
      </c>
      <c r="AQ369" s="27">
        <v>20</v>
      </c>
      <c r="AR369" s="27">
        <f>SUM(AO369:AQ369)</f>
        <v>146</v>
      </c>
      <c r="AS369" s="27" t="s">
        <v>6664</v>
      </c>
      <c r="AT369" s="27" t="s">
        <v>5445</v>
      </c>
      <c r="AU369" s="84" t="s">
        <v>6532</v>
      </c>
      <c r="AV369" s="77"/>
      <c r="AW369" s="77"/>
      <c r="AX369" s="77"/>
      <c r="AY369" s="77"/>
      <c r="AZ369" s="77"/>
      <c r="BA369" s="77"/>
      <c r="BB369" s="77"/>
      <c r="BC369" s="77"/>
      <c r="BD369" s="77"/>
      <c r="BE369" s="77"/>
      <c r="BF369" s="77"/>
      <c r="BG369" s="77"/>
      <c r="BH369" s="77"/>
      <c r="BI369" s="77"/>
      <c r="BJ369" s="77"/>
      <c r="BK369" s="77"/>
      <c r="BL369" s="77"/>
      <c r="BM369" s="77"/>
      <c r="BN369" s="77"/>
      <c r="BO369" s="77"/>
      <c r="BP369" s="77"/>
      <c r="BQ369" s="77"/>
      <c r="BR369" s="77"/>
      <c r="BS369" s="77"/>
      <c r="BT369" s="77"/>
      <c r="BU369" s="77"/>
      <c r="BV369" s="77"/>
      <c r="BW369" s="77"/>
      <c r="BX369" s="77"/>
      <c r="BY369" s="77"/>
      <c r="BZ369" s="77"/>
      <c r="CA369" s="77"/>
      <c r="CB369" s="77"/>
      <c r="CC369" s="77"/>
      <c r="CD369" s="77"/>
      <c r="CE369" s="77"/>
      <c r="CF369" s="77"/>
      <c r="CG369" s="77"/>
      <c r="CH369" s="77"/>
      <c r="CI369" s="77"/>
      <c r="CJ369" s="77"/>
      <c r="CK369" s="77"/>
      <c r="CL369" s="77"/>
      <c r="CM369" s="77"/>
      <c r="CN369" s="77"/>
      <c r="CO369" s="77"/>
      <c r="CP369" s="77"/>
      <c r="CQ369" s="77"/>
      <c r="CR369" s="77"/>
      <c r="CS369" s="77"/>
      <c r="CT369" s="77"/>
      <c r="CU369" s="77"/>
      <c r="CV369" s="77"/>
      <c r="CW369" s="77"/>
      <c r="CX369" s="77"/>
      <c r="CY369" s="77"/>
      <c r="CZ369" s="77"/>
      <c r="DA369" s="77"/>
      <c r="DB369" s="77"/>
      <c r="DC369" s="77"/>
      <c r="DD369" s="77"/>
      <c r="DE369" s="77"/>
      <c r="DF369" s="77"/>
      <c r="DG369" s="77"/>
      <c r="DH369" s="77"/>
      <c r="DI369" s="77"/>
      <c r="DJ369" s="77"/>
      <c r="DK369" s="77"/>
      <c r="DL369" s="77"/>
      <c r="DM369" s="77"/>
      <c r="DN369" s="77"/>
      <c r="DO369" s="77"/>
      <c r="DP369" s="77"/>
      <c r="DQ369" s="77"/>
      <c r="DR369" s="77"/>
      <c r="DS369" s="77"/>
      <c r="DT369" s="77"/>
      <c r="DU369" s="77"/>
      <c r="DV369" s="77"/>
      <c r="DW369" s="77"/>
      <c r="DX369" s="77"/>
      <c r="DY369" s="77"/>
      <c r="DZ369" s="77"/>
      <c r="EA369" s="77"/>
      <c r="EB369" s="77"/>
      <c r="EC369" s="77"/>
      <c r="ED369" s="77"/>
      <c r="EE369" s="77"/>
      <c r="EF369" s="77"/>
      <c r="EG369" s="77"/>
      <c r="EH369" s="77"/>
      <c r="EI369" s="77"/>
      <c r="EJ369" s="77"/>
      <c r="EK369" s="77"/>
      <c r="EL369" s="77"/>
      <c r="EP369" s="77"/>
      <c r="EQ369" s="77"/>
      <c r="HL369" s="77"/>
      <c r="HM369" s="77"/>
      <c r="HN369" s="77"/>
      <c r="HO369" s="77"/>
      <c r="HP369" s="77"/>
      <c r="HQ369" s="77"/>
      <c r="HR369" s="77"/>
      <c r="HS369" s="77"/>
      <c r="HT369" s="77"/>
      <c r="HU369" s="77"/>
      <c r="HV369" s="77"/>
      <c r="HW369" s="77"/>
      <c r="HX369" s="77"/>
      <c r="HY369" s="77"/>
      <c r="HZ369" s="77"/>
      <c r="IA369" s="77"/>
      <c r="IB369" s="77"/>
      <c r="IC369" s="77"/>
      <c r="ND369" s="77"/>
    </row>
    <row r="370" spans="1:368" ht="18.600000000000001" customHeight="1" x14ac:dyDescent="0.25">
      <c r="A370" s="119" t="s">
        <v>365</v>
      </c>
      <c r="B370" s="27" t="s">
        <v>1778</v>
      </c>
      <c r="C370" s="27" t="s">
        <v>3749</v>
      </c>
      <c r="D370" s="30" t="str">
        <f>HYPERLINK("https://twitter.com/GovCyprus","https://twitter.com/GovCyprus")</f>
        <v>https://twitter.com/GovCyprus</v>
      </c>
      <c r="E370" s="30" t="str">
        <f>HYPERLINK("http://twiplomacy.com/info/europe/Cyprus","http://twiplomacy.com/info/europe/Cyprus")</f>
        <v>http://twiplomacy.com/info/europe/Cyprus</v>
      </c>
      <c r="F370" s="10" t="s">
        <v>332</v>
      </c>
      <c r="G370" s="10" t="s">
        <v>362</v>
      </c>
      <c r="H370" s="10" t="s">
        <v>788</v>
      </c>
      <c r="I370" s="10" t="s">
        <v>782</v>
      </c>
      <c r="J370" s="27" t="s">
        <v>789</v>
      </c>
      <c r="K370" s="15" t="s">
        <v>777</v>
      </c>
      <c r="L370" s="10" t="s">
        <v>771</v>
      </c>
      <c r="M370" s="10" t="s">
        <v>771</v>
      </c>
      <c r="N370" s="30" t="str">
        <f>HYPERLINK("https://twitter.com/GovCyprus/statuses/259226050628829185","https://twitter.com/GovCyprus/statuses/259226050628829185")</f>
        <v>https://twitter.com/GovCyprus/statuses/259226050628829185</v>
      </c>
      <c r="O370" s="27" t="s">
        <v>5828</v>
      </c>
      <c r="P370" s="80">
        <v>16</v>
      </c>
      <c r="Q370" s="80">
        <v>5</v>
      </c>
      <c r="R370" s="27" t="s">
        <v>2995</v>
      </c>
      <c r="S370" s="10" t="s">
        <v>1779</v>
      </c>
      <c r="T370" s="10" t="s">
        <v>771</v>
      </c>
      <c r="U370" s="10" t="s">
        <v>771</v>
      </c>
      <c r="V370" s="10" t="s">
        <v>771</v>
      </c>
      <c r="W370" s="10"/>
      <c r="X370" s="27" t="s">
        <v>365</v>
      </c>
      <c r="Y370" s="27" t="s">
        <v>1778</v>
      </c>
      <c r="Z370" s="80">
        <v>1855</v>
      </c>
      <c r="AA370" s="27">
        <v>388</v>
      </c>
      <c r="AB370" s="80">
        <v>3802</v>
      </c>
      <c r="AC370" s="27">
        <v>423</v>
      </c>
      <c r="AD370" s="27" t="s">
        <v>3750</v>
      </c>
      <c r="AE370" s="27">
        <v>886930609</v>
      </c>
      <c r="AF370" s="27" t="s">
        <v>3749</v>
      </c>
      <c r="AG370" s="27" t="s">
        <v>362</v>
      </c>
      <c r="AH370" s="79">
        <v>1.4346481051817499</v>
      </c>
      <c r="AI370" s="83">
        <v>1.43798449612403</v>
      </c>
      <c r="AJ370" s="80">
        <v>0.25947767481044598</v>
      </c>
      <c r="AK370" s="80">
        <v>0.27211457455770799</v>
      </c>
      <c r="AL370" s="27">
        <v>71</v>
      </c>
      <c r="AM370" s="97">
        <f>SUM(AL370/Z370)</f>
        <v>3.8274932614555258E-2</v>
      </c>
      <c r="AN370" s="27" t="s">
        <v>365</v>
      </c>
      <c r="AO370" s="27">
        <v>1</v>
      </c>
      <c r="AP370" s="27">
        <v>6</v>
      </c>
      <c r="AQ370" s="27">
        <v>9</v>
      </c>
      <c r="AR370" s="27">
        <f>SUM(AO370:AQ370)</f>
        <v>16</v>
      </c>
      <c r="AS370" s="27" t="s">
        <v>1922</v>
      </c>
      <c r="AT370" s="27" t="s">
        <v>5147</v>
      </c>
      <c r="AU370" s="84" t="s">
        <v>4737</v>
      </c>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77"/>
      <c r="BR370" s="77"/>
      <c r="BS370" s="77"/>
      <c r="BT370" s="77"/>
      <c r="BU370" s="77"/>
      <c r="BV370" s="77"/>
      <c r="BW370" s="77"/>
      <c r="BX370" s="77"/>
      <c r="BY370" s="77"/>
      <c r="BZ370" s="77"/>
      <c r="CA370" s="77"/>
      <c r="CB370" s="77"/>
      <c r="CC370" s="77"/>
      <c r="CD370" s="77"/>
      <c r="CE370" s="77"/>
      <c r="CF370" s="77"/>
      <c r="CG370" s="77"/>
      <c r="CH370" s="77"/>
      <c r="CI370" s="77"/>
      <c r="CJ370" s="77"/>
      <c r="CK370" s="77"/>
      <c r="CL370" s="77"/>
      <c r="CM370" s="77"/>
      <c r="CN370" s="77"/>
      <c r="CO370" s="77"/>
      <c r="CP370" s="77"/>
      <c r="CQ370" s="77"/>
      <c r="CR370" s="77"/>
      <c r="CS370" s="77"/>
      <c r="CT370" s="77"/>
      <c r="CU370" s="77"/>
      <c r="CV370" s="77"/>
      <c r="CW370" s="77"/>
      <c r="EM370" s="77"/>
      <c r="EN370" s="77"/>
      <c r="EO370" s="77"/>
      <c r="EP370" s="77"/>
      <c r="EQ370" s="77"/>
      <c r="ER370" s="77"/>
      <c r="ES370" s="77"/>
      <c r="ET370" s="77"/>
      <c r="EU370" s="77"/>
      <c r="EV370" s="77"/>
      <c r="EW370" s="77"/>
      <c r="EX370" s="77"/>
      <c r="EY370" s="77"/>
      <c r="EZ370" s="77"/>
      <c r="FA370" s="77"/>
      <c r="FB370" s="77"/>
      <c r="FC370" s="77"/>
      <c r="FD370" s="77"/>
      <c r="FE370" s="77"/>
      <c r="FF370" s="77"/>
      <c r="FG370" s="77"/>
      <c r="FH370" s="77"/>
      <c r="FI370" s="77"/>
      <c r="FJ370" s="77"/>
      <c r="FK370" s="77"/>
      <c r="FL370" s="77"/>
      <c r="FM370" s="77"/>
      <c r="FN370" s="77"/>
      <c r="FO370" s="77"/>
      <c r="FP370" s="77"/>
      <c r="FQ370" s="77"/>
      <c r="FR370" s="77"/>
      <c r="FS370" s="77"/>
      <c r="FT370" s="77"/>
      <c r="FU370" s="77"/>
      <c r="FV370" s="77"/>
      <c r="FW370" s="77"/>
      <c r="FX370" s="77"/>
      <c r="FY370" s="77"/>
      <c r="FZ370" s="77"/>
      <c r="GA370" s="77"/>
      <c r="GB370" s="77"/>
      <c r="GC370" s="77"/>
      <c r="GD370" s="77"/>
      <c r="GE370" s="77"/>
      <c r="GF370" s="77"/>
      <c r="GG370" s="77"/>
      <c r="GH370" s="77"/>
      <c r="GI370" s="77"/>
      <c r="GJ370" s="77"/>
      <c r="GK370" s="77"/>
      <c r="GL370" s="77"/>
      <c r="GM370" s="77"/>
      <c r="GN370" s="77"/>
      <c r="GO370" s="77"/>
      <c r="GP370" s="77"/>
      <c r="GQ370" s="77"/>
      <c r="GR370" s="77"/>
      <c r="GS370" s="77"/>
      <c r="GT370" s="77"/>
      <c r="GU370" s="77"/>
      <c r="GV370" s="77"/>
      <c r="GW370" s="77"/>
      <c r="GX370" s="77"/>
      <c r="GY370" s="77"/>
      <c r="GZ370" s="77"/>
      <c r="HA370" s="77"/>
      <c r="HB370" s="77"/>
      <c r="HC370" s="77"/>
      <c r="HD370" s="77"/>
      <c r="HE370" s="77"/>
      <c r="HF370" s="77"/>
      <c r="HG370" s="77"/>
      <c r="HH370" s="77"/>
      <c r="HI370" s="77"/>
      <c r="HJ370" s="77"/>
      <c r="HK370" s="77"/>
      <c r="HL370" s="77"/>
      <c r="HM370" s="77"/>
      <c r="HN370" s="77"/>
      <c r="HO370" s="77"/>
      <c r="HP370" s="77"/>
      <c r="HQ370" s="77"/>
      <c r="HR370" s="77"/>
      <c r="HS370" s="77"/>
      <c r="HT370" s="77"/>
      <c r="HU370" s="77"/>
      <c r="HV370" s="77"/>
      <c r="HW370" s="77"/>
      <c r="HX370" s="77"/>
      <c r="HY370" s="77"/>
      <c r="HZ370" s="77"/>
      <c r="IA370" s="77"/>
      <c r="IB370" s="77"/>
      <c r="IC370" s="77"/>
      <c r="ID370" s="77"/>
      <c r="IE370" s="77"/>
      <c r="IF370" s="77"/>
      <c r="IG370" s="77"/>
      <c r="IH370" s="77"/>
      <c r="II370" s="77"/>
      <c r="IJ370" s="77"/>
      <c r="IK370" s="77"/>
      <c r="IL370" s="77"/>
      <c r="IM370" s="77"/>
      <c r="IN370" s="77"/>
      <c r="IO370" s="77"/>
      <c r="IP370" s="77"/>
      <c r="IQ370" s="77"/>
      <c r="IR370" s="77"/>
      <c r="IS370" s="77"/>
      <c r="IT370" s="77"/>
      <c r="IU370" s="77"/>
      <c r="IV370" s="77"/>
      <c r="IW370" s="77"/>
      <c r="IX370" s="77"/>
      <c r="IY370" s="77"/>
      <c r="IZ370" s="77"/>
      <c r="JA370" s="77"/>
      <c r="JB370" s="77"/>
      <c r="JC370" s="77"/>
      <c r="JD370" s="77"/>
      <c r="JE370" s="77"/>
      <c r="JF370" s="77"/>
      <c r="JG370" s="77"/>
      <c r="JH370" s="77"/>
      <c r="JI370" s="77"/>
      <c r="JJ370" s="77"/>
      <c r="JK370" s="77"/>
      <c r="JL370" s="77"/>
      <c r="JM370" s="77"/>
      <c r="JN370" s="77"/>
      <c r="JO370" s="77"/>
      <c r="JP370" s="77"/>
      <c r="JQ370" s="77"/>
      <c r="JR370" s="77"/>
      <c r="JS370" s="77"/>
      <c r="JT370" s="77"/>
      <c r="JU370" s="77"/>
      <c r="JV370" s="77"/>
      <c r="JW370" s="77"/>
      <c r="JX370" s="77"/>
      <c r="JY370" s="77"/>
      <c r="JZ370" s="77"/>
      <c r="KA370" s="77"/>
      <c r="KB370" s="77"/>
      <c r="KC370" s="77"/>
      <c r="KD370" s="77"/>
      <c r="KE370" s="77"/>
      <c r="KF370" s="77"/>
      <c r="KG370" s="77"/>
      <c r="KH370" s="77"/>
      <c r="KI370" s="77"/>
      <c r="KJ370" s="77"/>
      <c r="KK370" s="77"/>
      <c r="KL370" s="77"/>
      <c r="KM370" s="16"/>
      <c r="KN370" s="16"/>
      <c r="KO370" s="16"/>
      <c r="KP370" s="16"/>
      <c r="KQ370" s="16"/>
      <c r="KR370" s="16"/>
      <c r="KS370" s="16"/>
      <c r="KT370" s="16"/>
      <c r="KU370" s="16"/>
      <c r="KV370" s="16"/>
      <c r="KW370" s="16"/>
      <c r="KX370" s="16"/>
      <c r="KY370" s="16"/>
      <c r="KZ370" s="16"/>
      <c r="LA370" s="16"/>
      <c r="LB370" s="16"/>
      <c r="LC370" s="16"/>
      <c r="LD370" s="16"/>
      <c r="LE370" s="16"/>
      <c r="LF370" s="16"/>
      <c r="LG370" s="16"/>
      <c r="LH370" s="16"/>
      <c r="LI370" s="16"/>
      <c r="LJ370" s="16"/>
      <c r="LK370" s="16"/>
      <c r="LY370" s="16"/>
      <c r="LZ370" s="16"/>
      <c r="MA370" s="16"/>
      <c r="MB370" s="16"/>
      <c r="MC370" s="16"/>
      <c r="MD370" s="16"/>
      <c r="ME370" s="16"/>
      <c r="MF370" s="16"/>
      <c r="MG370" s="16"/>
      <c r="MH370" s="16"/>
      <c r="MI370" s="16"/>
      <c r="MJ370" s="16"/>
      <c r="MK370" s="16"/>
      <c r="ML370" s="16"/>
      <c r="MM370" s="16"/>
      <c r="MN370" s="16"/>
      <c r="MO370" s="16"/>
      <c r="MP370" s="16"/>
      <c r="MQ370" s="16"/>
      <c r="MR370" s="16"/>
      <c r="MS370" s="77"/>
    </row>
    <row r="371" spans="1:368" ht="18.600000000000001" customHeight="1" x14ac:dyDescent="0.25">
      <c r="A371" s="119" t="s">
        <v>3059</v>
      </c>
      <c r="B371" s="27" t="s">
        <v>3048</v>
      </c>
      <c r="C371" s="27" t="s">
        <v>3723</v>
      </c>
      <c r="D371" s="30" t="s">
        <v>3056</v>
      </c>
      <c r="E371" s="30" t="str">
        <f>HYPERLINK("http://twiplomacy.com/info/north-america/Dominica","http://twiplomacy.com/info/north-america/Dominica")</f>
        <v>http://twiplomacy.com/info/north-america/Dominica</v>
      </c>
      <c r="F371" s="10" t="s">
        <v>558</v>
      </c>
      <c r="G371" s="10" t="s">
        <v>582</v>
      </c>
      <c r="H371" s="10" t="s">
        <v>788</v>
      </c>
      <c r="I371" s="10" t="s">
        <v>782</v>
      </c>
      <c r="J371" s="27" t="s">
        <v>789</v>
      </c>
      <c r="K371" s="98" t="s">
        <v>777</v>
      </c>
      <c r="L371" s="15" t="s">
        <v>771</v>
      </c>
      <c r="M371" s="10" t="s">
        <v>770</v>
      </c>
      <c r="N371" s="30" t="s">
        <v>3138</v>
      </c>
      <c r="O371" s="27" t="s">
        <v>5816</v>
      </c>
      <c r="P371" s="80">
        <v>3</v>
      </c>
      <c r="Q371" s="80">
        <v>3</v>
      </c>
      <c r="R371" s="27" t="s">
        <v>2995</v>
      </c>
      <c r="S371" s="30" t="s">
        <v>3063</v>
      </c>
      <c r="T371" s="10" t="s">
        <v>771</v>
      </c>
      <c r="U371" s="10" t="s">
        <v>771</v>
      </c>
      <c r="V371" s="10" t="s">
        <v>771</v>
      </c>
      <c r="W371" s="10"/>
      <c r="X371" s="27" t="s">
        <v>3059</v>
      </c>
      <c r="Y371" s="27" t="s">
        <v>3048</v>
      </c>
      <c r="Z371" s="80">
        <v>1855</v>
      </c>
      <c r="AA371" s="27">
        <v>36</v>
      </c>
      <c r="AB371" s="80">
        <v>116</v>
      </c>
      <c r="AC371" s="27">
        <v>1</v>
      </c>
      <c r="AD371" s="27" t="s">
        <v>3724</v>
      </c>
      <c r="AE371" s="27">
        <v>2894649183</v>
      </c>
      <c r="AF371" s="27" t="s">
        <v>3723</v>
      </c>
      <c r="AG371" s="27" t="s">
        <v>3725</v>
      </c>
      <c r="AH371" s="79">
        <v>3.5536398467432999</v>
      </c>
      <c r="AI371" s="83">
        <v>3.5673076923076898</v>
      </c>
      <c r="AJ371" s="80">
        <v>2.6601520086862101E-2</v>
      </c>
      <c r="AK371" s="80">
        <v>4.0173724212812199E-2</v>
      </c>
      <c r="AL371" s="27">
        <v>1</v>
      </c>
      <c r="AM371" s="97">
        <f>SUM(AL371/Z371)</f>
        <v>5.3908355795148253E-4</v>
      </c>
      <c r="AN371" s="27" t="s">
        <v>3059</v>
      </c>
      <c r="AO371" s="27">
        <v>0</v>
      </c>
      <c r="AP371" s="27">
        <v>0</v>
      </c>
      <c r="AQ371" s="27">
        <v>1</v>
      </c>
      <c r="AR371" s="27">
        <f>SUM(AO371:AQ371)</f>
        <v>1</v>
      </c>
      <c r="AS371" s="27"/>
      <c r="AT371" s="27"/>
      <c r="AU371" s="84" t="s">
        <v>583</v>
      </c>
      <c r="AV371" s="77"/>
      <c r="AW371" s="77"/>
      <c r="AX371" s="77"/>
      <c r="AY371" s="77"/>
      <c r="AZ371" s="77"/>
      <c r="BA371" s="77"/>
      <c r="BB371" s="77"/>
      <c r="BC371" s="77"/>
      <c r="BD371" s="77"/>
      <c r="BE371" s="77"/>
      <c r="BF371" s="77"/>
      <c r="BG371" s="77"/>
      <c r="BH371" s="77"/>
      <c r="BI371" s="77"/>
      <c r="BJ371" s="77"/>
      <c r="BK371" s="77"/>
      <c r="BL371" s="77"/>
      <c r="BM371" s="41"/>
      <c r="BN371" s="69"/>
      <c r="BO371" s="69"/>
      <c r="BP371" s="69"/>
      <c r="CC371" s="16"/>
      <c r="CD371" s="16"/>
      <c r="CE371" s="16"/>
      <c r="CF371" s="16"/>
      <c r="CG371" s="16"/>
      <c r="CH371" s="16"/>
      <c r="CI371" s="16"/>
      <c r="CJ371" s="16"/>
      <c r="CK371" s="16"/>
      <c r="CL371" s="16"/>
      <c r="CM371" s="16"/>
      <c r="CN371" s="16"/>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c r="DW371" s="16"/>
      <c r="DX371" s="16"/>
      <c r="DY371" s="16"/>
      <c r="DZ371" s="16"/>
      <c r="EA371" s="16"/>
      <c r="EB371" s="16"/>
      <c r="EC371" s="16"/>
      <c r="ED371" s="16"/>
      <c r="EE371" s="16"/>
      <c r="EF371" s="16"/>
      <c r="EG371" s="16"/>
      <c r="EH371" s="16"/>
      <c r="EI371" s="16"/>
      <c r="EJ371" s="16"/>
      <c r="EK371" s="16"/>
      <c r="EL371" s="16"/>
      <c r="EM371" s="77"/>
      <c r="EN371" s="77"/>
      <c r="EO371" s="77"/>
      <c r="EP371" s="77"/>
      <c r="EQ371" s="77"/>
      <c r="GL371" s="77"/>
      <c r="GM371" s="77"/>
      <c r="GN371" s="77"/>
      <c r="GO371" s="77"/>
      <c r="GP371" s="77"/>
      <c r="GQ371" s="77"/>
      <c r="GR371" s="77"/>
      <c r="GS371" s="77"/>
      <c r="GT371" s="77"/>
      <c r="GU371" s="77"/>
      <c r="GV371" s="77"/>
      <c r="GW371" s="77"/>
      <c r="GX371" s="77"/>
      <c r="GY371" s="77"/>
      <c r="GZ371" s="77"/>
      <c r="HA371" s="77"/>
      <c r="HB371" s="77"/>
      <c r="HC371" s="77"/>
      <c r="HD371" s="77"/>
      <c r="HE371" s="77"/>
      <c r="HF371" s="77"/>
      <c r="HG371" s="77"/>
      <c r="HH371" s="77"/>
      <c r="HI371" s="77"/>
      <c r="HJ371" s="77"/>
      <c r="HK371" s="77"/>
      <c r="HL371" s="77"/>
      <c r="HM371" s="77"/>
      <c r="HN371" s="77"/>
      <c r="HO371" s="77"/>
      <c r="HP371" s="77"/>
      <c r="HQ371" s="77"/>
      <c r="HR371" s="77"/>
      <c r="HS371" s="77"/>
      <c r="HT371" s="77"/>
      <c r="HU371" s="77"/>
      <c r="HV371" s="77"/>
      <c r="HW371" s="77"/>
      <c r="HX371" s="77"/>
      <c r="HY371" s="77"/>
      <c r="HZ371" s="77"/>
      <c r="IA371" s="77"/>
      <c r="IB371" s="77"/>
      <c r="IC371" s="77"/>
      <c r="ID371" s="77"/>
      <c r="IE371" s="77"/>
      <c r="IF371" s="77"/>
      <c r="IG371" s="77"/>
      <c r="IH371" s="77"/>
      <c r="II371" s="77"/>
      <c r="IJ371" s="77"/>
      <c r="IK371" s="77"/>
      <c r="IL371" s="77"/>
      <c r="IM371" s="77"/>
      <c r="IN371" s="77"/>
      <c r="IO371" s="77"/>
      <c r="IP371" s="77"/>
      <c r="IQ371" s="77"/>
      <c r="IR371" s="77"/>
      <c r="IS371" s="77"/>
      <c r="IT371" s="77"/>
      <c r="IU371" s="77"/>
      <c r="IV371" s="77"/>
      <c r="IW371" s="77"/>
      <c r="IX371" s="77"/>
      <c r="IY371" s="77"/>
      <c r="IZ371" s="77"/>
      <c r="JA371" s="77"/>
      <c r="JB371" s="77"/>
      <c r="JC371" s="77"/>
      <c r="JD371" s="77"/>
      <c r="JE371" s="77"/>
      <c r="JF371" s="77"/>
      <c r="JG371" s="77"/>
      <c r="JH371" s="77"/>
      <c r="JI371" s="77"/>
      <c r="JJ371" s="77"/>
      <c r="JK371" s="77"/>
      <c r="JL371" s="77"/>
      <c r="JM371" s="77"/>
      <c r="JN371" s="77"/>
      <c r="JO371" s="77"/>
      <c r="JP371" s="77"/>
      <c r="JQ371" s="77"/>
      <c r="JR371" s="77"/>
      <c r="JS371" s="77"/>
      <c r="JT371" s="77"/>
      <c r="JU371" s="77"/>
      <c r="JV371" s="77"/>
      <c r="JW371" s="77"/>
      <c r="JX371" s="77"/>
      <c r="JY371" s="77"/>
      <c r="JZ371" s="77"/>
      <c r="KA371" s="77"/>
      <c r="KB371" s="77"/>
      <c r="KC371" s="77"/>
      <c r="KD371" s="77"/>
      <c r="KE371" s="77"/>
      <c r="KF371" s="77"/>
      <c r="KG371" s="77"/>
      <c r="KH371" s="77"/>
      <c r="KI371" s="77"/>
      <c r="KJ371" s="77"/>
      <c r="KK371" s="77"/>
      <c r="KL371" s="77"/>
      <c r="KM371" s="77"/>
      <c r="KN371" s="77"/>
      <c r="KO371" s="77"/>
      <c r="KP371" s="77"/>
      <c r="KQ371" s="77"/>
      <c r="KR371" s="77"/>
      <c r="KS371" s="77"/>
      <c r="KT371" s="77"/>
      <c r="KU371" s="77"/>
      <c r="KV371" s="77"/>
      <c r="KW371" s="77"/>
      <c r="KX371" s="77"/>
      <c r="KY371" s="77"/>
      <c r="KZ371" s="77"/>
      <c r="LA371" s="77"/>
      <c r="LB371" s="77"/>
      <c r="LC371" s="77"/>
      <c r="LD371" s="77"/>
      <c r="LE371" s="77"/>
      <c r="LF371" s="77"/>
      <c r="LG371" s="77"/>
      <c r="LH371" s="77"/>
      <c r="LI371" s="77"/>
      <c r="LJ371" s="77"/>
      <c r="LK371" s="77"/>
      <c r="LL371" s="77"/>
      <c r="LM371" s="77"/>
      <c r="LN371" s="77"/>
      <c r="LO371" s="77"/>
      <c r="LP371" s="77"/>
      <c r="LQ371" s="77"/>
      <c r="LR371" s="77"/>
      <c r="LS371" s="77"/>
      <c r="LT371" s="77"/>
      <c r="LU371" s="77"/>
      <c r="LV371" s="77"/>
    </row>
    <row r="372" spans="1:368" ht="18.600000000000001" customHeight="1" x14ac:dyDescent="0.25">
      <c r="A372" s="119" t="s">
        <v>2638</v>
      </c>
      <c r="B372" s="27" t="s">
        <v>2639</v>
      </c>
      <c r="C372" s="27" t="s">
        <v>3683</v>
      </c>
      <c r="D372" s="30" t="str">
        <f>HYPERLINK("https://twitter.com/FijiRepublic","https://twitter.com/FijiRepublic")</f>
        <v>https://twitter.com/FijiRepublic</v>
      </c>
      <c r="E372" s="30" t="str">
        <f>HYPERLINK("http://twiplomacy.com/info/oceania/Fiji","http://twiplomacy.com/info/oceania/Fiji")</f>
        <v>http://twiplomacy.com/info/oceania/Fiji</v>
      </c>
      <c r="F372" s="10" t="s">
        <v>643</v>
      </c>
      <c r="G372" s="10" t="s">
        <v>647</v>
      </c>
      <c r="H372" s="10" t="s">
        <v>788</v>
      </c>
      <c r="I372" s="10" t="s">
        <v>782</v>
      </c>
      <c r="J372" s="27" t="s">
        <v>789</v>
      </c>
      <c r="K372" s="15" t="s">
        <v>777</v>
      </c>
      <c r="L372" s="10" t="s">
        <v>771</v>
      </c>
      <c r="M372" s="10" t="s">
        <v>771</v>
      </c>
      <c r="N372" s="30" t="str">
        <f>HYPERLINK("https://twitter.com/FijiRepublic/statuses/126528855040200705","https://twitter.com/FijiRepublic/statuses/126528855040200705")</f>
        <v>https://twitter.com/FijiRepublic/statuses/126528855040200705</v>
      </c>
      <c r="O372" s="27" t="s">
        <v>5761</v>
      </c>
      <c r="P372" s="80">
        <v>219</v>
      </c>
      <c r="Q372" s="80">
        <v>67</v>
      </c>
      <c r="R372" s="27" t="s">
        <v>2995</v>
      </c>
      <c r="S372" s="10" t="s">
        <v>2640</v>
      </c>
      <c r="T372" s="10" t="s">
        <v>771</v>
      </c>
      <c r="U372" s="10" t="s">
        <v>771</v>
      </c>
      <c r="V372" s="10" t="s">
        <v>771</v>
      </c>
      <c r="W372" s="10"/>
      <c r="X372" s="27" t="s">
        <v>2638</v>
      </c>
      <c r="Y372" s="27" t="s">
        <v>2639</v>
      </c>
      <c r="Z372" s="80">
        <v>1822</v>
      </c>
      <c r="AA372" s="27">
        <v>7</v>
      </c>
      <c r="AB372" s="80">
        <v>4707</v>
      </c>
      <c r="AC372" s="27">
        <v>74</v>
      </c>
      <c r="AD372" s="27" t="s">
        <v>3684</v>
      </c>
      <c r="AE372" s="27">
        <v>393086391</v>
      </c>
      <c r="AF372" s="27" t="s">
        <v>3683</v>
      </c>
      <c r="AG372" s="27" t="s">
        <v>2637</v>
      </c>
      <c r="AH372" s="79">
        <v>1.0982519590114499</v>
      </c>
      <c r="AI372" s="83">
        <v>1.10491206791995</v>
      </c>
      <c r="AJ372" s="80">
        <v>1.3779572994806699</v>
      </c>
      <c r="AK372" s="80">
        <v>1.1696480092325401</v>
      </c>
      <c r="AL372" s="27">
        <v>76</v>
      </c>
      <c r="AM372" s="97">
        <f>SUM(AL372/Z372)</f>
        <v>4.1712403951701428E-2</v>
      </c>
      <c r="AN372" s="27" t="s">
        <v>2638</v>
      </c>
      <c r="AO372" s="27">
        <v>0</v>
      </c>
      <c r="AP372" s="27">
        <v>10</v>
      </c>
      <c r="AQ372" s="27">
        <v>1</v>
      </c>
      <c r="AR372" s="27">
        <f>SUM(AO372:AQ372)</f>
        <v>11</v>
      </c>
      <c r="AS372" s="27"/>
      <c r="AT372" s="27" t="s">
        <v>6720</v>
      </c>
      <c r="AU372" s="84" t="s">
        <v>2633</v>
      </c>
      <c r="AV372" s="77"/>
      <c r="AW372" s="77"/>
      <c r="AX372" s="77"/>
      <c r="AY372" s="77"/>
      <c r="AZ372" s="77"/>
      <c r="BA372" s="77"/>
      <c r="BB372" s="77"/>
      <c r="BC372" s="77"/>
      <c r="BD372" s="77"/>
      <c r="BE372" s="77"/>
      <c r="BF372" s="77"/>
      <c r="BG372" s="77"/>
      <c r="BH372" s="77"/>
      <c r="BI372" s="77"/>
      <c r="BJ372" s="77"/>
      <c r="BK372" s="77"/>
      <c r="BL372" s="77"/>
      <c r="BM372" s="77"/>
      <c r="BN372" s="77"/>
      <c r="BO372" s="77"/>
      <c r="BP372" s="77"/>
      <c r="BQ372" s="77"/>
      <c r="BR372" s="77"/>
      <c r="BS372" s="77"/>
      <c r="BT372" s="77"/>
      <c r="BU372" s="77"/>
      <c r="BV372" s="77"/>
      <c r="BW372" s="77"/>
      <c r="BX372" s="77"/>
      <c r="BY372" s="77"/>
      <c r="BZ372" s="77"/>
      <c r="CA372" s="77"/>
      <c r="CB372" s="77"/>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6"/>
      <c r="EB372" s="16"/>
      <c r="EC372" s="16"/>
      <c r="ED372" s="16"/>
      <c r="EE372" s="16"/>
      <c r="EF372" s="16"/>
      <c r="EG372" s="16"/>
      <c r="EH372" s="16"/>
      <c r="EI372" s="16"/>
      <c r="EJ372" s="16"/>
      <c r="EK372" s="16"/>
      <c r="EL372" s="16"/>
      <c r="EM372" s="77"/>
      <c r="EN372" s="77"/>
      <c r="EO372" s="77"/>
      <c r="EP372" s="77"/>
      <c r="EQ372" s="77"/>
      <c r="ER372" s="77"/>
      <c r="ES372" s="77"/>
      <c r="ET372" s="77"/>
      <c r="EU372" s="77"/>
      <c r="EV372" s="77"/>
      <c r="EW372" s="77"/>
      <c r="EX372" s="77"/>
      <c r="EY372" s="77"/>
      <c r="EZ372" s="77"/>
      <c r="FA372" s="77"/>
      <c r="FB372" s="77"/>
      <c r="FC372" s="77"/>
      <c r="FD372" s="77"/>
      <c r="FE372" s="77"/>
      <c r="FF372" s="77"/>
      <c r="FG372" s="77"/>
      <c r="FH372" s="77"/>
      <c r="FI372" s="77"/>
      <c r="FJ372" s="77"/>
      <c r="FK372" s="77"/>
      <c r="FL372" s="77"/>
      <c r="FM372" s="77"/>
      <c r="FN372" s="77"/>
      <c r="FO372" s="77"/>
      <c r="FP372" s="77"/>
      <c r="FQ372" s="77"/>
      <c r="FR372" s="77"/>
      <c r="FS372" s="77"/>
      <c r="FT372" s="77"/>
      <c r="FU372" s="77"/>
      <c r="FV372" s="77"/>
      <c r="FW372" s="77"/>
      <c r="FX372" s="77"/>
      <c r="FY372" s="77"/>
      <c r="FZ372" s="77"/>
      <c r="GA372" s="77"/>
      <c r="GB372" s="77"/>
      <c r="GC372" s="77"/>
      <c r="GD372" s="77"/>
      <c r="GE372" s="77"/>
      <c r="GF372" s="77"/>
      <c r="GG372" s="77"/>
      <c r="GH372" s="77"/>
      <c r="GI372" s="77"/>
      <c r="GJ372" s="77"/>
      <c r="GK372" s="77"/>
      <c r="HL372" s="77"/>
      <c r="HM372" s="77"/>
      <c r="HN372" s="77"/>
      <c r="HO372" s="77"/>
      <c r="HP372" s="77"/>
      <c r="HQ372" s="77"/>
      <c r="HR372" s="77"/>
      <c r="HS372" s="77"/>
      <c r="HT372" s="77"/>
      <c r="HU372" s="77"/>
      <c r="HV372" s="77"/>
      <c r="HW372" s="77"/>
      <c r="HX372" s="77"/>
      <c r="HY372" s="77"/>
      <c r="HZ372" s="77"/>
      <c r="IA372" s="77"/>
      <c r="IB372" s="77"/>
      <c r="IC372" s="77"/>
      <c r="ID372" s="77"/>
      <c r="IE372" s="77"/>
      <c r="IF372" s="77"/>
      <c r="IG372" s="77"/>
      <c r="IH372" s="77"/>
      <c r="II372" s="77"/>
      <c r="IJ372" s="77"/>
      <c r="IK372" s="77"/>
      <c r="IL372" s="77"/>
      <c r="IM372" s="77"/>
      <c r="IN372" s="77"/>
      <c r="IO372" s="77"/>
      <c r="IP372" s="77"/>
      <c r="IQ372" s="77"/>
      <c r="IR372" s="77"/>
      <c r="IS372" s="77"/>
      <c r="IT372" s="77"/>
      <c r="IU372" s="77"/>
      <c r="IV372" s="77"/>
      <c r="IW372" s="77"/>
      <c r="IX372" s="77"/>
      <c r="IY372" s="77"/>
      <c r="IZ372" s="77"/>
      <c r="JA372" s="77"/>
      <c r="JB372" s="77"/>
      <c r="JC372" s="77"/>
      <c r="JD372" s="77"/>
      <c r="JE372" s="77"/>
      <c r="JF372" s="77"/>
      <c r="JG372" s="77"/>
      <c r="JH372" s="77"/>
      <c r="JI372" s="77"/>
      <c r="JJ372" s="77"/>
      <c r="JK372" s="77"/>
      <c r="JL372" s="77"/>
      <c r="JM372" s="77"/>
      <c r="JN372" s="77"/>
      <c r="JO372" s="77"/>
      <c r="JP372" s="77"/>
      <c r="JQ372" s="77"/>
      <c r="JR372" s="77"/>
      <c r="JS372" s="77"/>
      <c r="JT372" s="77"/>
      <c r="JU372" s="77"/>
      <c r="JV372" s="77"/>
      <c r="JW372" s="77"/>
      <c r="JX372" s="77"/>
      <c r="JY372" s="77"/>
      <c r="JZ372" s="77"/>
      <c r="KA372" s="77"/>
      <c r="KB372" s="77"/>
      <c r="KC372" s="77"/>
      <c r="KD372" s="77"/>
      <c r="KE372" s="77"/>
      <c r="KF372" s="77"/>
      <c r="KG372" s="77"/>
      <c r="KH372" s="77"/>
      <c r="KI372" s="77"/>
      <c r="KJ372" s="77"/>
      <c r="KK372" s="77"/>
      <c r="KL372" s="77"/>
      <c r="KM372" s="77"/>
      <c r="KN372" s="77"/>
      <c r="KO372" s="77"/>
      <c r="KP372" s="77"/>
      <c r="KQ372" s="77"/>
      <c r="KR372" s="77"/>
      <c r="KS372" s="77"/>
      <c r="KT372" s="77"/>
      <c r="KU372" s="77"/>
      <c r="KV372" s="77"/>
      <c r="KW372" s="77"/>
      <c r="KX372" s="77"/>
      <c r="KY372" s="77"/>
      <c r="KZ372" s="77"/>
      <c r="LA372" s="77"/>
      <c r="LB372" s="77"/>
      <c r="LC372" s="77"/>
      <c r="LD372" s="77"/>
      <c r="LE372" s="77"/>
      <c r="LF372" s="77"/>
      <c r="LG372" s="77"/>
      <c r="LH372" s="77"/>
      <c r="LI372" s="77"/>
      <c r="LJ372" s="77"/>
      <c r="LK372" s="77"/>
      <c r="LL372" s="77"/>
      <c r="LM372" s="77"/>
      <c r="LN372" s="77"/>
      <c r="LO372" s="77"/>
      <c r="LP372" s="77"/>
      <c r="LQ372" s="77"/>
      <c r="LR372" s="77"/>
      <c r="LS372" s="77"/>
      <c r="LT372" s="77"/>
      <c r="LU372" s="77"/>
      <c r="LV372" s="77"/>
    </row>
    <row r="373" spans="1:368" ht="18.600000000000001" customHeight="1" x14ac:dyDescent="0.25">
      <c r="A373" s="119" t="s">
        <v>1179</v>
      </c>
      <c r="B373" s="27" t="s">
        <v>1180</v>
      </c>
      <c r="C373" s="27" t="s">
        <v>1181</v>
      </c>
      <c r="D373" s="30" t="str">
        <f>HYPERLINK("https://twitter.com/GMICafghanistan","https://twitter.com/GMICafghanistan")</f>
        <v>https://twitter.com/GMICafghanistan</v>
      </c>
      <c r="E373" s="30" t="str">
        <f>HYPERLINK("http://twiplomacy.com/info/asia/Afghanistan","http://twiplomacy.com/info/asia/Afghanistan")</f>
        <v>http://twiplomacy.com/info/asia/Afghanistan</v>
      </c>
      <c r="F373" s="10" t="s">
        <v>154</v>
      </c>
      <c r="G373" s="10" t="s">
        <v>153</v>
      </c>
      <c r="H373" s="10" t="s">
        <v>788</v>
      </c>
      <c r="I373" s="10" t="s">
        <v>782</v>
      </c>
      <c r="J373" s="27" t="s">
        <v>789</v>
      </c>
      <c r="K373" s="15" t="s">
        <v>777</v>
      </c>
      <c r="L373" s="10" t="s">
        <v>771</v>
      </c>
      <c r="M373" s="10" t="s">
        <v>771</v>
      </c>
      <c r="N373" s="30" t="str">
        <f>HYPERLINK("https://twitter.com/GMICafghanistan/statuses/26154118958","https://twitter.com/GMICafghanistan/statuses/26154118958")</f>
        <v>https://twitter.com/GMICafghanistan/statuses/26154118958</v>
      </c>
      <c r="O373" s="27" t="s">
        <v>5818</v>
      </c>
      <c r="P373" s="80">
        <v>9</v>
      </c>
      <c r="Q373" s="80">
        <v>1</v>
      </c>
      <c r="R373" s="27" t="s">
        <v>2995</v>
      </c>
      <c r="S373" s="10" t="s">
        <v>1182</v>
      </c>
      <c r="T373" s="10" t="s">
        <v>771</v>
      </c>
      <c r="U373" s="10" t="s">
        <v>771</v>
      </c>
      <c r="V373" s="10" t="s">
        <v>771</v>
      </c>
      <c r="W373" s="10"/>
      <c r="X373" s="27" t="s">
        <v>1179</v>
      </c>
      <c r="Y373" s="27" t="s">
        <v>1180</v>
      </c>
      <c r="Z373" s="80">
        <v>1817</v>
      </c>
      <c r="AA373" s="27">
        <v>20</v>
      </c>
      <c r="AB373" s="80">
        <v>26571</v>
      </c>
      <c r="AC373" s="27">
        <v>0</v>
      </c>
      <c r="AD373" s="27" t="s">
        <v>3727</v>
      </c>
      <c r="AE373" s="27">
        <v>197700863</v>
      </c>
      <c r="AF373" s="27" t="s">
        <v>1181</v>
      </c>
      <c r="AG373" s="27" t="s">
        <v>1183</v>
      </c>
      <c r="AH373" s="79">
        <v>0.89112309955860702</v>
      </c>
      <c r="AI373" s="83">
        <v>0.89156035328753702</v>
      </c>
      <c r="AJ373" s="80">
        <v>0.35898977751052302</v>
      </c>
      <c r="AK373" s="80">
        <v>0.463018641010222</v>
      </c>
      <c r="AL373" s="27">
        <v>9</v>
      </c>
      <c r="AM373" s="97">
        <f>SUM(AL373/Z373)</f>
        <v>4.9532195927352776E-3</v>
      </c>
      <c r="AN373" s="27" t="s">
        <v>1179</v>
      </c>
      <c r="AO373" s="27">
        <v>3</v>
      </c>
      <c r="AP373" s="27">
        <v>4</v>
      </c>
      <c r="AQ373" s="27">
        <v>0</v>
      </c>
      <c r="AR373" s="27">
        <f>SUM(AO373:AQ373)</f>
        <v>7</v>
      </c>
      <c r="AS373" s="27" t="s">
        <v>5136</v>
      </c>
      <c r="AT373" s="27" t="s">
        <v>5137</v>
      </c>
      <c r="AU373" s="84"/>
      <c r="AV373" s="77"/>
      <c r="AW373" s="77"/>
      <c r="AX373" s="77"/>
      <c r="AY373" s="77"/>
      <c r="AZ373" s="77"/>
      <c r="BA373" s="77"/>
      <c r="BB373" s="77"/>
      <c r="BC373" s="77"/>
      <c r="BD373" s="77"/>
      <c r="BE373" s="77"/>
      <c r="BF373" s="77"/>
      <c r="BG373" s="77"/>
      <c r="BH373" s="77"/>
      <c r="BI373" s="77"/>
      <c r="BJ373" s="77"/>
      <c r="BK373" s="77"/>
      <c r="BL373" s="77"/>
      <c r="BM373" s="77"/>
      <c r="BN373" s="77"/>
      <c r="BO373" s="77"/>
      <c r="BP373" s="77"/>
      <c r="BQ373" s="77"/>
      <c r="BR373" s="77"/>
      <c r="BS373" s="77"/>
      <c r="BT373" s="77"/>
      <c r="BU373" s="77"/>
      <c r="BV373" s="77"/>
      <c r="BW373" s="77"/>
      <c r="BX373" s="77"/>
      <c r="BY373" s="77"/>
      <c r="BZ373" s="77"/>
      <c r="CA373" s="77"/>
      <c r="CB373" s="77"/>
      <c r="CC373" s="77"/>
      <c r="CD373" s="77"/>
      <c r="CE373" s="77"/>
      <c r="CF373" s="77"/>
      <c r="CG373" s="77"/>
      <c r="CH373" s="77"/>
      <c r="CI373" s="77"/>
      <c r="CJ373" s="77"/>
      <c r="CK373" s="77"/>
      <c r="CL373" s="77"/>
      <c r="CM373" s="77"/>
      <c r="CN373" s="77"/>
      <c r="CO373" s="77"/>
      <c r="CP373" s="77"/>
      <c r="CQ373" s="77"/>
      <c r="CR373" s="77"/>
      <c r="CS373" s="77"/>
      <c r="CT373" s="77"/>
      <c r="CU373" s="77"/>
      <c r="CV373" s="77"/>
      <c r="CW373" s="77"/>
      <c r="CX373" s="77"/>
      <c r="CY373" s="77"/>
      <c r="CZ373" s="77"/>
      <c r="DA373" s="77"/>
      <c r="DB373" s="77"/>
      <c r="DC373" s="77"/>
      <c r="DD373" s="77"/>
      <c r="DE373" s="77"/>
      <c r="DF373" s="77"/>
      <c r="DG373" s="77"/>
      <c r="DH373" s="77"/>
      <c r="DI373" s="77"/>
      <c r="DJ373" s="77"/>
      <c r="DK373" s="77"/>
      <c r="DL373" s="77"/>
      <c r="DM373" s="77"/>
      <c r="DN373" s="77"/>
      <c r="DO373" s="77"/>
      <c r="DP373" s="77"/>
      <c r="DQ373" s="77"/>
      <c r="DR373" s="77"/>
      <c r="DS373" s="77"/>
      <c r="DT373" s="77"/>
      <c r="DU373" s="77"/>
      <c r="DV373" s="77"/>
      <c r="DW373" s="77"/>
      <c r="DX373" s="77"/>
      <c r="DY373" s="77"/>
      <c r="DZ373" s="77"/>
      <c r="EA373" s="77"/>
      <c r="EB373" s="77"/>
      <c r="EC373" s="77"/>
      <c r="ED373" s="77"/>
      <c r="EE373" s="77"/>
      <c r="EF373" s="77"/>
      <c r="EG373" s="77"/>
      <c r="EH373" s="77"/>
      <c r="EI373" s="77"/>
      <c r="EJ373" s="77"/>
      <c r="EK373" s="77"/>
      <c r="EL373" s="77"/>
      <c r="EM373" s="77"/>
      <c r="EN373" s="77"/>
      <c r="EO373" s="77"/>
      <c r="EP373" s="77"/>
      <c r="EQ373" s="77"/>
      <c r="GL373" s="77"/>
      <c r="GM373" s="77"/>
      <c r="GN373" s="77"/>
      <c r="GO373" s="77"/>
      <c r="GP373" s="77"/>
      <c r="GQ373" s="77"/>
      <c r="GR373" s="77"/>
      <c r="GS373" s="77"/>
      <c r="GT373" s="77"/>
      <c r="GU373" s="77"/>
      <c r="GV373" s="77"/>
      <c r="GW373" s="77"/>
      <c r="GX373" s="77"/>
      <c r="GY373" s="77"/>
      <c r="GZ373" s="77"/>
      <c r="HA373" s="77"/>
      <c r="HB373" s="77"/>
      <c r="HC373" s="77"/>
      <c r="HD373" s="77"/>
      <c r="HE373" s="77"/>
      <c r="HF373" s="77"/>
      <c r="HG373" s="77"/>
      <c r="HH373" s="77"/>
      <c r="HI373" s="77"/>
      <c r="HJ373" s="77"/>
      <c r="HK373" s="77"/>
      <c r="HL373" s="77"/>
      <c r="HM373" s="77"/>
      <c r="HN373" s="77"/>
      <c r="HO373" s="77"/>
      <c r="HP373" s="77"/>
      <c r="HQ373" s="77"/>
      <c r="HR373" s="77"/>
      <c r="HS373" s="77"/>
      <c r="HT373" s="77"/>
      <c r="HU373" s="77"/>
      <c r="HV373" s="77"/>
      <c r="HW373" s="77"/>
      <c r="HX373" s="77"/>
      <c r="HY373" s="77"/>
      <c r="HZ373" s="77"/>
      <c r="IA373" s="77"/>
      <c r="IB373" s="77"/>
      <c r="IC373" s="77"/>
      <c r="ID373" s="77"/>
      <c r="IE373" s="77"/>
      <c r="JY373" s="77"/>
      <c r="JZ373" s="77"/>
      <c r="KA373" s="77"/>
      <c r="KB373" s="77"/>
      <c r="KC373" s="77"/>
      <c r="KD373" s="77"/>
      <c r="KE373" s="77"/>
      <c r="KF373" s="77"/>
      <c r="KG373" s="77"/>
      <c r="KH373" s="77"/>
      <c r="KI373" s="77"/>
      <c r="KJ373" s="77"/>
      <c r="KK373" s="77"/>
      <c r="KL373" s="77"/>
      <c r="KM373" s="77"/>
      <c r="KN373" s="77"/>
      <c r="KO373" s="77"/>
      <c r="KP373" s="77"/>
      <c r="KQ373" s="77"/>
      <c r="KR373" s="77"/>
      <c r="KS373" s="77"/>
      <c r="KT373" s="77"/>
      <c r="KU373" s="77"/>
      <c r="KV373" s="77"/>
      <c r="KW373" s="77"/>
      <c r="KX373" s="77"/>
      <c r="KY373" s="77"/>
      <c r="KZ373" s="77"/>
      <c r="LA373" s="77"/>
      <c r="LB373" s="77"/>
      <c r="LC373" s="77"/>
      <c r="LD373" s="77"/>
      <c r="LE373" s="77"/>
      <c r="LF373" s="77"/>
      <c r="LG373" s="77"/>
      <c r="LH373" s="77"/>
      <c r="LI373" s="77"/>
      <c r="LJ373" s="77"/>
      <c r="LK373" s="77"/>
      <c r="LW373" s="77"/>
      <c r="LX373" s="77"/>
      <c r="MS373" s="77"/>
      <c r="MT373" s="16"/>
      <c r="MU373" s="16"/>
      <c r="MV373" s="16"/>
      <c r="MW373" s="16"/>
      <c r="MX373" s="16"/>
      <c r="MY373" s="16"/>
      <c r="MZ373" s="16"/>
      <c r="NA373" s="16"/>
      <c r="NB373" s="16"/>
      <c r="NC373" s="16"/>
    </row>
    <row r="374" spans="1:368" ht="18.600000000000001" customHeight="1" x14ac:dyDescent="0.25">
      <c r="A374" s="119" t="s">
        <v>539</v>
      </c>
      <c r="B374" s="27" t="s">
        <v>2258</v>
      </c>
      <c r="C374" s="27" t="s">
        <v>2259</v>
      </c>
      <c r="D374" s="30" t="str">
        <f>HYPERLINK("https://twitter.com/Ahmet_Davutoglu","https://twitter.com/Ahmet_Davutoglu")</f>
        <v>https://twitter.com/Ahmet_Davutoglu</v>
      </c>
      <c r="E374" s="30" t="str">
        <f>HYPERLINK("http://twiplomacy.com/info/europe/Turkey","http://twiplomacy.com/info/europe/Turkey")</f>
        <v>http://twiplomacy.com/info/europe/Turkey</v>
      </c>
      <c r="F374" s="10" t="s">
        <v>332</v>
      </c>
      <c r="G374" s="10" t="s">
        <v>536</v>
      </c>
      <c r="H374" s="10" t="s">
        <v>776</v>
      </c>
      <c r="I374" s="10" t="s">
        <v>773</v>
      </c>
      <c r="J374" s="27" t="s">
        <v>2254</v>
      </c>
      <c r="K374" s="10" t="s">
        <v>777</v>
      </c>
      <c r="L374" s="10"/>
      <c r="M374" s="10" t="s">
        <v>771</v>
      </c>
      <c r="N374" s="30" t="str">
        <f>HYPERLINK("https://twitter.com/Ahmet_Davutoglu/statuses/1925669311217665","https://twitter.com/Ahmet_Davutoglu/statuses/1925669311217665")</f>
        <v>https://twitter.com/Ahmet_Davutoglu/statuses/1925669311217665</v>
      </c>
      <c r="O374" s="11" t="s">
        <v>5675</v>
      </c>
      <c r="P374" s="80">
        <v>53114</v>
      </c>
      <c r="Q374" s="80">
        <v>73060</v>
      </c>
      <c r="R374" s="27" t="s">
        <v>2994</v>
      </c>
      <c r="S374" s="10" t="s">
        <v>2260</v>
      </c>
      <c r="T374" s="10" t="s">
        <v>771</v>
      </c>
      <c r="U374" s="10" t="s">
        <v>771</v>
      </c>
      <c r="V374" s="10" t="s">
        <v>771</v>
      </c>
      <c r="W374" s="10"/>
      <c r="X374" s="27" t="s">
        <v>539</v>
      </c>
      <c r="Y374" s="27" t="s">
        <v>2258</v>
      </c>
      <c r="Z374" s="80">
        <v>1809</v>
      </c>
      <c r="AA374" s="27">
        <v>89</v>
      </c>
      <c r="AB374" s="80">
        <v>4673335</v>
      </c>
      <c r="AC374" s="27">
        <v>0</v>
      </c>
      <c r="AD374" s="27" t="s">
        <v>3442</v>
      </c>
      <c r="AE374" s="27">
        <v>181567076</v>
      </c>
      <c r="AF374" s="27" t="s">
        <v>2259</v>
      </c>
      <c r="AG374" s="27" t="s">
        <v>2257</v>
      </c>
      <c r="AH374" s="79">
        <v>0.87019230769230804</v>
      </c>
      <c r="AI374" s="83">
        <v>0.90254872563718103</v>
      </c>
      <c r="AJ374" s="80">
        <v>594.857142857143</v>
      </c>
      <c r="AK374" s="80">
        <v>917.478311162522</v>
      </c>
      <c r="AL374" s="96">
        <v>552</v>
      </c>
      <c r="AM374" s="97">
        <f>SUM(AL374/Z374)</f>
        <v>0.30514096185737977</v>
      </c>
      <c r="AN374" s="27" t="s">
        <v>539</v>
      </c>
      <c r="AO374" s="27">
        <v>6</v>
      </c>
      <c r="AP374" s="27">
        <v>31</v>
      </c>
      <c r="AQ374" s="27">
        <v>8</v>
      </c>
      <c r="AR374" s="27">
        <f>SUM(AO374:AQ374)</f>
        <v>45</v>
      </c>
      <c r="AS374" s="27" t="s">
        <v>5009</v>
      </c>
      <c r="AT374" s="27" t="s">
        <v>6269</v>
      </c>
      <c r="AU374" s="84" t="s">
        <v>4644</v>
      </c>
      <c r="AV374" s="77"/>
      <c r="AW374" s="77"/>
      <c r="AX374" s="77"/>
      <c r="AY374" s="77"/>
      <c r="AZ374" s="77"/>
      <c r="BA374" s="77"/>
      <c r="BB374" s="77"/>
      <c r="BC374" s="77"/>
      <c r="BD374" s="77"/>
      <c r="BE374" s="77"/>
      <c r="BF374" s="77"/>
      <c r="BG374" s="77"/>
      <c r="BH374" s="77"/>
      <c r="BI374" s="77"/>
      <c r="BJ374" s="77"/>
      <c r="BK374" s="77"/>
      <c r="BL374" s="77"/>
      <c r="BM374" s="77"/>
      <c r="BN374" s="77"/>
      <c r="BO374" s="77"/>
      <c r="BP374" s="77"/>
      <c r="BQ374" s="77"/>
      <c r="BR374" s="77"/>
      <c r="BS374" s="77"/>
      <c r="BT374" s="77"/>
      <c r="BU374" s="77"/>
      <c r="BV374" s="77"/>
      <c r="BW374" s="77"/>
      <c r="BX374" s="77"/>
      <c r="BY374" s="77"/>
      <c r="BZ374" s="77"/>
      <c r="CA374" s="77"/>
      <c r="CB374" s="77"/>
      <c r="CC374" s="77"/>
      <c r="CD374" s="77"/>
      <c r="CE374" s="77"/>
      <c r="CF374" s="77"/>
      <c r="CG374" s="77"/>
      <c r="CH374" s="77"/>
      <c r="CI374" s="77"/>
      <c r="CJ374" s="77"/>
      <c r="CK374" s="77"/>
      <c r="CL374" s="77"/>
      <c r="CM374" s="77"/>
      <c r="CN374" s="77"/>
      <c r="CO374" s="77"/>
      <c r="CP374" s="77"/>
      <c r="CQ374" s="77"/>
      <c r="CR374" s="77"/>
      <c r="CS374" s="77"/>
      <c r="CT374" s="77"/>
      <c r="CU374" s="77"/>
      <c r="CV374" s="77"/>
      <c r="CW374" s="77"/>
      <c r="CX374" s="77"/>
      <c r="CY374" s="77"/>
      <c r="CZ374" s="77"/>
      <c r="DA374" s="77"/>
      <c r="DB374" s="77"/>
      <c r="DC374" s="77"/>
      <c r="DD374" s="77"/>
      <c r="DE374" s="77"/>
      <c r="DF374" s="77"/>
      <c r="DG374" s="77"/>
      <c r="DH374" s="77"/>
      <c r="DI374" s="77"/>
      <c r="DJ374" s="77"/>
      <c r="DK374" s="77"/>
      <c r="DL374" s="77"/>
      <c r="DM374" s="77"/>
      <c r="DN374" s="77"/>
      <c r="DO374" s="77"/>
      <c r="DP374" s="77"/>
      <c r="DQ374" s="77"/>
      <c r="DR374" s="77"/>
      <c r="DS374" s="77"/>
      <c r="DT374" s="77"/>
      <c r="DU374" s="77"/>
      <c r="DV374" s="77"/>
      <c r="DW374" s="77"/>
      <c r="DX374" s="77"/>
      <c r="DY374" s="77"/>
      <c r="DZ374" s="77"/>
      <c r="EA374" s="77"/>
      <c r="EB374" s="77"/>
      <c r="EC374" s="77"/>
      <c r="ED374" s="77"/>
      <c r="EE374" s="77"/>
      <c r="EF374" s="77"/>
      <c r="EG374" s="77"/>
      <c r="EH374" s="77"/>
      <c r="EI374" s="77"/>
      <c r="EJ374" s="77"/>
      <c r="EK374" s="77"/>
      <c r="EL374" s="77"/>
      <c r="EM374" s="77"/>
      <c r="EN374" s="77"/>
      <c r="EO374" s="77"/>
      <c r="EP374" s="77"/>
      <c r="EQ374" s="77"/>
      <c r="ER374" s="77"/>
      <c r="ES374" s="77"/>
      <c r="ET374" s="77"/>
      <c r="EU374" s="77"/>
      <c r="EV374" s="77"/>
      <c r="EW374" s="77"/>
      <c r="EX374" s="77"/>
      <c r="EY374" s="77"/>
      <c r="EZ374" s="77"/>
      <c r="FA374" s="77"/>
      <c r="FB374" s="77"/>
      <c r="FC374" s="77"/>
      <c r="FD374" s="77"/>
      <c r="FE374" s="77"/>
      <c r="FF374" s="77"/>
      <c r="FG374" s="77"/>
      <c r="FH374" s="77"/>
      <c r="FI374" s="77"/>
      <c r="FJ374" s="77"/>
      <c r="FK374" s="77"/>
      <c r="FL374" s="77"/>
      <c r="FM374" s="77"/>
      <c r="FN374" s="77"/>
      <c r="FO374" s="77"/>
      <c r="FP374" s="77"/>
      <c r="FQ374" s="77"/>
      <c r="FR374" s="77"/>
      <c r="FS374" s="77"/>
      <c r="FT374" s="77"/>
      <c r="FU374" s="77"/>
      <c r="FV374" s="77"/>
      <c r="FW374" s="77"/>
      <c r="FX374" s="77"/>
      <c r="FY374" s="77"/>
      <c r="FZ374" s="77"/>
      <c r="GA374" s="77"/>
      <c r="GB374" s="77"/>
      <c r="GC374" s="77"/>
      <c r="GD374" s="77"/>
      <c r="GE374" s="77"/>
      <c r="GF374" s="77"/>
      <c r="GG374" s="77"/>
      <c r="GH374" s="77"/>
      <c r="GI374" s="77"/>
      <c r="GJ374" s="77"/>
      <c r="GK374" s="77"/>
      <c r="GL374" s="77"/>
      <c r="GM374" s="77"/>
      <c r="GN374" s="77"/>
      <c r="GO374" s="77"/>
      <c r="GP374" s="77"/>
      <c r="GQ374" s="77"/>
      <c r="GR374" s="77"/>
      <c r="GS374" s="77"/>
      <c r="GT374" s="77"/>
      <c r="GU374" s="77"/>
      <c r="GV374" s="77"/>
      <c r="GW374" s="77"/>
      <c r="GX374" s="77"/>
      <c r="GY374" s="77"/>
      <c r="GZ374" s="77"/>
      <c r="HA374" s="77"/>
      <c r="HB374" s="77"/>
      <c r="HC374" s="77"/>
      <c r="HD374" s="77"/>
      <c r="HE374" s="77"/>
      <c r="HF374" s="77"/>
      <c r="HG374" s="77"/>
      <c r="HH374" s="77"/>
      <c r="HI374" s="77"/>
      <c r="HJ374" s="77"/>
      <c r="HK374" s="77"/>
      <c r="HL374" s="77"/>
      <c r="HM374" s="77"/>
      <c r="HN374" s="77"/>
      <c r="HO374" s="77"/>
      <c r="HP374" s="77"/>
      <c r="HQ374" s="77"/>
      <c r="HR374" s="77"/>
      <c r="HS374" s="77"/>
      <c r="HT374" s="77"/>
      <c r="HU374" s="77"/>
      <c r="HV374" s="77"/>
      <c r="HW374" s="77"/>
      <c r="HX374" s="77"/>
      <c r="HY374" s="77"/>
      <c r="HZ374" s="77"/>
      <c r="IA374" s="77"/>
      <c r="IB374" s="77"/>
      <c r="IC374" s="77"/>
      <c r="ID374" s="77"/>
      <c r="IE374" s="77"/>
      <c r="JY374" s="16"/>
      <c r="JZ374" s="16"/>
      <c r="KA374" s="16"/>
      <c r="KB374" s="16"/>
      <c r="KC374" s="16"/>
      <c r="KD374" s="16"/>
      <c r="KE374" s="16"/>
      <c r="KF374" s="16"/>
      <c r="KG374" s="16"/>
      <c r="KH374" s="16"/>
      <c r="KI374" s="16"/>
      <c r="KJ374" s="16"/>
      <c r="KK374" s="16"/>
      <c r="KL374" s="16"/>
      <c r="KM374" s="77"/>
      <c r="KN374" s="77"/>
      <c r="KO374" s="77"/>
      <c r="KP374" s="77"/>
      <c r="KQ374" s="77"/>
      <c r="KR374" s="77"/>
      <c r="KS374" s="77"/>
      <c r="KT374" s="77"/>
      <c r="KU374" s="77"/>
      <c r="KV374" s="77"/>
      <c r="KW374" s="77"/>
      <c r="KX374" s="77"/>
      <c r="KY374" s="77"/>
      <c r="KZ374" s="77"/>
      <c r="LA374" s="77"/>
      <c r="LB374" s="77"/>
      <c r="LC374" s="77"/>
      <c r="LD374" s="77"/>
      <c r="LE374" s="77"/>
      <c r="LF374" s="77"/>
      <c r="LG374" s="77"/>
      <c r="LH374" s="77"/>
      <c r="LI374" s="77"/>
      <c r="LJ374" s="77"/>
      <c r="LK374" s="77"/>
      <c r="LW374" s="77"/>
      <c r="LX374" s="77"/>
      <c r="LY374" s="77"/>
      <c r="LZ374" s="77"/>
      <c r="MA374" s="77"/>
      <c r="MB374" s="77"/>
      <c r="MC374" s="77"/>
      <c r="MD374" s="77"/>
      <c r="ME374" s="77"/>
      <c r="MF374" s="77"/>
      <c r="MG374" s="77"/>
      <c r="MH374" s="77"/>
      <c r="MI374" s="77"/>
      <c r="MJ374" s="77"/>
      <c r="MK374" s="77"/>
      <c r="ML374" s="77"/>
      <c r="MM374" s="77"/>
      <c r="MN374" s="77"/>
      <c r="MO374" s="77"/>
      <c r="MP374" s="77"/>
      <c r="MQ374" s="77"/>
      <c r="MR374" s="77"/>
    </row>
    <row r="375" spans="1:368" ht="18.600000000000001" customHeight="1" x14ac:dyDescent="0.25">
      <c r="A375" s="119" t="s">
        <v>438</v>
      </c>
      <c r="B375" s="27" t="s">
        <v>2002</v>
      </c>
      <c r="C375" s="27" t="s">
        <v>2003</v>
      </c>
      <c r="D375" s="30" t="str">
        <f>HYPERLINK("https://twitter.com/MFA_LI","https://twitter.com/MFA_LI")</f>
        <v>https://twitter.com/MFA_LI</v>
      </c>
      <c r="E375" s="30" t="str">
        <f>HYPERLINK("http://twiplomacy.com/info/europe/Liechtenstein","http://twiplomacy.com/info/europe/Liechtenstein")</f>
        <v>http://twiplomacy.com/info/europe/Liechtenstein</v>
      </c>
      <c r="F375" s="10" t="s">
        <v>332</v>
      </c>
      <c r="G375" s="10" t="s">
        <v>435</v>
      </c>
      <c r="H375" s="10" t="s">
        <v>795</v>
      </c>
      <c r="I375" s="10" t="s">
        <v>782</v>
      </c>
      <c r="J375" s="27" t="s">
        <v>1716</v>
      </c>
      <c r="K375" s="15" t="s">
        <v>777</v>
      </c>
      <c r="L375" s="10" t="s">
        <v>771</v>
      </c>
      <c r="M375" s="10" t="s">
        <v>770</v>
      </c>
      <c r="N375" s="30" t="str">
        <f>HYPERLINK("https://twitter.com/MFA_LI/statuses/439686774269702145","https://twitter.com/MFA_LI/statuses/439686774269702145")</f>
        <v>https://twitter.com/MFA_LI/statuses/439686774269702145</v>
      </c>
      <c r="O375" s="27" t="s">
        <v>2004</v>
      </c>
      <c r="P375" s="80">
        <v>1224</v>
      </c>
      <c r="Q375" s="80">
        <v>3804</v>
      </c>
      <c r="R375" s="27" t="s">
        <v>2994</v>
      </c>
      <c r="S375" s="10" t="s">
        <v>2005</v>
      </c>
      <c r="T375" s="10" t="s">
        <v>771</v>
      </c>
      <c r="U375" s="10" t="s">
        <v>771</v>
      </c>
      <c r="V375" s="10" t="s">
        <v>771</v>
      </c>
      <c r="W375" s="10"/>
      <c r="X375" s="27" t="s">
        <v>438</v>
      </c>
      <c r="Y375" s="27" t="s">
        <v>2002</v>
      </c>
      <c r="Z375" s="80">
        <v>1799</v>
      </c>
      <c r="AA375" s="27">
        <v>193</v>
      </c>
      <c r="AB375" s="80">
        <v>2347</v>
      </c>
      <c r="AC375" s="27">
        <v>68</v>
      </c>
      <c r="AD375" s="27" t="s">
        <v>4059</v>
      </c>
      <c r="AE375" s="27">
        <v>2361254551</v>
      </c>
      <c r="AF375" s="27" t="s">
        <v>2003</v>
      </c>
      <c r="AG375" s="27" t="s">
        <v>2006</v>
      </c>
      <c r="AH375" s="79">
        <v>2.25721455457967</v>
      </c>
      <c r="AI375" s="83">
        <v>2.27433628318584</v>
      </c>
      <c r="AJ375" s="80">
        <v>2.0229709035222001</v>
      </c>
      <c r="AK375" s="80">
        <v>3.8009188361408901</v>
      </c>
      <c r="AL375" s="27">
        <v>9</v>
      </c>
      <c r="AM375" s="97">
        <f>SUM(AL375/Z375)</f>
        <v>5.0027793218454693E-3</v>
      </c>
      <c r="AN375" s="27" t="s">
        <v>438</v>
      </c>
      <c r="AO375" s="27">
        <v>7</v>
      </c>
      <c r="AP375" s="27">
        <v>21</v>
      </c>
      <c r="AQ375" s="27">
        <v>48</v>
      </c>
      <c r="AR375" s="27">
        <f>SUM(AO375:AQ375)</f>
        <v>76</v>
      </c>
      <c r="AS375" s="27" t="s">
        <v>5615</v>
      </c>
      <c r="AT375" s="27" t="s">
        <v>6316</v>
      </c>
      <c r="AU375" s="84" t="s">
        <v>4840</v>
      </c>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77"/>
      <c r="CD375" s="77"/>
      <c r="CE375" s="77"/>
      <c r="CF375" s="77"/>
      <c r="CG375" s="77"/>
      <c r="CH375" s="77"/>
      <c r="CI375" s="77"/>
      <c r="CJ375" s="77"/>
      <c r="CX375" s="77"/>
      <c r="CY375" s="77"/>
      <c r="CZ375" s="77"/>
      <c r="DA375" s="77"/>
      <c r="DB375" s="77"/>
      <c r="DC375" s="77"/>
      <c r="DD375" s="77"/>
      <c r="DE375" s="77"/>
      <c r="DF375" s="77"/>
      <c r="DG375" s="77"/>
      <c r="DH375" s="77"/>
      <c r="DI375" s="77"/>
      <c r="DJ375" s="77"/>
      <c r="DK375" s="77"/>
      <c r="DL375" s="77"/>
      <c r="DM375" s="77"/>
      <c r="DN375" s="77"/>
      <c r="DO375" s="77"/>
      <c r="DP375" s="77"/>
      <c r="DQ375" s="77"/>
      <c r="DR375" s="77"/>
      <c r="DS375" s="77"/>
      <c r="DT375" s="77"/>
      <c r="DU375" s="77"/>
      <c r="DV375" s="77"/>
      <c r="DW375" s="77"/>
      <c r="DX375" s="77"/>
      <c r="DY375" s="77"/>
      <c r="DZ375" s="77"/>
      <c r="EA375" s="77"/>
      <c r="EB375" s="77"/>
      <c r="EC375" s="77"/>
      <c r="ED375" s="77"/>
      <c r="EE375" s="77"/>
      <c r="EF375" s="77"/>
      <c r="EG375" s="77"/>
      <c r="EH375" s="77"/>
      <c r="EI375" s="77"/>
      <c r="EJ375" s="77"/>
      <c r="EK375" s="77"/>
      <c r="EL375" s="77"/>
      <c r="EM375" s="77"/>
      <c r="EN375" s="77"/>
      <c r="EO375" s="77"/>
      <c r="EP375" s="77"/>
      <c r="ER375" s="77"/>
      <c r="ES375" s="77"/>
      <c r="ET375" s="77"/>
      <c r="EU375" s="77"/>
      <c r="EV375" s="77"/>
      <c r="EW375" s="77"/>
      <c r="EX375" s="77"/>
      <c r="EY375" s="77"/>
      <c r="EZ375" s="77"/>
      <c r="FA375" s="77"/>
      <c r="FB375" s="77"/>
      <c r="FC375" s="77"/>
      <c r="FD375" s="77"/>
      <c r="FE375" s="77"/>
      <c r="FF375" s="77"/>
      <c r="FG375" s="77"/>
      <c r="FH375" s="77"/>
      <c r="FI375" s="77"/>
      <c r="FJ375" s="77"/>
      <c r="FK375" s="77"/>
      <c r="FL375" s="77"/>
      <c r="FM375" s="77"/>
      <c r="FN375" s="77"/>
      <c r="FO375" s="77"/>
      <c r="FP375" s="77"/>
      <c r="FQ375" s="77"/>
      <c r="FR375" s="77"/>
      <c r="FS375" s="77"/>
      <c r="FT375" s="77"/>
      <c r="FU375" s="77"/>
      <c r="FV375" s="77"/>
      <c r="FW375" s="77"/>
      <c r="FX375" s="77"/>
      <c r="FY375" s="77"/>
      <c r="FZ375" s="77"/>
      <c r="GA375" s="77"/>
      <c r="GB375" s="77"/>
      <c r="GC375" s="77"/>
      <c r="GD375" s="77"/>
      <c r="GE375" s="77"/>
      <c r="GF375" s="77"/>
      <c r="GG375" s="77"/>
      <c r="GH375" s="77"/>
      <c r="GI375" s="77"/>
      <c r="GJ375" s="77"/>
      <c r="GK375" s="77"/>
      <c r="ID375" s="77"/>
      <c r="IE375" s="77"/>
      <c r="IF375" s="77"/>
      <c r="IG375" s="77"/>
      <c r="IH375" s="77"/>
      <c r="II375" s="77"/>
      <c r="IJ375" s="77"/>
      <c r="IK375" s="77"/>
      <c r="IL375" s="77"/>
      <c r="IM375" s="77"/>
      <c r="IN375" s="77"/>
      <c r="IO375" s="77"/>
      <c r="IP375" s="77"/>
      <c r="IQ375" s="77"/>
      <c r="IR375" s="77"/>
      <c r="IS375" s="77"/>
      <c r="IT375" s="77"/>
      <c r="IU375" s="77"/>
      <c r="IV375" s="77"/>
      <c r="IW375" s="77"/>
      <c r="IX375" s="77"/>
      <c r="IY375" s="77"/>
      <c r="IZ375" s="77"/>
      <c r="JA375" s="77"/>
      <c r="JB375" s="77"/>
      <c r="JC375" s="77"/>
      <c r="JD375" s="77"/>
      <c r="JE375" s="77"/>
      <c r="JF375" s="77"/>
      <c r="JG375" s="77"/>
      <c r="JH375" s="77"/>
      <c r="JI375" s="77"/>
      <c r="JJ375" s="77"/>
      <c r="JK375" s="77"/>
      <c r="JL375" s="77"/>
      <c r="JM375" s="77"/>
      <c r="JN375" s="77"/>
      <c r="JO375" s="77"/>
      <c r="JP375" s="77"/>
      <c r="JQ375" s="77"/>
      <c r="JR375" s="77"/>
      <c r="JS375" s="77"/>
      <c r="JT375" s="77"/>
      <c r="JU375" s="77"/>
      <c r="JV375" s="77"/>
      <c r="JW375" s="77"/>
      <c r="JX375" s="77"/>
      <c r="KM375" s="77"/>
      <c r="KN375" s="77"/>
      <c r="KO375" s="77"/>
      <c r="KP375" s="77"/>
      <c r="KQ375" s="77"/>
      <c r="KR375" s="77"/>
      <c r="KS375" s="77"/>
      <c r="KT375" s="77"/>
      <c r="KU375" s="77"/>
      <c r="KV375" s="77"/>
      <c r="KW375" s="77"/>
      <c r="KX375" s="77"/>
      <c r="KY375" s="77"/>
      <c r="KZ375" s="77"/>
      <c r="LA375" s="77"/>
      <c r="LB375" s="77"/>
      <c r="LC375" s="77"/>
      <c r="LD375" s="77"/>
      <c r="LE375" s="77"/>
      <c r="LF375" s="77"/>
      <c r="LG375" s="77"/>
      <c r="LH375" s="77"/>
      <c r="LI375" s="77"/>
      <c r="LJ375" s="77"/>
      <c r="LK375" s="77"/>
      <c r="LL375" s="77"/>
      <c r="LM375" s="77"/>
      <c r="LN375" s="77"/>
      <c r="LO375" s="77"/>
      <c r="LP375" s="77"/>
      <c r="LQ375" s="77"/>
      <c r="LR375" s="77"/>
      <c r="LS375" s="77"/>
      <c r="LT375" s="77"/>
      <c r="LU375" s="77"/>
      <c r="LV375" s="77"/>
      <c r="MS375" s="77"/>
      <c r="ND375" s="77"/>
    </row>
    <row r="376" spans="1:368" ht="18.600000000000001" customHeight="1" x14ac:dyDescent="0.25">
      <c r="A376" s="119" t="s">
        <v>453</v>
      </c>
      <c r="B376" s="27" t="s">
        <v>2937</v>
      </c>
      <c r="C376" s="27" t="s">
        <v>2938</v>
      </c>
      <c r="D376" s="30" t="str">
        <f>HYPERLINK("https://twitter.com/eGovMalta","https://twitter.com/eGovMalta")</f>
        <v>https://twitter.com/eGovMalta</v>
      </c>
      <c r="E376" s="30" t="s">
        <v>2043</v>
      </c>
      <c r="F376" s="38" t="s">
        <v>332</v>
      </c>
      <c r="G376" s="14" t="s">
        <v>448</v>
      </c>
      <c r="H376" s="14" t="s">
        <v>788</v>
      </c>
      <c r="I376" s="14" t="s">
        <v>782</v>
      </c>
      <c r="J376" s="27" t="s">
        <v>789</v>
      </c>
      <c r="K376" s="14" t="s">
        <v>2939</v>
      </c>
      <c r="L376" s="14" t="s">
        <v>771</v>
      </c>
      <c r="M376" s="14" t="s">
        <v>771</v>
      </c>
      <c r="N376" s="100" t="str">
        <f>HYPERLINK("https://twitter.com/eGovMalta/status/100523593691181057","https://twitter.com/eGovMalta/status/100523593691181057")</f>
        <v>https://twitter.com/eGovMalta/status/100523593691181057</v>
      </c>
      <c r="O376" s="27" t="s">
        <v>5813</v>
      </c>
      <c r="P376" s="80">
        <v>1</v>
      </c>
      <c r="Q376" s="80">
        <v>0</v>
      </c>
      <c r="R376" s="27" t="s">
        <v>2995</v>
      </c>
      <c r="S376" s="30" t="str">
        <f>HYPERLINK("https://twitter.com/eGovMalta/lists","https://twitter.com/eGovMalta/lists")</f>
        <v>https://twitter.com/eGovMalta/lists</v>
      </c>
      <c r="T376" s="10">
        <v>5</v>
      </c>
      <c r="U376" s="10" t="s">
        <v>771</v>
      </c>
      <c r="V376" s="10" t="s">
        <v>771</v>
      </c>
      <c r="W376" s="10"/>
      <c r="X376" s="27" t="s">
        <v>453</v>
      </c>
      <c r="Y376" s="27" t="s">
        <v>2937</v>
      </c>
      <c r="Z376" s="80">
        <v>1799</v>
      </c>
      <c r="AA376" s="27">
        <v>79</v>
      </c>
      <c r="AB376" s="80">
        <v>364</v>
      </c>
      <c r="AC376" s="27">
        <v>0</v>
      </c>
      <c r="AD376" s="27" t="s">
        <v>3639</v>
      </c>
      <c r="AE376" s="27">
        <v>350815199</v>
      </c>
      <c r="AF376" s="27" t="s">
        <v>2938</v>
      </c>
      <c r="AG376" s="27" t="s">
        <v>2940</v>
      </c>
      <c r="AH376" s="79">
        <v>1.0404858299595099</v>
      </c>
      <c r="AI376" s="83">
        <v>2.8876404494382002</v>
      </c>
      <c r="AJ376" s="80">
        <v>9.4496942745969995E-3</v>
      </c>
      <c r="AK376" s="80">
        <v>2.2234574763757599E-3</v>
      </c>
      <c r="AL376" s="13">
        <v>0</v>
      </c>
      <c r="AM376" s="97">
        <f>SUM(AL376/Z376)</f>
        <v>0</v>
      </c>
      <c r="AN376" s="27" t="s">
        <v>453</v>
      </c>
      <c r="AO376" s="27">
        <v>5</v>
      </c>
      <c r="AP376" s="27">
        <v>2</v>
      </c>
      <c r="AQ376" s="27">
        <v>0</v>
      </c>
      <c r="AR376" s="27">
        <f>SUM(AO376:AQ376)</f>
        <v>7</v>
      </c>
      <c r="AS376" s="27" t="s">
        <v>5097</v>
      </c>
      <c r="AT376" s="27" t="s">
        <v>5098</v>
      </c>
      <c r="AU376" s="84"/>
      <c r="AV376" s="77"/>
      <c r="AW376" s="77"/>
      <c r="AX376" s="77"/>
      <c r="AY376" s="77"/>
      <c r="AZ376" s="77"/>
      <c r="BA376" s="77"/>
      <c r="BB376" s="77"/>
      <c r="BC376" s="77"/>
      <c r="BD376" s="77"/>
      <c r="BE376" s="77"/>
      <c r="BF376" s="77"/>
      <c r="BG376" s="77"/>
      <c r="BH376" s="77"/>
      <c r="BI376" s="77"/>
      <c r="BJ376" s="77"/>
      <c r="BK376" s="77"/>
      <c r="BL376" s="77"/>
      <c r="BM376" s="77"/>
      <c r="BN376" s="60"/>
      <c r="BO376" s="60"/>
      <c r="BP376" s="60"/>
      <c r="BQ376" s="77"/>
      <c r="BR376" s="77"/>
      <c r="BS376" s="77"/>
      <c r="BT376" s="77"/>
      <c r="BU376" s="77"/>
      <c r="BV376" s="77"/>
      <c r="BW376" s="77"/>
      <c r="BX376" s="77"/>
      <c r="BY376" s="77"/>
      <c r="BZ376" s="77"/>
      <c r="CA376" s="77"/>
      <c r="CB376" s="77"/>
      <c r="CC376" s="77"/>
      <c r="CD376" s="77"/>
      <c r="CE376" s="77"/>
      <c r="CF376" s="77"/>
      <c r="CG376" s="77"/>
      <c r="CH376" s="77"/>
      <c r="CI376" s="77"/>
      <c r="CJ376" s="77"/>
      <c r="CK376" s="77"/>
      <c r="CL376" s="77"/>
      <c r="CM376" s="77"/>
      <c r="CN376" s="77"/>
      <c r="CO376" s="77"/>
      <c r="CP376" s="77"/>
      <c r="CQ376" s="77"/>
      <c r="CR376" s="77"/>
      <c r="CS376" s="77"/>
      <c r="CT376" s="77"/>
      <c r="CU376" s="77"/>
      <c r="CV376" s="77"/>
      <c r="CW376" s="77"/>
      <c r="EM376" s="77"/>
      <c r="EN376" s="77"/>
      <c r="EO376" s="77"/>
      <c r="EP376" s="77"/>
      <c r="EQ376" s="77"/>
      <c r="ER376" s="77"/>
      <c r="ES376" s="77"/>
      <c r="ET376" s="77"/>
      <c r="EU376" s="77"/>
      <c r="EV376" s="77"/>
      <c r="EW376" s="77"/>
      <c r="EX376" s="77"/>
      <c r="EY376" s="77"/>
      <c r="EZ376" s="77"/>
      <c r="FA376" s="77"/>
      <c r="FB376" s="77"/>
      <c r="FC376" s="77"/>
      <c r="FD376" s="77"/>
      <c r="FE376" s="77"/>
      <c r="FF376" s="77"/>
      <c r="FG376" s="77"/>
      <c r="FH376" s="77"/>
      <c r="FI376" s="77"/>
      <c r="FJ376" s="77"/>
      <c r="FK376" s="77"/>
      <c r="FL376" s="77"/>
      <c r="FM376" s="77"/>
      <c r="FN376" s="77"/>
      <c r="FO376" s="77"/>
      <c r="FP376" s="77"/>
      <c r="FQ376" s="77"/>
      <c r="FR376" s="77"/>
      <c r="FS376" s="77"/>
      <c r="FT376" s="77"/>
      <c r="FU376" s="77"/>
      <c r="FV376" s="77"/>
      <c r="FW376" s="77"/>
      <c r="FX376" s="77"/>
      <c r="FY376" s="77"/>
      <c r="FZ376" s="77"/>
      <c r="GA376" s="77"/>
      <c r="GB376" s="77"/>
      <c r="GC376" s="77"/>
      <c r="GD376" s="77"/>
      <c r="GE376" s="77"/>
      <c r="GF376" s="77"/>
      <c r="GG376" s="77"/>
      <c r="GH376" s="77"/>
      <c r="GI376" s="77"/>
      <c r="GJ376" s="77"/>
      <c r="GK376" s="77"/>
      <c r="GL376" s="77"/>
      <c r="GM376" s="77"/>
      <c r="GN376" s="77"/>
      <c r="GO376" s="77"/>
      <c r="GP376" s="77"/>
      <c r="GQ376" s="77"/>
      <c r="GR376" s="77"/>
      <c r="GS376" s="77"/>
      <c r="GT376" s="77"/>
      <c r="GU376" s="77"/>
      <c r="GV376" s="77"/>
      <c r="GW376" s="77"/>
      <c r="GX376" s="77"/>
      <c r="GY376" s="77"/>
      <c r="GZ376" s="77"/>
      <c r="HA376" s="77"/>
      <c r="HB376" s="77"/>
      <c r="HC376" s="77"/>
      <c r="HD376" s="77"/>
      <c r="HE376" s="77"/>
      <c r="HF376" s="77"/>
      <c r="HG376" s="77"/>
      <c r="HH376" s="77"/>
      <c r="HI376" s="77"/>
      <c r="HJ376" s="77"/>
      <c r="HK376" s="77"/>
      <c r="ID376" s="77"/>
      <c r="IE376" s="77"/>
      <c r="KM376" s="77"/>
      <c r="KN376" s="77"/>
      <c r="KO376" s="77"/>
      <c r="KP376" s="77"/>
      <c r="KQ376" s="77"/>
      <c r="KR376" s="77"/>
      <c r="KS376" s="77"/>
      <c r="KT376" s="77"/>
      <c r="KU376" s="77"/>
      <c r="KV376" s="77"/>
      <c r="KW376" s="77"/>
      <c r="KX376" s="77"/>
      <c r="KY376" s="77"/>
      <c r="KZ376" s="77"/>
      <c r="LA376" s="77"/>
      <c r="LB376" s="77"/>
      <c r="LC376" s="77"/>
      <c r="LD376" s="77"/>
      <c r="LE376" s="77"/>
      <c r="LF376" s="77"/>
      <c r="LG376" s="77"/>
      <c r="LH376" s="77"/>
      <c r="LI376" s="77"/>
      <c r="LJ376" s="77"/>
      <c r="LK376" s="77"/>
      <c r="LW376" s="77"/>
      <c r="LX376" s="77"/>
    </row>
    <row r="377" spans="1:368" ht="18.600000000000001" customHeight="1" x14ac:dyDescent="0.25">
      <c r="A377" s="119" t="s">
        <v>288</v>
      </c>
      <c r="B377" s="27" t="s">
        <v>1597</v>
      </c>
      <c r="C377" s="27" t="s">
        <v>3971</v>
      </c>
      <c r="D377" s="30" t="str">
        <f>HYPERLINK("https://twitter.com/leehsienloong","https://twitter.com/leehsienloong")</f>
        <v>https://twitter.com/leehsienloong</v>
      </c>
      <c r="E377" s="30" t="str">
        <f>HYPERLINK("http://twiplomacy.com/info/asia/Singapore","http://twiplomacy.com/info/asia/Singapore")</f>
        <v>http://twiplomacy.com/info/asia/Singapore</v>
      </c>
      <c r="F377" s="10" t="s">
        <v>154</v>
      </c>
      <c r="G377" s="10" t="s">
        <v>287</v>
      </c>
      <c r="H377" s="10" t="s">
        <v>776</v>
      </c>
      <c r="I377" s="10" t="s">
        <v>773</v>
      </c>
      <c r="J377" s="27" t="s">
        <v>789</v>
      </c>
      <c r="K377" s="15" t="s">
        <v>777</v>
      </c>
      <c r="L377" s="10" t="s">
        <v>905</v>
      </c>
      <c r="M377" s="10" t="s">
        <v>770</v>
      </c>
      <c r="N377" s="30" t="str">
        <f>HYPERLINK("https://twitter.com/leehsienloong/statuses/193234376484589568","https://twitter.com/leehsienloong/statuses/193234376484589568")</f>
        <v>https://twitter.com/leehsienloong/statuses/193234376484589568</v>
      </c>
      <c r="O377" s="27" t="s">
        <v>1598</v>
      </c>
      <c r="P377" s="80">
        <v>7216</v>
      </c>
      <c r="Q377" s="80">
        <v>1294</v>
      </c>
      <c r="R377" s="27" t="s">
        <v>2994</v>
      </c>
      <c r="S377" s="10" t="s">
        <v>1599</v>
      </c>
      <c r="T377" s="10" t="s">
        <v>771</v>
      </c>
      <c r="U377" s="10" t="s">
        <v>771</v>
      </c>
      <c r="V377" s="10" t="s">
        <v>771</v>
      </c>
      <c r="W377" s="10"/>
      <c r="X377" s="27" t="s">
        <v>288</v>
      </c>
      <c r="Y377" s="27" t="s">
        <v>1597</v>
      </c>
      <c r="Z377" s="80">
        <v>1794</v>
      </c>
      <c r="AA377" s="27">
        <v>20</v>
      </c>
      <c r="AB377" s="80">
        <v>309105</v>
      </c>
      <c r="AC377" s="27">
        <v>3</v>
      </c>
      <c r="AD377" s="27" t="s">
        <v>3972</v>
      </c>
      <c r="AE377" s="27">
        <v>34568673</v>
      </c>
      <c r="AF377" s="27" t="s">
        <v>3971</v>
      </c>
      <c r="AG377" s="27" t="s">
        <v>287</v>
      </c>
      <c r="AH377" s="79">
        <v>0.69914263445050695</v>
      </c>
      <c r="AI377" s="83">
        <v>1.21792260692464</v>
      </c>
      <c r="AJ377" s="80">
        <v>63.774482372691701</v>
      </c>
      <c r="AK377" s="80">
        <v>64.120313374370497</v>
      </c>
      <c r="AL377" s="27">
        <v>37</v>
      </c>
      <c r="AM377" s="97">
        <f>SUM(AL377/Z377)</f>
        <v>2.0624303232998884E-2</v>
      </c>
      <c r="AN377" s="27" t="s">
        <v>288</v>
      </c>
      <c r="AO377" s="27">
        <v>1</v>
      </c>
      <c r="AP377" s="27">
        <v>28</v>
      </c>
      <c r="AQ377" s="27">
        <v>4</v>
      </c>
      <c r="AR377" s="27">
        <f>SUM(AO377:AQ377)</f>
        <v>33</v>
      </c>
      <c r="AS377" s="27" t="s">
        <v>190</v>
      </c>
      <c r="AT377" s="27" t="s">
        <v>6774</v>
      </c>
      <c r="AU377" s="84" t="s">
        <v>4805</v>
      </c>
      <c r="AV377" s="77"/>
      <c r="AW377" s="77"/>
      <c r="AX377" s="77"/>
      <c r="AY377" s="77"/>
      <c r="AZ377" s="77"/>
      <c r="BA377" s="77"/>
      <c r="BB377" s="77"/>
      <c r="BC377" s="77"/>
      <c r="BD377" s="77"/>
      <c r="BE377" s="77"/>
      <c r="BF377" s="77"/>
      <c r="BG377" s="77"/>
      <c r="BH377" s="77"/>
      <c r="BI377" s="77"/>
      <c r="BJ377" s="77"/>
      <c r="BK377" s="77"/>
      <c r="BL377" s="77"/>
      <c r="BM377" s="77"/>
      <c r="BN377" s="77"/>
      <c r="BO377" s="77"/>
      <c r="BP377" s="77"/>
      <c r="BQ377" s="77"/>
      <c r="BR377" s="77"/>
      <c r="BS377" s="77"/>
      <c r="BT377" s="77"/>
      <c r="BU377" s="77"/>
      <c r="BV377" s="77"/>
      <c r="BW377" s="77"/>
      <c r="BX377" s="77"/>
      <c r="BY377" s="77"/>
      <c r="BZ377" s="77"/>
      <c r="CA377" s="77"/>
      <c r="CB377" s="77"/>
      <c r="CC377" s="77"/>
      <c r="CD377" s="77"/>
      <c r="CE377" s="77"/>
      <c r="CF377" s="77"/>
      <c r="CG377" s="77"/>
      <c r="CH377" s="77"/>
      <c r="CI377" s="77"/>
      <c r="CJ377" s="77"/>
      <c r="CK377" s="77"/>
      <c r="CL377" s="77"/>
      <c r="CM377" s="77"/>
      <c r="CN377" s="77"/>
      <c r="CO377" s="77"/>
      <c r="CP377" s="77"/>
      <c r="CQ377" s="77"/>
      <c r="CR377" s="77"/>
      <c r="CS377" s="77"/>
      <c r="CT377" s="77"/>
      <c r="CU377" s="77"/>
      <c r="CV377" s="77"/>
      <c r="CW377" s="77"/>
      <c r="CX377" s="77"/>
      <c r="CY377" s="77"/>
      <c r="CZ377" s="77"/>
      <c r="DA377" s="77"/>
      <c r="DB377" s="77"/>
      <c r="DC377" s="77"/>
      <c r="DD377" s="77"/>
      <c r="DE377" s="77"/>
      <c r="DF377" s="77"/>
      <c r="DG377" s="77"/>
      <c r="DH377" s="77"/>
      <c r="DI377" s="77"/>
      <c r="DJ377" s="77"/>
      <c r="DK377" s="77"/>
      <c r="DL377" s="77"/>
      <c r="DM377" s="77"/>
      <c r="DN377" s="77"/>
      <c r="DO377" s="77"/>
      <c r="DP377" s="77"/>
      <c r="DQ377" s="77"/>
      <c r="DR377" s="77"/>
      <c r="DS377" s="77"/>
      <c r="DT377" s="77"/>
      <c r="DU377" s="77"/>
      <c r="DV377" s="77"/>
      <c r="DW377" s="77"/>
      <c r="DX377" s="77"/>
      <c r="DY377" s="77"/>
      <c r="DZ377" s="77"/>
      <c r="EA377" s="77"/>
      <c r="EB377" s="77"/>
      <c r="EC377" s="77"/>
      <c r="ED377" s="77"/>
      <c r="EE377" s="77"/>
      <c r="EF377" s="77"/>
      <c r="EG377" s="77"/>
      <c r="EH377" s="77"/>
      <c r="EI377" s="77"/>
      <c r="EJ377" s="77"/>
      <c r="EK377" s="77"/>
      <c r="EL377" s="77"/>
      <c r="EM377" s="77"/>
      <c r="EN377" s="77"/>
      <c r="EO377" s="77"/>
      <c r="EP377" s="77"/>
      <c r="EQ377" s="77"/>
      <c r="ER377" s="77"/>
      <c r="ES377" s="77"/>
      <c r="ET377" s="77"/>
      <c r="EU377" s="77"/>
      <c r="EV377" s="77"/>
      <c r="EW377" s="77"/>
      <c r="EX377" s="77"/>
      <c r="EY377" s="77"/>
      <c r="EZ377" s="77"/>
      <c r="FA377" s="77"/>
      <c r="FB377" s="77"/>
      <c r="FC377" s="77"/>
      <c r="FD377" s="77"/>
      <c r="FE377" s="77"/>
      <c r="FF377" s="77"/>
      <c r="FG377" s="77"/>
      <c r="FH377" s="77"/>
      <c r="FI377" s="77"/>
      <c r="FJ377" s="77"/>
      <c r="FK377" s="77"/>
      <c r="FL377" s="77"/>
      <c r="FM377" s="77"/>
      <c r="FN377" s="77"/>
      <c r="FO377" s="77"/>
      <c r="FP377" s="77"/>
      <c r="FQ377" s="77"/>
      <c r="FR377" s="77"/>
      <c r="FS377" s="77"/>
      <c r="FT377" s="77"/>
      <c r="FU377" s="77"/>
      <c r="FV377" s="77"/>
      <c r="FW377" s="77"/>
      <c r="FX377" s="77"/>
      <c r="FY377" s="77"/>
      <c r="FZ377" s="77"/>
      <c r="GA377" s="77"/>
      <c r="GB377" s="77"/>
      <c r="GC377" s="77"/>
      <c r="GD377" s="77"/>
      <c r="GE377" s="77"/>
      <c r="GF377" s="77"/>
      <c r="GG377" s="77"/>
      <c r="GH377" s="77"/>
      <c r="GI377" s="77"/>
      <c r="GJ377" s="77"/>
      <c r="GK377" s="77"/>
      <c r="GL377" s="77"/>
      <c r="GM377" s="77"/>
      <c r="GN377" s="77"/>
      <c r="GO377" s="77"/>
      <c r="GP377" s="77"/>
      <c r="GQ377" s="77"/>
      <c r="GR377" s="77"/>
      <c r="GS377" s="77"/>
      <c r="GT377" s="77"/>
      <c r="GU377" s="77"/>
      <c r="GV377" s="77"/>
      <c r="GW377" s="77"/>
      <c r="GX377" s="77"/>
      <c r="GY377" s="77"/>
      <c r="GZ377" s="77"/>
      <c r="HA377" s="77"/>
      <c r="HB377" s="77"/>
      <c r="HC377" s="77"/>
      <c r="HD377" s="77"/>
      <c r="HE377" s="77"/>
      <c r="HF377" s="77"/>
      <c r="HG377" s="77"/>
      <c r="HH377" s="77"/>
      <c r="HI377" s="77"/>
      <c r="HJ377" s="77"/>
      <c r="HK377" s="77"/>
      <c r="HL377" s="77"/>
      <c r="HM377" s="77"/>
      <c r="HN377" s="77"/>
      <c r="HO377" s="77"/>
      <c r="HP377" s="77"/>
      <c r="HQ377" s="77"/>
      <c r="HR377" s="77"/>
      <c r="HS377" s="77"/>
      <c r="HT377" s="77"/>
      <c r="HU377" s="77"/>
      <c r="HV377" s="77"/>
      <c r="HW377" s="77"/>
      <c r="HX377" s="77"/>
      <c r="HY377" s="77"/>
      <c r="HZ377" s="77"/>
      <c r="IA377" s="77"/>
      <c r="IB377" s="77"/>
      <c r="IC377" s="77"/>
      <c r="IF377" s="77"/>
      <c r="IG377" s="77"/>
      <c r="IH377" s="77"/>
      <c r="II377" s="77"/>
      <c r="IJ377" s="77"/>
      <c r="IK377" s="77"/>
      <c r="IL377" s="77"/>
      <c r="IM377" s="77"/>
      <c r="IN377" s="77"/>
      <c r="IO377" s="77"/>
      <c r="IP377" s="77"/>
      <c r="IQ377" s="77"/>
      <c r="IR377" s="77"/>
      <c r="IS377" s="77"/>
      <c r="IT377" s="77"/>
      <c r="IU377" s="77"/>
      <c r="IV377" s="77"/>
      <c r="IW377" s="77"/>
      <c r="IX377" s="77"/>
      <c r="IY377" s="77"/>
      <c r="IZ377" s="77"/>
      <c r="JA377" s="77"/>
      <c r="JB377" s="77"/>
      <c r="JC377" s="77"/>
      <c r="JD377" s="77"/>
      <c r="JE377" s="77"/>
      <c r="JF377" s="77"/>
      <c r="JG377" s="77"/>
      <c r="JH377" s="77"/>
      <c r="JI377" s="77"/>
      <c r="JJ377" s="77"/>
      <c r="JK377" s="77"/>
      <c r="JL377" s="77"/>
      <c r="JM377" s="77"/>
      <c r="JN377" s="77"/>
      <c r="JO377" s="77"/>
      <c r="JP377" s="77"/>
      <c r="JQ377" s="77"/>
      <c r="JR377" s="77"/>
      <c r="JS377" s="77"/>
      <c r="JT377" s="77"/>
      <c r="JU377" s="77"/>
      <c r="JV377" s="77"/>
      <c r="JW377" s="77"/>
      <c r="JX377" s="77"/>
      <c r="JY377" s="77"/>
      <c r="JZ377" s="77"/>
      <c r="KA377" s="77"/>
      <c r="KB377" s="77"/>
      <c r="KC377" s="77"/>
      <c r="KD377" s="77"/>
      <c r="KE377" s="77"/>
      <c r="KF377" s="77"/>
      <c r="KG377" s="77"/>
      <c r="KH377" s="77"/>
      <c r="KI377" s="77"/>
      <c r="KJ377" s="77"/>
      <c r="KK377" s="77"/>
      <c r="KL377" s="77"/>
    </row>
    <row r="378" spans="1:368" ht="18.600000000000001" customHeight="1" x14ac:dyDescent="0.25">
      <c r="A378" s="119" t="s">
        <v>409</v>
      </c>
      <c r="B378" s="27" t="s">
        <v>1919</v>
      </c>
      <c r="C378" s="27" t="s">
        <v>4539</v>
      </c>
      <c r="D378" s="30" t="str">
        <f>HYPERLINK("https://twitter.com/tsipras_eu","https://twitter.com/tsipras_eu")</f>
        <v>https://twitter.com/tsipras_eu</v>
      </c>
      <c r="E378" s="30" t="str">
        <f>HYPERLINK("http://twiplomacy.com/info/europe/Greece","http://twiplomacy.com/info/europe/Greece")</f>
        <v>http://twiplomacy.com/info/europe/Greece</v>
      </c>
      <c r="F378" s="10" t="s">
        <v>332</v>
      </c>
      <c r="G378" s="10" t="s">
        <v>405</v>
      </c>
      <c r="H378" s="10" t="s">
        <v>776</v>
      </c>
      <c r="I378" s="10" t="s">
        <v>773</v>
      </c>
      <c r="J378" s="27" t="s">
        <v>789</v>
      </c>
      <c r="K378" s="15" t="s">
        <v>777</v>
      </c>
      <c r="L378" s="10"/>
      <c r="M378" s="10" t="s">
        <v>770</v>
      </c>
      <c r="N378" s="30" t="str">
        <f>HYPERLINK("https://twitter.com/atsipras/status/91106508863053824","https://twitter.com/atsipras/status/91106508863053824")</f>
        <v>https://twitter.com/atsipras/status/91106508863053824</v>
      </c>
      <c r="O378" s="27" t="s">
        <v>6115</v>
      </c>
      <c r="P378" s="80">
        <v>5216</v>
      </c>
      <c r="Q378" s="80">
        <v>3483</v>
      </c>
      <c r="R378" s="27" t="s">
        <v>2994</v>
      </c>
      <c r="S378" s="10" t="s">
        <v>1921</v>
      </c>
      <c r="T378" s="10" t="s">
        <v>771</v>
      </c>
      <c r="U378" s="10" t="s">
        <v>771</v>
      </c>
      <c r="V378" s="10" t="s">
        <v>771</v>
      </c>
      <c r="W378" s="10"/>
      <c r="X378" s="27" t="s">
        <v>409</v>
      </c>
      <c r="Y378" s="27" t="s">
        <v>1919</v>
      </c>
      <c r="Z378" s="80">
        <v>1791</v>
      </c>
      <c r="AA378" s="27">
        <v>129</v>
      </c>
      <c r="AB378" s="80">
        <v>263120</v>
      </c>
      <c r="AC378" s="27">
        <v>131</v>
      </c>
      <c r="AD378" s="27" t="s">
        <v>4540</v>
      </c>
      <c r="AE378" s="27">
        <v>2292454922</v>
      </c>
      <c r="AF378" s="27" t="s">
        <v>4539</v>
      </c>
      <c r="AG378" s="27" t="s">
        <v>405</v>
      </c>
      <c r="AH378" s="79">
        <v>2.1372315035799501</v>
      </c>
      <c r="AI378" s="83">
        <v>2.1450839328537201</v>
      </c>
      <c r="AJ378" s="80">
        <v>172.74047447879201</v>
      </c>
      <c r="AK378" s="80">
        <v>139.07979870596699</v>
      </c>
      <c r="AL378" s="96">
        <v>25</v>
      </c>
      <c r="AM378" s="97">
        <f>SUM(AL378/Z378)</f>
        <v>1.3958682300390842E-2</v>
      </c>
      <c r="AN378" s="27" t="s">
        <v>409</v>
      </c>
      <c r="AO378" s="27">
        <v>0</v>
      </c>
      <c r="AP378" s="27">
        <v>25</v>
      </c>
      <c r="AQ378" s="27">
        <v>5</v>
      </c>
      <c r="AR378" s="27">
        <f>SUM(AO378:AQ378)</f>
        <v>30</v>
      </c>
      <c r="AS378" s="27"/>
      <c r="AT378" s="27" t="s">
        <v>6868</v>
      </c>
      <c r="AU378" s="84" t="s">
        <v>4973</v>
      </c>
      <c r="AV378" s="77"/>
      <c r="AW378" s="77"/>
      <c r="AX378" s="77"/>
      <c r="AY378" s="77"/>
      <c r="AZ378" s="77"/>
      <c r="BA378" s="77"/>
      <c r="BB378" s="77"/>
      <c r="BC378" s="77"/>
      <c r="BD378" s="77"/>
      <c r="BE378" s="77"/>
      <c r="BF378" s="77"/>
      <c r="BG378" s="77"/>
      <c r="BH378" s="77"/>
      <c r="BI378" s="77"/>
      <c r="BJ378" s="77"/>
      <c r="BK378" s="77"/>
      <c r="BL378" s="77"/>
      <c r="BM378" s="77"/>
      <c r="BN378" s="77"/>
      <c r="BO378" s="77"/>
      <c r="BP378" s="77"/>
      <c r="BQ378" s="77"/>
      <c r="BR378" s="77"/>
      <c r="BS378" s="77"/>
      <c r="BT378" s="77"/>
      <c r="BU378" s="77"/>
      <c r="BV378" s="77"/>
      <c r="BW378" s="77"/>
      <c r="BX378" s="77"/>
      <c r="BY378" s="77"/>
      <c r="BZ378" s="77"/>
      <c r="CA378" s="77"/>
      <c r="CB378" s="77"/>
      <c r="CC378" s="77"/>
      <c r="CD378" s="77"/>
      <c r="CE378" s="77"/>
      <c r="CF378" s="77"/>
      <c r="CG378" s="77"/>
      <c r="CH378" s="77"/>
      <c r="CI378" s="77"/>
      <c r="CJ378" s="77"/>
      <c r="CK378" s="77"/>
      <c r="CL378" s="77"/>
      <c r="CM378" s="77"/>
      <c r="CN378" s="77"/>
      <c r="CO378" s="77"/>
      <c r="CP378" s="77"/>
      <c r="CQ378" s="77"/>
      <c r="CR378" s="77"/>
      <c r="CS378" s="77"/>
      <c r="CT378" s="77"/>
      <c r="CU378" s="77"/>
      <c r="CV378" s="77"/>
      <c r="CW378" s="77"/>
      <c r="CX378" s="77"/>
      <c r="CY378" s="77"/>
      <c r="CZ378" s="77"/>
      <c r="DA378" s="77"/>
      <c r="DB378" s="77"/>
      <c r="DC378" s="77"/>
      <c r="DD378" s="77"/>
      <c r="DE378" s="77"/>
      <c r="DF378" s="77"/>
      <c r="DG378" s="77"/>
      <c r="DH378" s="77"/>
      <c r="DI378" s="77"/>
      <c r="DJ378" s="77"/>
      <c r="DK378" s="77"/>
      <c r="DL378" s="77"/>
      <c r="DM378" s="77"/>
      <c r="DN378" s="77"/>
      <c r="DO378" s="77"/>
      <c r="DP378" s="77"/>
      <c r="DQ378" s="77"/>
      <c r="DR378" s="77"/>
      <c r="DS378" s="77"/>
      <c r="DT378" s="77"/>
      <c r="DU378" s="77"/>
      <c r="DV378" s="77"/>
      <c r="DW378" s="77"/>
      <c r="DX378" s="77"/>
      <c r="DY378" s="77"/>
      <c r="DZ378" s="77"/>
      <c r="EA378" s="77"/>
      <c r="EB378" s="77"/>
      <c r="EC378" s="77"/>
      <c r="ED378" s="77"/>
      <c r="EE378" s="77"/>
      <c r="EF378" s="77"/>
      <c r="EG378" s="77"/>
      <c r="EH378" s="77"/>
      <c r="EI378" s="77"/>
      <c r="EJ378" s="77"/>
      <c r="EK378" s="77"/>
      <c r="EL378" s="77"/>
      <c r="EM378" s="77"/>
      <c r="EN378" s="77"/>
      <c r="EO378" s="77"/>
      <c r="EP378" s="77"/>
      <c r="EQ378" s="77"/>
      <c r="ER378" s="16"/>
      <c r="ES378" s="16"/>
      <c r="ET378" s="16"/>
      <c r="EU378" s="16"/>
      <c r="EV378" s="16"/>
      <c r="EW378" s="16"/>
      <c r="EX378" s="16"/>
      <c r="EY378" s="16"/>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77"/>
      <c r="GM378" s="77"/>
      <c r="GN378" s="77"/>
      <c r="GO378" s="77"/>
      <c r="GP378" s="77"/>
      <c r="GQ378" s="77"/>
      <c r="GR378" s="77"/>
      <c r="GS378" s="77"/>
      <c r="GT378" s="77"/>
      <c r="GU378" s="77"/>
      <c r="GV378" s="77"/>
      <c r="GW378" s="77"/>
      <c r="GX378" s="77"/>
      <c r="GY378" s="77"/>
      <c r="GZ378" s="77"/>
      <c r="HA378" s="77"/>
      <c r="HB378" s="77"/>
      <c r="HC378" s="77"/>
      <c r="HD378" s="77"/>
      <c r="HE378" s="77"/>
      <c r="HF378" s="77"/>
      <c r="HG378" s="77"/>
      <c r="HH378" s="77"/>
      <c r="HI378" s="77"/>
      <c r="HJ378" s="77"/>
      <c r="HK378" s="77"/>
      <c r="HL378" s="77"/>
      <c r="HM378" s="77"/>
      <c r="HN378" s="77"/>
      <c r="HO378" s="77"/>
      <c r="HP378" s="77"/>
      <c r="HQ378" s="77"/>
      <c r="HR378" s="77"/>
      <c r="HS378" s="77"/>
      <c r="HT378" s="77"/>
      <c r="HU378" s="77"/>
      <c r="HV378" s="77"/>
      <c r="HW378" s="77"/>
      <c r="HX378" s="77"/>
      <c r="HY378" s="77"/>
      <c r="HZ378" s="77"/>
      <c r="IA378" s="77"/>
      <c r="IB378" s="77"/>
      <c r="IC378" s="77"/>
      <c r="ID378" s="77"/>
      <c r="IE378" s="77"/>
      <c r="IF378" s="77"/>
      <c r="IG378" s="77"/>
      <c r="IH378" s="77"/>
      <c r="II378" s="77"/>
      <c r="IJ378" s="77"/>
      <c r="IK378" s="77"/>
      <c r="IL378" s="77"/>
      <c r="IM378" s="77"/>
      <c r="IN378" s="77"/>
      <c r="IO378" s="77"/>
      <c r="IP378" s="77"/>
      <c r="IQ378" s="77"/>
      <c r="IR378" s="77"/>
      <c r="IS378" s="77"/>
      <c r="IT378" s="77"/>
      <c r="IU378" s="77"/>
      <c r="IV378" s="77"/>
      <c r="IW378" s="77"/>
      <c r="IX378" s="77"/>
      <c r="IY378" s="77"/>
      <c r="IZ378" s="77"/>
      <c r="JA378" s="77"/>
      <c r="JB378" s="77"/>
      <c r="JC378" s="77"/>
      <c r="JD378" s="77"/>
      <c r="JE378" s="77"/>
      <c r="JF378" s="77"/>
      <c r="JG378" s="77"/>
      <c r="JH378" s="77"/>
      <c r="JI378" s="77"/>
      <c r="JJ378" s="77"/>
      <c r="JK378" s="77"/>
      <c r="JL378" s="77"/>
      <c r="JM378" s="77"/>
      <c r="JN378" s="77"/>
      <c r="JO378" s="77"/>
      <c r="JP378" s="77"/>
      <c r="JQ378" s="77"/>
      <c r="JR378" s="77"/>
      <c r="JS378" s="77"/>
      <c r="JT378" s="77"/>
      <c r="JU378" s="77"/>
      <c r="JV378" s="77"/>
      <c r="JW378" s="77"/>
      <c r="JX378" s="77"/>
      <c r="LL378" s="77"/>
      <c r="LM378" s="77"/>
      <c r="LN378" s="77"/>
      <c r="LO378" s="77"/>
      <c r="LP378" s="77"/>
      <c r="LQ378" s="77"/>
      <c r="LR378" s="77"/>
      <c r="LS378" s="77"/>
      <c r="LT378" s="77"/>
      <c r="LU378" s="77"/>
      <c r="LV378" s="77"/>
      <c r="LW378" s="77"/>
      <c r="LX378" s="77"/>
    </row>
    <row r="379" spans="1:368" ht="18.600000000000001" customHeight="1" x14ac:dyDescent="0.25">
      <c r="A379" s="119" t="s">
        <v>523</v>
      </c>
      <c r="B379" s="27" t="s">
        <v>2222</v>
      </c>
      <c r="C379" s="27" t="s">
        <v>2223</v>
      </c>
      <c r="D379" s="30" t="str">
        <f>HYPERLINK("https://twitter.com/marianorajoy","https://twitter.com/CasaReal")</f>
        <v>https://twitter.com/CasaReal</v>
      </c>
      <c r="E379" s="30" t="str">
        <f>HYPERLINK("http://twiplomacy.com/info/europe/Spain","http://twiplomacy.com/info/europe/Spain")</f>
        <v>http://twiplomacy.com/info/europe/Spain</v>
      </c>
      <c r="F379" s="10" t="s">
        <v>332</v>
      </c>
      <c r="G379" s="10" t="s">
        <v>522</v>
      </c>
      <c r="H379" s="10" t="s">
        <v>2224</v>
      </c>
      <c r="I379" s="10" t="s">
        <v>782</v>
      </c>
      <c r="J379" s="27" t="s">
        <v>2226</v>
      </c>
      <c r="K379" s="15" t="s">
        <v>777</v>
      </c>
      <c r="L379" s="10" t="s">
        <v>771</v>
      </c>
      <c r="M379" s="10" t="s">
        <v>770</v>
      </c>
      <c r="N379" s="30" t="str">
        <f>HYPERLINK("https://twitter.com/CasaReal/statuses/469054329107001344","https://twitter.com/CasaReal/statuses/469054329107001344")</f>
        <v>https://twitter.com/CasaReal/statuses/469054329107001344</v>
      </c>
      <c r="O379" s="11" t="s">
        <v>5736</v>
      </c>
      <c r="P379" s="80">
        <v>27299</v>
      </c>
      <c r="Q379" s="80">
        <v>5715</v>
      </c>
      <c r="R379" s="27" t="s">
        <v>2994</v>
      </c>
      <c r="S379" s="30" t="str">
        <f>HYPERLINK("https://twitter.com/CasaReal/lists","https://twitter.com/CasaReal/lists")</f>
        <v>https://twitter.com/CasaReal/lists</v>
      </c>
      <c r="T379" s="10" t="s">
        <v>771</v>
      </c>
      <c r="U379" s="10" t="s">
        <v>771</v>
      </c>
      <c r="V379" s="10" t="s">
        <v>771</v>
      </c>
      <c r="W379" s="10"/>
      <c r="X379" s="27" t="s">
        <v>523</v>
      </c>
      <c r="Y379" s="27" t="s">
        <v>2222</v>
      </c>
      <c r="Z379" s="80">
        <v>1779</v>
      </c>
      <c r="AA379" s="27">
        <v>15</v>
      </c>
      <c r="AB379" s="80">
        <v>489394</v>
      </c>
      <c r="AC379" s="27">
        <v>21</v>
      </c>
      <c r="AD379" s="27" t="s">
        <v>3573</v>
      </c>
      <c r="AE379" s="27">
        <v>2497155462</v>
      </c>
      <c r="AF379" s="27" t="s">
        <v>2223</v>
      </c>
      <c r="AG379" s="27" t="s">
        <v>522</v>
      </c>
      <c r="AH379" s="79">
        <v>2.4777158774373298</v>
      </c>
      <c r="AI379" s="83">
        <v>2.4985955056179798</v>
      </c>
      <c r="AJ379" s="80">
        <v>142.41126279863499</v>
      </c>
      <c r="AK379" s="80">
        <v>151.169510807736</v>
      </c>
      <c r="AL379" s="27">
        <v>27</v>
      </c>
      <c r="AM379" s="97">
        <f>SUM(AL379/Z379)</f>
        <v>1.5177065767284991E-2</v>
      </c>
      <c r="AN379" s="27" t="s">
        <v>523</v>
      </c>
      <c r="AO379" s="27">
        <v>4</v>
      </c>
      <c r="AP379" s="27">
        <v>29</v>
      </c>
      <c r="AQ379" s="27">
        <v>4</v>
      </c>
      <c r="AR379" s="27">
        <f>SUM(AO379:AQ379)</f>
        <v>37</v>
      </c>
      <c r="AS379" s="27" t="s">
        <v>5064</v>
      </c>
      <c r="AT379" s="27" t="s">
        <v>6688</v>
      </c>
      <c r="AU379" s="84" t="s">
        <v>6149</v>
      </c>
      <c r="AV379" s="77"/>
      <c r="AW379" s="77"/>
      <c r="AX379" s="77"/>
      <c r="AY379" s="77"/>
      <c r="AZ379" s="77"/>
      <c r="BA379" s="77"/>
      <c r="BB379" s="77"/>
      <c r="BC379" s="77"/>
      <c r="BD379" s="77"/>
      <c r="BE379" s="77"/>
      <c r="BF379" s="77"/>
      <c r="BG379" s="77"/>
      <c r="BH379" s="77"/>
      <c r="BI379" s="77"/>
      <c r="BJ379" s="77"/>
      <c r="BK379" s="77"/>
      <c r="BL379" s="77"/>
      <c r="BM379" s="77"/>
      <c r="BN379" s="16"/>
      <c r="BO379" s="16"/>
      <c r="BP379" s="16"/>
      <c r="BQ379" s="77"/>
      <c r="BR379" s="77"/>
      <c r="BS379" s="77"/>
      <c r="BT379" s="77"/>
      <c r="BU379" s="77"/>
      <c r="BV379" s="77"/>
      <c r="BW379" s="77"/>
      <c r="BX379" s="77"/>
      <c r="BY379" s="77"/>
      <c r="BZ379" s="77"/>
      <c r="CA379" s="77"/>
      <c r="CB379" s="77"/>
      <c r="CC379" s="77"/>
      <c r="CD379" s="77"/>
      <c r="CE379" s="77"/>
      <c r="CF379" s="77"/>
      <c r="CG379" s="77"/>
      <c r="CH379" s="77"/>
      <c r="CI379" s="77"/>
      <c r="CJ379" s="77"/>
      <c r="CK379" s="77"/>
      <c r="CL379" s="77"/>
      <c r="CM379" s="77"/>
      <c r="CN379" s="77"/>
      <c r="CO379" s="77"/>
      <c r="CP379" s="77"/>
      <c r="CQ379" s="77"/>
      <c r="CR379" s="77"/>
      <c r="CS379" s="77"/>
      <c r="CT379" s="77"/>
      <c r="CU379" s="77"/>
      <c r="CV379" s="77"/>
      <c r="CW379" s="77"/>
      <c r="EM379" s="77"/>
      <c r="EN379" s="77"/>
      <c r="EO379" s="77"/>
      <c r="EP379" s="77"/>
      <c r="EQ379" s="77"/>
      <c r="HL379" s="77"/>
      <c r="HM379" s="77"/>
      <c r="HN379" s="77"/>
      <c r="HO379" s="77"/>
      <c r="HP379" s="77"/>
      <c r="HQ379" s="77"/>
      <c r="HR379" s="77"/>
      <c r="HS379" s="77"/>
      <c r="HT379" s="77"/>
      <c r="HU379" s="77"/>
      <c r="HV379" s="77"/>
      <c r="HW379" s="77"/>
      <c r="HX379" s="77"/>
      <c r="HY379" s="77"/>
      <c r="HZ379" s="77"/>
      <c r="IA379" s="77"/>
      <c r="IB379" s="77"/>
      <c r="IC379" s="77"/>
      <c r="ID379" s="77"/>
      <c r="IE379" s="77"/>
      <c r="IF379" s="77"/>
      <c r="IG379" s="77"/>
      <c r="IH379" s="77"/>
      <c r="II379" s="77"/>
      <c r="IJ379" s="77"/>
      <c r="IK379" s="77"/>
      <c r="IL379" s="77"/>
      <c r="IM379" s="77"/>
      <c r="IN379" s="77"/>
      <c r="IO379" s="77"/>
      <c r="IP379" s="77"/>
      <c r="IQ379" s="77"/>
      <c r="IR379" s="77"/>
      <c r="IS379" s="77"/>
      <c r="IT379" s="77"/>
      <c r="IU379" s="77"/>
      <c r="IV379" s="77"/>
      <c r="IW379" s="77"/>
      <c r="IX379" s="77"/>
      <c r="IY379" s="77"/>
      <c r="IZ379" s="77"/>
      <c r="JA379" s="77"/>
      <c r="JB379" s="77"/>
      <c r="JC379" s="77"/>
      <c r="JD379" s="77"/>
      <c r="JE379" s="77"/>
      <c r="JF379" s="77"/>
      <c r="JG379" s="77"/>
      <c r="JH379" s="77"/>
      <c r="JI379" s="77"/>
      <c r="JJ379" s="77"/>
      <c r="JK379" s="77"/>
      <c r="JL379" s="77"/>
      <c r="JM379" s="77"/>
      <c r="JN379" s="77"/>
      <c r="JO379" s="77"/>
      <c r="JP379" s="77"/>
      <c r="JQ379" s="77"/>
      <c r="JR379" s="77"/>
      <c r="JS379" s="77"/>
      <c r="JT379" s="77"/>
      <c r="JU379" s="77"/>
      <c r="JV379" s="77"/>
      <c r="JW379" s="77"/>
      <c r="JX379" s="77"/>
      <c r="KM379" s="77"/>
      <c r="KN379" s="77"/>
      <c r="KO379" s="77"/>
      <c r="KP379" s="77"/>
      <c r="KQ379" s="77"/>
      <c r="KR379" s="77"/>
      <c r="KS379" s="77"/>
      <c r="KT379" s="77"/>
      <c r="KU379" s="77"/>
      <c r="KV379" s="77"/>
      <c r="KW379" s="77"/>
      <c r="KX379" s="77"/>
      <c r="KY379" s="77"/>
      <c r="KZ379" s="77"/>
      <c r="LA379" s="77"/>
      <c r="LB379" s="77"/>
      <c r="LC379" s="77"/>
      <c r="LD379" s="77"/>
      <c r="LE379" s="77"/>
      <c r="LF379" s="77"/>
      <c r="LG379" s="77"/>
      <c r="LH379" s="77"/>
      <c r="LI379" s="77"/>
      <c r="LJ379" s="77"/>
      <c r="LK379" s="77"/>
      <c r="LL379" s="77"/>
      <c r="LM379" s="77"/>
      <c r="LN379" s="77"/>
      <c r="LO379" s="77"/>
      <c r="LP379" s="77"/>
      <c r="LQ379" s="77"/>
      <c r="LR379" s="77"/>
      <c r="LS379" s="77"/>
      <c r="LT379" s="77"/>
      <c r="LU379" s="77"/>
      <c r="LV379" s="77"/>
      <c r="LW379" s="77"/>
      <c r="LX379" s="77"/>
    </row>
    <row r="380" spans="1:368" ht="18.600000000000001" customHeight="1" x14ac:dyDescent="0.25">
      <c r="A380" s="119" t="s">
        <v>415</v>
      </c>
      <c r="B380" s="27" t="s">
        <v>1948</v>
      </c>
      <c r="C380" s="27" t="s">
        <v>4080</v>
      </c>
      <c r="D380" s="30" t="str">
        <f>HYPERLINK("https://twitter.com/MFAIceland","https://twitter.com/MFAIceland")</f>
        <v>https://twitter.com/MFAIceland</v>
      </c>
      <c r="E380" s="30" t="str">
        <f>HYPERLINK("http://twiplomacy.com/info/europe/Iceland","http://twiplomacy.com/info/europe/Iceland")</f>
        <v>http://twiplomacy.com/info/europe/Iceland</v>
      </c>
      <c r="F380" s="10" t="s">
        <v>332</v>
      </c>
      <c r="G380" s="10" t="s">
        <v>413</v>
      </c>
      <c r="H380" s="10" t="s">
        <v>795</v>
      </c>
      <c r="I380" s="10" t="s">
        <v>782</v>
      </c>
      <c r="J380" s="27" t="s">
        <v>789</v>
      </c>
      <c r="K380" s="10" t="s">
        <v>777</v>
      </c>
      <c r="L380" s="10" t="s">
        <v>771</v>
      </c>
      <c r="M380" s="10" t="s">
        <v>770</v>
      </c>
      <c r="N380" s="30" t="str">
        <f>HYPERLINK("https://twitter.com/MFAIceland/statuses/314032324419387394","https://twitter.com/MFAIceland/statuses/314032324419387394")</f>
        <v>https://twitter.com/MFAIceland/statuses/314032324419387394</v>
      </c>
      <c r="O380" s="27" t="s">
        <v>1949</v>
      </c>
      <c r="P380" s="80">
        <v>80</v>
      </c>
      <c r="Q380" s="80">
        <v>9</v>
      </c>
      <c r="R380" s="27" t="s">
        <v>2994</v>
      </c>
      <c r="S380" s="30" t="str">
        <f>HYPERLINK("https://twitter.com/MFAIceland/lists","https://twitter.com/MFAIceland/lists")</f>
        <v>https://twitter.com/MFAIceland/lists</v>
      </c>
      <c r="T380" s="10">
        <v>2</v>
      </c>
      <c r="U380" s="10">
        <v>1</v>
      </c>
      <c r="V380" s="12" t="s">
        <v>6884</v>
      </c>
      <c r="W380" s="10">
        <v>11</v>
      </c>
      <c r="X380" s="27" t="s">
        <v>415</v>
      </c>
      <c r="Y380" s="27" t="s">
        <v>1948</v>
      </c>
      <c r="Z380" s="80">
        <v>1778</v>
      </c>
      <c r="AA380" s="27">
        <v>1977</v>
      </c>
      <c r="AB380" s="80">
        <v>4989</v>
      </c>
      <c r="AC380" s="27">
        <v>519</v>
      </c>
      <c r="AD380" s="27" t="s">
        <v>4081</v>
      </c>
      <c r="AE380" s="27">
        <v>631186337</v>
      </c>
      <c r="AF380" s="27" t="s">
        <v>4080</v>
      </c>
      <c r="AG380" s="27" t="s">
        <v>1950</v>
      </c>
      <c r="AH380" s="79">
        <v>1.27638190954774</v>
      </c>
      <c r="AI380" s="83">
        <v>1.56024626209323</v>
      </c>
      <c r="AJ380" s="80">
        <v>2.4461994076999001</v>
      </c>
      <c r="AK380" s="80">
        <v>1.28134254689042</v>
      </c>
      <c r="AL380" s="27">
        <v>200</v>
      </c>
      <c r="AM380" s="97">
        <f>SUM(AL380/Z380)</f>
        <v>0.1124859392575928</v>
      </c>
      <c r="AN380" s="27" t="s">
        <v>415</v>
      </c>
      <c r="AO380" s="27">
        <v>140</v>
      </c>
      <c r="AP380" s="27">
        <v>5</v>
      </c>
      <c r="AQ380" s="27">
        <v>97</v>
      </c>
      <c r="AR380" s="27">
        <f>SUM(AO380:AQ380)</f>
        <v>242</v>
      </c>
      <c r="AS380" s="27" t="s">
        <v>6920</v>
      </c>
      <c r="AT380" s="27" t="s">
        <v>5303</v>
      </c>
      <c r="AU380" s="84" t="s">
        <v>6173</v>
      </c>
      <c r="AV380" s="77"/>
      <c r="AW380" s="77"/>
      <c r="AX380" s="77"/>
      <c r="AY380" s="77"/>
      <c r="AZ380" s="77"/>
      <c r="BA380" s="77"/>
      <c r="BB380" s="77"/>
      <c r="BC380" s="77"/>
      <c r="BD380" s="77"/>
      <c r="BE380" s="77"/>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77"/>
      <c r="CB380" s="77"/>
      <c r="CC380" s="77"/>
      <c r="CD380" s="77"/>
      <c r="CE380" s="77"/>
      <c r="CF380" s="77"/>
      <c r="CG380" s="77"/>
      <c r="CH380" s="77"/>
      <c r="CI380" s="77"/>
      <c r="CJ380" s="77"/>
      <c r="CK380" s="77"/>
      <c r="CL380" s="77"/>
      <c r="CM380" s="77"/>
      <c r="CN380" s="77"/>
      <c r="CO380" s="77"/>
      <c r="CP380" s="77"/>
      <c r="CQ380" s="77"/>
      <c r="CR380" s="77"/>
      <c r="CS380" s="77"/>
      <c r="CT380" s="77"/>
      <c r="CU380" s="77"/>
      <c r="CV380" s="77"/>
      <c r="CW380" s="77"/>
      <c r="CX380" s="77"/>
      <c r="CY380" s="77"/>
      <c r="CZ380" s="77"/>
      <c r="DA380" s="77"/>
      <c r="DB380" s="77"/>
      <c r="DC380" s="77"/>
      <c r="DD380" s="77"/>
      <c r="DE380" s="77"/>
      <c r="DF380" s="77"/>
      <c r="DG380" s="77"/>
      <c r="DH380" s="77"/>
      <c r="DI380" s="77"/>
      <c r="DJ380" s="77"/>
      <c r="DK380" s="77"/>
      <c r="DL380" s="77"/>
      <c r="DM380" s="77"/>
      <c r="DN380" s="77"/>
      <c r="DO380" s="77"/>
      <c r="DP380" s="77"/>
      <c r="DQ380" s="77"/>
      <c r="DR380" s="77"/>
      <c r="DS380" s="77"/>
      <c r="DT380" s="77"/>
      <c r="DU380" s="77"/>
      <c r="DV380" s="77"/>
      <c r="DW380" s="77"/>
      <c r="DX380" s="77"/>
      <c r="DY380" s="77"/>
      <c r="DZ380" s="77"/>
      <c r="EA380" s="77"/>
      <c r="EB380" s="77"/>
      <c r="EC380" s="77"/>
      <c r="ED380" s="77"/>
      <c r="EE380" s="77"/>
      <c r="EF380" s="77"/>
      <c r="EG380" s="77"/>
      <c r="EH380" s="77"/>
      <c r="EI380" s="77"/>
      <c r="EJ380" s="77"/>
      <c r="EK380" s="77"/>
      <c r="EL380" s="77"/>
      <c r="EM380" s="77"/>
      <c r="EN380" s="77"/>
      <c r="EO380" s="77"/>
      <c r="EP380" s="77"/>
      <c r="ER380" s="77"/>
      <c r="ES380" s="77"/>
      <c r="ET380" s="77"/>
      <c r="EU380" s="77"/>
      <c r="EV380" s="77"/>
      <c r="EW380" s="77"/>
      <c r="EX380" s="77"/>
      <c r="EY380" s="77"/>
      <c r="EZ380" s="77"/>
      <c r="FA380" s="77"/>
      <c r="FB380" s="77"/>
      <c r="FC380" s="77"/>
      <c r="FD380" s="77"/>
      <c r="FE380" s="77"/>
      <c r="FF380" s="77"/>
      <c r="FG380" s="77"/>
      <c r="FH380" s="77"/>
      <c r="FI380" s="77"/>
      <c r="FJ380" s="77"/>
      <c r="FK380" s="77"/>
      <c r="FL380" s="77"/>
      <c r="FM380" s="77"/>
      <c r="FN380" s="77"/>
      <c r="FO380" s="77"/>
      <c r="FP380" s="77"/>
      <c r="FQ380" s="77"/>
      <c r="FR380" s="77"/>
      <c r="FS380" s="77"/>
      <c r="FT380" s="77"/>
      <c r="FU380" s="77"/>
      <c r="FV380" s="77"/>
      <c r="FW380" s="77"/>
      <c r="FX380" s="77"/>
      <c r="FY380" s="77"/>
      <c r="FZ380" s="77"/>
      <c r="GA380" s="77"/>
      <c r="GB380" s="77"/>
      <c r="GC380" s="77"/>
      <c r="GD380" s="77"/>
      <c r="GE380" s="77"/>
      <c r="GF380" s="77"/>
      <c r="GG380" s="77"/>
      <c r="GH380" s="77"/>
      <c r="GI380" s="77"/>
      <c r="GJ380" s="77"/>
      <c r="GK380" s="77"/>
      <c r="ID380" s="16"/>
      <c r="IE380" s="16"/>
      <c r="JY380" s="77"/>
      <c r="JZ380" s="77"/>
      <c r="KA380" s="77"/>
      <c r="KB380" s="77"/>
      <c r="KC380" s="77"/>
      <c r="KD380" s="77"/>
      <c r="KE380" s="77"/>
      <c r="KF380" s="77"/>
      <c r="KG380" s="77"/>
      <c r="KH380" s="77"/>
      <c r="KI380" s="77"/>
      <c r="KJ380" s="77"/>
      <c r="KK380" s="77"/>
      <c r="KL380" s="77"/>
      <c r="MS380" s="77"/>
    </row>
    <row r="381" spans="1:368" ht="18.600000000000001" customHeight="1" x14ac:dyDescent="0.25">
      <c r="A381" s="119" t="s">
        <v>624</v>
      </c>
      <c r="B381" s="27" t="s">
        <v>2540</v>
      </c>
      <c r="C381" s="27" t="s">
        <v>2541</v>
      </c>
      <c r="D381" s="30" t="str">
        <f>HYPERLINK("https://twitter.com/skngov","https://twitter.com/skngov")</f>
        <v>https://twitter.com/skngov</v>
      </c>
      <c r="E381" s="30" t="str">
        <f>HYPERLINK("http://twiplomacy.com/info/north-america/Saint-Kitts-and-Nevis","http://twiplomacy.com/info/north-america/Saint-Kitts-and-Nevis")</f>
        <v>http://twiplomacy.com/info/north-america/Saint-Kitts-and-Nevis</v>
      </c>
      <c r="F381" s="10" t="s">
        <v>558</v>
      </c>
      <c r="G381" s="10" t="s">
        <v>623</v>
      </c>
      <c r="H381" s="10" t="s">
        <v>788</v>
      </c>
      <c r="I381" s="10" t="s">
        <v>782</v>
      </c>
      <c r="J381" s="27" t="s">
        <v>789</v>
      </c>
      <c r="K381" s="15" t="s">
        <v>777</v>
      </c>
      <c r="L381" s="10" t="s">
        <v>771</v>
      </c>
      <c r="M381" s="10" t="s">
        <v>770</v>
      </c>
      <c r="N381" s="30" t="str">
        <f>HYPERLINK("https://twitter.com/skngov/statuses/441722575090368512","https://twitter.com/skngov/statuses/441722575090368512")</f>
        <v>https://twitter.com/skngov/statuses/441722575090368512</v>
      </c>
      <c r="O381" s="27" t="s">
        <v>6092</v>
      </c>
      <c r="P381" s="80">
        <v>18</v>
      </c>
      <c r="Q381" s="80">
        <v>14</v>
      </c>
      <c r="R381" s="27" t="s">
        <v>2995</v>
      </c>
      <c r="S381" s="30" t="str">
        <f>HYPERLINK("https://twitter.com/skngov/lists","https://twitter.com/skngov/lists")</f>
        <v>https://twitter.com/skngov/lists</v>
      </c>
      <c r="T381" s="10" t="s">
        <v>771</v>
      </c>
      <c r="U381" s="10">
        <v>1</v>
      </c>
      <c r="V381" s="10" t="s">
        <v>771</v>
      </c>
      <c r="W381" s="10"/>
      <c r="X381" s="27" t="s">
        <v>624</v>
      </c>
      <c r="Y381" s="27" t="s">
        <v>2540</v>
      </c>
      <c r="Z381" s="80">
        <v>1775</v>
      </c>
      <c r="AA381" s="27">
        <v>1326</v>
      </c>
      <c r="AB381" s="80">
        <v>1401</v>
      </c>
      <c r="AC381" s="27">
        <v>153</v>
      </c>
      <c r="AD381" s="27" t="s">
        <v>4476</v>
      </c>
      <c r="AE381" s="27">
        <v>2389574116</v>
      </c>
      <c r="AF381" s="27" t="s">
        <v>2541</v>
      </c>
      <c r="AG381" s="27" t="s">
        <v>2542</v>
      </c>
      <c r="AH381" s="79">
        <v>2.2554002541296101</v>
      </c>
      <c r="AI381" s="83">
        <v>2.25285895806861</v>
      </c>
      <c r="AJ381" s="80">
        <v>0.76709796672828101</v>
      </c>
      <c r="AK381" s="80">
        <v>0.464571780653111</v>
      </c>
      <c r="AL381" s="27">
        <v>30</v>
      </c>
      <c r="AM381" s="97">
        <f>SUM(AL381/Z381)</f>
        <v>1.6901408450704224E-2</v>
      </c>
      <c r="AN381" s="27" t="s">
        <v>624</v>
      </c>
      <c r="AO381" s="27">
        <v>10</v>
      </c>
      <c r="AP381" s="27">
        <v>2</v>
      </c>
      <c r="AQ381" s="27">
        <v>2</v>
      </c>
      <c r="AR381" s="27">
        <f>SUM(AO381:AQ381)</f>
        <v>14</v>
      </c>
      <c r="AS381" s="27" t="s">
        <v>5495</v>
      </c>
      <c r="AT381" s="27" t="s">
        <v>5005</v>
      </c>
      <c r="AU381" s="84" t="s">
        <v>4953</v>
      </c>
      <c r="BN381" s="69"/>
      <c r="BO381" s="69"/>
      <c r="BP381" s="69"/>
      <c r="BQ381" s="77"/>
      <c r="BR381" s="77"/>
      <c r="BS381" s="77"/>
      <c r="BT381" s="77"/>
      <c r="BU381" s="77"/>
      <c r="BV381" s="77"/>
      <c r="BW381" s="77"/>
      <c r="BX381" s="77"/>
      <c r="BY381" s="77"/>
      <c r="BZ381" s="77"/>
      <c r="CA381" s="77"/>
      <c r="CB381" s="77"/>
      <c r="CC381" s="77"/>
      <c r="CD381" s="77"/>
      <c r="CE381" s="77"/>
      <c r="CF381" s="77"/>
      <c r="CG381" s="77"/>
      <c r="CH381" s="77"/>
      <c r="CI381" s="77"/>
      <c r="CJ381" s="77"/>
      <c r="CX381" s="77"/>
      <c r="CY381" s="77"/>
      <c r="CZ381" s="77"/>
      <c r="DA381" s="77"/>
      <c r="DB381" s="77"/>
      <c r="DC381" s="77"/>
      <c r="DD381" s="77"/>
      <c r="DE381" s="77"/>
      <c r="DF381" s="77"/>
      <c r="DG381" s="77"/>
      <c r="DH381" s="77"/>
      <c r="DI381" s="77"/>
      <c r="DJ381" s="77"/>
      <c r="DK381" s="77"/>
      <c r="DL381" s="77"/>
      <c r="DM381" s="77"/>
      <c r="DN381" s="77"/>
      <c r="DO381" s="77"/>
      <c r="DP381" s="77"/>
      <c r="DQ381" s="77"/>
      <c r="DR381" s="77"/>
      <c r="DS381" s="77"/>
      <c r="DT381" s="77"/>
      <c r="DU381" s="77"/>
      <c r="DV381" s="77"/>
      <c r="DW381" s="77"/>
      <c r="DX381" s="77"/>
      <c r="DY381" s="77"/>
      <c r="DZ381" s="77"/>
      <c r="EA381" s="77"/>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7"/>
      <c r="FD381" s="77"/>
      <c r="FE381" s="77"/>
      <c r="FF381" s="77"/>
      <c r="FG381" s="77"/>
      <c r="FH381" s="77"/>
      <c r="FI381" s="77"/>
      <c r="FJ381" s="77"/>
      <c r="FK381" s="77"/>
      <c r="FL381" s="77"/>
      <c r="FM381" s="77"/>
      <c r="FN381" s="77"/>
      <c r="FO381" s="77"/>
      <c r="FP381" s="77"/>
      <c r="FQ381" s="77"/>
      <c r="FR381" s="77"/>
      <c r="FS381" s="77"/>
      <c r="FT381" s="77"/>
      <c r="FU381" s="77"/>
      <c r="FV381" s="77"/>
      <c r="FW381" s="77"/>
      <c r="FX381" s="77"/>
      <c r="FY381" s="77"/>
      <c r="FZ381" s="77"/>
      <c r="GA381" s="77"/>
      <c r="GB381" s="77"/>
      <c r="GC381" s="77"/>
      <c r="GD381" s="77"/>
      <c r="GE381" s="77"/>
      <c r="GF381" s="77"/>
      <c r="GG381" s="77"/>
      <c r="GH381" s="77"/>
      <c r="GI381" s="77"/>
      <c r="GJ381" s="77"/>
      <c r="GK381" s="77"/>
      <c r="GL381" s="77"/>
      <c r="GM381" s="77"/>
      <c r="GN381" s="77"/>
      <c r="GO381" s="77"/>
      <c r="GP381" s="77"/>
      <c r="GQ381" s="77"/>
      <c r="GR381" s="77"/>
      <c r="GS381" s="77"/>
      <c r="GT381" s="77"/>
      <c r="GU381" s="77"/>
      <c r="GV381" s="77"/>
      <c r="GW381" s="77"/>
      <c r="GX381" s="77"/>
      <c r="GY381" s="77"/>
      <c r="GZ381" s="77"/>
      <c r="HA381" s="77"/>
      <c r="HB381" s="77"/>
      <c r="HC381" s="77"/>
      <c r="HD381" s="77"/>
      <c r="HE381" s="77"/>
      <c r="HF381" s="77"/>
      <c r="HG381" s="77"/>
      <c r="HH381" s="77"/>
      <c r="HI381" s="77"/>
      <c r="HJ381" s="77"/>
      <c r="HK381" s="77"/>
      <c r="HL381" s="77"/>
      <c r="HM381" s="77"/>
      <c r="HN381" s="77"/>
      <c r="HO381" s="77"/>
      <c r="HP381" s="77"/>
      <c r="HQ381" s="77"/>
      <c r="HR381" s="77"/>
      <c r="HS381" s="77"/>
      <c r="HT381" s="77"/>
      <c r="HU381" s="77"/>
      <c r="HV381" s="77"/>
      <c r="HW381" s="77"/>
      <c r="HX381" s="77"/>
      <c r="HY381" s="77"/>
      <c r="HZ381" s="77"/>
      <c r="IA381" s="77"/>
      <c r="IB381" s="77"/>
      <c r="IC381" s="77"/>
      <c r="ID381" s="77"/>
      <c r="IE381" s="77"/>
      <c r="IF381" s="77"/>
      <c r="IG381" s="77"/>
      <c r="IH381" s="77"/>
      <c r="II381" s="77"/>
      <c r="IJ381" s="77"/>
      <c r="IK381" s="77"/>
      <c r="IL381" s="77"/>
      <c r="IM381" s="77"/>
      <c r="IN381" s="77"/>
      <c r="IO381" s="77"/>
      <c r="IP381" s="77"/>
      <c r="IQ381" s="77"/>
      <c r="IR381" s="77"/>
      <c r="IS381" s="77"/>
      <c r="IT381" s="77"/>
      <c r="IU381" s="77"/>
      <c r="IV381" s="77"/>
      <c r="IW381" s="77"/>
      <c r="IX381" s="77"/>
      <c r="IY381" s="77"/>
      <c r="IZ381" s="77"/>
      <c r="JA381" s="77"/>
      <c r="JB381" s="77"/>
      <c r="JC381" s="77"/>
      <c r="JD381" s="77"/>
      <c r="JE381" s="77"/>
      <c r="JF381" s="77"/>
      <c r="JG381" s="77"/>
      <c r="JH381" s="77"/>
      <c r="JI381" s="77"/>
      <c r="JJ381" s="77"/>
      <c r="JK381" s="77"/>
      <c r="JL381" s="77"/>
      <c r="JM381" s="77"/>
      <c r="JN381" s="77"/>
      <c r="JO381" s="77"/>
      <c r="JP381" s="77"/>
      <c r="JQ381" s="77"/>
      <c r="JR381" s="77"/>
      <c r="JS381" s="77"/>
      <c r="JT381" s="77"/>
      <c r="JU381" s="77"/>
      <c r="JV381" s="77"/>
      <c r="JW381" s="77"/>
      <c r="JX381" s="77"/>
      <c r="JY381" s="77"/>
      <c r="JZ381" s="77"/>
      <c r="KA381" s="77"/>
      <c r="KB381" s="77"/>
      <c r="KC381" s="77"/>
      <c r="KD381" s="77"/>
      <c r="KE381" s="77"/>
      <c r="KF381" s="77"/>
      <c r="KG381" s="77"/>
      <c r="KH381" s="77"/>
      <c r="KI381" s="77"/>
      <c r="KJ381" s="77"/>
      <c r="KK381" s="77"/>
      <c r="KL381" s="77"/>
      <c r="KM381" s="77"/>
      <c r="KN381" s="77"/>
      <c r="KO381" s="77"/>
      <c r="KP381" s="77"/>
      <c r="KQ381" s="77"/>
      <c r="KR381" s="77"/>
      <c r="KS381" s="77"/>
      <c r="KT381" s="77"/>
      <c r="KU381" s="77"/>
      <c r="KV381" s="77"/>
      <c r="KW381" s="77"/>
      <c r="KX381" s="77"/>
      <c r="KY381" s="77"/>
      <c r="KZ381" s="77"/>
      <c r="LA381" s="77"/>
      <c r="LB381" s="77"/>
      <c r="LC381" s="77"/>
      <c r="LD381" s="77"/>
      <c r="LE381" s="77"/>
      <c r="LF381" s="77"/>
      <c r="LG381" s="77"/>
      <c r="LH381" s="77"/>
      <c r="LI381" s="77"/>
      <c r="LJ381" s="77"/>
      <c r="LK381" s="77"/>
      <c r="LW381" s="77"/>
      <c r="LX381" s="77"/>
    </row>
    <row r="382" spans="1:368" ht="18.600000000000001" customHeight="1" x14ac:dyDescent="0.25">
      <c r="A382" s="119" t="s">
        <v>430</v>
      </c>
      <c r="B382" s="27" t="s">
        <v>1986</v>
      </c>
      <c r="C382" s="27" t="s">
        <v>4418</v>
      </c>
      <c r="D382" s="30" t="str">
        <f>HYPERLINK("https://twitter.com/Rigas_pils","https://twitter.com/Rigas_pils")</f>
        <v>https://twitter.com/Rigas_pils</v>
      </c>
      <c r="E382" s="30" t="str">
        <f>HYPERLINK("http://twiplomacy.com/info/europe/Latvia","http://twiplomacy.com/info/europe/Latvia")</f>
        <v>http://twiplomacy.com/info/europe/Latvia</v>
      </c>
      <c r="F382" s="10" t="s">
        <v>332</v>
      </c>
      <c r="G382" s="10" t="s">
        <v>428</v>
      </c>
      <c r="H382" s="10" t="s">
        <v>781</v>
      </c>
      <c r="I382" s="10" t="s">
        <v>782</v>
      </c>
      <c r="J382" s="27" t="s">
        <v>789</v>
      </c>
      <c r="K382" s="15" t="s">
        <v>777</v>
      </c>
      <c r="L382" s="10" t="s">
        <v>771</v>
      </c>
      <c r="M382" s="10" t="s">
        <v>770</v>
      </c>
      <c r="N382" s="30" t="str">
        <f>HYPERLINK("https://twitter.com/Rigas_pils/statuses/18026987782","https://twitter.com/Rigas_pils/statuses/18026987782")</f>
        <v>https://twitter.com/Rigas_pils/statuses/18026987782</v>
      </c>
      <c r="O382" s="27" t="s">
        <v>6070</v>
      </c>
      <c r="P382" s="80">
        <v>4479</v>
      </c>
      <c r="Q382" s="80">
        <v>714</v>
      </c>
      <c r="R382" s="27" t="s">
        <v>2995</v>
      </c>
      <c r="S382" s="30" t="str">
        <f>HYPERLINK("https://twitter.com/Rigas_pils/lists","https://twitter.com/Rigas_pils/lists")</f>
        <v>https://twitter.com/Rigas_pils/lists</v>
      </c>
      <c r="T382" s="10" t="s">
        <v>771</v>
      </c>
      <c r="U382" s="10" t="s">
        <v>771</v>
      </c>
      <c r="V382" s="10" t="s">
        <v>771</v>
      </c>
      <c r="W382" s="10"/>
      <c r="X382" s="27" t="s">
        <v>430</v>
      </c>
      <c r="Y382" s="27" t="s">
        <v>1986</v>
      </c>
      <c r="Z382" s="80">
        <v>1746</v>
      </c>
      <c r="AA382" s="27">
        <v>27</v>
      </c>
      <c r="AB382" s="80">
        <v>25053</v>
      </c>
      <c r="AC382" s="27">
        <v>0</v>
      </c>
      <c r="AD382" s="27" t="s">
        <v>4419</v>
      </c>
      <c r="AE382" s="27">
        <v>163823223</v>
      </c>
      <c r="AF382" s="27" t="s">
        <v>4418</v>
      </c>
      <c r="AG382" s="27" t="s">
        <v>1987</v>
      </c>
      <c r="AH382" s="79">
        <v>0.821260583254939</v>
      </c>
      <c r="AI382" s="83">
        <v>0.82062146892655397</v>
      </c>
      <c r="AJ382" s="80">
        <v>5.9600484261501201</v>
      </c>
      <c r="AK382" s="80">
        <v>2.8728813559322002</v>
      </c>
      <c r="AL382" s="27">
        <v>169</v>
      </c>
      <c r="AM382" s="97">
        <f>SUM(AL382/Z382)</f>
        <v>9.6792668957617414E-2</v>
      </c>
      <c r="AN382" s="27" t="s">
        <v>430</v>
      </c>
      <c r="AO382" s="27">
        <v>6</v>
      </c>
      <c r="AP382" s="27">
        <v>9</v>
      </c>
      <c r="AQ382" s="27">
        <v>3</v>
      </c>
      <c r="AR382" s="27">
        <f>SUM(AO382:AQ382)</f>
        <v>18</v>
      </c>
      <c r="AS382" s="27" t="s">
        <v>5468</v>
      </c>
      <c r="AT382" s="27" t="s">
        <v>5469</v>
      </c>
      <c r="AU382" s="84" t="s">
        <v>4938</v>
      </c>
      <c r="AV382" s="77"/>
      <c r="AW382" s="77"/>
      <c r="AX382" s="77"/>
      <c r="AY382" s="77"/>
      <c r="AZ382" s="77"/>
      <c r="BA382" s="77"/>
      <c r="BB382" s="77"/>
      <c r="BC382" s="77"/>
      <c r="BD382" s="77"/>
      <c r="BE382" s="77"/>
      <c r="BF382" s="77"/>
      <c r="BG382" s="77"/>
      <c r="BH382" s="77"/>
      <c r="BI382" s="77"/>
      <c r="BJ382" s="77"/>
      <c r="BK382" s="77"/>
      <c r="BL382" s="77"/>
      <c r="BM382" s="77"/>
      <c r="BN382" s="77"/>
      <c r="BO382" s="77"/>
      <c r="BP382" s="77"/>
      <c r="BQ382" s="77"/>
      <c r="BR382" s="77"/>
      <c r="BS382" s="77"/>
      <c r="BT382" s="77"/>
      <c r="BU382" s="77"/>
      <c r="BV382" s="77"/>
      <c r="BW382" s="77"/>
      <c r="BX382" s="77"/>
      <c r="BY382" s="77"/>
      <c r="BZ382" s="77"/>
      <c r="CA382" s="77"/>
      <c r="CB382" s="77"/>
      <c r="CC382" s="77"/>
      <c r="CD382" s="77"/>
      <c r="CE382" s="77"/>
      <c r="CF382" s="77"/>
      <c r="CG382" s="77"/>
      <c r="CH382" s="77"/>
      <c r="CI382" s="77"/>
      <c r="CJ382" s="77"/>
      <c r="CK382" s="77"/>
      <c r="CL382" s="77"/>
      <c r="CM382" s="77"/>
      <c r="CN382" s="77"/>
      <c r="CO382" s="77"/>
      <c r="CP382" s="77"/>
      <c r="CQ382" s="77"/>
      <c r="CR382" s="77"/>
      <c r="CS382" s="77"/>
      <c r="CT382" s="77"/>
      <c r="CU382" s="77"/>
      <c r="CV382" s="77"/>
      <c r="CW382" s="77"/>
      <c r="CX382" s="77"/>
      <c r="CY382" s="77"/>
      <c r="CZ382" s="77"/>
      <c r="DA382" s="77"/>
      <c r="DB382" s="77"/>
      <c r="DC382" s="77"/>
      <c r="DD382" s="77"/>
      <c r="DE382" s="77"/>
      <c r="DF382" s="77"/>
      <c r="DG382" s="77"/>
      <c r="DH382" s="77"/>
      <c r="DI382" s="77"/>
      <c r="DJ382" s="77"/>
      <c r="DK382" s="77"/>
      <c r="DL382" s="77"/>
      <c r="DM382" s="77"/>
      <c r="DN382" s="77"/>
      <c r="DO382" s="77"/>
      <c r="DP382" s="77"/>
      <c r="DQ382" s="77"/>
      <c r="DR382" s="77"/>
      <c r="DS382" s="77"/>
      <c r="DT382" s="77"/>
      <c r="DU382" s="77"/>
      <c r="DV382" s="77"/>
      <c r="DW382" s="77"/>
      <c r="DX382" s="77"/>
      <c r="DY382" s="77"/>
      <c r="DZ382" s="77"/>
      <c r="EA382" s="77"/>
      <c r="EB382" s="77"/>
      <c r="EC382" s="77"/>
      <c r="ED382" s="77"/>
      <c r="EE382" s="77"/>
      <c r="EF382" s="77"/>
      <c r="EG382" s="77"/>
      <c r="EH382" s="77"/>
      <c r="EI382" s="77"/>
      <c r="EJ382" s="77"/>
      <c r="EK382" s="77"/>
      <c r="EL382" s="77"/>
      <c r="EM382" s="77"/>
      <c r="EN382" s="77"/>
      <c r="EO382" s="77"/>
      <c r="EP382" s="77"/>
      <c r="EQ382" s="77"/>
      <c r="ER382" s="77"/>
      <c r="ES382" s="77"/>
      <c r="ET382" s="77"/>
      <c r="EU382" s="77"/>
      <c r="EV382" s="77"/>
      <c r="EW382" s="77"/>
      <c r="EX382" s="77"/>
      <c r="EY382" s="77"/>
      <c r="EZ382" s="77"/>
      <c r="FA382" s="77"/>
      <c r="FB382" s="77"/>
      <c r="FC382" s="77"/>
      <c r="FD382" s="77"/>
      <c r="FE382" s="77"/>
      <c r="FF382" s="77"/>
      <c r="FG382" s="77"/>
      <c r="FH382" s="77"/>
      <c r="FI382" s="77"/>
      <c r="FJ382" s="77"/>
      <c r="FK382" s="77"/>
      <c r="FL382" s="77"/>
      <c r="FM382" s="77"/>
      <c r="FN382" s="77"/>
      <c r="FO382" s="77"/>
      <c r="FP382" s="77"/>
      <c r="FQ382" s="77"/>
      <c r="FR382" s="77"/>
      <c r="FS382" s="77"/>
      <c r="FT382" s="77"/>
      <c r="FU382" s="77"/>
      <c r="FV382" s="77"/>
      <c r="FW382" s="77"/>
      <c r="FX382" s="77"/>
      <c r="FY382" s="77"/>
      <c r="FZ382" s="77"/>
      <c r="GA382" s="77"/>
      <c r="GB382" s="77"/>
      <c r="GC382" s="77"/>
      <c r="GD382" s="77"/>
      <c r="GE382" s="77"/>
      <c r="GF382" s="77"/>
      <c r="GG382" s="77"/>
      <c r="GH382" s="77"/>
      <c r="GI382" s="77"/>
      <c r="GJ382" s="77"/>
      <c r="GK382" s="77"/>
      <c r="GL382" s="77"/>
      <c r="GM382" s="77"/>
      <c r="GN382" s="77"/>
      <c r="GO382" s="77"/>
      <c r="GP382" s="77"/>
      <c r="GQ382" s="77"/>
      <c r="GR382" s="77"/>
      <c r="GS382" s="77"/>
      <c r="GT382" s="77"/>
      <c r="GU382" s="77"/>
      <c r="GV382" s="77"/>
      <c r="GW382" s="77"/>
      <c r="GX382" s="77"/>
      <c r="GY382" s="77"/>
      <c r="GZ382" s="77"/>
      <c r="HA382" s="77"/>
      <c r="HB382" s="77"/>
      <c r="HC382" s="77"/>
      <c r="HD382" s="77"/>
      <c r="HE382" s="77"/>
      <c r="HF382" s="77"/>
      <c r="HG382" s="77"/>
      <c r="HH382" s="77"/>
      <c r="HI382" s="77"/>
      <c r="HJ382" s="77"/>
      <c r="HK382" s="77"/>
      <c r="HL382" s="77"/>
      <c r="HM382" s="77"/>
      <c r="HN382" s="77"/>
      <c r="HO382" s="77"/>
      <c r="HP382" s="77"/>
      <c r="HQ382" s="77"/>
      <c r="HR382" s="77"/>
      <c r="HS382" s="77"/>
      <c r="HT382" s="77"/>
      <c r="HU382" s="77"/>
      <c r="HV382" s="77"/>
      <c r="HW382" s="77"/>
      <c r="HX382" s="77"/>
      <c r="HY382" s="77"/>
      <c r="HZ382" s="77"/>
      <c r="IA382" s="77"/>
      <c r="IB382" s="77"/>
      <c r="IC382" s="77"/>
      <c r="ID382" s="77"/>
      <c r="IE382" s="77"/>
      <c r="IF382" s="16"/>
      <c r="IG382" s="16"/>
      <c r="IH382" s="16"/>
      <c r="II382" s="16"/>
      <c r="IJ382" s="16"/>
      <c r="IK382" s="16"/>
      <c r="IL382" s="16"/>
      <c r="IM382" s="16"/>
      <c r="IN382" s="16"/>
      <c r="IO382" s="16"/>
      <c r="IP382" s="16"/>
      <c r="IQ382" s="16"/>
      <c r="IR382" s="16"/>
      <c r="IS382" s="16"/>
      <c r="IT382" s="16"/>
      <c r="IU382" s="16"/>
      <c r="IV382" s="16"/>
      <c r="IW382" s="16"/>
      <c r="IX382" s="16"/>
      <c r="IY382" s="16"/>
      <c r="IZ382" s="16"/>
      <c r="JA382" s="16"/>
      <c r="JB382" s="16"/>
      <c r="JC382" s="16"/>
      <c r="JD382" s="16"/>
      <c r="JE382" s="16"/>
      <c r="JF382" s="16"/>
      <c r="JG382" s="16"/>
      <c r="JH382" s="16"/>
      <c r="JI382" s="16"/>
      <c r="JJ382" s="16"/>
      <c r="JK382" s="16"/>
      <c r="JL382" s="16"/>
      <c r="JM382" s="16"/>
      <c r="JN382" s="16"/>
      <c r="JO382" s="16"/>
      <c r="JP382" s="16"/>
      <c r="JQ382" s="16"/>
      <c r="JR382" s="16"/>
      <c r="JS382" s="16"/>
      <c r="JT382" s="16"/>
      <c r="JU382" s="16"/>
      <c r="JV382" s="16"/>
      <c r="JW382" s="16"/>
      <c r="JX382" s="16"/>
      <c r="JY382" s="77"/>
      <c r="JZ382" s="77"/>
      <c r="KA382" s="77"/>
      <c r="KB382" s="77"/>
      <c r="KC382" s="77"/>
      <c r="KD382" s="77"/>
      <c r="KE382" s="77"/>
      <c r="KF382" s="77"/>
      <c r="KG382" s="77"/>
      <c r="KH382" s="77"/>
      <c r="KI382" s="77"/>
      <c r="KJ382" s="77"/>
      <c r="KK382" s="77"/>
      <c r="KL382" s="77"/>
      <c r="KM382" s="77"/>
      <c r="KN382" s="77"/>
      <c r="KO382" s="77"/>
      <c r="KP382" s="77"/>
      <c r="KQ382" s="77"/>
      <c r="KR382" s="77"/>
      <c r="KS382" s="77"/>
      <c r="KT382" s="77"/>
      <c r="KU382" s="77"/>
      <c r="KV382" s="77"/>
      <c r="KW382" s="77"/>
      <c r="KX382" s="77"/>
      <c r="KY382" s="77"/>
      <c r="KZ382" s="77"/>
      <c r="LA382" s="77"/>
      <c r="LB382" s="77"/>
      <c r="LC382" s="77"/>
      <c r="LD382" s="77"/>
      <c r="LE382" s="77"/>
      <c r="LF382" s="77"/>
      <c r="LG382" s="77"/>
      <c r="LH382" s="77"/>
      <c r="LI382" s="77"/>
      <c r="LJ382" s="77"/>
      <c r="LK382" s="77"/>
      <c r="LL382" s="77"/>
      <c r="LM382" s="77"/>
      <c r="LN382" s="77"/>
      <c r="LO382" s="77"/>
      <c r="LP382" s="77"/>
      <c r="LQ382" s="77"/>
      <c r="LR382" s="77"/>
      <c r="LS382" s="77"/>
      <c r="LT382" s="77"/>
      <c r="LU382" s="77"/>
      <c r="LV382" s="77"/>
      <c r="LY382" s="77"/>
      <c r="LZ382" s="77"/>
      <c r="MA382" s="77"/>
      <c r="MB382" s="77"/>
      <c r="MC382" s="77"/>
      <c r="MD382" s="77"/>
      <c r="ME382" s="77"/>
      <c r="MF382" s="77"/>
      <c r="MG382" s="77"/>
      <c r="MH382" s="77"/>
      <c r="MI382" s="77"/>
      <c r="MJ382" s="77"/>
      <c r="MK382" s="77"/>
      <c r="ML382" s="77"/>
      <c r="MM382" s="77"/>
      <c r="MN382" s="77"/>
      <c r="MO382" s="77"/>
      <c r="MP382" s="77"/>
      <c r="MQ382" s="77"/>
      <c r="MR382" s="77"/>
    </row>
    <row r="383" spans="1:368" ht="18.600000000000001" customHeight="1" x14ac:dyDescent="0.25">
      <c r="A383" s="119" t="s">
        <v>1471</v>
      </c>
      <c r="B383" s="27" t="s">
        <v>1472</v>
      </c>
      <c r="C383" s="27" t="s">
        <v>1473</v>
      </c>
      <c r="D383" s="30" t="str">
        <f>HYPERLINK("https://twitter.com/Malaysia_Gov","https://twitter.com/Malaysia_Gov")</f>
        <v>https://twitter.com/Malaysia_Gov</v>
      </c>
      <c r="E383" s="30" t="str">
        <f>HYPERLINK("http://twiplomacy.com/info/asia/Malaysia","http://twiplomacy.com/info/asia/Malaysia")</f>
        <v>http://twiplomacy.com/info/asia/Malaysia</v>
      </c>
      <c r="F383" s="10" t="s">
        <v>154</v>
      </c>
      <c r="G383" s="10" t="s">
        <v>239</v>
      </c>
      <c r="H383" s="10" t="s">
        <v>788</v>
      </c>
      <c r="I383" s="10" t="s">
        <v>782</v>
      </c>
      <c r="J383" s="27" t="s">
        <v>789</v>
      </c>
      <c r="K383" s="15" t="s">
        <v>777</v>
      </c>
      <c r="L383" s="10" t="s">
        <v>771</v>
      </c>
      <c r="M383" s="10" t="s">
        <v>770</v>
      </c>
      <c r="N383" s="30" t="str">
        <f>HYPERLINK("https://twitter.com/Malaysia_Gov/statuses/343251755955548160","https://twitter.com/Malaysia_Gov/statuses/343251755955548160")</f>
        <v>https://twitter.com/Malaysia_Gov/statuses/343251755955548160</v>
      </c>
      <c r="O383" s="27" t="s">
        <v>5918</v>
      </c>
      <c r="P383" s="80">
        <v>7101</v>
      </c>
      <c r="Q383" s="80">
        <v>2190</v>
      </c>
      <c r="R383" s="27" t="s">
        <v>2995</v>
      </c>
      <c r="S383" s="10" t="s">
        <v>1474</v>
      </c>
      <c r="T383" s="10" t="s">
        <v>771</v>
      </c>
      <c r="U383" s="10" t="s">
        <v>771</v>
      </c>
      <c r="V383" s="10" t="s">
        <v>771</v>
      </c>
      <c r="W383" s="10"/>
      <c r="X383" s="27" t="s">
        <v>1471</v>
      </c>
      <c r="Y383" s="27" t="s">
        <v>1472</v>
      </c>
      <c r="Z383" s="80">
        <v>1730</v>
      </c>
      <c r="AA383" s="27">
        <v>312</v>
      </c>
      <c r="AB383" s="80">
        <v>6007</v>
      </c>
      <c r="AC383" s="27">
        <v>1111</v>
      </c>
      <c r="AD383" s="27" t="s">
        <v>4014</v>
      </c>
      <c r="AE383" s="27">
        <v>1491523212</v>
      </c>
      <c r="AF383" s="27" t="s">
        <v>1473</v>
      </c>
      <c r="AG383" s="27" t="s">
        <v>1467</v>
      </c>
      <c r="AH383" s="79">
        <v>1.6336166194523101</v>
      </c>
      <c r="AI383" s="83">
        <v>1.17616580310881</v>
      </c>
      <c r="AJ383" s="80">
        <v>78.9658671586716</v>
      </c>
      <c r="AK383" s="80">
        <v>24.508302583025799</v>
      </c>
      <c r="AL383" s="27">
        <v>15</v>
      </c>
      <c r="AM383" s="97">
        <f>SUM(AL383/Z383)</f>
        <v>8.670520231213872E-3</v>
      </c>
      <c r="AN383" s="27" t="s">
        <v>1471</v>
      </c>
      <c r="AO383" s="27">
        <v>12</v>
      </c>
      <c r="AP383" s="27">
        <v>4</v>
      </c>
      <c r="AQ383" s="27">
        <v>0</v>
      </c>
      <c r="AR383" s="27">
        <f>SUM(AO383:AQ383)</f>
        <v>16</v>
      </c>
      <c r="AS383" s="27" t="s">
        <v>6228</v>
      </c>
      <c r="AT383" s="27" t="s">
        <v>5272</v>
      </c>
      <c r="AU383" s="84"/>
      <c r="AV383" s="77"/>
      <c r="AW383" s="77"/>
      <c r="AX383" s="77"/>
      <c r="AY383" s="77"/>
      <c r="AZ383" s="77"/>
      <c r="BA383" s="77"/>
      <c r="BB383" s="77"/>
      <c r="BC383" s="77"/>
      <c r="BD383" s="77"/>
      <c r="BE383" s="77"/>
      <c r="BF383" s="77"/>
      <c r="BG383" s="77"/>
      <c r="BH383" s="77"/>
      <c r="BI383" s="77"/>
      <c r="BJ383" s="77"/>
      <c r="BK383" s="77"/>
      <c r="BL383" s="77"/>
      <c r="BM383" s="77"/>
      <c r="BN383" s="77"/>
      <c r="BO383" s="77"/>
      <c r="BP383" s="77"/>
      <c r="BQ383" s="16"/>
      <c r="BR383" s="16"/>
      <c r="BS383" s="16"/>
      <c r="BT383" s="16"/>
      <c r="BU383" s="16"/>
      <c r="BV383" s="16"/>
      <c r="BW383" s="16"/>
      <c r="BX383" s="16"/>
      <c r="BY383" s="16"/>
      <c r="BZ383" s="16"/>
      <c r="CA383" s="16"/>
      <c r="CB383" s="16"/>
      <c r="CC383" s="77"/>
      <c r="CD383" s="77"/>
      <c r="CE383" s="77"/>
      <c r="CF383" s="77"/>
      <c r="CG383" s="77"/>
      <c r="CH383" s="77"/>
      <c r="CI383" s="77"/>
      <c r="CJ383" s="77"/>
      <c r="CK383" s="77"/>
      <c r="CL383" s="77"/>
      <c r="CM383" s="77"/>
      <c r="CN383" s="77"/>
      <c r="CO383" s="77"/>
      <c r="CP383" s="77"/>
      <c r="CQ383" s="77"/>
      <c r="CR383" s="77"/>
      <c r="CS383" s="77"/>
      <c r="CT383" s="77"/>
      <c r="CU383" s="77"/>
      <c r="CV383" s="77"/>
      <c r="CW383" s="77"/>
      <c r="CX383" s="77"/>
      <c r="CY383" s="77"/>
      <c r="CZ383" s="77"/>
      <c r="DA383" s="77"/>
      <c r="DB383" s="77"/>
      <c r="DC383" s="77"/>
      <c r="DD383" s="77"/>
      <c r="DE383" s="77"/>
      <c r="DF383" s="77"/>
      <c r="DG383" s="77"/>
      <c r="DH383" s="77"/>
      <c r="DI383" s="77"/>
      <c r="DJ383" s="77"/>
      <c r="DK383" s="77"/>
      <c r="DL383" s="77"/>
      <c r="DM383" s="77"/>
      <c r="DN383" s="77"/>
      <c r="DO383" s="77"/>
      <c r="DP383" s="77"/>
      <c r="DQ383" s="77"/>
      <c r="DR383" s="77"/>
      <c r="DS383" s="77"/>
      <c r="DT383" s="77"/>
      <c r="DU383" s="77"/>
      <c r="DV383" s="77"/>
      <c r="DW383" s="77"/>
      <c r="DX383" s="77"/>
      <c r="DY383" s="77"/>
      <c r="DZ383" s="77"/>
      <c r="EA383" s="77"/>
      <c r="EB383" s="77"/>
      <c r="EC383" s="77"/>
      <c r="ED383" s="77"/>
      <c r="EE383" s="77"/>
      <c r="EF383" s="77"/>
      <c r="EG383" s="77"/>
      <c r="EH383" s="77"/>
      <c r="EI383" s="77"/>
      <c r="EJ383" s="77"/>
      <c r="EK383" s="77"/>
      <c r="EL383" s="77"/>
      <c r="EP383" s="77"/>
      <c r="EQ383" s="77"/>
      <c r="ER383" s="77"/>
      <c r="ES383" s="77"/>
      <c r="ET383" s="77"/>
      <c r="EU383" s="77"/>
      <c r="EV383" s="77"/>
      <c r="EW383" s="77"/>
      <c r="EX383" s="77"/>
      <c r="EY383" s="77"/>
      <c r="EZ383" s="77"/>
      <c r="FA383" s="77"/>
      <c r="FB383" s="77"/>
      <c r="FC383" s="77"/>
      <c r="FD383" s="77"/>
      <c r="FE383" s="77"/>
      <c r="FF383" s="77"/>
      <c r="FG383" s="77"/>
      <c r="FH383" s="77"/>
      <c r="FI383" s="77"/>
      <c r="FJ383" s="77"/>
      <c r="FK383" s="77"/>
      <c r="FL383" s="77"/>
      <c r="FM383" s="77"/>
      <c r="FN383" s="77"/>
      <c r="FO383" s="77"/>
      <c r="FP383" s="77"/>
      <c r="FQ383" s="77"/>
      <c r="FR383" s="77"/>
      <c r="FS383" s="77"/>
      <c r="FT383" s="77"/>
      <c r="FU383" s="77"/>
      <c r="FV383" s="77"/>
      <c r="FW383" s="77"/>
      <c r="FX383" s="77"/>
      <c r="FY383" s="77"/>
      <c r="FZ383" s="77"/>
      <c r="GA383" s="77"/>
      <c r="GB383" s="77"/>
      <c r="GC383" s="77"/>
      <c r="GD383" s="77"/>
      <c r="GE383" s="77"/>
      <c r="GF383" s="77"/>
      <c r="GG383" s="77"/>
      <c r="GH383" s="77"/>
      <c r="GI383" s="77"/>
      <c r="GJ383" s="77"/>
      <c r="GK383" s="77"/>
      <c r="GL383" s="77"/>
      <c r="GM383" s="77"/>
      <c r="GN383" s="77"/>
      <c r="GO383" s="77"/>
      <c r="GP383" s="77"/>
      <c r="GQ383" s="77"/>
      <c r="GR383" s="77"/>
      <c r="GS383" s="77"/>
      <c r="GT383" s="77"/>
      <c r="GU383" s="77"/>
      <c r="GV383" s="77"/>
      <c r="GW383" s="77"/>
      <c r="GX383" s="77"/>
      <c r="GY383" s="77"/>
      <c r="GZ383" s="77"/>
      <c r="HA383" s="77"/>
      <c r="HB383" s="77"/>
      <c r="HC383" s="77"/>
      <c r="HD383" s="77"/>
      <c r="HE383" s="77"/>
      <c r="HF383" s="77"/>
      <c r="HG383" s="77"/>
      <c r="HH383" s="77"/>
      <c r="HI383" s="77"/>
      <c r="HJ383" s="77"/>
      <c r="HK383" s="77"/>
      <c r="HL383" s="77"/>
      <c r="HM383" s="77"/>
      <c r="HN383" s="77"/>
      <c r="HO383" s="77"/>
      <c r="HP383" s="77"/>
      <c r="HQ383" s="77"/>
      <c r="HR383" s="77"/>
      <c r="HS383" s="77"/>
      <c r="HT383" s="77"/>
      <c r="HU383" s="77"/>
      <c r="HV383" s="77"/>
      <c r="HW383" s="77"/>
      <c r="HX383" s="77"/>
      <c r="HY383" s="77"/>
      <c r="HZ383" s="77"/>
      <c r="IA383" s="77"/>
      <c r="IB383" s="77"/>
      <c r="IC383" s="77"/>
      <c r="ID383" s="77"/>
      <c r="IE383" s="77"/>
      <c r="IF383" s="16"/>
      <c r="IG383" s="16"/>
      <c r="IH383" s="16"/>
      <c r="II383" s="16"/>
      <c r="IJ383" s="16"/>
      <c r="IK383" s="16"/>
      <c r="IL383" s="16"/>
      <c r="IM383" s="16"/>
      <c r="IN383" s="16"/>
      <c r="IO383" s="16"/>
      <c r="IP383" s="16"/>
      <c r="IQ383" s="16"/>
      <c r="IR383" s="16"/>
      <c r="IS383" s="16"/>
      <c r="IT383" s="16"/>
      <c r="IU383" s="16"/>
      <c r="IV383" s="16"/>
      <c r="IW383" s="16"/>
      <c r="IX383" s="16"/>
      <c r="IY383" s="16"/>
      <c r="IZ383" s="16"/>
      <c r="JA383" s="16"/>
      <c r="JB383" s="16"/>
      <c r="JC383" s="16"/>
      <c r="JD383" s="16"/>
      <c r="JE383" s="16"/>
      <c r="JF383" s="16"/>
      <c r="JG383" s="16"/>
      <c r="JH383" s="16"/>
      <c r="JI383" s="16"/>
      <c r="JJ383" s="16"/>
      <c r="JK383" s="16"/>
      <c r="JL383" s="16"/>
      <c r="JM383" s="16"/>
      <c r="JN383" s="16"/>
      <c r="JO383" s="16"/>
      <c r="JP383" s="16"/>
      <c r="JQ383" s="16"/>
      <c r="JR383" s="16"/>
      <c r="JS383" s="16"/>
      <c r="JT383" s="16"/>
      <c r="JU383" s="16"/>
      <c r="JV383" s="16"/>
      <c r="JW383" s="16"/>
      <c r="JX383" s="16"/>
      <c r="JY383" s="77"/>
      <c r="JZ383" s="77"/>
      <c r="KA383" s="77"/>
      <c r="KB383" s="77"/>
      <c r="KC383" s="77"/>
      <c r="KD383" s="77"/>
      <c r="KE383" s="77"/>
      <c r="KF383" s="77"/>
      <c r="KG383" s="77"/>
      <c r="KH383" s="77"/>
      <c r="KI383" s="77"/>
      <c r="KJ383" s="77"/>
      <c r="KK383" s="77"/>
      <c r="KL383" s="77"/>
      <c r="LL383" s="77"/>
      <c r="LM383" s="77"/>
      <c r="LN383" s="77"/>
      <c r="LO383" s="77"/>
      <c r="LP383" s="77"/>
      <c r="LQ383" s="77"/>
      <c r="LR383" s="77"/>
      <c r="LS383" s="77"/>
      <c r="LT383" s="77"/>
      <c r="LU383" s="77"/>
      <c r="LV383" s="77"/>
      <c r="MS383" s="77"/>
    </row>
    <row r="384" spans="1:368" ht="18.600000000000001" customHeight="1" x14ac:dyDescent="0.25">
      <c r="A384" s="119" t="s">
        <v>52</v>
      </c>
      <c r="B384" s="27" t="s">
        <v>904</v>
      </c>
      <c r="C384" s="27" t="s">
        <v>3800</v>
      </c>
      <c r="D384" s="72" t="str">
        <f>HYPERLINK("https://twitter.com/HannaTetteh","https://twitter.com/HannaTetteh")</f>
        <v>https://twitter.com/HannaTetteh</v>
      </c>
      <c r="E384" s="72" t="str">
        <f>HYPERLINK("http://twiplomacy.com/info/africa/Ghana","http://twiplomacy.com/info/africa/Ghana")</f>
        <v>http://twiplomacy.com/info/africa/Ghana</v>
      </c>
      <c r="F384" s="10" t="s">
        <v>1</v>
      </c>
      <c r="G384" s="10" t="s">
        <v>49</v>
      </c>
      <c r="H384" s="10" t="s">
        <v>860</v>
      </c>
      <c r="I384" s="10" t="s">
        <v>773</v>
      </c>
      <c r="J384" s="27" t="s">
        <v>789</v>
      </c>
      <c r="K384" s="15" t="s">
        <v>777</v>
      </c>
      <c r="L384" s="10" t="s">
        <v>905</v>
      </c>
      <c r="M384" s="10" t="s">
        <v>770</v>
      </c>
      <c r="N384" s="30" t="s">
        <v>4635</v>
      </c>
      <c r="O384" s="27" t="s">
        <v>5858</v>
      </c>
      <c r="P384" s="80">
        <v>193</v>
      </c>
      <c r="Q384" s="80">
        <v>52</v>
      </c>
      <c r="R384" s="27" t="s">
        <v>2995</v>
      </c>
      <c r="S384" s="12" t="s">
        <v>906</v>
      </c>
      <c r="T384" s="10" t="s">
        <v>771</v>
      </c>
      <c r="U384" s="10" t="s">
        <v>771</v>
      </c>
      <c r="V384" s="10" t="s">
        <v>771</v>
      </c>
      <c r="W384" s="10"/>
      <c r="X384" s="27" t="s">
        <v>52</v>
      </c>
      <c r="Y384" s="27" t="s">
        <v>904</v>
      </c>
      <c r="Z384" s="80">
        <v>1711</v>
      </c>
      <c r="AA384" s="27">
        <v>1524</v>
      </c>
      <c r="AB384" s="80">
        <v>26658</v>
      </c>
      <c r="AC384" s="27">
        <v>274</v>
      </c>
      <c r="AD384" s="27" t="s">
        <v>3801</v>
      </c>
      <c r="AE384" s="27">
        <v>37228630</v>
      </c>
      <c r="AF384" s="27" t="s">
        <v>3800</v>
      </c>
      <c r="AG384" s="27" t="s">
        <v>907</v>
      </c>
      <c r="AH384" s="79">
        <v>0.66914352757137296</v>
      </c>
      <c r="AI384" s="83">
        <v>0.66914643696162901</v>
      </c>
      <c r="AJ384" s="80">
        <v>3.0560509554140101</v>
      </c>
      <c r="AK384" s="80">
        <v>2.3757961783439501</v>
      </c>
      <c r="AL384" s="27">
        <v>944</v>
      </c>
      <c r="AM384" s="97">
        <f>SUM(AL384/Z384)</f>
        <v>0.55172413793103448</v>
      </c>
      <c r="AN384" s="27" t="s">
        <v>52</v>
      </c>
      <c r="AO384" s="27">
        <v>50</v>
      </c>
      <c r="AP384" s="27">
        <v>8</v>
      </c>
      <c r="AQ384" s="27">
        <v>23</v>
      </c>
      <c r="AR384" s="27">
        <f>SUM(AO384:AQ384)</f>
        <v>81</v>
      </c>
      <c r="AS384" s="27" t="s">
        <v>6567</v>
      </c>
      <c r="AT384" s="27" t="s">
        <v>6746</v>
      </c>
      <c r="AU384" s="84" t="s">
        <v>4752</v>
      </c>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c r="EC384" s="77"/>
      <c r="ED384" s="77"/>
      <c r="EE384" s="77"/>
      <c r="EF384" s="77"/>
      <c r="EG384" s="77"/>
      <c r="EH384" s="77"/>
      <c r="EI384" s="77"/>
      <c r="EJ384" s="77"/>
      <c r="EK384" s="77"/>
      <c r="EL384" s="77"/>
      <c r="EM384" s="77"/>
      <c r="EN384" s="77"/>
      <c r="EO384" s="77"/>
      <c r="EP384" s="77"/>
      <c r="EQ384" s="77"/>
      <c r="GL384" s="77"/>
      <c r="GM384" s="77"/>
      <c r="GN384" s="77"/>
      <c r="GO384" s="77"/>
      <c r="GP384" s="77"/>
      <c r="GQ384" s="77"/>
      <c r="GR384" s="77"/>
      <c r="GS384" s="77"/>
      <c r="GT384" s="77"/>
      <c r="GU384" s="77"/>
      <c r="GV384" s="77"/>
      <c r="GW384" s="77"/>
      <c r="GX384" s="77"/>
      <c r="GY384" s="77"/>
      <c r="GZ384" s="77"/>
      <c r="HA384" s="77"/>
      <c r="HB384" s="77"/>
      <c r="HC384" s="77"/>
      <c r="HD384" s="77"/>
      <c r="HE384" s="77"/>
      <c r="HF384" s="77"/>
      <c r="HG384" s="77"/>
      <c r="HH384" s="77"/>
      <c r="HI384" s="77"/>
      <c r="HJ384" s="77"/>
      <c r="HK384" s="77"/>
      <c r="HL384" s="77"/>
      <c r="HM384" s="77"/>
      <c r="HN384" s="77"/>
      <c r="HO384" s="77"/>
      <c r="HP384" s="77"/>
      <c r="HQ384" s="77"/>
      <c r="HR384" s="77"/>
      <c r="HS384" s="77"/>
      <c r="HT384" s="77"/>
      <c r="HU384" s="77"/>
      <c r="HV384" s="77"/>
      <c r="HW384" s="77"/>
      <c r="HX384" s="77"/>
      <c r="HY384" s="77"/>
      <c r="HZ384" s="77"/>
      <c r="IA384" s="77"/>
      <c r="IB384" s="77"/>
      <c r="IC384" s="77"/>
      <c r="ID384" s="77"/>
      <c r="IE384" s="77"/>
      <c r="IF384" s="77"/>
      <c r="IG384" s="77"/>
      <c r="IH384" s="77"/>
      <c r="II384" s="77"/>
      <c r="IJ384" s="77"/>
      <c r="IK384" s="77"/>
      <c r="IL384" s="77"/>
      <c r="IM384" s="77"/>
      <c r="IN384" s="77"/>
      <c r="IO384" s="77"/>
      <c r="IP384" s="77"/>
      <c r="IQ384" s="77"/>
      <c r="IR384" s="77"/>
      <c r="IS384" s="77"/>
      <c r="IT384" s="77"/>
      <c r="IU384" s="77"/>
      <c r="IV384" s="77"/>
      <c r="IW384" s="77"/>
      <c r="IX384" s="77"/>
      <c r="IY384" s="77"/>
      <c r="IZ384" s="77"/>
      <c r="JA384" s="77"/>
      <c r="JB384" s="77"/>
      <c r="JC384" s="77"/>
      <c r="JD384" s="77"/>
      <c r="JE384" s="77"/>
      <c r="JF384" s="77"/>
      <c r="JG384" s="77"/>
      <c r="JH384" s="77"/>
      <c r="JI384" s="77"/>
      <c r="JJ384" s="77"/>
      <c r="JK384" s="77"/>
      <c r="JL384" s="77"/>
      <c r="JM384" s="77"/>
      <c r="JN384" s="77"/>
      <c r="JO384" s="77"/>
      <c r="JP384" s="77"/>
      <c r="JQ384" s="77"/>
      <c r="JR384" s="77"/>
      <c r="JS384" s="77"/>
      <c r="JT384" s="77"/>
      <c r="JU384" s="77"/>
      <c r="JV384" s="77"/>
      <c r="JW384" s="77"/>
      <c r="JX384" s="77"/>
      <c r="JY384" s="77"/>
      <c r="JZ384" s="77"/>
      <c r="KA384" s="77"/>
      <c r="KB384" s="77"/>
      <c r="KC384" s="77"/>
      <c r="KD384" s="77"/>
      <c r="KE384" s="77"/>
      <c r="KF384" s="77"/>
      <c r="KG384" s="77"/>
      <c r="KH384" s="77"/>
      <c r="KI384" s="77"/>
      <c r="KJ384" s="77"/>
      <c r="KK384" s="77"/>
      <c r="KL384" s="77"/>
      <c r="KM384" s="77"/>
      <c r="KN384" s="77"/>
      <c r="KO384" s="77"/>
      <c r="KP384" s="77"/>
      <c r="KQ384" s="77"/>
      <c r="KR384" s="77"/>
      <c r="KS384" s="77"/>
      <c r="KT384" s="77"/>
      <c r="KU384" s="77"/>
      <c r="KV384" s="77"/>
      <c r="KW384" s="77"/>
      <c r="KX384" s="77"/>
      <c r="KY384" s="77"/>
      <c r="KZ384" s="77"/>
      <c r="LA384" s="77"/>
      <c r="LB384" s="77"/>
      <c r="LC384" s="77"/>
      <c r="LD384" s="77"/>
      <c r="LE384" s="77"/>
      <c r="LF384" s="77"/>
      <c r="LG384" s="77"/>
      <c r="LH384" s="77"/>
      <c r="LI384" s="77"/>
      <c r="LJ384" s="77"/>
      <c r="LK384" s="77"/>
      <c r="LL384" s="77"/>
      <c r="LM384" s="77"/>
      <c r="LN384" s="77"/>
      <c r="LO384" s="77"/>
      <c r="LP384" s="77"/>
      <c r="LQ384" s="77"/>
      <c r="LR384" s="77"/>
      <c r="LS384" s="77"/>
      <c r="LT384" s="77"/>
      <c r="LU384" s="77"/>
      <c r="LV384" s="77"/>
      <c r="LW384" s="77"/>
      <c r="LX384" s="77"/>
      <c r="MT384" s="77"/>
      <c r="MU384" s="77"/>
      <c r="MV384" s="77"/>
      <c r="MW384" s="77"/>
      <c r="MX384" s="77"/>
      <c r="MY384" s="77"/>
      <c r="MZ384" s="77"/>
      <c r="NA384" s="77"/>
      <c r="NB384" s="77"/>
      <c r="NC384" s="77"/>
      <c r="ND384" s="77"/>
    </row>
    <row r="385" spans="1:368" ht="18.600000000000001" customHeight="1" x14ac:dyDescent="0.25">
      <c r="A385" s="119" t="s">
        <v>223</v>
      </c>
      <c r="B385" s="27" t="s">
        <v>795</v>
      </c>
      <c r="C385" s="27" t="s">
        <v>3693</v>
      </c>
      <c r="D385" s="30" t="str">
        <f>HYPERLINK("https://twitter.com/ForeignMinistry","https://twitter.com/ForeignMinistry")</f>
        <v>https://twitter.com/ForeignMinistry</v>
      </c>
      <c r="E385" s="30" t="str">
        <f>HYPERLINK("http://twiplomacy.com/info/asia/Jordan","http://twiplomacy.com/info/asia/Jordan")</f>
        <v>http://twiplomacy.com/info/asia/Jordan</v>
      </c>
      <c r="F385" s="10" t="s">
        <v>154</v>
      </c>
      <c r="G385" s="10" t="s">
        <v>217</v>
      </c>
      <c r="H385" s="10" t="s">
        <v>795</v>
      </c>
      <c r="I385" s="10" t="s">
        <v>782</v>
      </c>
      <c r="J385" s="27" t="s">
        <v>789</v>
      </c>
      <c r="K385" s="15" t="s">
        <v>777</v>
      </c>
      <c r="L385" s="10" t="s">
        <v>771</v>
      </c>
      <c r="M385" s="10" t="s">
        <v>771</v>
      </c>
      <c r="N385" s="30" t="str">
        <f>HYPERLINK("https://twitter.com/ForeignMinistry/statuses/18761753228","https://twitter.com/ForeignMinistry/statuses/18761753228")</f>
        <v>https://twitter.com/ForeignMinistry/statuses/18761753228</v>
      </c>
      <c r="O385" s="27" t="s">
        <v>5767</v>
      </c>
      <c r="P385" s="80">
        <v>57</v>
      </c>
      <c r="Q385" s="80">
        <v>56</v>
      </c>
      <c r="R385" s="27" t="s">
        <v>2994</v>
      </c>
      <c r="S385" s="10" t="s">
        <v>1415</v>
      </c>
      <c r="T385" s="10" t="s">
        <v>771</v>
      </c>
      <c r="U385" s="10" t="s">
        <v>771</v>
      </c>
      <c r="V385" s="10" t="s">
        <v>771</v>
      </c>
      <c r="W385" s="10"/>
      <c r="X385" s="27" t="s">
        <v>223</v>
      </c>
      <c r="Y385" s="27" t="s">
        <v>795</v>
      </c>
      <c r="Z385" s="80">
        <v>1705</v>
      </c>
      <c r="AA385" s="27">
        <v>1202</v>
      </c>
      <c r="AB385" s="80">
        <v>86099</v>
      </c>
      <c r="AC385" s="27">
        <v>166</v>
      </c>
      <c r="AD385" s="27" t="s">
        <v>3694</v>
      </c>
      <c r="AE385" s="27">
        <v>115151170</v>
      </c>
      <c r="AF385" s="27" t="s">
        <v>3693</v>
      </c>
      <c r="AG385" s="27" t="s">
        <v>1401</v>
      </c>
      <c r="AH385" s="79">
        <v>0.75375110326566597</v>
      </c>
      <c r="AI385" s="83">
        <v>0.80671077504725897</v>
      </c>
      <c r="AJ385" s="80">
        <v>3.72090188909202</v>
      </c>
      <c r="AK385" s="80">
        <v>3.37233394271786</v>
      </c>
      <c r="AL385" s="27">
        <v>94</v>
      </c>
      <c r="AM385" s="97">
        <f>SUM(AL385/Z385)</f>
        <v>5.5131964809384162E-2</v>
      </c>
      <c r="AN385" s="27" t="s">
        <v>223</v>
      </c>
      <c r="AO385" s="27">
        <v>25</v>
      </c>
      <c r="AP385" s="27">
        <v>48</v>
      </c>
      <c r="AQ385" s="27">
        <v>17</v>
      </c>
      <c r="AR385" s="27">
        <f>SUM(AO385:AQ385)</f>
        <v>90</v>
      </c>
      <c r="AS385" s="27" t="s">
        <v>6913</v>
      </c>
      <c r="AT385" s="27" t="s">
        <v>5606</v>
      </c>
      <c r="AU385" s="84" t="s">
        <v>5593</v>
      </c>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77"/>
      <c r="CB385" s="77"/>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6"/>
      <c r="EB385" s="16"/>
      <c r="EC385" s="16"/>
      <c r="ED385" s="16"/>
      <c r="EE385" s="16"/>
      <c r="EF385" s="16"/>
      <c r="EG385" s="16"/>
      <c r="EH385" s="16"/>
      <c r="EI385" s="16"/>
      <c r="EJ385" s="16"/>
      <c r="EK385" s="16"/>
      <c r="EL385" s="16"/>
      <c r="EM385" s="16"/>
      <c r="EN385" s="16"/>
      <c r="EO385" s="16"/>
      <c r="EP385" s="77"/>
      <c r="EQ385" s="77"/>
      <c r="ER385" s="77"/>
      <c r="ES385" s="77"/>
      <c r="ET385" s="77"/>
      <c r="EU385" s="77"/>
      <c r="EV385" s="77"/>
      <c r="EW385" s="77"/>
      <c r="EX385" s="77"/>
      <c r="EY385" s="77"/>
      <c r="EZ385" s="77"/>
      <c r="FA385" s="77"/>
      <c r="FB385" s="77"/>
      <c r="FC385" s="77"/>
      <c r="FD385" s="77"/>
      <c r="FE385" s="77"/>
      <c r="FF385" s="77"/>
      <c r="FG385" s="77"/>
      <c r="FH385" s="77"/>
      <c r="FI385" s="77"/>
      <c r="FJ385" s="77"/>
      <c r="FK385" s="77"/>
      <c r="FL385" s="77"/>
      <c r="FM385" s="77"/>
      <c r="FN385" s="77"/>
      <c r="FO385" s="77"/>
      <c r="FP385" s="77"/>
      <c r="FQ385" s="77"/>
      <c r="FR385" s="77"/>
      <c r="FS385" s="77"/>
      <c r="FT385" s="77"/>
      <c r="FU385" s="77"/>
      <c r="FV385" s="77"/>
      <c r="FW385" s="77"/>
      <c r="FX385" s="77"/>
      <c r="FY385" s="77"/>
      <c r="FZ385" s="77"/>
      <c r="GA385" s="77"/>
      <c r="GB385" s="77"/>
      <c r="GC385" s="77"/>
      <c r="GD385" s="77"/>
      <c r="GE385" s="77"/>
      <c r="GF385" s="77"/>
      <c r="GG385" s="77"/>
      <c r="GH385" s="77"/>
      <c r="GI385" s="77"/>
      <c r="GJ385" s="77"/>
      <c r="GK385" s="77"/>
      <c r="GL385" s="77"/>
      <c r="GM385" s="77"/>
      <c r="GN385" s="77"/>
      <c r="GO385" s="77"/>
      <c r="GP385" s="77"/>
      <c r="GQ385" s="77"/>
      <c r="GR385" s="77"/>
      <c r="GS385" s="77"/>
      <c r="GT385" s="77"/>
      <c r="GU385" s="77"/>
      <c r="GV385" s="77"/>
      <c r="GW385" s="77"/>
      <c r="GX385" s="77"/>
      <c r="GY385" s="77"/>
      <c r="GZ385" s="77"/>
      <c r="HA385" s="77"/>
      <c r="HB385" s="77"/>
      <c r="HC385" s="77"/>
      <c r="HD385" s="77"/>
      <c r="HE385" s="77"/>
      <c r="HF385" s="77"/>
      <c r="HG385" s="77"/>
      <c r="HH385" s="77"/>
      <c r="HI385" s="77"/>
      <c r="HJ385" s="77"/>
      <c r="HK385" s="77"/>
      <c r="HL385" s="77"/>
      <c r="HM385" s="77"/>
      <c r="HN385" s="77"/>
      <c r="HO385" s="77"/>
      <c r="HP385" s="77"/>
      <c r="HQ385" s="77"/>
      <c r="HR385" s="77"/>
      <c r="HS385" s="77"/>
      <c r="HT385" s="77"/>
      <c r="HU385" s="77"/>
      <c r="HV385" s="77"/>
      <c r="HW385" s="77"/>
      <c r="HX385" s="77"/>
      <c r="HY385" s="77"/>
      <c r="HZ385" s="77"/>
      <c r="IA385" s="77"/>
      <c r="IB385" s="77"/>
      <c r="IC385" s="77"/>
      <c r="ID385" s="77"/>
      <c r="IE385" s="77"/>
      <c r="IF385" s="77"/>
      <c r="IG385" s="77"/>
      <c r="IH385" s="77"/>
      <c r="II385" s="77"/>
      <c r="IJ385" s="77"/>
      <c r="IK385" s="77"/>
      <c r="IL385" s="77"/>
      <c r="IM385" s="77"/>
      <c r="IN385" s="77"/>
      <c r="IO385" s="77"/>
      <c r="IP385" s="77"/>
      <c r="IQ385" s="77"/>
      <c r="IR385" s="77"/>
      <c r="IS385" s="77"/>
      <c r="IT385" s="77"/>
      <c r="IU385" s="77"/>
      <c r="IV385" s="77"/>
      <c r="IW385" s="77"/>
      <c r="IX385" s="77"/>
      <c r="IY385" s="77"/>
      <c r="IZ385" s="77"/>
      <c r="JA385" s="77"/>
      <c r="JB385" s="77"/>
      <c r="JC385" s="77"/>
      <c r="JD385" s="77"/>
      <c r="JE385" s="77"/>
      <c r="JF385" s="77"/>
      <c r="JG385" s="77"/>
      <c r="JH385" s="77"/>
      <c r="JI385" s="77"/>
      <c r="JJ385" s="77"/>
      <c r="JK385" s="77"/>
      <c r="JL385" s="77"/>
      <c r="JM385" s="77"/>
      <c r="JN385" s="77"/>
      <c r="JO385" s="77"/>
      <c r="JP385" s="77"/>
      <c r="JQ385" s="77"/>
      <c r="JR385" s="77"/>
      <c r="JS385" s="77"/>
      <c r="JT385" s="77"/>
      <c r="JU385" s="77"/>
      <c r="JV385" s="77"/>
      <c r="JW385" s="77"/>
      <c r="JX385" s="77"/>
      <c r="JY385" s="77"/>
      <c r="JZ385" s="77"/>
      <c r="KA385" s="77"/>
      <c r="KB385" s="77"/>
      <c r="KC385" s="77"/>
      <c r="KD385" s="77"/>
      <c r="KE385" s="77"/>
      <c r="KF385" s="77"/>
      <c r="KG385" s="77"/>
      <c r="KH385" s="77"/>
      <c r="KI385" s="77"/>
      <c r="KJ385" s="77"/>
      <c r="KK385" s="77"/>
      <c r="KL385" s="77"/>
      <c r="LL385" s="77"/>
      <c r="LM385" s="77"/>
      <c r="LN385" s="77"/>
      <c r="LO385" s="77"/>
      <c r="LP385" s="77"/>
      <c r="LQ385" s="77"/>
      <c r="LR385" s="77"/>
      <c r="LS385" s="77"/>
      <c r="LT385" s="77"/>
      <c r="LU385" s="77"/>
      <c r="LV385" s="77"/>
      <c r="LW385" s="77"/>
      <c r="LX385" s="77"/>
      <c r="LY385" s="77"/>
      <c r="LZ385" s="77"/>
      <c r="MA385" s="77"/>
      <c r="MB385" s="77"/>
      <c r="MC385" s="77"/>
      <c r="MD385" s="77"/>
      <c r="ME385" s="77"/>
      <c r="MF385" s="77"/>
      <c r="MG385" s="77"/>
      <c r="MH385" s="77"/>
      <c r="MI385" s="77"/>
      <c r="MJ385" s="77"/>
      <c r="MK385" s="77"/>
      <c r="ML385" s="77"/>
      <c r="MM385" s="77"/>
      <c r="MN385" s="77"/>
      <c r="MO385" s="77"/>
      <c r="MP385" s="77"/>
      <c r="MQ385" s="77"/>
      <c r="MR385" s="77"/>
      <c r="ND385" s="77"/>
    </row>
    <row r="386" spans="1:368" ht="18.600000000000001" customHeight="1" x14ac:dyDescent="0.25">
      <c r="A386" s="119" t="s">
        <v>423</v>
      </c>
      <c r="B386" s="27" t="s">
        <v>1965</v>
      </c>
      <c r="C386" s="27" t="s">
        <v>6394</v>
      </c>
      <c r="D386" s="30" t="str">
        <f>HYPERLINK("https://twitter.com/Govdotie","https://twitter.com/Govdotie")</f>
        <v>https://twitter.com/Govdotie</v>
      </c>
      <c r="E386" s="30" t="str">
        <f>HYPERLINK("http://twiplomacy.com/info/europe/Ireland","http://twiplomacy.com/info/europe/Ireland")</f>
        <v>http://twiplomacy.com/info/europe/Ireland</v>
      </c>
      <c r="F386" s="10" t="s">
        <v>332</v>
      </c>
      <c r="G386" s="10" t="s">
        <v>416</v>
      </c>
      <c r="H386" s="10" t="s">
        <v>788</v>
      </c>
      <c r="I386" s="10" t="s">
        <v>782</v>
      </c>
      <c r="J386" s="27" t="s">
        <v>789</v>
      </c>
      <c r="K386" s="15" t="s">
        <v>777</v>
      </c>
      <c r="L386" s="10" t="s">
        <v>771</v>
      </c>
      <c r="M386" s="10" t="s">
        <v>770</v>
      </c>
      <c r="N386" s="30" t="str">
        <f>HYPERLINK("https://twitter.com/govdotie/status/171601265619501056","https://twitter.com/govdotie/status/171601265619501056")</f>
        <v>https://twitter.com/govdotie/status/171601265619501056</v>
      </c>
      <c r="O386" s="27" t="s">
        <v>5829</v>
      </c>
      <c r="P386" s="80">
        <v>19</v>
      </c>
      <c r="Q386" s="80">
        <v>0</v>
      </c>
      <c r="R386" s="27" t="s">
        <v>2995</v>
      </c>
      <c r="S386" s="30" t="str">
        <f>HYPERLINK("https://twitter.com/Govdotie/lists","https://twitter.com/Govdotie/lists")</f>
        <v>https://twitter.com/Govdotie/lists</v>
      </c>
      <c r="T386" s="10">
        <v>3</v>
      </c>
      <c r="U386" s="10" t="s">
        <v>771</v>
      </c>
      <c r="V386" s="10" t="s">
        <v>771</v>
      </c>
      <c r="W386" s="10"/>
      <c r="X386" s="27" t="s">
        <v>423</v>
      </c>
      <c r="Y386" s="27" t="s">
        <v>1965</v>
      </c>
      <c r="Z386" s="80">
        <v>1705</v>
      </c>
      <c r="AA386" s="27">
        <v>231</v>
      </c>
      <c r="AB386" s="80">
        <v>3599</v>
      </c>
      <c r="AC386" s="27">
        <v>2</v>
      </c>
      <c r="AD386" s="27" t="s">
        <v>3751</v>
      </c>
      <c r="AE386" s="27">
        <v>497805807</v>
      </c>
      <c r="AF386" s="27" t="s">
        <v>6394</v>
      </c>
      <c r="AG386" s="27" t="s">
        <v>416</v>
      </c>
      <c r="AH386" s="79">
        <v>1.1121983039791301</v>
      </c>
      <c r="AI386" s="83">
        <v>1.18276580958999</v>
      </c>
      <c r="AJ386" s="80">
        <v>0.92492492492492495</v>
      </c>
      <c r="AK386" s="80">
        <v>0.23223223223223199</v>
      </c>
      <c r="AL386" s="27">
        <v>104</v>
      </c>
      <c r="AM386" s="97">
        <f>SUM(AL386/Z386)</f>
        <v>6.0997067448680352E-2</v>
      </c>
      <c r="AN386" s="27" t="s">
        <v>423</v>
      </c>
      <c r="AO386" s="27">
        <v>2</v>
      </c>
      <c r="AP386" s="27">
        <v>2</v>
      </c>
      <c r="AQ386" s="27">
        <v>2</v>
      </c>
      <c r="AR386" s="27">
        <f>SUM(AO386:AQ386)</f>
        <v>6</v>
      </c>
      <c r="AS386" s="27" t="s">
        <v>5148</v>
      </c>
      <c r="AT386" s="27" t="s">
        <v>5149</v>
      </c>
      <c r="AU386" s="84" t="s">
        <v>4738</v>
      </c>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EM386" s="16"/>
      <c r="EN386" s="16"/>
      <c r="EO386" s="16"/>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HL386" s="77"/>
      <c r="HM386" s="77"/>
      <c r="HN386" s="77"/>
      <c r="HO386" s="77"/>
      <c r="HP386" s="77"/>
      <c r="HQ386" s="77"/>
      <c r="HR386" s="77"/>
      <c r="HS386" s="77"/>
      <c r="HT386" s="77"/>
      <c r="HU386" s="77"/>
      <c r="HV386" s="77"/>
      <c r="HW386" s="77"/>
      <c r="HX386" s="77"/>
      <c r="HY386" s="77"/>
      <c r="HZ386" s="77"/>
      <c r="IA386" s="77"/>
      <c r="IB386" s="77"/>
      <c r="IC386" s="77"/>
      <c r="ID386" s="77"/>
      <c r="IE386" s="77"/>
      <c r="JY386" s="77"/>
      <c r="JZ386" s="77"/>
      <c r="KA386" s="77"/>
      <c r="KB386" s="77"/>
      <c r="KC386" s="77"/>
      <c r="KD386" s="77"/>
      <c r="KE386" s="77"/>
      <c r="KF386" s="77"/>
      <c r="KG386" s="77"/>
      <c r="KH386" s="77"/>
      <c r="KI386" s="77"/>
      <c r="KJ386" s="77"/>
      <c r="KK386" s="77"/>
      <c r="KL386" s="77"/>
      <c r="KM386" s="77"/>
      <c r="KN386" s="77"/>
      <c r="KO386" s="77"/>
      <c r="KP386" s="77"/>
      <c r="KQ386" s="77"/>
      <c r="KR386" s="77"/>
      <c r="KS386" s="77"/>
      <c r="KT386" s="77"/>
      <c r="KU386" s="77"/>
      <c r="KV386" s="77"/>
      <c r="KW386" s="77"/>
      <c r="KX386" s="77"/>
      <c r="KY386" s="77"/>
      <c r="KZ386" s="77"/>
      <c r="LA386" s="77"/>
      <c r="LB386" s="77"/>
      <c r="LC386" s="77"/>
      <c r="LD386" s="77"/>
      <c r="LE386" s="77"/>
      <c r="LF386" s="77"/>
      <c r="LG386" s="77"/>
      <c r="LH386" s="77"/>
      <c r="LI386" s="77"/>
      <c r="LJ386" s="77"/>
      <c r="LK386" s="77"/>
      <c r="LL386" s="77"/>
      <c r="LM386" s="77"/>
      <c r="LN386" s="77"/>
      <c r="LO386" s="77"/>
      <c r="LP386" s="77"/>
      <c r="LQ386" s="77"/>
      <c r="LR386" s="77"/>
      <c r="LS386" s="77"/>
      <c r="LT386" s="77"/>
      <c r="LU386" s="77"/>
      <c r="LV386" s="77"/>
      <c r="LW386" s="77"/>
      <c r="LX386" s="77"/>
      <c r="ND386" s="77"/>
    </row>
    <row r="387" spans="1:368" ht="18.600000000000001" customHeight="1" x14ac:dyDescent="0.25">
      <c r="A387" s="119" t="s">
        <v>736</v>
      </c>
      <c r="B387" s="27" t="s">
        <v>2686</v>
      </c>
      <c r="C387" s="27" t="s">
        <v>2688</v>
      </c>
      <c r="D387" s="30" t="str">
        <f>HYPERLINK("https://twitter.com/MindeGobierno","https://twitter.com/MindeGobierno")</f>
        <v>https://twitter.com/MindeGobierno</v>
      </c>
      <c r="E387" s="30" t="str">
        <f>HYPERLINK("http://twiplomacy.com/info/south-america/Bolivia","http://twiplomacy.com/info/south-america/Bolivia")</f>
        <v>http://twiplomacy.com/info/south-america/Bolivia</v>
      </c>
      <c r="F387" s="10" t="s">
        <v>668</v>
      </c>
      <c r="G387" s="10" t="s">
        <v>671</v>
      </c>
      <c r="H387" s="10" t="s">
        <v>788</v>
      </c>
      <c r="I387" s="10" t="s">
        <v>782</v>
      </c>
      <c r="J387" s="27" t="s">
        <v>2226</v>
      </c>
      <c r="K387" s="15" t="s">
        <v>777</v>
      </c>
      <c r="L387" s="10" t="s">
        <v>771</v>
      </c>
      <c r="M387" s="10" t="s">
        <v>770</v>
      </c>
      <c r="N387" s="30" t="s">
        <v>2687</v>
      </c>
      <c r="O387" s="27" t="s">
        <v>5960</v>
      </c>
      <c r="P387" s="80">
        <v>235</v>
      </c>
      <c r="Q387" s="80">
        <v>165</v>
      </c>
      <c r="R387" s="27" t="s">
        <v>2995</v>
      </c>
      <c r="S387" s="30" t="str">
        <f>HYPERLINK("https://twitter.com/MindeGobierno/lists","https://twitter.com/MindeGobierno/lists")</f>
        <v>https://twitter.com/MindeGobierno/lists</v>
      </c>
      <c r="T387" s="10" t="s">
        <v>771</v>
      </c>
      <c r="U387" s="10" t="s">
        <v>771</v>
      </c>
      <c r="V387" s="10" t="s">
        <v>771</v>
      </c>
      <c r="W387" s="10"/>
      <c r="X387" s="27" t="s">
        <v>736</v>
      </c>
      <c r="Y387" s="27" t="s">
        <v>2686</v>
      </c>
      <c r="Z387" s="80">
        <v>1696</v>
      </c>
      <c r="AA387" s="27">
        <v>172</v>
      </c>
      <c r="AB387" s="80">
        <v>9596</v>
      </c>
      <c r="AC387" s="27">
        <v>5</v>
      </c>
      <c r="AD387" s="27" t="s">
        <v>4120</v>
      </c>
      <c r="AE387" s="27">
        <v>2427864037</v>
      </c>
      <c r="AF387" s="27" t="s">
        <v>2688</v>
      </c>
      <c r="AG387" s="27"/>
      <c r="AH387" s="79">
        <v>2.2387862796833802</v>
      </c>
      <c r="AI387" s="83">
        <v>2.2387862796833802</v>
      </c>
      <c r="AJ387" s="80">
        <v>2.9004224502112299</v>
      </c>
      <c r="AK387" s="80">
        <v>1.85274592637296</v>
      </c>
      <c r="AL387" s="27">
        <v>467</v>
      </c>
      <c r="AM387" s="97">
        <f>SUM(AL387/Z387)</f>
        <v>0.27535377358490565</v>
      </c>
      <c r="AN387" s="27" t="s">
        <v>736</v>
      </c>
      <c r="AO387" s="27">
        <v>5</v>
      </c>
      <c r="AP387" s="27">
        <v>3</v>
      </c>
      <c r="AQ387" s="27">
        <v>1</v>
      </c>
      <c r="AR387" s="27">
        <f>SUM(AO387:AQ387)</f>
        <v>9</v>
      </c>
      <c r="AS387" s="27" t="s">
        <v>6601</v>
      </c>
      <c r="AT387" s="27" t="s">
        <v>5327</v>
      </c>
      <c r="AU387" s="84" t="s">
        <v>4299</v>
      </c>
      <c r="AV387" s="77"/>
      <c r="AW387" s="77"/>
      <c r="AX387" s="77"/>
      <c r="AY387" s="77"/>
      <c r="AZ387" s="77"/>
      <c r="BA387" s="77"/>
      <c r="BB387" s="77"/>
      <c r="BC387" s="77"/>
      <c r="BD387" s="77"/>
      <c r="BE387" s="77"/>
      <c r="BF387" s="77"/>
      <c r="BG387" s="77"/>
      <c r="BH387" s="77"/>
      <c r="BI387" s="77"/>
      <c r="BJ387" s="77"/>
      <c r="BK387" s="77"/>
      <c r="BL387" s="77"/>
      <c r="BM387" s="77"/>
      <c r="BN387" s="77"/>
      <c r="BO387" s="77"/>
      <c r="BP387" s="77"/>
      <c r="BQ387" s="77"/>
      <c r="BR387" s="77"/>
      <c r="BS387" s="77"/>
      <c r="BT387" s="77"/>
      <c r="BU387" s="77"/>
      <c r="BV387" s="77"/>
      <c r="BW387" s="77"/>
      <c r="BX387" s="77"/>
      <c r="BY387" s="77"/>
      <c r="BZ387" s="77"/>
      <c r="CA387" s="77"/>
      <c r="CB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c r="DS387" s="77"/>
      <c r="DT387" s="77"/>
      <c r="DU387" s="77"/>
      <c r="DV387" s="77"/>
      <c r="DW387" s="77"/>
      <c r="DX387" s="77"/>
      <c r="DY387" s="77"/>
      <c r="DZ387" s="77"/>
      <c r="EA387" s="77"/>
      <c r="EB387" s="77"/>
      <c r="EC387" s="77"/>
      <c r="ED387" s="77"/>
      <c r="EE387" s="77"/>
      <c r="EF387" s="77"/>
      <c r="EG387" s="77"/>
      <c r="EH387" s="77"/>
      <c r="EI387" s="77"/>
      <c r="EJ387" s="77"/>
      <c r="EK387" s="77"/>
      <c r="EL387" s="77"/>
      <c r="EM387" s="16"/>
      <c r="EN387" s="16"/>
      <c r="EO387" s="16"/>
      <c r="EP387" s="77"/>
      <c r="EQ387" s="77"/>
      <c r="GL387" s="77"/>
      <c r="GM387" s="77"/>
      <c r="GN387" s="77"/>
      <c r="GO387" s="77"/>
      <c r="GP387" s="77"/>
      <c r="GQ387" s="77"/>
      <c r="GR387" s="77"/>
      <c r="GS387" s="77"/>
      <c r="GT387" s="77"/>
      <c r="GU387" s="77"/>
      <c r="GV387" s="77"/>
      <c r="GW387" s="77"/>
      <c r="GX387" s="77"/>
      <c r="GY387" s="77"/>
      <c r="GZ387" s="77"/>
      <c r="HA387" s="77"/>
      <c r="HB387" s="77"/>
      <c r="HC387" s="77"/>
      <c r="HD387" s="77"/>
      <c r="HE387" s="77"/>
      <c r="HF387" s="77"/>
      <c r="HG387" s="77"/>
      <c r="HH387" s="77"/>
      <c r="HI387" s="77"/>
      <c r="HJ387" s="77"/>
      <c r="HK387" s="77"/>
      <c r="HL387" s="77"/>
      <c r="HM387" s="77"/>
      <c r="HN387" s="77"/>
      <c r="HO387" s="77"/>
      <c r="HP387" s="77"/>
      <c r="HQ387" s="77"/>
      <c r="HR387" s="77"/>
      <c r="HS387" s="77"/>
      <c r="HT387" s="77"/>
      <c r="HU387" s="77"/>
      <c r="HV387" s="77"/>
      <c r="HW387" s="77"/>
      <c r="HX387" s="77"/>
      <c r="HY387" s="77"/>
      <c r="HZ387" s="77"/>
      <c r="IA387" s="77"/>
      <c r="IB387" s="77"/>
      <c r="IC387" s="77"/>
      <c r="ID387" s="77"/>
      <c r="IE387" s="77"/>
      <c r="JY387" s="77"/>
      <c r="JZ387" s="77"/>
      <c r="KA387" s="77"/>
      <c r="KB387" s="77"/>
      <c r="KC387" s="77"/>
      <c r="KD387" s="77"/>
      <c r="KE387" s="77"/>
      <c r="KF387" s="77"/>
      <c r="KG387" s="77"/>
      <c r="KH387" s="77"/>
      <c r="KI387" s="77"/>
      <c r="KJ387" s="77"/>
      <c r="KK387" s="77"/>
      <c r="KL387" s="77"/>
      <c r="LL387" s="77"/>
      <c r="LM387" s="77"/>
      <c r="LN387" s="77"/>
      <c r="LO387" s="77"/>
      <c r="LP387" s="77"/>
      <c r="LQ387" s="77"/>
      <c r="LR387" s="77"/>
      <c r="LS387" s="77"/>
      <c r="LT387" s="77"/>
      <c r="LU387" s="77"/>
      <c r="LV387" s="77"/>
      <c r="LW387" s="77"/>
      <c r="LX387" s="77"/>
      <c r="MS387" s="77"/>
    </row>
    <row r="388" spans="1:368" ht="18.600000000000001" customHeight="1" x14ac:dyDescent="0.25">
      <c r="A388" s="119" t="s">
        <v>124</v>
      </c>
      <c r="B388" s="27" t="s">
        <v>1106</v>
      </c>
      <c r="C388" s="27" t="s">
        <v>1107</v>
      </c>
      <c r="D388" s="30" t="str">
        <f>HYPERLINK("https://twitter.com/RepSouthSudan","https://twitter.com/RepSouthSudan")</f>
        <v>https://twitter.com/RepSouthSudan</v>
      </c>
      <c r="E388" s="30" t="str">
        <f>HYPERLINK("http://twiplomacy.com/info/africa/South-Sudan","http://twiplomacy.com/info/africa/South-Sudan")</f>
        <v>http://twiplomacy.com/info/africa/South-Sudan</v>
      </c>
      <c r="F388" s="10" t="s">
        <v>1</v>
      </c>
      <c r="G388" s="10" t="s">
        <v>123</v>
      </c>
      <c r="H388" s="10" t="s">
        <v>788</v>
      </c>
      <c r="I388" s="10" t="s">
        <v>782</v>
      </c>
      <c r="J388" s="27" t="s">
        <v>789</v>
      </c>
      <c r="K388" s="15" t="s">
        <v>777</v>
      </c>
      <c r="L388" s="10" t="s">
        <v>771</v>
      </c>
      <c r="M388" s="10" t="s">
        <v>770</v>
      </c>
      <c r="N388" s="30" t="str">
        <f>HYPERLINK("https://twitter.com/RepSouthSudan/statuses/89450904700465152","https://twitter.com/RepSouthSudan/statuses/89450904700465152")</f>
        <v>https://twitter.com/RepSouthSudan/statuses/89450904700465152</v>
      </c>
      <c r="O388" s="27" t="s">
        <v>1108</v>
      </c>
      <c r="P388" s="80">
        <v>165</v>
      </c>
      <c r="Q388" s="80">
        <v>8</v>
      </c>
      <c r="R388" s="27" t="s">
        <v>2995</v>
      </c>
      <c r="S388" s="10" t="s">
        <v>1109</v>
      </c>
      <c r="T388" s="10" t="s">
        <v>771</v>
      </c>
      <c r="U388" s="10" t="s">
        <v>771</v>
      </c>
      <c r="V388" s="10" t="s">
        <v>771</v>
      </c>
      <c r="W388" s="10"/>
      <c r="X388" s="27" t="s">
        <v>124</v>
      </c>
      <c r="Y388" s="27" t="s">
        <v>1106</v>
      </c>
      <c r="Z388" s="80">
        <v>1695</v>
      </c>
      <c r="AA388" s="27">
        <v>189</v>
      </c>
      <c r="AB388" s="80">
        <v>26337</v>
      </c>
      <c r="AC388" s="27">
        <v>0</v>
      </c>
      <c r="AD388" s="27" t="s">
        <v>4412</v>
      </c>
      <c r="AE388" s="27">
        <v>331878888</v>
      </c>
      <c r="AF388" s="27" t="s">
        <v>1107</v>
      </c>
      <c r="AG388" s="27" t="s">
        <v>1110</v>
      </c>
      <c r="AH388" s="79">
        <v>0.96361569073337106</v>
      </c>
      <c r="AI388" s="83">
        <v>1.0047449584816099</v>
      </c>
      <c r="AJ388" s="80">
        <v>4.36189334931096</v>
      </c>
      <c r="AK388" s="80">
        <v>1.0683043738765701</v>
      </c>
      <c r="AL388" s="27">
        <v>166</v>
      </c>
      <c r="AM388" s="97">
        <f>SUM(AL388/Z388)</f>
        <v>9.7935103244837757E-2</v>
      </c>
      <c r="AN388" s="27" t="s">
        <v>124</v>
      </c>
      <c r="AO388" s="27">
        <v>39</v>
      </c>
      <c r="AP388" s="27">
        <v>19</v>
      </c>
      <c r="AQ388" s="27">
        <v>8</v>
      </c>
      <c r="AR388" s="27">
        <f>SUM(AO388:AQ388)</f>
        <v>66</v>
      </c>
      <c r="AS388" s="27" t="s">
        <v>5464</v>
      </c>
      <c r="AT388" s="27" t="s">
        <v>5465</v>
      </c>
      <c r="AU388" s="84" t="s">
        <v>4936</v>
      </c>
      <c r="AV388" s="77"/>
      <c r="AW388" s="77"/>
      <c r="AX388" s="77"/>
      <c r="AY388" s="77"/>
      <c r="AZ388" s="77"/>
      <c r="BA388" s="77"/>
      <c r="BB388" s="77"/>
      <c r="BC388" s="77"/>
      <c r="BD388" s="77"/>
      <c r="BE388" s="77"/>
      <c r="BF388" s="77"/>
      <c r="BG388" s="77"/>
      <c r="BH388" s="77"/>
      <c r="BI388" s="77"/>
      <c r="BJ388" s="77"/>
      <c r="BK388" s="77"/>
      <c r="BL388" s="77"/>
      <c r="BM388" s="77"/>
      <c r="BN388" s="77"/>
      <c r="BO388" s="77"/>
      <c r="BP388" s="77"/>
      <c r="BQ388" s="77"/>
      <c r="BR388" s="77"/>
      <c r="BS388" s="77"/>
      <c r="BT388" s="77"/>
      <c r="BU388" s="77"/>
      <c r="BV388" s="77"/>
      <c r="BW388" s="77"/>
      <c r="BX388" s="77"/>
      <c r="BY388" s="77"/>
      <c r="BZ388" s="77"/>
      <c r="CA388" s="77"/>
      <c r="CB388" s="77"/>
      <c r="CC388" s="77"/>
      <c r="CD388" s="77"/>
      <c r="CE388" s="77"/>
      <c r="CF388" s="77"/>
      <c r="CG388" s="77"/>
      <c r="CH388" s="77"/>
      <c r="CI388" s="77"/>
      <c r="CJ388" s="77"/>
      <c r="CK388" s="77"/>
      <c r="CL388" s="77"/>
      <c r="CM388" s="77"/>
      <c r="CN388" s="77"/>
      <c r="CO388" s="77"/>
      <c r="CP388" s="77"/>
      <c r="CQ388" s="77"/>
      <c r="CR388" s="77"/>
      <c r="CS388" s="77"/>
      <c r="CT388" s="77"/>
      <c r="CU388" s="77"/>
      <c r="CV388" s="77"/>
      <c r="CW388" s="77"/>
      <c r="CX388" s="77"/>
      <c r="CY388" s="77"/>
      <c r="CZ388" s="77"/>
      <c r="DA388" s="77"/>
      <c r="DB388" s="77"/>
      <c r="DC388" s="77"/>
      <c r="DD388" s="77"/>
      <c r="DE388" s="77"/>
      <c r="DF388" s="77"/>
      <c r="DG388" s="77"/>
      <c r="DH388" s="77"/>
      <c r="DI388" s="77"/>
      <c r="DJ388" s="77"/>
      <c r="DK388" s="77"/>
      <c r="DL388" s="77"/>
      <c r="DM388" s="77"/>
      <c r="DN388" s="77"/>
      <c r="DO388" s="77"/>
      <c r="DP388" s="77"/>
      <c r="DQ388" s="77"/>
      <c r="DR388" s="77"/>
      <c r="DS388" s="77"/>
      <c r="DT388" s="77"/>
      <c r="DU388" s="77"/>
      <c r="DV388" s="77"/>
      <c r="DW388" s="77"/>
      <c r="DX388" s="77"/>
      <c r="DY388" s="77"/>
      <c r="DZ388" s="77"/>
      <c r="EA388" s="77"/>
      <c r="EB388" s="77"/>
      <c r="EC388" s="77"/>
      <c r="ED388" s="77"/>
      <c r="EE388" s="77"/>
      <c r="EF388" s="77"/>
      <c r="EG388" s="77"/>
      <c r="EH388" s="77"/>
      <c r="EI388" s="77"/>
      <c r="EJ388" s="77"/>
      <c r="EK388" s="77"/>
      <c r="EL388" s="77"/>
      <c r="EM388" s="77"/>
      <c r="EN388" s="77"/>
      <c r="EO388" s="77"/>
      <c r="EP388" s="77"/>
      <c r="EQ388" s="77"/>
      <c r="ER388" s="77"/>
      <c r="ES388" s="77"/>
      <c r="ET388" s="77"/>
      <c r="EU388" s="77"/>
      <c r="EV388" s="77"/>
      <c r="EW388" s="77"/>
      <c r="EX388" s="77"/>
      <c r="EY388" s="77"/>
      <c r="EZ388" s="77"/>
      <c r="FA388" s="77"/>
      <c r="FB388" s="77"/>
      <c r="FC388" s="77"/>
      <c r="FD388" s="77"/>
      <c r="FE388" s="77"/>
      <c r="FF388" s="77"/>
      <c r="FG388" s="77"/>
      <c r="FH388" s="77"/>
      <c r="FI388" s="77"/>
      <c r="FJ388" s="77"/>
      <c r="FK388" s="77"/>
      <c r="FL388" s="77"/>
      <c r="FM388" s="77"/>
      <c r="FN388" s="77"/>
      <c r="FO388" s="77"/>
      <c r="FP388" s="77"/>
      <c r="FQ388" s="77"/>
      <c r="FR388" s="77"/>
      <c r="FS388" s="77"/>
      <c r="FT388" s="77"/>
      <c r="FU388" s="77"/>
      <c r="FV388" s="77"/>
      <c r="FW388" s="77"/>
      <c r="FX388" s="77"/>
      <c r="FY388" s="77"/>
      <c r="FZ388" s="77"/>
      <c r="GA388" s="77"/>
      <c r="GB388" s="77"/>
      <c r="GC388" s="77"/>
      <c r="GD388" s="77"/>
      <c r="GE388" s="77"/>
      <c r="GF388" s="77"/>
      <c r="GG388" s="77"/>
      <c r="GH388" s="77"/>
      <c r="GI388" s="77"/>
      <c r="GJ388" s="77"/>
      <c r="GK388" s="77"/>
      <c r="GL388" s="77"/>
      <c r="GM388" s="77"/>
      <c r="GN388" s="77"/>
      <c r="GO388" s="77"/>
      <c r="GP388" s="77"/>
      <c r="GQ388" s="77"/>
      <c r="GR388" s="77"/>
      <c r="GS388" s="77"/>
      <c r="GT388" s="77"/>
      <c r="GU388" s="77"/>
      <c r="GV388" s="77"/>
      <c r="GW388" s="77"/>
      <c r="GX388" s="77"/>
      <c r="GY388" s="77"/>
      <c r="GZ388" s="77"/>
      <c r="HA388" s="77"/>
      <c r="HB388" s="77"/>
      <c r="HC388" s="77"/>
      <c r="HD388" s="77"/>
      <c r="HE388" s="77"/>
      <c r="HF388" s="77"/>
      <c r="HG388" s="77"/>
      <c r="HH388" s="77"/>
      <c r="HI388" s="77"/>
      <c r="HJ388" s="77"/>
      <c r="HK388" s="77"/>
      <c r="HL388" s="77"/>
      <c r="HM388" s="77"/>
      <c r="HN388" s="77"/>
      <c r="HO388" s="77"/>
      <c r="HP388" s="77"/>
      <c r="HQ388" s="77"/>
      <c r="HR388" s="77"/>
      <c r="HS388" s="77"/>
      <c r="HT388" s="77"/>
      <c r="HU388" s="77"/>
      <c r="HV388" s="77"/>
      <c r="HW388" s="77"/>
      <c r="HX388" s="77"/>
      <c r="HY388" s="77"/>
      <c r="HZ388" s="77"/>
      <c r="IA388" s="77"/>
      <c r="IB388" s="77"/>
      <c r="IC388" s="77"/>
      <c r="ID388" s="77"/>
      <c r="IE388" s="77"/>
      <c r="IF388" s="77"/>
      <c r="IG388" s="77"/>
      <c r="IH388" s="77"/>
      <c r="II388" s="77"/>
      <c r="IJ388" s="77"/>
      <c r="IK388" s="77"/>
      <c r="IL388" s="77"/>
      <c r="IM388" s="77"/>
      <c r="IN388" s="77"/>
      <c r="IO388" s="77"/>
      <c r="IP388" s="77"/>
      <c r="IQ388" s="77"/>
      <c r="IR388" s="77"/>
      <c r="IS388" s="77"/>
      <c r="IT388" s="77"/>
      <c r="IU388" s="77"/>
      <c r="IV388" s="77"/>
      <c r="IW388" s="77"/>
      <c r="IX388" s="77"/>
      <c r="IY388" s="77"/>
      <c r="IZ388" s="77"/>
      <c r="JA388" s="77"/>
      <c r="JB388" s="77"/>
      <c r="JC388" s="77"/>
      <c r="JD388" s="77"/>
      <c r="JE388" s="77"/>
      <c r="JF388" s="77"/>
      <c r="JG388" s="77"/>
      <c r="JH388" s="77"/>
      <c r="JI388" s="77"/>
      <c r="JJ388" s="77"/>
      <c r="JK388" s="77"/>
      <c r="JL388" s="77"/>
      <c r="JM388" s="77"/>
      <c r="JN388" s="77"/>
      <c r="JO388" s="77"/>
      <c r="JP388" s="77"/>
      <c r="JQ388" s="77"/>
      <c r="JR388" s="77"/>
      <c r="JS388" s="77"/>
      <c r="JT388" s="77"/>
      <c r="JU388" s="77"/>
      <c r="JV388" s="77"/>
      <c r="JW388" s="77"/>
      <c r="JX388" s="77"/>
      <c r="JY388" s="77"/>
      <c r="JZ388" s="77"/>
      <c r="KA388" s="77"/>
      <c r="KB388" s="77"/>
      <c r="KC388" s="77"/>
      <c r="KD388" s="77"/>
      <c r="KE388" s="77"/>
      <c r="KF388" s="77"/>
      <c r="KG388" s="77"/>
      <c r="KH388" s="77"/>
      <c r="KI388" s="77"/>
      <c r="KJ388" s="77"/>
      <c r="KK388" s="77"/>
      <c r="KL388" s="77"/>
      <c r="KM388" s="77"/>
      <c r="KN388" s="77"/>
      <c r="KO388" s="77"/>
      <c r="KP388" s="77"/>
      <c r="KQ388" s="77"/>
      <c r="KR388" s="77"/>
      <c r="KS388" s="77"/>
      <c r="KT388" s="77"/>
      <c r="KU388" s="77"/>
      <c r="KV388" s="77"/>
      <c r="KW388" s="77"/>
      <c r="KX388" s="77"/>
      <c r="KY388" s="77"/>
      <c r="KZ388" s="77"/>
      <c r="LA388" s="77"/>
      <c r="LB388" s="77"/>
      <c r="LC388" s="77"/>
      <c r="LD388" s="77"/>
      <c r="LE388" s="77"/>
      <c r="LF388" s="77"/>
      <c r="LG388" s="77"/>
      <c r="LH388" s="77"/>
      <c r="LI388" s="77"/>
      <c r="LJ388" s="77"/>
      <c r="LK388" s="77"/>
      <c r="LW388" s="77"/>
      <c r="LX388" s="77"/>
      <c r="MS388" s="77"/>
    </row>
    <row r="389" spans="1:368" s="66" customFormat="1" ht="18.600000000000001" customHeight="1" x14ac:dyDescent="0.25">
      <c r="A389" s="119" t="s">
        <v>181</v>
      </c>
      <c r="B389" s="27" t="s">
        <v>1276</v>
      </c>
      <c r="C389" s="27" t="s">
        <v>4077</v>
      </c>
      <c r="D389" s="30" t="str">
        <f>HYPERLINK("https://twitter.com/MFAgovge","https://twitter.com/MFAgovge")</f>
        <v>https://twitter.com/MFAgovge</v>
      </c>
      <c r="E389" s="30" t="str">
        <f>HYPERLINK("http://twiplomacy.com/info/asia/Georgia","http://twiplomacy.com/info/asia/Georgia")</f>
        <v>http://twiplomacy.com/info/asia/Georgia</v>
      </c>
      <c r="F389" s="10" t="s">
        <v>154</v>
      </c>
      <c r="G389" s="10" t="s">
        <v>178</v>
      </c>
      <c r="H389" s="10" t="s">
        <v>795</v>
      </c>
      <c r="I389" s="10" t="s">
        <v>782</v>
      </c>
      <c r="J389" s="27" t="s">
        <v>789</v>
      </c>
      <c r="K389" s="15" t="s">
        <v>777</v>
      </c>
      <c r="L389" s="10" t="s">
        <v>771</v>
      </c>
      <c r="M389" s="10" t="s">
        <v>770</v>
      </c>
      <c r="N389" s="30" t="str">
        <f>HYPERLINK("https://twitter.com/MFAgovge/statuses/74960938494722048","https://twitter.com/MFAgovge/statuses/74960938494722048")</f>
        <v>https://twitter.com/MFAgovge/statuses/74960938494722048</v>
      </c>
      <c r="O389" s="27" t="s">
        <v>5944</v>
      </c>
      <c r="P389" s="80">
        <v>35</v>
      </c>
      <c r="Q389" s="80">
        <v>0</v>
      </c>
      <c r="R389" s="27" t="s">
        <v>2995</v>
      </c>
      <c r="S389" s="12" t="s">
        <v>1277</v>
      </c>
      <c r="T389" s="10" t="s">
        <v>771</v>
      </c>
      <c r="U389" s="10" t="s">
        <v>771</v>
      </c>
      <c r="V389" s="10" t="s">
        <v>771</v>
      </c>
      <c r="W389" s="10"/>
      <c r="X389" s="27" t="s">
        <v>181</v>
      </c>
      <c r="Y389" s="27" t="s">
        <v>1276</v>
      </c>
      <c r="Z389" s="80">
        <v>1677</v>
      </c>
      <c r="AA389" s="27">
        <v>500</v>
      </c>
      <c r="AB389" s="80">
        <v>10319</v>
      </c>
      <c r="AC389" s="27">
        <v>111</v>
      </c>
      <c r="AD389" s="27" t="s">
        <v>4078</v>
      </c>
      <c r="AE389" s="27">
        <v>306974174</v>
      </c>
      <c r="AF389" s="27" t="s">
        <v>4077</v>
      </c>
      <c r="AG389" s="27" t="s">
        <v>1272</v>
      </c>
      <c r="AH389" s="79">
        <v>0.93166666666666698</v>
      </c>
      <c r="AI389" s="83">
        <v>0.93218454697053899</v>
      </c>
      <c r="AJ389" s="80">
        <v>1.7392523364485999</v>
      </c>
      <c r="AK389" s="80">
        <v>1.06822429906542</v>
      </c>
      <c r="AL389" s="27">
        <v>30</v>
      </c>
      <c r="AM389" s="97">
        <f>SUM(AL389/Z389)</f>
        <v>1.7889087656529516E-2</v>
      </c>
      <c r="AN389" s="27" t="s">
        <v>181</v>
      </c>
      <c r="AO389" s="27">
        <v>88</v>
      </c>
      <c r="AP389" s="27">
        <v>24</v>
      </c>
      <c r="AQ389" s="27">
        <v>59</v>
      </c>
      <c r="AR389" s="27">
        <f>SUM(AO389:AQ389)</f>
        <v>171</v>
      </c>
      <c r="AS389" s="27" t="s">
        <v>6235</v>
      </c>
      <c r="AT389" s="27" t="s">
        <v>6788</v>
      </c>
      <c r="AU389" s="84" t="s">
        <v>4844</v>
      </c>
      <c r="AV389" s="77"/>
      <c r="AW389" s="77"/>
      <c r="AX389" s="77"/>
      <c r="AY389" s="77"/>
      <c r="AZ389" s="77"/>
      <c r="BA389" s="77"/>
      <c r="BB389" s="77"/>
      <c r="BC389" s="77"/>
      <c r="BD389" s="77"/>
      <c r="BE389" s="77"/>
      <c r="BF389" s="77"/>
      <c r="BG389" s="77"/>
      <c r="BH389" s="77"/>
      <c r="BI389" s="77"/>
      <c r="BJ389" s="77"/>
      <c r="BK389" s="77"/>
      <c r="BL389" s="77"/>
      <c r="BM389" s="77"/>
      <c r="BN389" s="77"/>
      <c r="BO389" s="77"/>
      <c r="BP389" s="77"/>
      <c r="BQ389" s="77"/>
      <c r="BR389" s="77"/>
      <c r="BS389" s="77"/>
      <c r="BT389" s="77"/>
      <c r="BU389" s="77"/>
      <c r="BV389" s="77"/>
      <c r="BW389" s="77"/>
      <c r="BX389" s="77"/>
      <c r="BY389" s="77"/>
      <c r="BZ389" s="77"/>
      <c r="CA389" s="77"/>
      <c r="CB389" s="77"/>
      <c r="CC389" s="77"/>
      <c r="CD389" s="77"/>
      <c r="CE389" s="77"/>
      <c r="CF389" s="77"/>
      <c r="CG389" s="77"/>
      <c r="CH389" s="77"/>
      <c r="CI389" s="77"/>
      <c r="CJ389" s="77"/>
      <c r="CK389" s="77"/>
      <c r="CL389" s="77"/>
      <c r="CM389" s="77"/>
      <c r="CN389" s="77"/>
      <c r="CO389" s="77"/>
      <c r="CP389" s="77"/>
      <c r="CQ389" s="77"/>
      <c r="CR389" s="77"/>
      <c r="CS389" s="77"/>
      <c r="CT389" s="77"/>
      <c r="CU389" s="77"/>
      <c r="CV389" s="77"/>
      <c r="CW389" s="77"/>
      <c r="EM389" s="77"/>
      <c r="EN389" s="77"/>
      <c r="EO389" s="77"/>
      <c r="EP389" s="77"/>
      <c r="EQ389" s="16"/>
      <c r="HL389" s="77"/>
      <c r="HM389" s="77"/>
      <c r="HN389" s="77"/>
      <c r="HO389" s="77"/>
      <c r="HP389" s="77"/>
      <c r="HQ389" s="77"/>
      <c r="HR389" s="77"/>
      <c r="HS389" s="77"/>
      <c r="HT389" s="77"/>
      <c r="HU389" s="77"/>
      <c r="HV389" s="77"/>
      <c r="HW389" s="77"/>
      <c r="HX389" s="77"/>
      <c r="HY389" s="77"/>
      <c r="HZ389" s="77"/>
      <c r="IA389" s="77"/>
      <c r="IB389" s="77"/>
      <c r="IC389" s="77"/>
      <c r="ID389" s="77"/>
      <c r="IE389" s="77"/>
      <c r="IF389" s="77"/>
      <c r="IG389" s="77"/>
      <c r="IH389" s="77"/>
      <c r="II389" s="77"/>
      <c r="IJ389" s="77"/>
      <c r="IK389" s="77"/>
      <c r="IL389" s="77"/>
      <c r="IM389" s="77"/>
      <c r="IN389" s="77"/>
      <c r="IO389" s="77"/>
      <c r="IP389" s="77"/>
      <c r="IQ389" s="77"/>
      <c r="IR389" s="77"/>
      <c r="IS389" s="77"/>
      <c r="IT389" s="77"/>
      <c r="IU389" s="77"/>
      <c r="IV389" s="77"/>
      <c r="IW389" s="77"/>
      <c r="IX389" s="77"/>
      <c r="IY389" s="77"/>
      <c r="IZ389" s="77"/>
      <c r="JA389" s="77"/>
      <c r="JB389" s="77"/>
      <c r="JC389" s="77"/>
      <c r="JD389" s="77"/>
      <c r="JE389" s="77"/>
      <c r="JF389" s="77"/>
      <c r="JG389" s="77"/>
      <c r="JH389" s="77"/>
      <c r="JI389" s="77"/>
      <c r="JJ389" s="77"/>
      <c r="JK389" s="77"/>
      <c r="JL389" s="77"/>
      <c r="JM389" s="77"/>
      <c r="JN389" s="77"/>
      <c r="JO389" s="77"/>
      <c r="JP389" s="77"/>
      <c r="JQ389" s="77"/>
      <c r="JR389" s="77"/>
      <c r="JS389" s="77"/>
      <c r="JT389" s="77"/>
      <c r="JU389" s="77"/>
      <c r="JV389" s="77"/>
      <c r="JW389" s="77"/>
      <c r="JX389" s="77"/>
      <c r="JY389" s="77"/>
      <c r="JZ389" s="77"/>
      <c r="KA389" s="77"/>
      <c r="KB389" s="77"/>
      <c r="KC389" s="77"/>
      <c r="KD389" s="77"/>
      <c r="KE389" s="77"/>
      <c r="KF389" s="77"/>
      <c r="KG389" s="77"/>
      <c r="KH389" s="77"/>
      <c r="KI389" s="77"/>
      <c r="KJ389" s="77"/>
      <c r="KK389" s="77"/>
      <c r="KL389" s="77"/>
      <c r="KM389" s="77"/>
      <c r="KN389" s="77"/>
      <c r="KO389" s="77"/>
      <c r="KP389" s="77"/>
      <c r="KQ389" s="77"/>
      <c r="KR389" s="77"/>
      <c r="KS389" s="77"/>
      <c r="KT389" s="77"/>
      <c r="KU389" s="77"/>
      <c r="KV389" s="77"/>
      <c r="KW389" s="77"/>
      <c r="KX389" s="77"/>
      <c r="KY389" s="77"/>
      <c r="KZ389" s="77"/>
      <c r="LA389" s="77"/>
      <c r="LB389" s="77"/>
      <c r="LC389" s="77"/>
      <c r="LD389" s="77"/>
      <c r="LE389" s="77"/>
      <c r="LF389" s="77"/>
      <c r="LG389" s="77"/>
      <c r="LH389" s="77"/>
      <c r="LI389" s="77"/>
      <c r="LJ389" s="77"/>
      <c r="LK389" s="77"/>
    </row>
    <row r="390" spans="1:368" ht="18.600000000000001" customHeight="1" x14ac:dyDescent="0.25">
      <c r="A390" s="119" t="s">
        <v>1027</v>
      </c>
      <c r="B390" s="27" t="s">
        <v>1028</v>
      </c>
      <c r="C390" s="27" t="s">
        <v>1029</v>
      </c>
      <c r="D390" s="30" t="str">
        <f>HYPERLINK("https://twitter.com/Mbuhari","https://twitter.com/Mbuhari")</f>
        <v>https://twitter.com/Mbuhari</v>
      </c>
      <c r="E390" s="30" t="str">
        <f>HYPERLINK("http://twiplomacy.com/info/africa/Nigeria","http://twiplomacy.com/info/africa/Nigeria")</f>
        <v>http://twiplomacy.com/info/africa/Nigeria</v>
      </c>
      <c r="F390" s="10" t="s">
        <v>1</v>
      </c>
      <c r="G390" s="10" t="s">
        <v>95</v>
      </c>
      <c r="H390" s="10" t="s">
        <v>772</v>
      </c>
      <c r="I390" s="10" t="s">
        <v>773</v>
      </c>
      <c r="J390" s="27" t="s">
        <v>789</v>
      </c>
      <c r="K390" s="15" t="s">
        <v>5587</v>
      </c>
      <c r="L390" s="15"/>
      <c r="M390" s="10" t="s">
        <v>771</v>
      </c>
      <c r="N390" s="30" t="str">
        <f>HYPERLINK("https://twitter.com/MBuhari/status/546991961958518784","https://twitter.com/MBuhari/status/546991961958518784")</f>
        <v>https://twitter.com/MBuhari/status/546991961958518784</v>
      </c>
      <c r="O390" s="27" t="s">
        <v>5930</v>
      </c>
      <c r="P390" s="80">
        <v>4325</v>
      </c>
      <c r="Q390" s="80">
        <v>648</v>
      </c>
      <c r="R390" s="27" t="s">
        <v>2994</v>
      </c>
      <c r="S390" s="30" t="str">
        <f>HYPERLINK("https://twitter.com/MBuhari/lists","https://twitter.com/MBuhari/lists")</f>
        <v>https://twitter.com/MBuhari/lists</v>
      </c>
      <c r="T390" s="10" t="s">
        <v>771</v>
      </c>
      <c r="U390" s="10" t="s">
        <v>771</v>
      </c>
      <c r="V390" s="10" t="s">
        <v>771</v>
      </c>
      <c r="W390" s="10"/>
      <c r="X390" s="27" t="s">
        <v>1027</v>
      </c>
      <c r="Y390" s="27" t="s">
        <v>1028</v>
      </c>
      <c r="Z390" s="80">
        <v>1672</v>
      </c>
      <c r="AA390" s="27">
        <v>50</v>
      </c>
      <c r="AB390" s="80">
        <v>531563</v>
      </c>
      <c r="AC390" s="27">
        <v>12</v>
      </c>
      <c r="AD390" s="27" t="s">
        <v>4039</v>
      </c>
      <c r="AE390" s="27">
        <v>2936714848</v>
      </c>
      <c r="AF390" s="27" t="s">
        <v>1029</v>
      </c>
      <c r="AG390" s="27"/>
      <c r="AH390" s="79">
        <v>3.3641851106639802</v>
      </c>
      <c r="AI390" s="83">
        <v>6.4362934362934396</v>
      </c>
      <c r="AJ390" s="80">
        <v>636.14887640449399</v>
      </c>
      <c r="AK390" s="80">
        <v>94.219101123595493</v>
      </c>
      <c r="AL390" s="27">
        <v>89</v>
      </c>
      <c r="AM390" s="97">
        <f>SUM(AL390/Z390)</f>
        <v>5.3229665071770335E-2</v>
      </c>
      <c r="AN390" s="27" t="s">
        <v>1027</v>
      </c>
      <c r="AO390" s="27">
        <v>3</v>
      </c>
      <c r="AP390" s="27">
        <v>24</v>
      </c>
      <c r="AQ390" s="27">
        <v>2</v>
      </c>
      <c r="AR390" s="27">
        <f>SUM(AO390:AQ390)</f>
        <v>29</v>
      </c>
      <c r="AS390" s="27" t="s">
        <v>5286</v>
      </c>
      <c r="AT390" s="27" t="s">
        <v>6784</v>
      </c>
      <c r="AU390" s="84" t="s">
        <v>4832</v>
      </c>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ID390" s="77"/>
      <c r="IE390" s="77"/>
      <c r="JY390" s="77"/>
      <c r="JZ390" s="77"/>
      <c r="KA390" s="77"/>
      <c r="KB390" s="77"/>
      <c r="KC390" s="77"/>
      <c r="KD390" s="77"/>
      <c r="KE390" s="77"/>
      <c r="KF390" s="77"/>
      <c r="KG390" s="77"/>
      <c r="KH390" s="77"/>
      <c r="KI390" s="77"/>
      <c r="KJ390" s="77"/>
      <c r="KK390" s="77"/>
      <c r="KL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row>
    <row r="391" spans="1:368" ht="18.600000000000001" customHeight="1" x14ac:dyDescent="0.25">
      <c r="A391" s="119" t="s">
        <v>290</v>
      </c>
      <c r="B391" s="27" t="s">
        <v>1603</v>
      </c>
      <c r="C391" s="27" t="s">
        <v>4582</v>
      </c>
      <c r="D391" s="12" t="s">
        <v>1602</v>
      </c>
      <c r="E391" s="30" t="str">
        <f>HYPERLINK("http://twiplomacy.com/info/asia/Singapore","http://twiplomacy.com/info/asia/Singapore")</f>
        <v>http://twiplomacy.com/info/asia/Singapore</v>
      </c>
      <c r="F391" s="10" t="s">
        <v>154</v>
      </c>
      <c r="G391" s="10" t="s">
        <v>287</v>
      </c>
      <c r="H391" s="10" t="s">
        <v>860</v>
      </c>
      <c r="I391" s="10" t="s">
        <v>782</v>
      </c>
      <c r="J391" s="27" t="s">
        <v>789</v>
      </c>
      <c r="K391" s="15" t="s">
        <v>777</v>
      </c>
      <c r="L391" s="10"/>
      <c r="M391" s="10" t="s">
        <v>771</v>
      </c>
      <c r="N391" s="30" t="s">
        <v>3131</v>
      </c>
      <c r="O391" s="27" t="s">
        <v>3202</v>
      </c>
      <c r="P391" s="80">
        <v>42</v>
      </c>
      <c r="Q391" s="80">
        <v>11</v>
      </c>
      <c r="R391" s="27" t="s">
        <v>2995</v>
      </c>
      <c r="S391" s="12" t="s">
        <v>3150</v>
      </c>
      <c r="T391" s="10" t="s">
        <v>771</v>
      </c>
      <c r="U391" s="10" t="s">
        <v>771</v>
      </c>
      <c r="V391" s="10" t="s">
        <v>771</v>
      </c>
      <c r="W391" s="10"/>
      <c r="X391" s="27" t="s">
        <v>290</v>
      </c>
      <c r="Y391" s="27" t="s">
        <v>1603</v>
      </c>
      <c r="Z391" s="80">
        <v>1670</v>
      </c>
      <c r="AA391" s="27">
        <v>24</v>
      </c>
      <c r="AB391" s="80">
        <v>14846</v>
      </c>
      <c r="AC391" s="27">
        <v>2</v>
      </c>
      <c r="AD391" s="27" t="s">
        <v>4583</v>
      </c>
      <c r="AE391" s="27">
        <v>46570604</v>
      </c>
      <c r="AF391" s="27" t="s">
        <v>4582</v>
      </c>
      <c r="AG391" s="27" t="s">
        <v>287</v>
      </c>
      <c r="AH391" s="79">
        <v>0.66375198728139895</v>
      </c>
      <c r="AI391" s="83">
        <v>0.66282306163021898</v>
      </c>
      <c r="AJ391" s="80">
        <v>0.99093655589123897</v>
      </c>
      <c r="AK391" s="80">
        <v>1.3214501510573999</v>
      </c>
      <c r="AL391" s="96">
        <v>68</v>
      </c>
      <c r="AM391" s="97">
        <f>SUM(AL391/Z391)</f>
        <v>4.0718562874251497E-2</v>
      </c>
      <c r="AN391" s="27" t="s">
        <v>290</v>
      </c>
      <c r="AO391" s="27">
        <v>0</v>
      </c>
      <c r="AP391" s="27">
        <v>7</v>
      </c>
      <c r="AQ391" s="27">
        <v>1</v>
      </c>
      <c r="AR391" s="27">
        <f>SUM(AO391:AQ391)</f>
        <v>8</v>
      </c>
      <c r="AS391" s="27"/>
      <c r="AT391" s="27" t="s">
        <v>5556</v>
      </c>
      <c r="AU391" s="84" t="s">
        <v>288</v>
      </c>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JY391" s="77"/>
      <c r="JZ391" s="77"/>
      <c r="KA391" s="77"/>
      <c r="KB391" s="77"/>
      <c r="KC391" s="77"/>
      <c r="KD391" s="77"/>
      <c r="KE391" s="77"/>
      <c r="KF391" s="77"/>
      <c r="KG391" s="77"/>
      <c r="KH391" s="77"/>
      <c r="KI391" s="77"/>
      <c r="KJ391" s="77"/>
      <c r="KK391" s="77"/>
      <c r="KL391" s="77"/>
      <c r="KM391" s="77"/>
      <c r="KN391" s="77"/>
      <c r="KO391" s="77"/>
      <c r="KP391" s="77"/>
      <c r="KQ391" s="77"/>
      <c r="KR391" s="77"/>
      <c r="KS391" s="77"/>
      <c r="KT391" s="77"/>
      <c r="KU391" s="77"/>
      <c r="KV391" s="77"/>
      <c r="KW391" s="77"/>
      <c r="KX391" s="77"/>
      <c r="KY391" s="77"/>
      <c r="KZ391" s="77"/>
      <c r="LA391" s="77"/>
      <c r="LB391" s="77"/>
      <c r="LC391" s="77"/>
      <c r="LD391" s="77"/>
      <c r="LE391" s="77"/>
      <c r="LF391" s="77"/>
      <c r="LG391" s="77"/>
      <c r="LH391" s="77"/>
      <c r="LI391" s="77"/>
      <c r="LJ391" s="77"/>
      <c r="LK391" s="77"/>
      <c r="LL391" s="77"/>
      <c r="LM391" s="77"/>
      <c r="LN391" s="77"/>
      <c r="LO391" s="77"/>
      <c r="LP391" s="77"/>
      <c r="LQ391" s="77"/>
      <c r="LR391" s="77"/>
      <c r="LS391" s="77"/>
      <c r="LT391" s="77"/>
      <c r="LU391" s="77"/>
      <c r="LV391" s="77"/>
      <c r="LW391" s="77"/>
      <c r="LX391" s="77"/>
      <c r="LY391" s="77"/>
      <c r="LZ391" s="77"/>
      <c r="MA391" s="77"/>
      <c r="MB391" s="77"/>
      <c r="MC391" s="77"/>
      <c r="MD391" s="77"/>
      <c r="ME391" s="77"/>
      <c r="MF391" s="77"/>
      <c r="MG391" s="77"/>
      <c r="MH391" s="77"/>
      <c r="MI391" s="77"/>
      <c r="MJ391" s="77"/>
      <c r="MK391" s="77"/>
      <c r="ML391" s="77"/>
      <c r="MM391" s="77"/>
      <c r="MN391" s="77"/>
      <c r="MO391" s="77"/>
      <c r="MP391" s="77"/>
      <c r="MQ391" s="77"/>
      <c r="MR391" s="77"/>
    </row>
    <row r="392" spans="1:368" ht="18.600000000000001" customHeight="1" x14ac:dyDescent="0.25">
      <c r="A392" s="119" t="s">
        <v>351</v>
      </c>
      <c r="B392" s="27" t="s">
        <v>1740</v>
      </c>
      <c r="C392" s="27"/>
      <c r="D392" s="30" t="str">
        <f>HYPERLINK("https://twitter.com/B_Izetbegovic","https://twitter.com/B_Izetbegovic")</f>
        <v>https://twitter.com/B_Izetbegovic</v>
      </c>
      <c r="E392" s="30" t="str">
        <f>HYPERLINK("http://twiplomacy.com/info/europe/Bosnia-Herzegovina","http://twiplomacy.com/info/europe/Bosnia-Herzegovina")</f>
        <v>http://twiplomacy.com/info/europe/Bosnia-Herzegovina</v>
      </c>
      <c r="F392" s="10" t="s">
        <v>332</v>
      </c>
      <c r="G392" s="10" t="s">
        <v>350</v>
      </c>
      <c r="H392" s="10" t="s">
        <v>772</v>
      </c>
      <c r="I392" s="10" t="s">
        <v>773</v>
      </c>
      <c r="J392" s="27" t="s">
        <v>789</v>
      </c>
      <c r="K392" s="15" t="s">
        <v>777</v>
      </c>
      <c r="L392" s="15"/>
      <c r="M392" s="10" t="s">
        <v>771</v>
      </c>
      <c r="N392" s="30" t="str">
        <f>HYPERLINK("https://twitter.com/B_Izetbegovic/statuses/22000704570","https://twitter.com/B_Izetbegovic/statuses/22000704570")</f>
        <v>https://twitter.com/B_Izetbegovic/statuses/22000704570</v>
      </c>
      <c r="O392" s="27" t="s">
        <v>5697</v>
      </c>
      <c r="P392" s="80">
        <v>8</v>
      </c>
      <c r="Q392" s="80">
        <v>7</v>
      </c>
      <c r="R392" s="27" t="s">
        <v>2995</v>
      </c>
      <c r="S392" s="10" t="s">
        <v>1741</v>
      </c>
      <c r="T392" s="10" t="s">
        <v>771</v>
      </c>
      <c r="U392" s="10" t="s">
        <v>771</v>
      </c>
      <c r="V392" s="10" t="s">
        <v>771</v>
      </c>
      <c r="W392" s="10"/>
      <c r="X392" s="27" t="s">
        <v>351</v>
      </c>
      <c r="Y392" s="27" t="s">
        <v>1740</v>
      </c>
      <c r="Z392" s="80">
        <v>1667</v>
      </c>
      <c r="AA392" s="27">
        <v>0</v>
      </c>
      <c r="AB392" s="80">
        <v>2143</v>
      </c>
      <c r="AC392" s="27">
        <v>0</v>
      </c>
      <c r="AD392" s="27" t="s">
        <v>3495</v>
      </c>
      <c r="AE392" s="27">
        <v>181884541</v>
      </c>
      <c r="AF392" s="27"/>
      <c r="AG392" s="27" t="s">
        <v>1742</v>
      </c>
      <c r="AH392" s="79">
        <v>0.801827801827802</v>
      </c>
      <c r="AI392" s="83">
        <v>0.80289156626505997</v>
      </c>
      <c r="AJ392" s="80">
        <v>0.247899159663866</v>
      </c>
      <c r="AK392" s="80">
        <v>0.32713085234093597</v>
      </c>
      <c r="AL392" s="13">
        <v>0</v>
      </c>
      <c r="AM392" s="97">
        <f>SUM(AL392/Z392)</f>
        <v>0</v>
      </c>
      <c r="AN392" s="27" t="s">
        <v>351</v>
      </c>
      <c r="AO392" s="27">
        <v>0</v>
      </c>
      <c r="AP392" s="27">
        <v>7</v>
      </c>
      <c r="AQ392" s="27">
        <v>0</v>
      </c>
      <c r="AR392" s="27">
        <f>SUM(AO392:AQ392)</f>
        <v>7</v>
      </c>
      <c r="AS392" s="27"/>
      <c r="AT392" s="27" t="s">
        <v>6677</v>
      </c>
      <c r="AU392" s="84"/>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GL392" s="16"/>
      <c r="GM392" s="16"/>
      <c r="GN392" s="16"/>
      <c r="GO392" s="16"/>
      <c r="GP392" s="16"/>
      <c r="GQ392" s="16"/>
      <c r="GR392" s="16"/>
      <c r="GS392" s="16"/>
      <c r="GT392" s="16"/>
      <c r="GU392" s="16"/>
      <c r="GV392" s="16"/>
      <c r="GW392" s="16"/>
      <c r="GX392" s="16"/>
      <c r="GY392" s="16"/>
      <c r="GZ392" s="16"/>
      <c r="HA392" s="16"/>
      <c r="HB392" s="16"/>
      <c r="HC392" s="16"/>
      <c r="HD392" s="16"/>
      <c r="HE392" s="16"/>
      <c r="HF392" s="16"/>
      <c r="HG392" s="16"/>
      <c r="HH392" s="16"/>
      <c r="HI392" s="16"/>
      <c r="HJ392" s="16"/>
      <c r="HK392" s="16"/>
      <c r="HL392" s="77"/>
      <c r="HM392" s="77"/>
      <c r="HN392" s="77"/>
      <c r="HO392" s="77"/>
      <c r="HP392" s="77"/>
      <c r="HQ392" s="77"/>
      <c r="HR392" s="77"/>
      <c r="HS392" s="77"/>
      <c r="HT392" s="77"/>
      <c r="HU392" s="77"/>
      <c r="HV392" s="77"/>
      <c r="HW392" s="77"/>
      <c r="HX392" s="77"/>
      <c r="HY392" s="77"/>
      <c r="HZ392" s="77"/>
      <c r="IA392" s="77"/>
      <c r="IB392" s="77"/>
      <c r="IC392" s="77"/>
      <c r="ID392" s="77"/>
      <c r="IE392" s="77"/>
      <c r="JY392" s="77"/>
      <c r="JZ392" s="77"/>
      <c r="KA392" s="77"/>
      <c r="KB392" s="77"/>
      <c r="KC392" s="77"/>
      <c r="KD392" s="77"/>
      <c r="KE392" s="77"/>
      <c r="KF392" s="77"/>
      <c r="KG392" s="77"/>
      <c r="KH392" s="77"/>
      <c r="KI392" s="77"/>
      <c r="KJ392" s="77"/>
      <c r="KK392" s="77"/>
      <c r="KL392" s="77"/>
      <c r="KM392" s="77"/>
      <c r="KN392" s="77"/>
      <c r="KO392" s="77"/>
      <c r="KP392" s="77"/>
      <c r="KQ392" s="77"/>
      <c r="KR392" s="77"/>
      <c r="KS392" s="77"/>
      <c r="KT392" s="77"/>
      <c r="KU392" s="77"/>
      <c r="KV392" s="77"/>
      <c r="KW392" s="77"/>
      <c r="KX392" s="77"/>
      <c r="KY392" s="77"/>
      <c r="KZ392" s="77"/>
      <c r="LA392" s="77"/>
      <c r="LB392" s="77"/>
      <c r="LC392" s="77"/>
      <c r="LD392" s="77"/>
      <c r="LE392" s="77"/>
      <c r="LF392" s="77"/>
      <c r="LG392" s="77"/>
      <c r="LH392" s="77"/>
      <c r="LI392" s="77"/>
      <c r="LJ392" s="77"/>
      <c r="LK392" s="77"/>
      <c r="LL392" s="77"/>
      <c r="LM392" s="77"/>
      <c r="LN392" s="77"/>
      <c r="LO392" s="77"/>
      <c r="LP392" s="77"/>
      <c r="LQ392" s="77"/>
      <c r="LR392" s="77"/>
      <c r="LS392" s="77"/>
      <c r="LT392" s="77"/>
      <c r="LU392" s="77"/>
      <c r="LV392" s="77"/>
      <c r="LW392" s="77"/>
      <c r="LX392" s="77"/>
    </row>
    <row r="393" spans="1:368" ht="18.600000000000001" customHeight="1" x14ac:dyDescent="0.25">
      <c r="A393" s="119" t="s">
        <v>319</v>
      </c>
      <c r="B393" s="27" t="s">
        <v>1674</v>
      </c>
      <c r="C393" s="27" t="s">
        <v>4206</v>
      </c>
      <c r="D393" s="30" t="str">
        <f>HYPERLINK("https://twitter.com/OFMUAE","https://twitter.com/OFMUAE")</f>
        <v>https://twitter.com/OFMUAE</v>
      </c>
      <c r="E393" s="30" t="str">
        <f>HYPERLINK("http://twiplomacy.com/info/asia/United-Arab-Emirates","http://twiplomacy.com/info/asia/United-Arab-Emirates")</f>
        <v>http://twiplomacy.com/info/asia/United-Arab-Emirates</v>
      </c>
      <c r="F393" s="10" t="s">
        <v>154</v>
      </c>
      <c r="G393" s="10" t="s">
        <v>317</v>
      </c>
      <c r="H393" s="10" t="s">
        <v>795</v>
      </c>
      <c r="I393" s="10" t="s">
        <v>782</v>
      </c>
      <c r="J393" s="27" t="s">
        <v>789</v>
      </c>
      <c r="K393" s="15" t="s">
        <v>777</v>
      </c>
      <c r="L393" s="10" t="s">
        <v>771</v>
      </c>
      <c r="M393" s="10" t="s">
        <v>770</v>
      </c>
      <c r="N393" s="30" t="str">
        <f>HYPERLINK("https://twitter.com/OFMUAE/statuses/312467619833856001","https://twitter.com/OFMUAE/statuses/312467619833856001")</f>
        <v>https://twitter.com/OFMUAE/statuses/312467619833856001</v>
      </c>
      <c r="O393" s="27" t="s">
        <v>5995</v>
      </c>
      <c r="P393" s="80">
        <v>326</v>
      </c>
      <c r="Q393" s="80">
        <v>36</v>
      </c>
      <c r="R393" s="27" t="s">
        <v>2994</v>
      </c>
      <c r="S393" s="10" t="s">
        <v>1675</v>
      </c>
      <c r="T393" s="10" t="s">
        <v>771</v>
      </c>
      <c r="U393" s="10" t="s">
        <v>771</v>
      </c>
      <c r="V393" s="10" t="s">
        <v>771</v>
      </c>
      <c r="W393" s="10"/>
      <c r="X393" s="27" t="s">
        <v>319</v>
      </c>
      <c r="Y393" s="27" t="s">
        <v>1674</v>
      </c>
      <c r="Z393" s="80">
        <v>1665</v>
      </c>
      <c r="AA393" s="27">
        <v>45</v>
      </c>
      <c r="AB393" s="80">
        <v>21076</v>
      </c>
      <c r="AC393" s="27">
        <v>0</v>
      </c>
      <c r="AD393" s="27" t="s">
        <v>4207</v>
      </c>
      <c r="AE393" s="27">
        <v>1266848089</v>
      </c>
      <c r="AF393" s="27" t="s">
        <v>4206</v>
      </c>
      <c r="AG393" s="27" t="s">
        <v>1676</v>
      </c>
      <c r="AH393" s="79">
        <v>1.45414847161572</v>
      </c>
      <c r="AI393" s="83">
        <v>1.4592462751972</v>
      </c>
      <c r="AJ393" s="80">
        <v>10.8510903426791</v>
      </c>
      <c r="AK393" s="80">
        <v>4.4585669781931498</v>
      </c>
      <c r="AL393" s="27">
        <v>59</v>
      </c>
      <c r="AM393" s="97">
        <f>SUM(AL393/Z393)</f>
        <v>3.5435435435435432E-2</v>
      </c>
      <c r="AN393" s="27" t="s">
        <v>319</v>
      </c>
      <c r="AO393" s="27">
        <v>16</v>
      </c>
      <c r="AP393" s="27">
        <v>41</v>
      </c>
      <c r="AQ393" s="27">
        <v>15</v>
      </c>
      <c r="AR393" s="27">
        <f>SUM(AO393:AQ393)</f>
        <v>72</v>
      </c>
      <c r="AS393" s="27" t="s">
        <v>5370</v>
      </c>
      <c r="AT393" s="27" t="s">
        <v>6327</v>
      </c>
      <c r="AU393" s="84" t="s">
        <v>4883</v>
      </c>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HL393" s="77"/>
      <c r="HM393" s="77"/>
      <c r="HN393" s="77"/>
      <c r="HO393" s="77"/>
      <c r="HP393" s="77"/>
      <c r="HQ393" s="77"/>
      <c r="HR393" s="77"/>
      <c r="HS393" s="77"/>
      <c r="HT393" s="77"/>
      <c r="HU393" s="77"/>
      <c r="HV393" s="77"/>
      <c r="HW393" s="77"/>
      <c r="HX393" s="77"/>
      <c r="HY393" s="77"/>
      <c r="HZ393" s="77"/>
      <c r="IA393" s="77"/>
      <c r="IB393" s="77"/>
      <c r="IC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c r="JT393" s="77"/>
      <c r="JU393" s="77"/>
      <c r="JV393" s="77"/>
      <c r="JW393" s="77"/>
      <c r="JX393" s="77"/>
      <c r="LL393" s="77"/>
      <c r="LM393" s="77"/>
      <c r="LN393" s="77"/>
      <c r="LO393" s="77"/>
      <c r="LP393" s="77"/>
      <c r="LQ393" s="77"/>
      <c r="LR393" s="77"/>
      <c r="LS393" s="77"/>
      <c r="LT393" s="77"/>
      <c r="LU393" s="77"/>
      <c r="LV393" s="77"/>
      <c r="LW393" s="77"/>
      <c r="LX393" s="77"/>
      <c r="LY393" s="77"/>
      <c r="LZ393" s="77"/>
      <c r="MA393" s="77"/>
      <c r="MB393" s="77"/>
      <c r="MC393" s="77"/>
      <c r="MD393" s="77"/>
      <c r="ME393" s="77"/>
      <c r="MF393" s="77"/>
      <c r="MG393" s="77"/>
      <c r="MH393" s="77"/>
      <c r="MI393" s="77"/>
      <c r="MJ393" s="77"/>
      <c r="MK393" s="77"/>
      <c r="ML393" s="77"/>
      <c r="MM393" s="77"/>
      <c r="MN393" s="77"/>
      <c r="MO393" s="77"/>
      <c r="MP393" s="77"/>
      <c r="MQ393" s="77"/>
      <c r="MR393" s="77"/>
    </row>
    <row r="394" spans="1:368" ht="18.600000000000001" customHeight="1" x14ac:dyDescent="0.25">
      <c r="A394" s="119" t="s">
        <v>732</v>
      </c>
      <c r="B394" s="27" t="s">
        <v>2538</v>
      </c>
      <c r="C394" s="27"/>
      <c r="D394" s="30" t="str">
        <f>HYPERLINK("https://twitter.com/DeptEstadoPR","https://twitter.com/DeptEstadoPR")</f>
        <v>https://twitter.com/DeptEstadoPR</v>
      </c>
      <c r="E394" s="30" t="str">
        <f>HYPERLINK("http://twiplomacy.com/info/south-america/Puerto_Rico","http://twiplomacy.com/info/south-america/Puerto_Rico")</f>
        <v>http://twiplomacy.com/info/south-america/Puerto_Rico</v>
      </c>
      <c r="F394" s="10" t="s">
        <v>558</v>
      </c>
      <c r="G394" s="10" t="s">
        <v>729</v>
      </c>
      <c r="H394" s="10" t="s">
        <v>2539</v>
      </c>
      <c r="I394" s="10" t="s">
        <v>782</v>
      </c>
      <c r="J394" s="27" t="s">
        <v>789</v>
      </c>
      <c r="K394" s="10" t="s">
        <v>777</v>
      </c>
      <c r="L394" s="10" t="s">
        <v>771</v>
      </c>
      <c r="M394" s="10" t="s">
        <v>770</v>
      </c>
      <c r="N394" s="30" t="str">
        <f>HYPERLINK("https://twitter.com/DeptEstadoPR/statuses/342320091146354688","https://twitter.com/DeptEstadoPR/statuses/342320091146354688")</f>
        <v>https://twitter.com/DeptEstadoPR/statuses/342320091146354688</v>
      </c>
      <c r="O394" s="27" t="s">
        <v>5795</v>
      </c>
      <c r="P394" s="80">
        <v>26</v>
      </c>
      <c r="Q394" s="80">
        <v>0</v>
      </c>
      <c r="R394" s="27" t="s">
        <v>2995</v>
      </c>
      <c r="S394" s="30" t="str">
        <f>HYPERLINK("https://twitter.com/DeptEstadoPR/lists","https://twitter.com/DeptEstadoPR/lists")</f>
        <v>https://twitter.com/DeptEstadoPR/lists</v>
      </c>
      <c r="T394" s="10" t="s">
        <v>771</v>
      </c>
      <c r="U394" s="10" t="s">
        <v>771</v>
      </c>
      <c r="V394" s="10" t="s">
        <v>771</v>
      </c>
      <c r="W394" s="10"/>
      <c r="X394" s="27" t="s">
        <v>732</v>
      </c>
      <c r="Y394" s="27" t="s">
        <v>2538</v>
      </c>
      <c r="Z394" s="80">
        <v>1660</v>
      </c>
      <c r="AA394" s="27">
        <v>225</v>
      </c>
      <c r="AB394" s="80">
        <v>8873</v>
      </c>
      <c r="AC394" s="27">
        <v>120</v>
      </c>
      <c r="AD394" s="27" t="s">
        <v>3605</v>
      </c>
      <c r="AE394" s="27">
        <v>1483356139</v>
      </c>
      <c r="AF394" s="27"/>
      <c r="AG394" s="27" t="s">
        <v>2537</v>
      </c>
      <c r="AH394" s="79">
        <v>1.5630885122410501</v>
      </c>
      <c r="AI394" s="83">
        <v>1.57007575757576</v>
      </c>
      <c r="AJ394" s="80">
        <v>5.4726477024070004</v>
      </c>
      <c r="AK394" s="80">
        <v>4.7067833698030599</v>
      </c>
      <c r="AL394" s="27">
        <v>159</v>
      </c>
      <c r="AM394" s="97">
        <f>SUM(AL394/Z394)</f>
        <v>9.5783132530120482E-2</v>
      </c>
      <c r="AN394" s="27" t="s">
        <v>732</v>
      </c>
      <c r="AO394" s="27">
        <v>4</v>
      </c>
      <c r="AP394" s="27">
        <v>1</v>
      </c>
      <c r="AQ394" s="27">
        <v>2</v>
      </c>
      <c r="AR394" s="27">
        <f>SUM(AO394:AQ394)</f>
        <v>7</v>
      </c>
      <c r="AS394" s="27" t="s">
        <v>5080</v>
      </c>
      <c r="AT394" s="27" t="s">
        <v>705</v>
      </c>
      <c r="AU394" s="84" t="s">
        <v>4690</v>
      </c>
      <c r="AV394" s="69"/>
      <c r="AW394" s="69"/>
      <c r="AX394" s="69"/>
      <c r="AY394" s="69"/>
      <c r="AZ394" s="69"/>
      <c r="BA394" s="69"/>
      <c r="BB394" s="69"/>
      <c r="BC394" s="69"/>
      <c r="BD394" s="69"/>
      <c r="BE394" s="69"/>
      <c r="BF394" s="69"/>
      <c r="BG394" s="69"/>
      <c r="BH394" s="69"/>
      <c r="BI394" s="69"/>
      <c r="BJ394" s="69"/>
      <c r="BK394" s="69"/>
      <c r="BL394" s="69"/>
      <c r="BM394" s="69"/>
      <c r="BN394" s="70"/>
      <c r="BO394" s="70"/>
      <c r="BP394" s="70"/>
      <c r="BQ394" s="16"/>
      <c r="BR394" s="16"/>
      <c r="BS394" s="16"/>
      <c r="BT394" s="16"/>
      <c r="BU394" s="16"/>
      <c r="BV394" s="16"/>
      <c r="BW394" s="16"/>
      <c r="BX394" s="16"/>
      <c r="BY394" s="16"/>
      <c r="BZ394" s="16"/>
      <c r="CA394" s="16"/>
      <c r="CB394" s="16"/>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c r="JT394" s="77"/>
      <c r="JU394" s="77"/>
      <c r="JV394" s="77"/>
      <c r="JW394" s="77"/>
      <c r="JX394" s="77"/>
      <c r="JY394" s="77"/>
      <c r="JZ394" s="77"/>
      <c r="KA394" s="77"/>
      <c r="KB394" s="77"/>
      <c r="KC394" s="77"/>
      <c r="KD394" s="77"/>
      <c r="KE394" s="77"/>
      <c r="KF394" s="77"/>
      <c r="KG394" s="77"/>
      <c r="KH394" s="77"/>
      <c r="KI394" s="77"/>
      <c r="KJ394" s="77"/>
      <c r="KK394" s="77"/>
      <c r="KL394" s="77"/>
      <c r="KM394" s="77"/>
      <c r="KN394" s="77"/>
      <c r="KO394" s="77"/>
      <c r="KP394" s="77"/>
      <c r="KQ394" s="77"/>
      <c r="KR394" s="77"/>
      <c r="KS394" s="77"/>
      <c r="KT394" s="77"/>
      <c r="KU394" s="77"/>
      <c r="KV394" s="77"/>
      <c r="KW394" s="77"/>
      <c r="KX394" s="77"/>
      <c r="KY394" s="77"/>
      <c r="KZ394" s="77"/>
      <c r="LA394" s="77"/>
      <c r="LB394" s="77"/>
      <c r="LC394" s="77"/>
      <c r="LD394" s="77"/>
      <c r="LE394" s="77"/>
      <c r="LF394" s="77"/>
      <c r="LG394" s="77"/>
      <c r="LH394" s="77"/>
      <c r="LI394" s="77"/>
      <c r="LJ394" s="77"/>
      <c r="LK394" s="77"/>
      <c r="LY394" s="77"/>
      <c r="LZ394" s="77"/>
      <c r="MA394" s="77"/>
      <c r="MB394" s="77"/>
      <c r="MC394" s="77"/>
      <c r="MD394" s="77"/>
      <c r="ME394" s="77"/>
      <c r="MF394" s="77"/>
      <c r="MG394" s="77"/>
      <c r="MH394" s="77"/>
      <c r="MI394" s="77"/>
      <c r="MJ394" s="77"/>
      <c r="MK394" s="77"/>
      <c r="ML394" s="77"/>
      <c r="MM394" s="77"/>
      <c r="MN394" s="77"/>
      <c r="MO394" s="77"/>
      <c r="MP394" s="77"/>
      <c r="MQ394" s="77"/>
      <c r="MR394" s="77"/>
      <c r="MS394" s="77"/>
    </row>
    <row r="395" spans="1:368" ht="18.600000000000001" customHeight="1" x14ac:dyDescent="0.25">
      <c r="A395" s="119" t="s">
        <v>35</v>
      </c>
      <c r="B395" s="27" t="s">
        <v>856</v>
      </c>
      <c r="C395" s="27" t="s">
        <v>3449</v>
      </c>
      <c r="D395" s="72" t="str">
        <f>HYPERLINK("https://twitter.com/AlsisiOfficial","https://twitter.com/AlsisiOfficial")</f>
        <v>https://twitter.com/AlsisiOfficial</v>
      </c>
      <c r="E395" s="72" t="str">
        <f>HYPERLINK("http://twiplomacy.com/info/africa/Egypt","http://twiplomacy.com/info/africa/Egypt")</f>
        <v>http://twiplomacy.com/info/africa/Egypt</v>
      </c>
      <c r="F395" s="10" t="s">
        <v>1</v>
      </c>
      <c r="G395" s="10" t="s">
        <v>34</v>
      </c>
      <c r="H395" s="10" t="s">
        <v>772</v>
      </c>
      <c r="I395" s="10" t="s">
        <v>773</v>
      </c>
      <c r="J395" s="27" t="s">
        <v>814</v>
      </c>
      <c r="K395" s="15" t="s">
        <v>777</v>
      </c>
      <c r="L395" s="10"/>
      <c r="M395" s="10" t="s">
        <v>771</v>
      </c>
      <c r="N395" s="30" t="str">
        <f>HYPERLINK("https://twitter.com/AlsisiOfficial/statuses/462355912137908225","https://twitter.com/AlsisiOfficial/statuses/462355912137908225")</f>
        <v>https://twitter.com/AlsisiOfficial/statuses/462355912137908225</v>
      </c>
      <c r="O395" s="27" t="s">
        <v>5679</v>
      </c>
      <c r="P395" s="80">
        <v>8227</v>
      </c>
      <c r="Q395" s="80">
        <v>5944</v>
      </c>
      <c r="R395" s="27" t="s">
        <v>2994</v>
      </c>
      <c r="S395" s="30" t="str">
        <f>HYPERLINK("https://twitter.com/elsisi_official/lists","https://twitter.com/AlsisiOfficial/lists")</f>
        <v>https://twitter.com/AlsisiOfficial/lists</v>
      </c>
      <c r="T395" s="10" t="s">
        <v>771</v>
      </c>
      <c r="U395" s="10" t="s">
        <v>771</v>
      </c>
      <c r="V395" s="10" t="s">
        <v>771</v>
      </c>
      <c r="W395" s="10"/>
      <c r="X395" s="27" t="s">
        <v>35</v>
      </c>
      <c r="Y395" s="27" t="s">
        <v>856</v>
      </c>
      <c r="Z395" s="80">
        <v>1659</v>
      </c>
      <c r="AA395" s="27">
        <v>0</v>
      </c>
      <c r="AB395" s="80">
        <v>843592</v>
      </c>
      <c r="AC395" s="27">
        <v>0</v>
      </c>
      <c r="AD395" s="27" t="s">
        <v>3450</v>
      </c>
      <c r="AE395" s="27">
        <v>2419191913</v>
      </c>
      <c r="AF395" s="27" t="s">
        <v>3449</v>
      </c>
      <c r="AG395" s="27" t="s">
        <v>857</v>
      </c>
      <c r="AH395" s="79">
        <v>2.1714659685863902</v>
      </c>
      <c r="AI395" s="83">
        <v>2.2796143250688701</v>
      </c>
      <c r="AJ395" s="80">
        <v>159.254990341275</v>
      </c>
      <c r="AK395" s="80">
        <v>282.86799742433999</v>
      </c>
      <c r="AL395" s="96">
        <v>7</v>
      </c>
      <c r="AM395" s="97">
        <f>SUM(AL395/Z395)</f>
        <v>4.2194092827004216E-3</v>
      </c>
      <c r="AN395" s="27" t="s">
        <v>35</v>
      </c>
      <c r="AO395" s="27">
        <v>0</v>
      </c>
      <c r="AP395" s="27">
        <v>8</v>
      </c>
      <c r="AQ395" s="27">
        <v>0</v>
      </c>
      <c r="AR395" s="27">
        <f>SUM(AO395:AQ395)</f>
        <v>8</v>
      </c>
      <c r="AS395" s="27"/>
      <c r="AT395" s="27" t="s">
        <v>5011</v>
      </c>
      <c r="AU395" s="84"/>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HL395" s="77"/>
      <c r="HM395" s="77"/>
      <c r="HN395" s="77"/>
      <c r="HO395" s="77"/>
      <c r="HP395" s="77"/>
      <c r="HQ395" s="77"/>
      <c r="HR395" s="77"/>
      <c r="HS395" s="77"/>
      <c r="HT395" s="77"/>
      <c r="HU395" s="77"/>
      <c r="HV395" s="77"/>
      <c r="HW395" s="77"/>
      <c r="HX395" s="77"/>
      <c r="HY395" s="77"/>
      <c r="HZ395" s="77"/>
      <c r="IA395" s="77"/>
      <c r="IB395" s="77"/>
      <c r="IC395" s="77"/>
      <c r="ID395" s="77"/>
      <c r="IE395" s="77"/>
      <c r="IF395" s="77"/>
      <c r="IG395" s="77"/>
      <c r="IH395" s="77"/>
      <c r="II395" s="77"/>
      <c r="IJ395" s="77"/>
      <c r="IK395" s="77"/>
      <c r="IL395" s="77"/>
      <c r="IM395" s="77"/>
      <c r="IN395" s="77"/>
      <c r="IO395" s="77"/>
      <c r="IP395" s="77"/>
      <c r="IQ395" s="77"/>
      <c r="IR395" s="77"/>
      <c r="IS395" s="77"/>
      <c r="IT395" s="77"/>
      <c r="IU395" s="77"/>
      <c r="IV395" s="77"/>
      <c r="IW395" s="77"/>
      <c r="IX395" s="77"/>
      <c r="IY395" s="77"/>
      <c r="IZ395" s="77"/>
      <c r="JA395" s="77"/>
      <c r="JB395" s="77"/>
      <c r="JC395" s="77"/>
      <c r="JD395" s="77"/>
      <c r="JE395" s="77"/>
      <c r="JF395" s="77"/>
      <c r="JG395" s="77"/>
      <c r="JH395" s="77"/>
      <c r="JI395" s="77"/>
      <c r="JJ395" s="77"/>
      <c r="JK395" s="77"/>
      <c r="JL395" s="77"/>
      <c r="JM395" s="77"/>
      <c r="JN395" s="77"/>
      <c r="JO395" s="77"/>
      <c r="JP395" s="77"/>
      <c r="JQ395" s="77"/>
      <c r="JR395" s="77"/>
      <c r="JS395" s="77"/>
      <c r="JT395" s="77"/>
      <c r="JU395" s="77"/>
      <c r="JV395" s="77"/>
      <c r="JW395" s="77"/>
      <c r="JX395" s="77"/>
      <c r="KM395" s="77"/>
      <c r="KN395" s="77"/>
      <c r="KO395" s="77"/>
      <c r="KP395" s="77"/>
      <c r="KQ395" s="77"/>
      <c r="KR395" s="77"/>
      <c r="KS395" s="77"/>
      <c r="KT395" s="77"/>
      <c r="KU395" s="77"/>
      <c r="KV395" s="77"/>
      <c r="KW395" s="77"/>
      <c r="KX395" s="77"/>
      <c r="KY395" s="77"/>
      <c r="KZ395" s="77"/>
      <c r="LA395" s="77"/>
      <c r="LB395" s="77"/>
      <c r="LC395" s="77"/>
      <c r="LD395" s="77"/>
      <c r="LE395" s="77"/>
      <c r="LF395" s="77"/>
      <c r="LG395" s="77"/>
      <c r="LH395" s="77"/>
      <c r="LI395" s="77"/>
      <c r="LJ395" s="77"/>
      <c r="LK395" s="77"/>
      <c r="LL395" s="77"/>
      <c r="LM395" s="77"/>
      <c r="LN395" s="77"/>
      <c r="LO395" s="77"/>
      <c r="LP395" s="77"/>
      <c r="LQ395" s="77"/>
      <c r="LR395" s="77"/>
      <c r="LS395" s="77"/>
      <c r="LT395" s="77"/>
      <c r="LU395" s="77"/>
      <c r="LV395" s="77"/>
      <c r="LY395" s="77"/>
      <c r="LZ395" s="77"/>
      <c r="MA395" s="77"/>
      <c r="MB395" s="77"/>
      <c r="MC395" s="77"/>
      <c r="MD395" s="77"/>
      <c r="ME395" s="77"/>
      <c r="MF395" s="77"/>
      <c r="MG395" s="77"/>
      <c r="MH395" s="77"/>
      <c r="MI395" s="77"/>
      <c r="MJ395" s="77"/>
      <c r="MK395" s="77"/>
      <c r="ML395" s="77"/>
      <c r="MM395" s="77"/>
      <c r="MN395" s="77"/>
      <c r="MO395" s="77"/>
      <c r="MP395" s="77"/>
      <c r="MQ395" s="77"/>
      <c r="MR395" s="77"/>
      <c r="MT395" s="77"/>
      <c r="MU395" s="77"/>
      <c r="MV395" s="77"/>
      <c r="MW395" s="77"/>
      <c r="MX395" s="77"/>
      <c r="MY395" s="77"/>
      <c r="MZ395" s="77"/>
      <c r="NA395" s="77"/>
      <c r="NB395" s="77"/>
      <c r="NC395" s="77"/>
    </row>
    <row r="396" spans="1:368" ht="18.600000000000001" customHeight="1" x14ac:dyDescent="0.25">
      <c r="A396" s="119" t="s">
        <v>246</v>
      </c>
      <c r="B396" s="27" t="s">
        <v>1481</v>
      </c>
      <c r="C396" s="27" t="s">
        <v>1482</v>
      </c>
      <c r="D396" s="30" t="str">
        <f>HYPERLINK("https://twitter.com/presidencymv","https://twitter.com/presidencymv")</f>
        <v>https://twitter.com/presidencymv</v>
      </c>
      <c r="E396" s="30" t="str">
        <f>HYPERLINK("http://twiplomacy.com/info/asia/Maldives","http://twiplomacy.com/info/asia/Maldives")</f>
        <v>http://twiplomacy.com/info/asia/Maldives</v>
      </c>
      <c r="F396" s="10" t="s">
        <v>154</v>
      </c>
      <c r="G396" s="10" t="s">
        <v>244</v>
      </c>
      <c r="H396" s="10" t="s">
        <v>781</v>
      </c>
      <c r="I396" s="10" t="s">
        <v>782</v>
      </c>
      <c r="J396" s="27" t="s">
        <v>789</v>
      </c>
      <c r="K396" s="15" t="s">
        <v>777</v>
      </c>
      <c r="L396" s="10" t="s">
        <v>771</v>
      </c>
      <c r="M396" s="10" t="s">
        <v>771</v>
      </c>
      <c r="N396" s="30" t="str">
        <f>HYPERLINK("https://twitter.com/presidencymv/statuses/23979438043566080","https://twitter.com/presidencymv/statuses/23979438043566080")</f>
        <v>https://twitter.com/presidencymv/statuses/23979438043566080</v>
      </c>
      <c r="O396" s="27" t="s">
        <v>6044</v>
      </c>
      <c r="P396" s="80">
        <v>147</v>
      </c>
      <c r="Q396" s="80">
        <v>16</v>
      </c>
      <c r="R396" s="27" t="s">
        <v>2995</v>
      </c>
      <c r="S396" s="10" t="s">
        <v>1483</v>
      </c>
      <c r="T396" s="10" t="s">
        <v>771</v>
      </c>
      <c r="U396" s="10" t="s">
        <v>771</v>
      </c>
      <c r="V396" s="10" t="s">
        <v>771</v>
      </c>
      <c r="W396" s="10"/>
      <c r="X396" s="27" t="s">
        <v>246</v>
      </c>
      <c r="Y396" s="27" t="s">
        <v>1481</v>
      </c>
      <c r="Z396" s="80">
        <v>1617</v>
      </c>
      <c r="AA396" s="27">
        <v>55</v>
      </c>
      <c r="AB396" s="80">
        <v>8133</v>
      </c>
      <c r="AC396" s="27">
        <v>2</v>
      </c>
      <c r="AD396" s="27" t="s">
        <v>4345</v>
      </c>
      <c r="AE396" s="27">
        <v>235827932</v>
      </c>
      <c r="AF396" s="27" t="s">
        <v>1482</v>
      </c>
      <c r="AG396" s="27" t="s">
        <v>1484</v>
      </c>
      <c r="AH396" s="79">
        <v>0.83350515463917496</v>
      </c>
      <c r="AI396" s="83">
        <v>0.83436532507739902</v>
      </c>
      <c r="AJ396" s="80">
        <v>20.993399339934001</v>
      </c>
      <c r="AK396" s="80">
        <v>4.9432343234323399</v>
      </c>
      <c r="AL396" s="27">
        <v>44</v>
      </c>
      <c r="AM396" s="97">
        <f>SUM(AL396/Z396)</f>
        <v>2.7210884353741496E-2</v>
      </c>
      <c r="AN396" s="27" t="s">
        <v>246</v>
      </c>
      <c r="AO396" s="27">
        <v>0</v>
      </c>
      <c r="AP396" s="27">
        <v>10</v>
      </c>
      <c r="AQ396" s="27">
        <v>2</v>
      </c>
      <c r="AR396" s="27">
        <f>SUM(AO396:AQ396)</f>
        <v>12</v>
      </c>
      <c r="AS396" s="27"/>
      <c r="AT396" s="27" t="s">
        <v>6332</v>
      </c>
      <c r="AU396" s="84" t="s">
        <v>6179</v>
      </c>
      <c r="AV396" s="77"/>
      <c r="AW396" s="77"/>
      <c r="AX396" s="77"/>
      <c r="AY396" s="77"/>
      <c r="AZ396" s="77"/>
      <c r="BA396" s="77"/>
      <c r="BB396" s="77"/>
      <c r="BC396" s="77"/>
      <c r="BD396" s="77"/>
      <c r="BE396" s="77"/>
      <c r="BF396" s="77"/>
      <c r="BG396" s="77"/>
      <c r="BH396" s="77"/>
      <c r="BI396" s="77"/>
      <c r="BJ396" s="77"/>
      <c r="BK396" s="77"/>
      <c r="BL396" s="77"/>
      <c r="BM396" s="77"/>
      <c r="BN396" s="77"/>
      <c r="BO396" s="77"/>
      <c r="BP396" s="77"/>
      <c r="BQ396" s="16"/>
      <c r="BR396" s="16"/>
      <c r="BS396" s="16"/>
      <c r="BT396" s="16"/>
      <c r="BU396" s="16"/>
      <c r="BV396" s="16"/>
      <c r="BW396" s="16"/>
      <c r="BX396" s="16"/>
      <c r="BY396" s="16"/>
      <c r="BZ396" s="16"/>
      <c r="CA396" s="16"/>
      <c r="CB396" s="16"/>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HL396" s="77"/>
      <c r="HM396" s="77"/>
      <c r="HN396" s="77"/>
      <c r="HO396" s="77"/>
      <c r="HP396" s="77"/>
      <c r="HQ396" s="77"/>
      <c r="HR396" s="77"/>
      <c r="HS396" s="77"/>
      <c r="HT396" s="77"/>
      <c r="HU396" s="77"/>
      <c r="HV396" s="77"/>
      <c r="HW396" s="77"/>
      <c r="HX396" s="77"/>
      <c r="HY396" s="77"/>
      <c r="HZ396" s="77"/>
      <c r="IA396" s="77"/>
      <c r="IB396" s="77"/>
      <c r="IC396" s="77"/>
      <c r="IF396" s="77"/>
      <c r="IG396" s="77"/>
      <c r="IH396" s="77"/>
      <c r="II396" s="77"/>
      <c r="IJ396" s="77"/>
      <c r="IK396" s="77"/>
      <c r="IL396" s="77"/>
      <c r="IM396" s="77"/>
      <c r="IN396" s="77"/>
      <c r="IO396" s="77"/>
      <c r="IP396" s="77"/>
      <c r="IQ396" s="77"/>
      <c r="IR396" s="77"/>
      <c r="IS396" s="77"/>
      <c r="IT396" s="77"/>
      <c r="IU396" s="77"/>
      <c r="IV396" s="77"/>
      <c r="IW396" s="77"/>
      <c r="IX396" s="77"/>
      <c r="IY396" s="77"/>
      <c r="IZ396" s="77"/>
      <c r="JA396" s="77"/>
      <c r="JB396" s="77"/>
      <c r="JC396" s="77"/>
      <c r="JD396" s="77"/>
      <c r="JE396" s="77"/>
      <c r="JF396" s="77"/>
      <c r="JG396" s="77"/>
      <c r="JH396" s="77"/>
      <c r="JI396" s="77"/>
      <c r="JJ396" s="77"/>
      <c r="JK396" s="77"/>
      <c r="JL396" s="77"/>
      <c r="JM396" s="77"/>
      <c r="JN396" s="77"/>
      <c r="JO396" s="77"/>
      <c r="JP396" s="77"/>
      <c r="JQ396" s="77"/>
      <c r="JR396" s="77"/>
      <c r="JS396" s="77"/>
      <c r="JT396" s="77"/>
      <c r="JU396" s="77"/>
      <c r="JV396" s="77"/>
      <c r="JW396" s="77"/>
      <c r="JX396" s="77"/>
      <c r="KM396" s="77"/>
      <c r="KN396" s="77"/>
      <c r="KO396" s="77"/>
      <c r="KP396" s="77"/>
      <c r="KQ396" s="77"/>
      <c r="KR396" s="77"/>
      <c r="KS396" s="77"/>
      <c r="KT396" s="77"/>
      <c r="KU396" s="77"/>
      <c r="KV396" s="77"/>
      <c r="KW396" s="77"/>
      <c r="KX396" s="77"/>
      <c r="KY396" s="77"/>
      <c r="KZ396" s="77"/>
      <c r="LA396" s="77"/>
      <c r="LB396" s="77"/>
      <c r="LC396" s="77"/>
      <c r="LD396" s="77"/>
      <c r="LE396" s="77"/>
      <c r="LF396" s="77"/>
      <c r="LG396" s="77"/>
      <c r="LH396" s="77"/>
      <c r="LI396" s="77"/>
      <c r="LJ396" s="77"/>
      <c r="LK396" s="77"/>
      <c r="LL396" s="77"/>
      <c r="LM396" s="77"/>
      <c r="LN396" s="77"/>
      <c r="LO396" s="77"/>
      <c r="LP396" s="77"/>
      <c r="LQ396" s="77"/>
      <c r="LR396" s="77"/>
      <c r="LS396" s="77"/>
      <c r="LT396" s="77"/>
      <c r="LU396" s="77"/>
      <c r="LV396" s="77"/>
      <c r="LY396" s="77"/>
      <c r="LZ396" s="77"/>
      <c r="MA396" s="77"/>
      <c r="MB396" s="77"/>
      <c r="MC396" s="77"/>
      <c r="MD396" s="77"/>
      <c r="ME396" s="77"/>
      <c r="MF396" s="77"/>
      <c r="MG396" s="77"/>
      <c r="MH396" s="77"/>
      <c r="MI396" s="77"/>
      <c r="MJ396" s="77"/>
      <c r="MK396" s="77"/>
      <c r="ML396" s="77"/>
      <c r="MM396" s="77"/>
      <c r="MN396" s="77"/>
      <c r="MO396" s="77"/>
      <c r="MP396" s="77"/>
      <c r="MQ396" s="77"/>
      <c r="MR396" s="77"/>
      <c r="ND396" s="77"/>
    </row>
    <row r="397" spans="1:368" ht="18.600000000000001" customHeight="1" x14ac:dyDescent="0.25">
      <c r="A397" s="119" t="s">
        <v>4299</v>
      </c>
      <c r="B397" s="27" t="s">
        <v>4300</v>
      </c>
      <c r="C397" s="27" t="s">
        <v>4301</v>
      </c>
      <c r="D397" s="11" t="s">
        <v>3308</v>
      </c>
      <c r="E397" s="30" t="str">
        <f>HYPERLINK("http://twiplomacy.com/info/south-america/Bolivia","http://twiplomacy.com/info/south-america/Bolivia")</f>
        <v>http://twiplomacy.com/info/south-america/Bolivia</v>
      </c>
      <c r="F397" s="10" t="s">
        <v>668</v>
      </c>
      <c r="G397" s="10" t="s">
        <v>671</v>
      </c>
      <c r="H397" s="10" t="s">
        <v>781</v>
      </c>
      <c r="I397" s="10" t="s">
        <v>782</v>
      </c>
      <c r="J397" s="27" t="s">
        <v>2226</v>
      </c>
      <c r="K397" s="15" t="s">
        <v>777</v>
      </c>
      <c r="L397" s="10" t="s">
        <v>771</v>
      </c>
      <c r="M397" s="10" t="s">
        <v>770</v>
      </c>
      <c r="N397" s="12" t="s">
        <v>3309</v>
      </c>
      <c r="O397" s="27" t="s">
        <v>3311</v>
      </c>
      <c r="P397" s="80">
        <v>32</v>
      </c>
      <c r="Q397" s="80">
        <v>18</v>
      </c>
      <c r="R397" s="27" t="s">
        <v>2995</v>
      </c>
      <c r="S397" s="12" t="s">
        <v>3310</v>
      </c>
      <c r="T397" s="10" t="s">
        <v>771</v>
      </c>
      <c r="U397" s="10" t="s">
        <v>771</v>
      </c>
      <c r="V397" s="10" t="s">
        <v>771</v>
      </c>
      <c r="W397" s="10"/>
      <c r="X397" s="27" t="s">
        <v>4299</v>
      </c>
      <c r="Y397" s="27" t="s">
        <v>4300</v>
      </c>
      <c r="Z397" s="80">
        <v>1614</v>
      </c>
      <c r="AA397" s="27">
        <v>1712</v>
      </c>
      <c r="AB397" s="80">
        <v>3587</v>
      </c>
      <c r="AC397" s="27">
        <v>484</v>
      </c>
      <c r="AD397" s="27" t="s">
        <v>4302</v>
      </c>
      <c r="AE397" s="27">
        <v>3405556779</v>
      </c>
      <c r="AF397" s="27" t="s">
        <v>4301</v>
      </c>
      <c r="AG397" s="27" t="s">
        <v>2996</v>
      </c>
      <c r="AH397" s="79">
        <v>5.9777777777777796</v>
      </c>
      <c r="AI397" s="83">
        <v>5.9962825278810401</v>
      </c>
      <c r="AJ397" s="80">
        <v>1.28349370836417</v>
      </c>
      <c r="AK397" s="80">
        <v>0.80680977054034098</v>
      </c>
      <c r="AL397" s="27">
        <v>30</v>
      </c>
      <c r="AM397" s="97">
        <f>SUM(AL397/Z397)</f>
        <v>1.858736059479554E-2</v>
      </c>
      <c r="AN397" s="27" t="s">
        <v>4299</v>
      </c>
      <c r="AO397" s="27">
        <v>17</v>
      </c>
      <c r="AP397" s="27">
        <v>1</v>
      </c>
      <c r="AQ397" s="27">
        <v>2</v>
      </c>
      <c r="AR397" s="27">
        <f>SUM(AO397:AQ397)</f>
        <v>20</v>
      </c>
      <c r="AS397" s="27" t="s">
        <v>6612</v>
      </c>
      <c r="AT397" s="27" t="s">
        <v>705</v>
      </c>
      <c r="AU397" s="84" t="s">
        <v>4908</v>
      </c>
      <c r="AV397" s="77"/>
      <c r="AW397" s="77"/>
      <c r="AX397" s="77"/>
      <c r="AY397" s="77"/>
      <c r="AZ397" s="77"/>
      <c r="BA397" s="77"/>
      <c r="BB397" s="77"/>
      <c r="BC397" s="77"/>
      <c r="BD397" s="77"/>
      <c r="BE397" s="77"/>
      <c r="BF397" s="77"/>
      <c r="BG397" s="77"/>
      <c r="BH397" s="77"/>
      <c r="BI397" s="77"/>
      <c r="BJ397" s="77"/>
      <c r="BK397" s="77"/>
      <c r="BL397" s="77"/>
      <c r="BM397" s="77"/>
      <c r="BN397" s="77"/>
      <c r="BO397" s="77"/>
      <c r="BP397" s="77"/>
      <c r="EM397" s="77"/>
      <c r="EN397" s="77"/>
      <c r="EO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c r="JT397" s="77"/>
      <c r="JU397" s="77"/>
      <c r="JV397" s="77"/>
      <c r="JW397" s="77"/>
      <c r="JX397" s="77"/>
      <c r="JY397" s="77"/>
      <c r="JZ397" s="77"/>
      <c r="KA397" s="77"/>
      <c r="KB397" s="77"/>
      <c r="KC397" s="77"/>
      <c r="KD397" s="77"/>
      <c r="KE397" s="77"/>
      <c r="KF397" s="77"/>
      <c r="KG397" s="77"/>
      <c r="KH397" s="77"/>
      <c r="KI397" s="77"/>
      <c r="KJ397" s="77"/>
      <c r="KK397" s="77"/>
      <c r="KL397" s="77"/>
      <c r="KM397" s="77"/>
      <c r="KN397" s="77"/>
      <c r="KO397" s="77"/>
      <c r="KP397" s="77"/>
      <c r="KQ397" s="77"/>
      <c r="KR397" s="77"/>
      <c r="KS397" s="77"/>
      <c r="KT397" s="77"/>
      <c r="KU397" s="77"/>
      <c r="KV397" s="77"/>
      <c r="KW397" s="77"/>
      <c r="KX397" s="77"/>
      <c r="KY397" s="77"/>
      <c r="KZ397" s="77"/>
      <c r="LA397" s="77"/>
      <c r="LB397" s="77"/>
      <c r="LC397" s="77"/>
      <c r="LD397" s="77"/>
      <c r="LE397" s="77"/>
      <c r="LF397" s="77"/>
      <c r="LG397" s="77"/>
      <c r="LH397" s="77"/>
      <c r="LI397" s="77"/>
      <c r="LJ397" s="77"/>
      <c r="LK397" s="77"/>
      <c r="LL397" s="77"/>
      <c r="LM397" s="77"/>
      <c r="LN397" s="77"/>
      <c r="LO397" s="77"/>
      <c r="LP397" s="77"/>
      <c r="LQ397" s="77"/>
      <c r="LR397" s="77"/>
      <c r="LS397" s="77"/>
      <c r="LT397" s="77"/>
      <c r="LU397" s="77"/>
      <c r="LV397" s="77"/>
      <c r="LW397" s="77"/>
      <c r="LX397" s="77"/>
      <c r="MS397" s="77"/>
    </row>
    <row r="398" spans="1:368" s="6" customFormat="1" ht="18.600000000000001" customHeight="1" x14ac:dyDescent="0.25">
      <c r="A398" s="119" t="s">
        <v>512</v>
      </c>
      <c r="B398" s="27" t="s">
        <v>2179</v>
      </c>
      <c r="C398" s="27" t="s">
        <v>2192</v>
      </c>
      <c r="D398" s="30" t="str">
        <f>HYPERLINK("https://twitter.com/SerbianPM","https://twitter.com/SerbianPM")</f>
        <v>https://twitter.com/SerbianPM</v>
      </c>
      <c r="E398" s="30" t="str">
        <f>HYPERLINK("http://twiplomacy.com/info/europe/Serbia","http://twiplomacy.com/info/europe/Serbia")</f>
        <v>http://twiplomacy.com/info/europe/Serbia</v>
      </c>
      <c r="F398" s="10" t="s">
        <v>332</v>
      </c>
      <c r="G398" s="10" t="s">
        <v>506</v>
      </c>
      <c r="H398" s="10" t="s">
        <v>776</v>
      </c>
      <c r="I398" s="10" t="s">
        <v>773</v>
      </c>
      <c r="J398" s="27" t="s">
        <v>789</v>
      </c>
      <c r="K398" s="10" t="s">
        <v>777</v>
      </c>
      <c r="L398" s="10" t="s">
        <v>1114</v>
      </c>
      <c r="M398" s="10" t="s">
        <v>770</v>
      </c>
      <c r="N398" s="30" t="str">
        <f>HYPERLINK("https://twitter.com/SerbianPM/status/566851318112063488","https://twitter.com/SerbianPM/status/566851318112063488")</f>
        <v>https://twitter.com/SerbianPM/status/566851318112063488</v>
      </c>
      <c r="O398" s="27" t="s">
        <v>6088</v>
      </c>
      <c r="P398" s="80">
        <v>170</v>
      </c>
      <c r="Q398" s="80">
        <v>111</v>
      </c>
      <c r="R398" s="27" t="s">
        <v>2994</v>
      </c>
      <c r="S398" s="30" t="str">
        <f>HYPERLINK("https://twitter.com/SerbianPM/lists","https://twitter.com/SerbianPM/lists")</f>
        <v>https://twitter.com/SerbianPM/lists</v>
      </c>
      <c r="T398" s="10" t="s">
        <v>771</v>
      </c>
      <c r="U398" s="10" t="s">
        <v>771</v>
      </c>
      <c r="V398" s="10" t="s">
        <v>771</v>
      </c>
      <c r="W398" s="10"/>
      <c r="X398" s="27" t="s">
        <v>512</v>
      </c>
      <c r="Y398" s="27" t="s">
        <v>2179</v>
      </c>
      <c r="Z398" s="80">
        <v>1593</v>
      </c>
      <c r="AA398" s="27">
        <v>39</v>
      </c>
      <c r="AB398" s="80">
        <v>13331</v>
      </c>
      <c r="AC398" s="27">
        <v>102</v>
      </c>
      <c r="AD398" s="27" t="s">
        <v>4469</v>
      </c>
      <c r="AE398" s="27">
        <v>3036495555</v>
      </c>
      <c r="AF398" s="27" t="s">
        <v>2192</v>
      </c>
      <c r="AG398" s="27" t="s">
        <v>2193</v>
      </c>
      <c r="AH398" s="79">
        <v>3.5959367945823901</v>
      </c>
      <c r="AI398" s="83">
        <v>3.6040723981900502</v>
      </c>
      <c r="AJ398" s="80">
        <v>26.681553398058298</v>
      </c>
      <c r="AK398" s="80">
        <v>24.944983818770201</v>
      </c>
      <c r="AL398" s="27">
        <v>27</v>
      </c>
      <c r="AM398" s="97">
        <f>SUM(AL398/Z398)</f>
        <v>1.6949152542372881E-2</v>
      </c>
      <c r="AN398" s="27" t="s">
        <v>512</v>
      </c>
      <c r="AO398" s="27">
        <v>6</v>
      </c>
      <c r="AP398" s="27">
        <v>13</v>
      </c>
      <c r="AQ398" s="27">
        <v>4</v>
      </c>
      <c r="AR398" s="27">
        <f>SUM(AO398:AQ398)</f>
        <v>23</v>
      </c>
      <c r="AS398" s="27" t="s">
        <v>6258</v>
      </c>
      <c r="AT398" s="27" t="s">
        <v>5491</v>
      </c>
      <c r="AU398" s="84" t="s">
        <v>4949</v>
      </c>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ID398" s="77"/>
      <c r="IE398" s="77"/>
      <c r="KM398" s="77"/>
      <c r="KN398" s="77"/>
      <c r="KO398" s="77"/>
      <c r="KP398" s="77"/>
      <c r="KQ398" s="77"/>
      <c r="KR398" s="77"/>
      <c r="KS398" s="77"/>
      <c r="KT398" s="77"/>
      <c r="KU398" s="77"/>
      <c r="KV398" s="77"/>
      <c r="KW398" s="77"/>
      <c r="KX398" s="77"/>
      <c r="KY398" s="77"/>
      <c r="KZ398" s="77"/>
      <c r="LA398" s="77"/>
      <c r="LB398" s="77"/>
      <c r="LC398" s="77"/>
      <c r="LD398" s="77"/>
      <c r="LE398" s="77"/>
      <c r="LF398" s="77"/>
      <c r="LG398" s="77"/>
      <c r="LH398" s="77"/>
      <c r="LI398" s="77"/>
      <c r="LJ398" s="77"/>
      <c r="LK398" s="77"/>
    </row>
    <row r="399" spans="1:368" ht="18.600000000000001" customHeight="1" x14ac:dyDescent="0.25">
      <c r="A399" s="119" t="s">
        <v>3237</v>
      </c>
      <c r="B399" s="27" t="s">
        <v>1505</v>
      </c>
      <c r="C399" s="27" t="s">
        <v>4060</v>
      </c>
      <c r="D399" s="30" t="s">
        <v>5567</v>
      </c>
      <c r="E399" s="30" t="str">
        <f>HYPERLINK("http://twiplomacy.com/info/asia/Mongolia","http://twiplomacy.com/info/asia/Mongolia")</f>
        <v>http://twiplomacy.com/info/asia/Mongolia</v>
      </c>
      <c r="F399" s="10" t="s">
        <v>154</v>
      </c>
      <c r="G399" s="10" t="s">
        <v>252</v>
      </c>
      <c r="H399" s="10" t="s">
        <v>795</v>
      </c>
      <c r="I399" s="10" t="s">
        <v>782</v>
      </c>
      <c r="J399" s="27" t="s">
        <v>789</v>
      </c>
      <c r="K399" s="15" t="s">
        <v>777</v>
      </c>
      <c r="L399" s="10" t="s">
        <v>771</v>
      </c>
      <c r="M399" s="10" t="s">
        <v>770</v>
      </c>
      <c r="N399" s="30" t="str">
        <f>HYPERLINK("https://twitter.com/MFA_Mongolia/statuses/390035651581603842","https://twitter.com/MFA_Mongolia/statuses/390035651581603842")</f>
        <v>https://twitter.com/MFA_Mongolia/statuses/390035651581603842</v>
      </c>
      <c r="O399" s="27" t="s">
        <v>5940</v>
      </c>
      <c r="P399" s="80">
        <v>90</v>
      </c>
      <c r="Q399" s="80">
        <v>92</v>
      </c>
      <c r="R399" s="27" t="s">
        <v>2995</v>
      </c>
      <c r="S399" s="12" t="s">
        <v>3238</v>
      </c>
      <c r="T399" s="10" t="s">
        <v>771</v>
      </c>
      <c r="U399" s="10" t="s">
        <v>771</v>
      </c>
      <c r="V399" s="10" t="s">
        <v>771</v>
      </c>
      <c r="W399" s="10"/>
      <c r="X399" s="27" t="s">
        <v>3237</v>
      </c>
      <c r="Y399" s="27" t="s">
        <v>1505</v>
      </c>
      <c r="Z399" s="80">
        <v>1592</v>
      </c>
      <c r="AA399" s="27">
        <v>387</v>
      </c>
      <c r="AB399" s="80">
        <v>3055</v>
      </c>
      <c r="AC399" s="27">
        <v>103</v>
      </c>
      <c r="AD399" s="27" t="s">
        <v>4061</v>
      </c>
      <c r="AE399" s="27">
        <v>1962237943</v>
      </c>
      <c r="AF399" s="27" t="s">
        <v>4060</v>
      </c>
      <c r="AG399" s="27" t="s">
        <v>6419</v>
      </c>
      <c r="AH399" s="79">
        <v>1.7118279569892501</v>
      </c>
      <c r="AI399" s="83">
        <v>1.71367061356297</v>
      </c>
      <c r="AJ399" s="80">
        <v>4.3198529411764701</v>
      </c>
      <c r="AK399" s="80">
        <v>1.61029411764706</v>
      </c>
      <c r="AL399" s="27">
        <v>61</v>
      </c>
      <c r="AM399" s="97">
        <f>SUM(AL399/Z399)</f>
        <v>3.8316582914572864E-2</v>
      </c>
      <c r="AN399" s="27" t="s">
        <v>3237</v>
      </c>
      <c r="AO399" s="27">
        <v>64</v>
      </c>
      <c r="AP399" s="27">
        <v>16</v>
      </c>
      <c r="AQ399" s="27">
        <v>44</v>
      </c>
      <c r="AR399" s="27">
        <f>SUM(AO399:AQ399)</f>
        <v>124</v>
      </c>
      <c r="AS399" s="27" t="s">
        <v>6231</v>
      </c>
      <c r="AT399" s="27" t="s">
        <v>5294</v>
      </c>
      <c r="AU399" s="84" t="s">
        <v>6169</v>
      </c>
      <c r="AV399" s="77"/>
      <c r="AW399" s="77"/>
      <c r="AX399" s="77"/>
      <c r="AY399" s="77"/>
      <c r="AZ399" s="77"/>
      <c r="BA399" s="77"/>
      <c r="BB399" s="77"/>
      <c r="BC399" s="77"/>
      <c r="BD399" s="77"/>
      <c r="BE399" s="77"/>
      <c r="BF399" s="77"/>
      <c r="BG399" s="77"/>
      <c r="BH399" s="77"/>
      <c r="BI399" s="77"/>
      <c r="BJ399" s="77"/>
      <c r="BK399" s="77"/>
      <c r="BL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MS399" s="77"/>
    </row>
    <row r="400" spans="1:368" ht="18.600000000000001" customHeight="1" x14ac:dyDescent="0.25">
      <c r="A400" s="119" t="s">
        <v>144</v>
      </c>
      <c r="B400" s="27" t="s">
        <v>1148</v>
      </c>
      <c r="C400" s="27" t="s">
        <v>1149</v>
      </c>
      <c r="D400" s="30" t="str">
        <f>HYPERLINK("https://twitter.com/StateHouseUg","https://twitter.com/StateHouseUg")</f>
        <v>https://twitter.com/StateHouseUg</v>
      </c>
      <c r="E400" s="30" t="str">
        <f>HYPERLINK("http://twiplomacy.com/info/africa/Uganda","http://twiplomacy.com/info/africa/Uganda")</f>
        <v>http://twiplomacy.com/info/africa/Uganda</v>
      </c>
      <c r="F400" s="10" t="s">
        <v>1</v>
      </c>
      <c r="G400" s="10" t="s">
        <v>142</v>
      </c>
      <c r="H400" s="10" t="s">
        <v>781</v>
      </c>
      <c r="I400" s="10" t="s">
        <v>782</v>
      </c>
      <c r="J400" s="27" t="s">
        <v>789</v>
      </c>
      <c r="K400" s="15" t="s">
        <v>777</v>
      </c>
      <c r="L400" s="10" t="s">
        <v>771</v>
      </c>
      <c r="M400" s="10" t="s">
        <v>771</v>
      </c>
      <c r="N400" s="30" t="str">
        <f>HYPERLINK("https://twitter.com/StateHouseUg/statuses/75849861647437824","https://twitter.com/StateHouseUg/statuses/75849861647437824")</f>
        <v>https://twitter.com/StateHouseUg/statuses/75849861647437824</v>
      </c>
      <c r="O400" s="27" t="s">
        <v>1150</v>
      </c>
      <c r="P400" s="80">
        <v>56</v>
      </c>
      <c r="Q400" s="80">
        <v>3</v>
      </c>
      <c r="R400" s="27" t="s">
        <v>2995</v>
      </c>
      <c r="S400" s="10" t="s">
        <v>1151</v>
      </c>
      <c r="T400" s="10" t="s">
        <v>771</v>
      </c>
      <c r="U400" s="10" t="s">
        <v>771</v>
      </c>
      <c r="V400" s="10" t="s">
        <v>771</v>
      </c>
      <c r="W400" s="73"/>
      <c r="X400" s="27" t="s">
        <v>144</v>
      </c>
      <c r="Y400" s="27" t="s">
        <v>1148</v>
      </c>
      <c r="Z400" s="80">
        <v>1591</v>
      </c>
      <c r="AA400" s="27">
        <v>27</v>
      </c>
      <c r="AB400" s="80">
        <v>17765</v>
      </c>
      <c r="AC400" s="27">
        <v>2</v>
      </c>
      <c r="AD400" s="27" t="s">
        <v>4493</v>
      </c>
      <c r="AE400" s="27">
        <v>306151694</v>
      </c>
      <c r="AF400" s="27" t="s">
        <v>1149</v>
      </c>
      <c r="AG400" s="27" t="s">
        <v>1152</v>
      </c>
      <c r="AH400" s="79">
        <v>0.882907880133185</v>
      </c>
      <c r="AI400" s="83">
        <v>0.88635097493036197</v>
      </c>
      <c r="AJ400" s="80">
        <v>1.59607843137255</v>
      </c>
      <c r="AK400" s="80">
        <v>0.85686274509803895</v>
      </c>
      <c r="AL400" s="27">
        <v>28</v>
      </c>
      <c r="AM400" s="97">
        <f>SUM(AL400/Z400)</f>
        <v>1.759899434318039E-2</v>
      </c>
      <c r="AN400" s="27" t="s">
        <v>144</v>
      </c>
      <c r="AO400" s="27">
        <v>5</v>
      </c>
      <c r="AP400" s="27">
        <v>11</v>
      </c>
      <c r="AQ400" s="27">
        <v>3</v>
      </c>
      <c r="AR400" s="27">
        <f>SUM(AO400:AQ400)</f>
        <v>19</v>
      </c>
      <c r="AS400" s="27" t="s">
        <v>5504</v>
      </c>
      <c r="AT400" s="27" t="s">
        <v>6862</v>
      </c>
      <c r="AU400" s="84" t="s">
        <v>4961</v>
      </c>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c r="HY400" s="77"/>
      <c r="HZ400" s="77"/>
      <c r="IA400" s="77"/>
      <c r="IB400" s="77"/>
      <c r="IC400" s="77"/>
      <c r="ID400" s="77"/>
      <c r="IE400" s="77"/>
      <c r="IF400" s="77"/>
      <c r="IG400" s="77"/>
      <c r="IH400" s="77"/>
      <c r="II400" s="77"/>
      <c r="IJ400" s="77"/>
      <c r="IK400" s="77"/>
      <c r="IL400" s="77"/>
      <c r="IM400" s="77"/>
      <c r="IN400" s="77"/>
      <c r="IO400" s="77"/>
      <c r="IP400" s="77"/>
      <c r="IQ400" s="77"/>
      <c r="IR400" s="77"/>
      <c r="IS400" s="77"/>
      <c r="IT400" s="77"/>
      <c r="IU400" s="77"/>
      <c r="IV400" s="77"/>
      <c r="IW400" s="77"/>
      <c r="IX400" s="77"/>
      <c r="IY400" s="77"/>
      <c r="IZ400" s="77"/>
      <c r="JA400" s="77"/>
      <c r="JB400" s="77"/>
      <c r="JC400" s="77"/>
      <c r="JD400" s="77"/>
      <c r="JE400" s="77"/>
      <c r="JF400" s="77"/>
      <c r="JG400" s="77"/>
      <c r="JH400" s="77"/>
      <c r="JI400" s="77"/>
      <c r="JJ400" s="77"/>
      <c r="JK400" s="77"/>
      <c r="JL400" s="77"/>
      <c r="JM400" s="77"/>
      <c r="JN400" s="77"/>
      <c r="JO400" s="77"/>
      <c r="JP400" s="77"/>
      <c r="JQ400" s="77"/>
      <c r="JR400" s="77"/>
      <c r="JS400" s="77"/>
      <c r="JT400" s="77"/>
      <c r="JU400" s="77"/>
      <c r="JV400" s="77"/>
      <c r="JW400" s="77"/>
      <c r="JX400" s="77"/>
      <c r="KM400" s="77"/>
      <c r="KN400" s="77"/>
      <c r="KO400" s="77"/>
      <c r="KP400" s="77"/>
      <c r="KQ400" s="77"/>
      <c r="KR400" s="77"/>
      <c r="KS400" s="77"/>
      <c r="KT400" s="77"/>
      <c r="KU400" s="77"/>
      <c r="KV400" s="77"/>
      <c r="KW400" s="77"/>
      <c r="KX400" s="77"/>
      <c r="KY400" s="77"/>
      <c r="KZ400" s="77"/>
      <c r="LA400" s="77"/>
      <c r="LB400" s="77"/>
      <c r="LC400" s="77"/>
      <c r="LD400" s="77"/>
      <c r="LE400" s="77"/>
      <c r="LF400" s="77"/>
      <c r="LG400" s="77"/>
      <c r="LH400" s="77"/>
      <c r="LI400" s="77"/>
      <c r="LJ400" s="77"/>
      <c r="LK400" s="77"/>
      <c r="LL400" s="77"/>
      <c r="LM400" s="77"/>
      <c r="LN400" s="77"/>
      <c r="LO400" s="77"/>
      <c r="LP400" s="77"/>
      <c r="LQ400" s="77"/>
      <c r="LR400" s="77"/>
      <c r="LS400" s="77"/>
      <c r="LT400" s="77"/>
      <c r="LU400" s="77"/>
      <c r="LV400" s="77"/>
      <c r="LW400" s="77"/>
      <c r="LX400" s="77"/>
    </row>
    <row r="401" spans="1:421" ht="18.600000000000001" customHeight="1" x14ac:dyDescent="0.25">
      <c r="A401" s="119" t="s">
        <v>253</v>
      </c>
      <c r="B401" s="27" t="s">
        <v>1488</v>
      </c>
      <c r="C401" s="27" t="s">
        <v>6383</v>
      </c>
      <c r="D401" s="30" t="str">
        <f>HYPERLINK("https://twitter.com/elbegdorj","https://twitter.com/elbegdorj")</f>
        <v>https://twitter.com/elbegdorj</v>
      </c>
      <c r="E401" s="30" t="str">
        <f>HYPERLINK("http://twiplomacy.com/info/asia/Mongolia","http://twiplomacy.com/info/asia/Mongolia")</f>
        <v>http://twiplomacy.com/info/asia/Mongolia</v>
      </c>
      <c r="F401" s="10" t="s">
        <v>154</v>
      </c>
      <c r="G401" s="10" t="s">
        <v>252</v>
      </c>
      <c r="H401" s="10" t="s">
        <v>772</v>
      </c>
      <c r="I401" s="10" t="s">
        <v>773</v>
      </c>
      <c r="J401" s="27" t="s">
        <v>789</v>
      </c>
      <c r="K401" s="15" t="s">
        <v>777</v>
      </c>
      <c r="L401" s="10" t="s">
        <v>771</v>
      </c>
      <c r="M401" s="10" t="s">
        <v>770</v>
      </c>
      <c r="N401" s="30" t="str">
        <f>HYPERLINK("https://twitter.com/elbegdorj/statuses/26513451899691008","https://twitter.com/elbegdorj/statuses/26513451899691008")</f>
        <v>https://twitter.com/elbegdorj/statuses/26513451899691008</v>
      </c>
      <c r="O401" s="27" t="s">
        <v>5738</v>
      </c>
      <c r="P401" s="80">
        <v>1025</v>
      </c>
      <c r="Q401" s="80">
        <v>262</v>
      </c>
      <c r="R401" s="27" t="s">
        <v>2994</v>
      </c>
      <c r="S401" s="10" t="s">
        <v>1489</v>
      </c>
      <c r="T401" s="10" t="s">
        <v>771</v>
      </c>
      <c r="U401" s="10" t="s">
        <v>771</v>
      </c>
      <c r="V401" s="10" t="s">
        <v>771</v>
      </c>
      <c r="W401" s="10"/>
      <c r="X401" s="27" t="s">
        <v>253</v>
      </c>
      <c r="Y401" s="27" t="s">
        <v>1488</v>
      </c>
      <c r="Z401" s="80">
        <v>1587</v>
      </c>
      <c r="AA401" s="27">
        <v>3211</v>
      </c>
      <c r="AB401" s="80">
        <v>212678</v>
      </c>
      <c r="AC401" s="27">
        <v>309</v>
      </c>
      <c r="AD401" s="27" t="s">
        <v>3642</v>
      </c>
      <c r="AE401" s="27">
        <v>238480712</v>
      </c>
      <c r="AF401" s="27" t="s">
        <v>6383</v>
      </c>
      <c r="AG401" s="27" t="s">
        <v>1490</v>
      </c>
      <c r="AH401" s="79">
        <v>0.82015503875968998</v>
      </c>
      <c r="AI401" s="83">
        <v>0.81667529777317405</v>
      </c>
      <c r="AJ401" s="80">
        <v>53.081463009143803</v>
      </c>
      <c r="AK401" s="80">
        <v>43.5037406483791</v>
      </c>
      <c r="AL401" s="27">
        <v>279</v>
      </c>
      <c r="AM401" s="97">
        <f>SUM(AL401/Z401)</f>
        <v>0.17580340264650285</v>
      </c>
      <c r="AN401" s="27" t="s">
        <v>253</v>
      </c>
      <c r="AO401" s="27">
        <v>8</v>
      </c>
      <c r="AP401" s="27">
        <v>17</v>
      </c>
      <c r="AQ401" s="27">
        <v>3</v>
      </c>
      <c r="AR401" s="27">
        <f>SUM(AO401:AQ401)</f>
        <v>28</v>
      </c>
      <c r="AS401" s="27" t="s">
        <v>5101</v>
      </c>
      <c r="AT401" s="27" t="s">
        <v>6284</v>
      </c>
      <c r="AU401" s="84" t="s">
        <v>4706</v>
      </c>
      <c r="AV401" s="77"/>
      <c r="AW401" s="77"/>
      <c r="AX401" s="77"/>
      <c r="AY401" s="77"/>
      <c r="AZ401" s="77"/>
      <c r="BA401" s="77"/>
      <c r="BB401" s="77"/>
      <c r="BC401" s="77"/>
      <c r="BD401" s="77"/>
      <c r="BE401" s="77"/>
      <c r="BF401" s="77"/>
      <c r="BG401" s="77"/>
      <c r="BH401" s="77"/>
      <c r="BI401" s="77"/>
      <c r="BJ401" s="77"/>
      <c r="BK401" s="77"/>
      <c r="BL401" s="77"/>
      <c r="BM401" s="77"/>
      <c r="BN401" s="77"/>
      <c r="BO401" s="77"/>
      <c r="BP401" s="77"/>
      <c r="BQ401" s="16"/>
      <c r="BR401" s="16"/>
      <c r="BS401" s="16"/>
      <c r="BT401" s="16"/>
      <c r="BU401" s="16"/>
      <c r="BV401" s="16"/>
      <c r="BW401" s="16"/>
      <c r="BX401" s="16"/>
      <c r="BY401" s="16"/>
      <c r="BZ401" s="16"/>
      <c r="CA401" s="16"/>
      <c r="CB401" s="16"/>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P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c r="HY401" s="77"/>
      <c r="HZ401" s="77"/>
      <c r="IA401" s="77"/>
      <c r="IB401" s="77"/>
      <c r="IC401" s="77"/>
      <c r="JY401" s="77"/>
      <c r="JZ401" s="77"/>
      <c r="KA401" s="77"/>
      <c r="KB401" s="77"/>
      <c r="KC401" s="77"/>
      <c r="KD401" s="77"/>
      <c r="KE401" s="77"/>
      <c r="KF401" s="77"/>
      <c r="KG401" s="77"/>
      <c r="KH401" s="77"/>
      <c r="KI401" s="77"/>
      <c r="KJ401" s="77"/>
      <c r="KK401" s="77"/>
      <c r="KL401" s="77"/>
      <c r="KM401" s="77"/>
      <c r="KN401" s="77"/>
      <c r="KO401" s="77"/>
      <c r="KP401" s="77"/>
      <c r="KQ401" s="77"/>
      <c r="KR401" s="77"/>
      <c r="KS401" s="77"/>
      <c r="KT401" s="77"/>
      <c r="KU401" s="77"/>
      <c r="KV401" s="77"/>
      <c r="KW401" s="77"/>
      <c r="KX401" s="77"/>
      <c r="KY401" s="77"/>
      <c r="KZ401" s="77"/>
      <c r="LA401" s="77"/>
      <c r="LB401" s="77"/>
      <c r="LC401" s="77"/>
      <c r="LD401" s="77"/>
      <c r="LE401" s="77"/>
      <c r="LF401" s="77"/>
      <c r="LG401" s="77"/>
      <c r="LH401" s="77"/>
      <c r="LI401" s="77"/>
      <c r="LJ401" s="77"/>
      <c r="LK401" s="77"/>
      <c r="LW401" s="77"/>
      <c r="LX401" s="77"/>
      <c r="MS401" s="77"/>
    </row>
    <row r="402" spans="1:421" ht="18.600000000000001" customHeight="1" x14ac:dyDescent="0.25">
      <c r="A402" s="119" t="s">
        <v>1302</v>
      </c>
      <c r="B402" s="27" t="s">
        <v>1303</v>
      </c>
      <c r="C402" s="27" t="s">
        <v>1304</v>
      </c>
      <c r="D402" s="30" t="str">
        <f>HYPERLINK("https://twitter.com/MoFA_Indonesia","https://twitter.com/MoFA_Indonesia")</f>
        <v>https://twitter.com/MoFA_Indonesia</v>
      </c>
      <c r="E402" s="30" t="str">
        <f>HYPERLINK("http://twiplomacy.com/info/asia/Indonesia","http://twiplomacy.com/info/asia/Indonesia")</f>
        <v>http://twiplomacy.com/info/asia/Indonesia</v>
      </c>
      <c r="F402" s="10" t="s">
        <v>154</v>
      </c>
      <c r="G402" s="10" t="s">
        <v>189</v>
      </c>
      <c r="H402" s="10" t="s">
        <v>795</v>
      </c>
      <c r="I402" s="10" t="s">
        <v>782</v>
      </c>
      <c r="J402" s="27" t="s">
        <v>789</v>
      </c>
      <c r="K402" s="10" t="s">
        <v>1492</v>
      </c>
      <c r="L402" s="10" t="s">
        <v>771</v>
      </c>
      <c r="M402" s="10" t="s">
        <v>770</v>
      </c>
      <c r="N402" s="30" t="str">
        <f>HYPERLINK("https://twitter.com/MoFA_Indonesia/statuses/18330079613","https://twitter.com/MoFA_Indonesia/statuses/18330079613")</f>
        <v>https://twitter.com/MoFA_Indonesia/statuses/18330079613</v>
      </c>
      <c r="O402" s="27" t="s">
        <v>1305</v>
      </c>
      <c r="P402" s="80">
        <v>13</v>
      </c>
      <c r="Q402" s="80">
        <v>2</v>
      </c>
      <c r="R402" s="27" t="s">
        <v>2995</v>
      </c>
      <c r="S402" s="10" t="s">
        <v>1306</v>
      </c>
      <c r="T402" s="10" t="s">
        <v>771</v>
      </c>
      <c r="U402" s="10" t="s">
        <v>771</v>
      </c>
      <c r="V402" s="10" t="s">
        <v>771</v>
      </c>
      <c r="W402" s="10"/>
      <c r="X402" s="27" t="s">
        <v>1302</v>
      </c>
      <c r="Y402" s="27" t="s">
        <v>1303</v>
      </c>
      <c r="Z402" s="80">
        <v>1582</v>
      </c>
      <c r="AA402" s="27">
        <v>23</v>
      </c>
      <c r="AB402" s="80">
        <v>1663</v>
      </c>
      <c r="AC402" s="27">
        <v>0</v>
      </c>
      <c r="AD402" s="27" t="s">
        <v>4136</v>
      </c>
      <c r="AE402" s="27">
        <v>165644043</v>
      </c>
      <c r="AF402" s="27" t="s">
        <v>1304</v>
      </c>
      <c r="AG402" s="27" t="s">
        <v>1294</v>
      </c>
      <c r="AH402" s="79">
        <v>0.74587458745874602</v>
      </c>
      <c r="AI402" s="83">
        <v>0.96758409785932697</v>
      </c>
      <c r="AJ402" s="80">
        <v>0.215189873417722</v>
      </c>
      <c r="AK402" s="80">
        <v>7.7848101265822797E-2</v>
      </c>
      <c r="AL402" s="13">
        <v>0</v>
      </c>
      <c r="AM402" s="97">
        <f>SUM(AL402/Z402)</f>
        <v>0</v>
      </c>
      <c r="AN402" s="27" t="s">
        <v>1302</v>
      </c>
      <c r="AO402" s="27">
        <v>1</v>
      </c>
      <c r="AP402" s="27">
        <v>49</v>
      </c>
      <c r="AQ402" s="27">
        <v>0</v>
      </c>
      <c r="AR402" s="27">
        <f>SUM(AO402:AQ402)</f>
        <v>50</v>
      </c>
      <c r="AS402" s="27" t="s">
        <v>191</v>
      </c>
      <c r="AT402" s="27" t="s">
        <v>5334</v>
      </c>
      <c r="AU402" s="84"/>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c r="JV402" s="77"/>
      <c r="JW402" s="77"/>
      <c r="JX402" s="77"/>
      <c r="JY402" s="16"/>
      <c r="JZ402" s="16"/>
      <c r="KA402" s="16"/>
      <c r="KB402" s="16"/>
      <c r="KC402" s="16"/>
      <c r="KD402" s="16"/>
      <c r="KE402" s="16"/>
      <c r="KF402" s="16"/>
      <c r="KG402" s="16"/>
      <c r="KH402" s="16"/>
      <c r="KI402" s="16"/>
      <c r="KJ402" s="16"/>
      <c r="KK402" s="16"/>
      <c r="KL402" s="16"/>
      <c r="LL402" s="77"/>
      <c r="LM402" s="77"/>
      <c r="LN402" s="77"/>
      <c r="LO402" s="77"/>
      <c r="LP402" s="77"/>
      <c r="LQ402" s="77"/>
      <c r="LR402" s="77"/>
      <c r="LS402" s="77"/>
      <c r="LT402" s="77"/>
      <c r="LU402" s="77"/>
      <c r="LV402" s="77"/>
      <c r="LW402" s="77"/>
      <c r="LX402" s="77"/>
      <c r="LY402" s="77"/>
      <c r="LZ402" s="77"/>
      <c r="MA402" s="77"/>
      <c r="MB402" s="77"/>
      <c r="MC402" s="77"/>
      <c r="MD402" s="77"/>
      <c r="ME402" s="77"/>
      <c r="MF402" s="77"/>
      <c r="MG402" s="77"/>
      <c r="MH402" s="77"/>
      <c r="MI402" s="77"/>
      <c r="MJ402" s="77"/>
      <c r="MK402" s="77"/>
      <c r="ML402" s="77"/>
      <c r="MM402" s="77"/>
      <c r="MN402" s="77"/>
      <c r="MO402" s="77"/>
      <c r="MP402" s="77"/>
      <c r="MQ402" s="77"/>
      <c r="MR402" s="77"/>
    </row>
    <row r="403" spans="1:421" ht="18.600000000000001" customHeight="1" x14ac:dyDescent="0.25">
      <c r="A403" s="119" t="s">
        <v>14</v>
      </c>
      <c r="B403" s="27" t="s">
        <v>801</v>
      </c>
      <c r="C403" s="27" t="s">
        <v>3504</v>
      </c>
      <c r="D403" s="72" t="str">
        <f>HYPERLINK("https://twitter.com/BdiPresidence","https://twitter.com/BdiPresidence")</f>
        <v>https://twitter.com/BdiPresidence</v>
      </c>
      <c r="E403" s="72" t="str">
        <f>HYPERLINK("http://twiplomacy.com/info/africa/Burundi","http://twiplomacy.com/info/africa/Burundi")</f>
        <v>http://twiplomacy.com/info/africa/Burundi</v>
      </c>
      <c r="F403" s="10" t="s">
        <v>1</v>
      </c>
      <c r="G403" s="10" t="s">
        <v>13</v>
      </c>
      <c r="H403" s="10" t="s">
        <v>781</v>
      </c>
      <c r="I403" s="10" t="s">
        <v>782</v>
      </c>
      <c r="J403" s="27" t="s">
        <v>779</v>
      </c>
      <c r="K403" s="15" t="s">
        <v>777</v>
      </c>
      <c r="L403" s="10" t="s">
        <v>771</v>
      </c>
      <c r="M403" s="10" t="s">
        <v>771</v>
      </c>
      <c r="N403" s="30" t="str">
        <f>HYPERLINK("https://twitter.com/BdiPresidence/statuses/165502877253644288","https://twitter.com/BdiPresidence/statuses/165502877253644288")</f>
        <v>https://twitter.com/BdiPresidence/statuses/165502877253644288</v>
      </c>
      <c r="O403" s="27" t="s">
        <v>5703</v>
      </c>
      <c r="P403" s="80">
        <v>224</v>
      </c>
      <c r="Q403" s="80">
        <v>34</v>
      </c>
      <c r="R403" s="27" t="s">
        <v>2994</v>
      </c>
      <c r="S403" s="10" t="s">
        <v>802</v>
      </c>
      <c r="T403" s="10" t="s">
        <v>771</v>
      </c>
      <c r="U403" s="10" t="s">
        <v>771</v>
      </c>
      <c r="V403" s="10" t="s">
        <v>771</v>
      </c>
      <c r="W403" s="10"/>
      <c r="X403" s="27" t="s">
        <v>14</v>
      </c>
      <c r="Y403" s="27" t="s">
        <v>801</v>
      </c>
      <c r="Z403" s="80">
        <v>1580</v>
      </c>
      <c r="AA403" s="27">
        <v>63</v>
      </c>
      <c r="AB403" s="80">
        <v>26870</v>
      </c>
      <c r="AC403" s="27">
        <v>25</v>
      </c>
      <c r="AD403" s="27" t="s">
        <v>3505</v>
      </c>
      <c r="AE403" s="27">
        <v>482242599</v>
      </c>
      <c r="AF403" s="27" t="s">
        <v>3504</v>
      </c>
      <c r="AG403" s="27" t="s">
        <v>13</v>
      </c>
      <c r="AH403" s="79">
        <v>1.02</v>
      </c>
      <c r="AI403" s="83">
        <v>1.02</v>
      </c>
      <c r="AJ403" s="80">
        <v>10.2462745098039</v>
      </c>
      <c r="AK403" s="80">
        <v>3.10666666666667</v>
      </c>
      <c r="AL403" s="27">
        <v>100</v>
      </c>
      <c r="AM403" s="97">
        <f>SUM(AL403/Z403)</f>
        <v>6.3291139240506333E-2</v>
      </c>
      <c r="AN403" s="27" t="s">
        <v>14</v>
      </c>
      <c r="AO403" s="27">
        <v>7</v>
      </c>
      <c r="AP403" s="27">
        <v>13</v>
      </c>
      <c r="AQ403" s="27">
        <v>2</v>
      </c>
      <c r="AR403" s="27">
        <f>SUM(AO403:AQ403)</f>
        <v>22</v>
      </c>
      <c r="AS403" s="27" t="s">
        <v>5034</v>
      </c>
      <c r="AT403" s="27" t="s">
        <v>5035</v>
      </c>
      <c r="AU403" s="84" t="s">
        <v>4657</v>
      </c>
      <c r="AV403" s="77"/>
      <c r="AW403" s="77"/>
      <c r="AX403" s="77"/>
      <c r="AY403" s="77"/>
      <c r="AZ403" s="77"/>
      <c r="BA403" s="77"/>
      <c r="BB403" s="77"/>
      <c r="BC403" s="77"/>
      <c r="BD403" s="77"/>
      <c r="BE403" s="77"/>
      <c r="BF403" s="77"/>
      <c r="BG403" s="77"/>
      <c r="BH403" s="77"/>
      <c r="BI403" s="77"/>
      <c r="BJ403" s="77"/>
      <c r="BK403" s="77"/>
      <c r="BL403" s="77"/>
      <c r="BM403" s="60"/>
      <c r="BN403" s="69"/>
      <c r="BO403" s="69"/>
      <c r="BP403" s="69"/>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16"/>
      <c r="GM403" s="16"/>
      <c r="GN403" s="16"/>
      <c r="GO403" s="16"/>
      <c r="GP403" s="16"/>
      <c r="GQ403" s="16"/>
      <c r="GR403" s="16"/>
      <c r="GS403" s="16"/>
      <c r="GT403" s="16"/>
      <c r="GU403" s="16"/>
      <c r="GV403" s="16"/>
      <c r="GW403" s="16"/>
      <c r="GX403" s="16"/>
      <c r="GY403" s="16"/>
      <c r="GZ403" s="16"/>
      <c r="HA403" s="16"/>
      <c r="HB403" s="16"/>
      <c r="HC403" s="16"/>
      <c r="HD403" s="16"/>
      <c r="HE403" s="16"/>
      <c r="HF403" s="16"/>
      <c r="HG403" s="16"/>
      <c r="HH403" s="16"/>
      <c r="HI403" s="16"/>
      <c r="HJ403" s="16"/>
      <c r="HK403" s="16"/>
      <c r="HL403" s="77"/>
      <c r="HM403" s="77"/>
      <c r="HN403" s="77"/>
      <c r="HO403" s="77"/>
      <c r="HP403" s="77"/>
      <c r="HQ403" s="77"/>
      <c r="HR403" s="77"/>
      <c r="HS403" s="77"/>
      <c r="HT403" s="77"/>
      <c r="HU403" s="77"/>
      <c r="HV403" s="77"/>
      <c r="HW403" s="77"/>
      <c r="HX403" s="77"/>
      <c r="HY403" s="77"/>
      <c r="HZ403" s="77"/>
      <c r="IA403" s="77"/>
      <c r="IB403" s="77"/>
      <c r="IC403" s="77"/>
      <c r="ID403" s="77"/>
      <c r="IE403" s="77"/>
      <c r="JY403" s="77"/>
      <c r="JZ403" s="77"/>
      <c r="KA403" s="77"/>
      <c r="KB403" s="77"/>
      <c r="KC403" s="77"/>
      <c r="KD403" s="77"/>
      <c r="KE403" s="77"/>
      <c r="KF403" s="77"/>
      <c r="KG403" s="77"/>
      <c r="KH403" s="77"/>
      <c r="KI403" s="77"/>
      <c r="KJ403" s="77"/>
      <c r="KK403" s="77"/>
      <c r="KL403" s="77"/>
      <c r="KM403" s="16"/>
      <c r="KN403" s="16"/>
      <c r="KO403" s="16"/>
      <c r="KP403" s="16"/>
      <c r="KQ403" s="16"/>
      <c r="KR403" s="16"/>
      <c r="KS403" s="16"/>
      <c r="KT403" s="16"/>
      <c r="KU403" s="16"/>
      <c r="KV403" s="16"/>
      <c r="KW403" s="16"/>
      <c r="KX403" s="16"/>
      <c r="KY403" s="16"/>
      <c r="KZ403" s="16"/>
      <c r="LA403" s="16"/>
      <c r="LB403" s="16"/>
      <c r="LC403" s="16"/>
      <c r="LD403" s="16"/>
      <c r="LE403" s="16"/>
      <c r="LF403" s="16"/>
      <c r="LG403" s="16"/>
      <c r="LH403" s="16"/>
      <c r="LI403" s="16"/>
      <c r="LJ403" s="16"/>
      <c r="LK403" s="16"/>
      <c r="LL403" s="77"/>
      <c r="LM403" s="77"/>
      <c r="LN403" s="77"/>
      <c r="LO403" s="77"/>
      <c r="LP403" s="77"/>
      <c r="LQ403" s="77"/>
      <c r="LR403" s="77"/>
      <c r="LS403" s="77"/>
      <c r="LT403" s="77"/>
      <c r="LU403" s="77"/>
      <c r="LV403" s="77"/>
      <c r="LW403" s="77"/>
      <c r="LX403" s="77"/>
      <c r="MT403" s="77"/>
      <c r="MU403" s="77"/>
      <c r="MV403" s="77"/>
      <c r="MW403" s="77"/>
      <c r="MX403" s="77"/>
      <c r="MY403" s="77"/>
      <c r="MZ403" s="77"/>
      <c r="NA403" s="77"/>
      <c r="NB403" s="77"/>
      <c r="NC403" s="77"/>
    </row>
    <row r="404" spans="1:421" ht="18.600000000000001" customHeight="1" x14ac:dyDescent="0.25">
      <c r="A404" s="119" t="s">
        <v>733</v>
      </c>
      <c r="B404" s="27" t="s">
        <v>2444</v>
      </c>
      <c r="C404" s="27" t="s">
        <v>2447</v>
      </c>
      <c r="D404" s="30" t="str">
        <f>HYPERLINK("https://twitter.com/Gobierno_CR","https://twitter.com/Gobierno_CR")</f>
        <v>https://twitter.com/Gobierno_CR</v>
      </c>
      <c r="E404" s="30" t="s">
        <v>2445</v>
      </c>
      <c r="F404" s="10" t="s">
        <v>558</v>
      </c>
      <c r="G404" s="10" t="s">
        <v>574</v>
      </c>
      <c r="H404" s="10" t="s">
        <v>788</v>
      </c>
      <c r="I404" s="10" t="s">
        <v>782</v>
      </c>
      <c r="J404" s="27" t="s">
        <v>2226</v>
      </c>
      <c r="K404" s="15" t="s">
        <v>777</v>
      </c>
      <c r="L404" s="10" t="s">
        <v>771</v>
      </c>
      <c r="M404" s="10" t="s">
        <v>770</v>
      </c>
      <c r="N404" s="30" t="s">
        <v>2446</v>
      </c>
      <c r="O404" s="27" t="s">
        <v>5819</v>
      </c>
      <c r="P404" s="80">
        <v>20</v>
      </c>
      <c r="Q404" s="80">
        <v>0</v>
      </c>
      <c r="R404" s="27" t="s">
        <v>2995</v>
      </c>
      <c r="S404" s="30" t="str">
        <f>HYPERLINK("https://twitter.com/Gobierno_CR/lists","https://twitter.com/Gobierno_CR/lists")</f>
        <v>https://twitter.com/Gobierno_CR/lists</v>
      </c>
      <c r="T404" s="10" t="s">
        <v>771</v>
      </c>
      <c r="U404" s="10">
        <v>1</v>
      </c>
      <c r="V404" s="10" t="s">
        <v>771</v>
      </c>
      <c r="W404" s="10"/>
      <c r="X404" s="27" t="s">
        <v>733</v>
      </c>
      <c r="Y404" s="27" t="s">
        <v>2444</v>
      </c>
      <c r="Z404" s="80">
        <v>1580</v>
      </c>
      <c r="AA404" s="27">
        <v>211</v>
      </c>
      <c r="AB404" s="80">
        <v>2676</v>
      </c>
      <c r="AC404" s="27">
        <v>1</v>
      </c>
      <c r="AD404" s="27" t="s">
        <v>3728</v>
      </c>
      <c r="AE404" s="27">
        <v>2937493713</v>
      </c>
      <c r="AF404" s="27" t="s">
        <v>2447</v>
      </c>
      <c r="AG404" s="27"/>
      <c r="AH404" s="79">
        <v>3.1854838709677402</v>
      </c>
      <c r="AI404" s="83">
        <v>3.59908883826879</v>
      </c>
      <c r="AJ404" s="80">
        <v>0.68498452012383904</v>
      </c>
      <c r="AK404" s="80">
        <v>0.68575851393188902</v>
      </c>
      <c r="AL404" s="27">
        <v>11</v>
      </c>
      <c r="AM404" s="97">
        <f>SUM(AL404/Z404)</f>
        <v>6.962025316455696E-3</v>
      </c>
      <c r="AN404" s="27" t="s">
        <v>733</v>
      </c>
      <c r="AO404" s="27">
        <v>2</v>
      </c>
      <c r="AP404" s="27">
        <v>1</v>
      </c>
      <c r="AQ404" s="27">
        <v>4</v>
      </c>
      <c r="AR404" s="27">
        <f>SUM(AO404:AQ404)</f>
        <v>7</v>
      </c>
      <c r="AS404" s="27" t="s">
        <v>5138</v>
      </c>
      <c r="AT404" s="27" t="s">
        <v>705</v>
      </c>
      <c r="AU404" s="84" t="s">
        <v>4730</v>
      </c>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16"/>
      <c r="CD404" s="16"/>
      <c r="CE404" s="16"/>
      <c r="CF404" s="16"/>
      <c r="CG404" s="16"/>
      <c r="CH404" s="16"/>
      <c r="CI404" s="16"/>
      <c r="CJ404" s="16"/>
      <c r="EM404" s="77"/>
      <c r="EN404" s="77"/>
      <c r="EO404" s="77"/>
      <c r="EP404" s="77"/>
      <c r="EQ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W404" s="77"/>
      <c r="LX404" s="77"/>
    </row>
    <row r="405" spans="1:421" ht="18.600000000000001" customHeight="1" x14ac:dyDescent="0.25">
      <c r="A405" s="119" t="s">
        <v>2620</v>
      </c>
      <c r="B405" s="27" t="s">
        <v>2621</v>
      </c>
      <c r="C405" s="27" t="s">
        <v>4570</v>
      </c>
      <c r="D405" s="30" t="str">
        <f>HYPERLINK("https://twitter.com/USAUrdu","https://twitter.com/USAUrdu")</f>
        <v>https://twitter.com/USAUrdu</v>
      </c>
      <c r="E405" s="30" t="str">
        <f>HYPERLINK("http://twiplomacy.com/info/north-america/United-States","http://twiplomacy.com/info/north-america/United-States")</f>
        <v>http://twiplomacy.com/info/north-america/United-States</v>
      </c>
      <c r="F405" s="10" t="s">
        <v>558</v>
      </c>
      <c r="G405" s="10" t="s">
        <v>633</v>
      </c>
      <c r="H405" s="10" t="s">
        <v>2539</v>
      </c>
      <c r="I405" s="10" t="s">
        <v>782</v>
      </c>
      <c r="J405" s="27" t="s">
        <v>789</v>
      </c>
      <c r="K405" s="15" t="s">
        <v>777</v>
      </c>
      <c r="L405" s="10" t="s">
        <v>771</v>
      </c>
      <c r="M405" s="10" t="s">
        <v>770</v>
      </c>
      <c r="N405" s="30" t="str">
        <f>HYPERLINK("https://twitter.com/USAUrdu/statuses/48396822196125696","https://twitter.com/USAUrdu/statuses/48396822196125696")</f>
        <v>https://twitter.com/USAUrdu/statuses/48396822196125696</v>
      </c>
      <c r="O405" s="27" t="s">
        <v>6124</v>
      </c>
      <c r="P405" s="80">
        <v>415</v>
      </c>
      <c r="Q405" s="80">
        <v>63</v>
      </c>
      <c r="R405" s="27" t="s">
        <v>2994</v>
      </c>
      <c r="S405" s="10" t="s">
        <v>2622</v>
      </c>
      <c r="T405" s="10" t="s">
        <v>771</v>
      </c>
      <c r="U405" s="10" t="s">
        <v>771</v>
      </c>
      <c r="V405" s="10" t="s">
        <v>771</v>
      </c>
      <c r="W405" s="10"/>
      <c r="X405" s="27" t="s">
        <v>2620</v>
      </c>
      <c r="Y405" s="27" t="s">
        <v>2621</v>
      </c>
      <c r="Z405" s="80">
        <v>1524</v>
      </c>
      <c r="AA405" s="27">
        <v>1124</v>
      </c>
      <c r="AB405" s="80">
        <v>22711</v>
      </c>
      <c r="AC405" s="27">
        <v>1</v>
      </c>
      <c r="AD405" s="27" t="s">
        <v>4571</v>
      </c>
      <c r="AE405" s="27">
        <v>267302488</v>
      </c>
      <c r="AF405" s="27" t="s">
        <v>4570</v>
      </c>
      <c r="AG405" s="27"/>
      <c r="AH405" s="79">
        <v>0.81323372465314803</v>
      </c>
      <c r="AI405" s="83">
        <v>0.81540930979133197</v>
      </c>
      <c r="AJ405" s="80">
        <v>2.0953947368421102</v>
      </c>
      <c r="AK405" s="80">
        <v>1.6092105263157901</v>
      </c>
      <c r="AL405" s="96">
        <v>34</v>
      </c>
      <c r="AM405" s="97">
        <f>SUM(AL405/Z405)</f>
        <v>2.2309711286089239E-2</v>
      </c>
      <c r="AN405" s="27" t="s">
        <v>2620</v>
      </c>
      <c r="AO405" s="27">
        <v>12</v>
      </c>
      <c r="AP405" s="27">
        <v>4</v>
      </c>
      <c r="AQ405" s="27">
        <v>8</v>
      </c>
      <c r="AR405" s="27">
        <f>SUM(AO405:AQ405)</f>
        <v>24</v>
      </c>
      <c r="AS405" s="27" t="s">
        <v>6265</v>
      </c>
      <c r="AT405" s="27" t="s">
        <v>5550</v>
      </c>
      <c r="AU405" s="84" t="s">
        <v>6193</v>
      </c>
      <c r="AV405" s="77"/>
      <c r="AW405" s="77"/>
      <c r="AX405" s="77"/>
      <c r="AY405" s="77"/>
      <c r="AZ405" s="77"/>
      <c r="BA405" s="77"/>
      <c r="BB405" s="77"/>
      <c r="BC405" s="77"/>
      <c r="BD405" s="77"/>
      <c r="BE405" s="77"/>
      <c r="BF405" s="77"/>
      <c r="BG405" s="77"/>
      <c r="BH405" s="77"/>
      <c r="BI405" s="77"/>
      <c r="BJ405" s="77"/>
      <c r="BK405" s="77"/>
      <c r="BL405" s="77"/>
      <c r="BM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c r="JV405" s="77"/>
      <c r="JW405" s="77"/>
      <c r="JX405" s="77"/>
      <c r="JY405" s="77"/>
      <c r="JZ405" s="77"/>
      <c r="KA405" s="77"/>
      <c r="KB405" s="77"/>
      <c r="KC405" s="77"/>
      <c r="KD405" s="77"/>
      <c r="KE405" s="77"/>
      <c r="KF405" s="77"/>
      <c r="KG405" s="77"/>
      <c r="KH405" s="77"/>
      <c r="KI405" s="77"/>
      <c r="KJ405" s="77"/>
      <c r="KK405" s="77"/>
      <c r="KL405" s="77"/>
      <c r="KM405" s="77"/>
      <c r="KN405" s="77"/>
      <c r="KO405" s="77"/>
      <c r="KP405" s="77"/>
      <c r="KQ405" s="77"/>
      <c r="KR405" s="77"/>
      <c r="KS405" s="77"/>
      <c r="KT405" s="77"/>
      <c r="KU405" s="77"/>
      <c r="KV405" s="77"/>
      <c r="KW405" s="77"/>
      <c r="KX405" s="77"/>
      <c r="KY405" s="77"/>
      <c r="KZ405" s="77"/>
      <c r="LA405" s="77"/>
      <c r="LB405" s="77"/>
      <c r="LC405" s="77"/>
      <c r="LD405" s="77"/>
      <c r="LE405" s="77"/>
      <c r="LF405" s="77"/>
      <c r="LG405" s="77"/>
      <c r="LH405" s="77"/>
      <c r="LI405" s="77"/>
      <c r="LJ405" s="77"/>
      <c r="LK405" s="77"/>
      <c r="LY405" s="77"/>
      <c r="LZ405" s="77"/>
      <c r="MA405" s="77"/>
      <c r="MB405" s="77"/>
      <c r="MC405" s="77"/>
      <c r="MD405" s="77"/>
      <c r="ME405" s="77"/>
      <c r="MF405" s="77"/>
      <c r="MG405" s="77"/>
      <c r="MH405" s="77"/>
      <c r="MI405" s="77"/>
      <c r="MJ405" s="77"/>
      <c r="MK405" s="77"/>
      <c r="ML405" s="77"/>
      <c r="MM405" s="77"/>
      <c r="MN405" s="77"/>
      <c r="MO405" s="77"/>
      <c r="MP405" s="77"/>
      <c r="MQ405" s="77"/>
      <c r="MR405" s="77"/>
    </row>
    <row r="406" spans="1:421" ht="18.600000000000001" customHeight="1" x14ac:dyDescent="0.25">
      <c r="A406" s="119" t="s">
        <v>476</v>
      </c>
      <c r="B406" s="27" t="s">
        <v>2097</v>
      </c>
      <c r="C406" s="27" t="s">
        <v>2098</v>
      </c>
      <c r="D406" s="30" t="str">
        <f>HYPERLINK("https://twitter.com/Statsmin_kontor","https://twitter.com/Statsmin_kontor")</f>
        <v>https://twitter.com/Statsmin_kontor</v>
      </c>
      <c r="E406" s="30" t="str">
        <f>HYPERLINK("http://twiplomacy.com/info/europe/Norway","http://twiplomacy.com/info/europe/Norway")</f>
        <v>http://twiplomacy.com/info/europe/Norway</v>
      </c>
      <c r="F406" s="10" t="s">
        <v>332</v>
      </c>
      <c r="G406" s="10" t="s">
        <v>473</v>
      </c>
      <c r="H406" s="10" t="s">
        <v>788</v>
      </c>
      <c r="I406" s="10" t="s">
        <v>782</v>
      </c>
      <c r="J406" s="27" t="s">
        <v>1945</v>
      </c>
      <c r="K406" s="15" t="s">
        <v>777</v>
      </c>
      <c r="L406" s="10" t="s">
        <v>771</v>
      </c>
      <c r="M406" s="10" t="s">
        <v>771</v>
      </c>
      <c r="N406" s="30" t="str">
        <f>HYPERLINK("https://twitter.com/Statsmin_kontor/statuses/2219349853","https://twitter.com/Statsmin_kontor/statuses/2219349853")</f>
        <v>https://twitter.com/Statsmin_kontor/statuses/2219349853</v>
      </c>
      <c r="O406" s="27" t="s">
        <v>2099</v>
      </c>
      <c r="P406" s="80">
        <v>41</v>
      </c>
      <c r="Q406" s="80">
        <v>1</v>
      </c>
      <c r="R406" s="27" t="s">
        <v>2994</v>
      </c>
      <c r="S406" s="30" t="str">
        <f>HYPERLINK("https://twitter.com/Statsmin_kontor/lists","https://twitter.com/Statsmin_kontor/lists")</f>
        <v>https://twitter.com/Statsmin_kontor/lists</v>
      </c>
      <c r="T406" s="10">
        <v>1</v>
      </c>
      <c r="U406" s="10" t="s">
        <v>771</v>
      </c>
      <c r="V406" s="10" t="s">
        <v>771</v>
      </c>
      <c r="W406" s="10"/>
      <c r="X406" s="27" t="s">
        <v>476</v>
      </c>
      <c r="Y406" s="27" t="s">
        <v>2097</v>
      </c>
      <c r="Z406" s="80">
        <v>1502</v>
      </c>
      <c r="AA406" s="27">
        <v>329</v>
      </c>
      <c r="AB406" s="80">
        <v>30662</v>
      </c>
      <c r="AC406" s="27">
        <v>5</v>
      </c>
      <c r="AD406" s="27" t="s">
        <v>4494</v>
      </c>
      <c r="AE406" s="27">
        <v>36028993</v>
      </c>
      <c r="AF406" s="27" t="s">
        <v>2098</v>
      </c>
      <c r="AG406" s="27" t="s">
        <v>2092</v>
      </c>
      <c r="AH406" s="79">
        <v>0.58648965247950002</v>
      </c>
      <c r="AI406" s="83">
        <v>0.59888357256778302</v>
      </c>
      <c r="AJ406" s="80">
        <v>1.6840558412931701</v>
      </c>
      <c r="AK406" s="80">
        <v>0.87362233651726695</v>
      </c>
      <c r="AL406" s="27">
        <v>20</v>
      </c>
      <c r="AM406" s="97">
        <f>SUM(AL406/Z406)</f>
        <v>1.3315579227696404E-2</v>
      </c>
      <c r="AN406" s="27" t="s">
        <v>476</v>
      </c>
      <c r="AO406" s="27">
        <v>2</v>
      </c>
      <c r="AP406" s="27">
        <v>6</v>
      </c>
      <c r="AQ406" s="27">
        <v>4</v>
      </c>
      <c r="AR406" s="27">
        <f>SUM(AO406:AQ406)</f>
        <v>12</v>
      </c>
      <c r="AS406" s="27" t="s">
        <v>5505</v>
      </c>
      <c r="AT406" s="27" t="s">
        <v>5506</v>
      </c>
      <c r="AU406" s="84" t="s">
        <v>4962</v>
      </c>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16"/>
      <c r="GM406" s="16"/>
      <c r="GN406" s="16"/>
      <c r="GO406" s="16"/>
      <c r="GP406" s="16"/>
      <c r="GQ406" s="16"/>
      <c r="GR406" s="16"/>
      <c r="GS406" s="16"/>
      <c r="GT406" s="16"/>
      <c r="GU406" s="16"/>
      <c r="GV406" s="16"/>
      <c r="GW406" s="16"/>
      <c r="GX406" s="16"/>
      <c r="GY406" s="16"/>
      <c r="GZ406" s="16"/>
      <c r="HA406" s="16"/>
      <c r="HB406" s="16"/>
      <c r="HC406" s="16"/>
      <c r="HD406" s="16"/>
      <c r="HE406" s="16"/>
      <c r="HF406" s="16"/>
      <c r="HG406" s="16"/>
      <c r="HH406" s="16"/>
      <c r="HI406" s="16"/>
      <c r="HJ406" s="16"/>
      <c r="HK406" s="16"/>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LL406" s="77"/>
      <c r="LM406" s="77"/>
      <c r="LN406" s="77"/>
      <c r="LO406" s="77"/>
      <c r="LP406" s="77"/>
      <c r="LQ406" s="77"/>
      <c r="LR406" s="77"/>
      <c r="LS406" s="77"/>
      <c r="LT406" s="77"/>
      <c r="LU406" s="77"/>
      <c r="LV406" s="77"/>
      <c r="LW406" s="77"/>
      <c r="LX406" s="77"/>
      <c r="MS406" s="16"/>
    </row>
    <row r="407" spans="1:421" ht="18.600000000000001" customHeight="1" x14ac:dyDescent="0.25">
      <c r="A407" s="119" t="s">
        <v>447</v>
      </c>
      <c r="B407" s="27" t="s">
        <v>2034</v>
      </c>
      <c r="C407" s="27" t="s">
        <v>4601</v>
      </c>
      <c r="D407" s="30" t="str">
        <f>HYPERLINK("https://twitter.com/Xavier_Bettel","https://twitter.com/Xavier_Bettel")</f>
        <v>https://twitter.com/Xavier_Bettel</v>
      </c>
      <c r="E407" s="30" t="str">
        <f>HYPERLINK("http://twiplomacy.com/info/europe/Luxembourg","http://twiplomacy.com/info/europe/Luxembourg")</f>
        <v>http://twiplomacy.com/info/europe/Luxembourg</v>
      </c>
      <c r="F407" s="10" t="s">
        <v>332</v>
      </c>
      <c r="G407" s="10" t="s">
        <v>445</v>
      </c>
      <c r="H407" s="10" t="s">
        <v>776</v>
      </c>
      <c r="I407" s="10" t="s">
        <v>773</v>
      </c>
      <c r="J407" s="27" t="s">
        <v>789</v>
      </c>
      <c r="K407" s="15" t="s">
        <v>777</v>
      </c>
      <c r="L407" s="10" t="s">
        <v>770</v>
      </c>
      <c r="M407" s="10" t="s">
        <v>770</v>
      </c>
      <c r="N407" s="30" t="str">
        <f>HYPERLINK("https://twitter.com/Xavier_Bettel/statuses/20158157335","https://twitter.com/Xavier_Bettel/statuses/20158157335")</f>
        <v>https://twitter.com/Xavier_Bettel/statuses/20158157335</v>
      </c>
      <c r="O407" s="27" t="s">
        <v>6134</v>
      </c>
      <c r="P407" s="80">
        <v>807</v>
      </c>
      <c r="Q407" s="80">
        <v>869</v>
      </c>
      <c r="R407" s="27" t="s">
        <v>2994</v>
      </c>
      <c r="S407" s="10" t="s">
        <v>2035</v>
      </c>
      <c r="T407" s="10" t="s">
        <v>771</v>
      </c>
      <c r="U407" s="10" t="s">
        <v>771</v>
      </c>
      <c r="V407" s="10" t="s">
        <v>771</v>
      </c>
      <c r="W407" s="10"/>
      <c r="X407" s="27" t="s">
        <v>447</v>
      </c>
      <c r="Y407" s="27" t="s">
        <v>2034</v>
      </c>
      <c r="Z407" s="80">
        <v>1501</v>
      </c>
      <c r="AA407" s="27">
        <v>66</v>
      </c>
      <c r="AB407" s="80">
        <v>32383</v>
      </c>
      <c r="AC407" s="27">
        <v>35</v>
      </c>
      <c r="AD407" s="27" t="s">
        <v>4602</v>
      </c>
      <c r="AE407" s="27">
        <v>173929268</v>
      </c>
      <c r="AF407" s="27" t="s">
        <v>4601</v>
      </c>
      <c r="AG407" s="27" t="s">
        <v>445</v>
      </c>
      <c r="AH407" s="79">
        <v>0.71476190476190504</v>
      </c>
      <c r="AI407" s="83">
        <v>0.71435383881735803</v>
      </c>
      <c r="AJ407" s="80">
        <v>5.5674418604651201</v>
      </c>
      <c r="AK407" s="80">
        <v>6.7525581395348802</v>
      </c>
      <c r="AL407" s="96">
        <v>339</v>
      </c>
      <c r="AM407" s="97">
        <f>SUM(AL407/Z407)</f>
        <v>0.22584943371085942</v>
      </c>
      <c r="AN407" s="27" t="s">
        <v>447</v>
      </c>
      <c r="AO407" s="27">
        <v>1</v>
      </c>
      <c r="AP407" s="27">
        <v>27</v>
      </c>
      <c r="AQ407" s="27">
        <v>5</v>
      </c>
      <c r="AR407" s="27">
        <f>SUM(AO407:AQ407)</f>
        <v>33</v>
      </c>
      <c r="AS407" s="27" t="s">
        <v>469</v>
      </c>
      <c r="AT407" s="27" t="s">
        <v>6876</v>
      </c>
      <c r="AU407" s="84" t="s">
        <v>4994</v>
      </c>
      <c r="BQ407" s="77"/>
      <c r="BR407" s="77"/>
      <c r="BS407" s="77"/>
      <c r="BT407" s="77"/>
      <c r="BU407" s="77"/>
      <c r="BV407" s="77"/>
      <c r="BW407" s="77"/>
      <c r="BX407" s="77"/>
      <c r="BY407" s="77"/>
      <c r="BZ407" s="77"/>
      <c r="CA407" s="77"/>
      <c r="CB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MS407" s="77"/>
      <c r="MT407" s="77"/>
      <c r="MU407" s="77"/>
      <c r="MV407" s="77"/>
      <c r="MW407" s="77"/>
      <c r="MX407" s="77"/>
      <c r="MY407" s="77"/>
      <c r="MZ407" s="77"/>
      <c r="NA407" s="77"/>
      <c r="NB407" s="77"/>
      <c r="NC407" s="77"/>
    </row>
    <row r="408" spans="1:421" ht="18.600000000000001" customHeight="1" x14ac:dyDescent="0.25">
      <c r="A408" s="119" t="s">
        <v>388</v>
      </c>
      <c r="B408" s="27" t="s">
        <v>1865</v>
      </c>
      <c r="C408" s="27" t="s">
        <v>1866</v>
      </c>
      <c r="D408" s="30" t="str">
        <f>HYPERLINK("https://twitter.com/NikolaPoposki","https://twitter.com/NikolaPoposki")</f>
        <v>https://twitter.com/NikolaPoposki</v>
      </c>
      <c r="E408" s="30" t="str">
        <f>HYPERLINK("http://twiplomacy.com/info/europe/f-y-r-o-m/","http://twiplomacy.com/info/europe/f-y-r-o-m/")</f>
        <v>http://twiplomacy.com/info/europe/f-y-r-o-m/</v>
      </c>
      <c r="F408" s="10" t="s">
        <v>332</v>
      </c>
      <c r="G408" s="10" t="s">
        <v>385</v>
      </c>
      <c r="H408" s="10" t="s">
        <v>860</v>
      </c>
      <c r="I408" s="10" t="s">
        <v>773</v>
      </c>
      <c r="J408" s="27" t="s">
        <v>789</v>
      </c>
      <c r="K408" s="15" t="s">
        <v>777</v>
      </c>
      <c r="L408" s="10" t="s">
        <v>771</v>
      </c>
      <c r="M408" s="10" t="s">
        <v>770</v>
      </c>
      <c r="N408" s="30" t="str">
        <f>HYPERLINK("https://twitter.com/NikolaPoposki/statuses/107006741413244928","https://twitter.com/NikolaPoposki/statuses/107006741413244928")</f>
        <v>https://twitter.com/NikolaPoposki/statuses/107006741413244928</v>
      </c>
      <c r="O408" s="27" t="s">
        <v>5989</v>
      </c>
      <c r="P408" s="80">
        <v>108</v>
      </c>
      <c r="Q408" s="80">
        <v>30</v>
      </c>
      <c r="R408" s="27" t="s">
        <v>2994</v>
      </c>
      <c r="S408" s="10" t="s">
        <v>1867</v>
      </c>
      <c r="T408" s="10" t="s">
        <v>771</v>
      </c>
      <c r="U408" s="10" t="s">
        <v>771</v>
      </c>
      <c r="V408" s="10" t="s">
        <v>771</v>
      </c>
      <c r="W408" s="10"/>
      <c r="X408" s="27" t="s">
        <v>388</v>
      </c>
      <c r="Y408" s="27" t="s">
        <v>1865</v>
      </c>
      <c r="Z408" s="80">
        <v>1499</v>
      </c>
      <c r="AA408" s="27">
        <v>141</v>
      </c>
      <c r="AB408" s="80">
        <v>3746</v>
      </c>
      <c r="AC408" s="27">
        <v>15</v>
      </c>
      <c r="AD408" s="27" t="s">
        <v>4198</v>
      </c>
      <c r="AE408" s="27">
        <v>362359332</v>
      </c>
      <c r="AF408" s="27" t="s">
        <v>1866</v>
      </c>
      <c r="AG408" s="27" t="s">
        <v>1861</v>
      </c>
      <c r="AH408" s="79">
        <v>0.87609585037989501</v>
      </c>
      <c r="AI408" s="83">
        <v>0.87859237536656898</v>
      </c>
      <c r="AJ408" s="80">
        <v>1.48740100791937</v>
      </c>
      <c r="AK408" s="80">
        <v>2.2800575953923699</v>
      </c>
      <c r="AL408" s="27">
        <v>19</v>
      </c>
      <c r="AM408" s="97">
        <f>SUM(AL408/Z408)</f>
        <v>1.2675116744496331E-2</v>
      </c>
      <c r="AN408" s="27" t="s">
        <v>388</v>
      </c>
      <c r="AO408" s="27">
        <v>30</v>
      </c>
      <c r="AP408" s="27">
        <v>24</v>
      </c>
      <c r="AQ408" s="27">
        <v>21</v>
      </c>
      <c r="AR408" s="27">
        <f>SUM(AO408:AQ408)</f>
        <v>75</v>
      </c>
      <c r="AS408" s="27" t="s">
        <v>5364</v>
      </c>
      <c r="AT408" s="27" t="s">
        <v>6804</v>
      </c>
      <c r="AU408" s="84" t="s">
        <v>6176</v>
      </c>
      <c r="AV408" s="77"/>
      <c r="AW408" s="77"/>
      <c r="AX408" s="77"/>
      <c r="AY408" s="77"/>
      <c r="AZ408" s="77"/>
      <c r="BA408" s="77"/>
      <c r="BB408" s="77"/>
      <c r="BC408" s="77"/>
      <c r="BD408" s="77"/>
      <c r="BE408" s="77"/>
      <c r="BF408" s="77"/>
      <c r="BG408" s="77"/>
      <c r="BH408" s="77"/>
      <c r="BI408" s="77"/>
      <c r="BJ408" s="77"/>
      <c r="BK408" s="77"/>
      <c r="BL408" s="77"/>
      <c r="BM408" s="77"/>
      <c r="BN408" s="77"/>
      <c r="BO408" s="77"/>
      <c r="BP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c r="HY408" s="77"/>
      <c r="HZ408" s="77"/>
      <c r="IA408" s="77"/>
      <c r="IB408" s="77"/>
      <c r="IC408" s="77"/>
      <c r="ID408" s="77"/>
      <c r="IE408" s="77"/>
      <c r="IF408" s="77"/>
      <c r="IG408" s="77"/>
      <c r="IH408" s="77"/>
      <c r="II408" s="77"/>
      <c r="IJ408" s="77"/>
      <c r="IK408" s="77"/>
      <c r="IL408" s="77"/>
      <c r="IM408" s="77"/>
      <c r="IN408" s="77"/>
      <c r="IO408" s="77"/>
      <c r="IP408" s="77"/>
      <c r="IQ408" s="77"/>
      <c r="IR408" s="77"/>
      <c r="IS408" s="77"/>
      <c r="IT408" s="77"/>
      <c r="IU408" s="77"/>
      <c r="IV408" s="77"/>
      <c r="IW408" s="77"/>
      <c r="IX408" s="77"/>
      <c r="IY408" s="77"/>
      <c r="IZ408" s="77"/>
      <c r="JA408" s="77"/>
      <c r="JB408" s="77"/>
      <c r="JC408" s="77"/>
      <c r="JD408" s="77"/>
      <c r="JE408" s="77"/>
      <c r="JF408" s="77"/>
      <c r="JG408" s="77"/>
      <c r="JH408" s="77"/>
      <c r="JI408" s="77"/>
      <c r="JJ408" s="77"/>
      <c r="JK408" s="77"/>
      <c r="JL408" s="77"/>
      <c r="JM408" s="77"/>
      <c r="JN408" s="77"/>
      <c r="JO408" s="77"/>
      <c r="JP408" s="77"/>
      <c r="JQ408" s="77"/>
      <c r="JR408" s="77"/>
      <c r="JS408" s="77"/>
      <c r="JT408" s="77"/>
      <c r="JU408" s="77"/>
      <c r="JV408" s="77"/>
      <c r="JW408" s="77"/>
      <c r="JX408" s="77"/>
      <c r="JY408" s="77"/>
      <c r="JZ408" s="77"/>
      <c r="KA408" s="77"/>
      <c r="KB408" s="77"/>
      <c r="KC408" s="77"/>
      <c r="KD408" s="77"/>
      <c r="KE408" s="77"/>
      <c r="KF408" s="77"/>
      <c r="KG408" s="77"/>
      <c r="KH408" s="77"/>
      <c r="KI408" s="77"/>
      <c r="KJ408" s="77"/>
      <c r="KK408" s="77"/>
      <c r="KL408" s="77"/>
      <c r="MT408" s="77"/>
      <c r="MU408" s="77"/>
      <c r="MV408" s="77"/>
      <c r="MW408" s="77"/>
      <c r="MX408" s="77"/>
      <c r="MY408" s="77"/>
      <c r="MZ408" s="77"/>
      <c r="NA408" s="77"/>
      <c r="NB408" s="77"/>
      <c r="NC408" s="77"/>
      <c r="NE408" s="77"/>
      <c r="NF408" s="77"/>
      <c r="NG408" s="77"/>
      <c r="NH408" s="77"/>
      <c r="NI408" s="77"/>
      <c r="NJ408" s="77"/>
      <c r="NK408" s="77"/>
      <c r="NL408" s="77"/>
      <c r="NM408" s="77"/>
      <c r="NN408" s="77"/>
      <c r="NO408" s="77"/>
      <c r="NP408" s="77"/>
      <c r="NQ408" s="77"/>
      <c r="NR408" s="77"/>
      <c r="NS408" s="77"/>
      <c r="NT408" s="77"/>
      <c r="NU408" s="77"/>
      <c r="NV408" s="77"/>
      <c r="NW408" s="77"/>
      <c r="NX408" s="77"/>
      <c r="NY408" s="77"/>
      <c r="NZ408" s="77"/>
      <c r="OA408" s="77"/>
      <c r="OB408" s="77"/>
      <c r="OC408" s="77"/>
      <c r="OD408" s="77"/>
      <c r="OE408" s="77"/>
      <c r="OF408" s="77"/>
      <c r="OG408" s="77"/>
      <c r="OH408" s="77"/>
      <c r="OI408" s="77"/>
      <c r="OJ408" s="77"/>
      <c r="OK408" s="77"/>
      <c r="OL408" s="77"/>
      <c r="OM408" s="77"/>
      <c r="ON408" s="77"/>
      <c r="OO408" s="77"/>
      <c r="OP408" s="77"/>
      <c r="OQ408" s="77"/>
      <c r="OR408" s="77"/>
      <c r="OS408" s="77"/>
      <c r="OT408" s="77"/>
      <c r="OU408" s="77"/>
      <c r="OV408" s="77"/>
      <c r="OW408" s="77"/>
      <c r="OX408" s="77"/>
      <c r="OY408" s="77"/>
      <c r="OZ408" s="77"/>
      <c r="PA408" s="77"/>
      <c r="PB408" s="77"/>
      <c r="PC408" s="77"/>
      <c r="PD408" s="77"/>
      <c r="PE408" s="77"/>
    </row>
    <row r="409" spans="1:421" ht="18.600000000000001" customHeight="1" x14ac:dyDescent="0.25">
      <c r="A409" s="119" t="s">
        <v>371</v>
      </c>
      <c r="B409" s="27" t="s">
        <v>1802</v>
      </c>
      <c r="C409" s="27" t="s">
        <v>1803</v>
      </c>
      <c r="D409" s="30" t="str">
        <f>HYPERLINK("https://twitter.com/ZaoralekL","https://twitter.com/ZaoralekL")</f>
        <v>https://twitter.com/ZaoralekL</v>
      </c>
      <c r="E409" s="30" t="str">
        <f>HYPERLINK("http://twiplomacy.com/info/europe/Czech-Republic","http://twiplomacy.com/info/europe/Czech-Republic")</f>
        <v>http://twiplomacy.com/info/europe/Czech-Republic</v>
      </c>
      <c r="F409" s="10" t="s">
        <v>332</v>
      </c>
      <c r="G409" s="10" t="s">
        <v>5647</v>
      </c>
      <c r="H409" s="10" t="s">
        <v>860</v>
      </c>
      <c r="I409" s="10" t="s">
        <v>773</v>
      </c>
      <c r="J409" s="27" t="s">
        <v>1792</v>
      </c>
      <c r="K409" s="10" t="s">
        <v>777</v>
      </c>
      <c r="L409" s="10" t="s">
        <v>771</v>
      </c>
      <c r="M409" s="10" t="s">
        <v>771</v>
      </c>
      <c r="N409" s="72" t="str">
        <f>HYPERLINK("https://twitter.com/ZaoralekL/status/537985175091937280","https://twitter.com/ZaoralekL/status/537985175091937280")</f>
        <v>https://twitter.com/ZaoralekL/status/537985175091937280</v>
      </c>
      <c r="O409" s="27" t="s">
        <v>1804</v>
      </c>
      <c r="P409" s="80">
        <v>41</v>
      </c>
      <c r="Q409" s="80">
        <v>33</v>
      </c>
      <c r="R409" s="27" t="s">
        <v>2995</v>
      </c>
      <c r="S409" s="30" t="str">
        <f>HYPERLINK("https://twitter.com/ZaoralekL/lists","https://twitter.com/ZaoralekL/lists")</f>
        <v>https://twitter.com/ZaoralekL/lists</v>
      </c>
      <c r="T409" s="10" t="s">
        <v>771</v>
      </c>
      <c r="U409" s="10" t="s">
        <v>771</v>
      </c>
      <c r="V409" s="10" t="s">
        <v>771</v>
      </c>
      <c r="W409" s="10"/>
      <c r="X409" s="27" t="s">
        <v>371</v>
      </c>
      <c r="Y409" s="27" t="s">
        <v>1802</v>
      </c>
      <c r="Z409" s="80">
        <v>1498</v>
      </c>
      <c r="AA409" s="27">
        <v>95</v>
      </c>
      <c r="AB409" s="80">
        <v>7721</v>
      </c>
      <c r="AC409" s="27">
        <v>14</v>
      </c>
      <c r="AD409" s="27" t="s">
        <v>4604</v>
      </c>
      <c r="AE409" s="27">
        <v>2776167217</v>
      </c>
      <c r="AF409" s="27" t="s">
        <v>1803</v>
      </c>
      <c r="AG409" s="27" t="s">
        <v>1798</v>
      </c>
      <c r="AH409" s="79">
        <v>2.44371941272431</v>
      </c>
      <c r="AI409" s="83">
        <v>2.8752399232245698</v>
      </c>
      <c r="AJ409" s="80">
        <v>3.1980802792321099</v>
      </c>
      <c r="AK409" s="80">
        <v>6.1657940663176296</v>
      </c>
      <c r="AL409" s="96">
        <v>6</v>
      </c>
      <c r="AM409" s="97">
        <f>SUM(AL409/Z409)</f>
        <v>4.0053404539385851E-3</v>
      </c>
      <c r="AN409" s="27" t="s">
        <v>371</v>
      </c>
      <c r="AO409" s="27">
        <v>13</v>
      </c>
      <c r="AP409" s="27">
        <v>30</v>
      </c>
      <c r="AQ409" s="27">
        <v>11</v>
      </c>
      <c r="AR409" s="27">
        <f>SUM(AO409:AQ409)</f>
        <v>54</v>
      </c>
      <c r="AS409" s="27" t="s">
        <v>5565</v>
      </c>
      <c r="AT409" s="27" t="s">
        <v>6878</v>
      </c>
      <c r="AU409" s="84" t="s">
        <v>4996</v>
      </c>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GL409" s="16"/>
      <c r="GM409" s="16"/>
      <c r="GN409" s="16"/>
      <c r="GO409" s="16"/>
      <c r="GP409" s="16"/>
      <c r="GQ409" s="16"/>
      <c r="GR409" s="16"/>
      <c r="GS409" s="16"/>
      <c r="GT409" s="16"/>
      <c r="GU409" s="16"/>
      <c r="GV409" s="16"/>
      <c r="GW409" s="16"/>
      <c r="GX409" s="16"/>
      <c r="GY409" s="16"/>
      <c r="GZ409" s="16"/>
      <c r="HA409" s="16"/>
      <c r="HB409" s="16"/>
      <c r="HC409" s="16"/>
      <c r="HD409" s="16"/>
      <c r="HE409" s="16"/>
      <c r="HF409" s="16"/>
      <c r="HG409" s="16"/>
      <c r="HH409" s="16"/>
      <c r="HI409" s="16"/>
      <c r="HJ409" s="16"/>
      <c r="HK409" s="16"/>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row>
    <row r="410" spans="1:421" ht="18.600000000000001" customHeight="1" x14ac:dyDescent="0.25">
      <c r="A410" s="119" t="s">
        <v>384</v>
      </c>
      <c r="B410" s="27" t="s">
        <v>1832</v>
      </c>
      <c r="C410" s="27" t="s">
        <v>3660</v>
      </c>
      <c r="D410" s="30" t="str">
        <f>HYPERLINK("https://twitter.com/EstonianGovt","https://twitter.com/EstonianGovt")</f>
        <v>https://twitter.com/EstonianGovt</v>
      </c>
      <c r="E410" s="30" t="str">
        <f>HYPERLINK("http://twiplomacy.com/info/europe/Estonia","http://twiplomacy.com/info/europe/Estonia")</f>
        <v>http://twiplomacy.com/info/europe/Estonia</v>
      </c>
      <c r="F410" s="10" t="s">
        <v>332</v>
      </c>
      <c r="G410" s="10" t="s">
        <v>378</v>
      </c>
      <c r="H410" s="10" t="s">
        <v>788</v>
      </c>
      <c r="I410" s="10" t="s">
        <v>782</v>
      </c>
      <c r="J410" s="27" t="s">
        <v>789</v>
      </c>
      <c r="K410" s="15" t="s">
        <v>777</v>
      </c>
      <c r="L410" s="10" t="s">
        <v>771</v>
      </c>
      <c r="M410" s="10" t="s">
        <v>770</v>
      </c>
      <c r="N410" s="30" t="str">
        <f>HYPERLINK("https://twitter.com/EstonianGovt/statuses/1840782609","https://twitter.com/EstonianGovt/statuses/1840782609")</f>
        <v>https://twitter.com/EstonianGovt/statuses/1840782609</v>
      </c>
      <c r="O410" s="27" t="s">
        <v>5747</v>
      </c>
      <c r="P410" s="80">
        <v>399</v>
      </c>
      <c r="Q410" s="80">
        <v>208</v>
      </c>
      <c r="R410" s="27" t="s">
        <v>2995</v>
      </c>
      <c r="S410" s="30" t="str">
        <f>HYPERLINK("https://twitter.com/EstonianGovt/lists","https://twitter.com/EstonianGovt/lists")</f>
        <v>https://twitter.com/EstonianGovt/lists</v>
      </c>
      <c r="T410" s="10" t="s">
        <v>771</v>
      </c>
      <c r="U410" s="10" t="s">
        <v>771</v>
      </c>
      <c r="V410" s="10" t="s">
        <v>771</v>
      </c>
      <c r="W410" s="10"/>
      <c r="X410" s="27" t="s">
        <v>384</v>
      </c>
      <c r="Y410" s="27" t="s">
        <v>1832</v>
      </c>
      <c r="Z410" s="80">
        <v>1493</v>
      </c>
      <c r="AA410" s="27">
        <v>41</v>
      </c>
      <c r="AB410" s="80">
        <v>3948</v>
      </c>
      <c r="AC410" s="27">
        <v>26</v>
      </c>
      <c r="AD410" s="27" t="s">
        <v>3661</v>
      </c>
      <c r="AE410" s="27">
        <v>40868132</v>
      </c>
      <c r="AF410" s="27" t="s">
        <v>3660</v>
      </c>
      <c r="AG410" s="27" t="s">
        <v>1833</v>
      </c>
      <c r="AH410" s="79">
        <v>0.58756395120031502</v>
      </c>
      <c r="AI410" s="83">
        <v>0.58832807570977896</v>
      </c>
      <c r="AJ410" s="80">
        <v>2.5641304347826099</v>
      </c>
      <c r="AK410" s="80">
        <v>1.4445652173912999</v>
      </c>
      <c r="AL410" s="27">
        <v>4</v>
      </c>
      <c r="AM410" s="97">
        <f>SUM(AL410/Z410)</f>
        <v>2.6791694574681848E-3</v>
      </c>
      <c r="AN410" s="27" t="s">
        <v>384</v>
      </c>
      <c r="AO410" s="27">
        <v>2</v>
      </c>
      <c r="AP410" s="27">
        <v>15</v>
      </c>
      <c r="AQ410" s="27">
        <v>6</v>
      </c>
      <c r="AR410" s="27">
        <f>SUM(AO410:AQ410)</f>
        <v>23</v>
      </c>
      <c r="AS410" s="27" t="s">
        <v>5108</v>
      </c>
      <c r="AT410" s="27" t="s">
        <v>6287</v>
      </c>
      <c r="AU410" s="84" t="s">
        <v>4710</v>
      </c>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Y410" s="77"/>
      <c r="LZ410" s="77"/>
      <c r="MA410" s="77"/>
      <c r="MB410" s="77"/>
      <c r="MC410" s="77"/>
      <c r="MD410" s="77"/>
      <c r="ME410" s="77"/>
      <c r="MF410" s="77"/>
      <c r="MG410" s="77"/>
      <c r="MH410" s="77"/>
      <c r="MI410" s="77"/>
      <c r="MJ410" s="77"/>
      <c r="MK410" s="77"/>
      <c r="ML410" s="77"/>
      <c r="MM410" s="77"/>
      <c r="MN410" s="77"/>
      <c r="MO410" s="77"/>
      <c r="MP410" s="77"/>
      <c r="MQ410" s="77"/>
      <c r="MR410" s="77"/>
    </row>
    <row r="411" spans="1:421" ht="18.600000000000001" customHeight="1" x14ac:dyDescent="0.25">
      <c r="A411" s="119" t="s">
        <v>417</v>
      </c>
      <c r="B411" s="27" t="s">
        <v>1951</v>
      </c>
      <c r="C411" s="27" t="s">
        <v>1952</v>
      </c>
      <c r="D411" s="30" t="str">
        <f>HYPERLINK("https://twitter.com/md_higgins","https://twitter.com/md_higgins")</f>
        <v>https://twitter.com/md_higgins</v>
      </c>
      <c r="E411" s="30" t="str">
        <f>HYPERLINK("http://twiplomacy.com/info/europe/Ireland","http://twiplomacy.com/info/europe/Ireland")</f>
        <v>http://twiplomacy.com/info/europe/Ireland</v>
      </c>
      <c r="F411" s="10" t="s">
        <v>332</v>
      </c>
      <c r="G411" s="10" t="s">
        <v>416</v>
      </c>
      <c r="H411" s="10" t="s">
        <v>772</v>
      </c>
      <c r="I411" s="10" t="s">
        <v>773</v>
      </c>
      <c r="J411" s="27" t="s">
        <v>789</v>
      </c>
      <c r="K411" s="15" t="s">
        <v>1953</v>
      </c>
      <c r="L411" s="10"/>
      <c r="M411" s="10" t="s">
        <v>771</v>
      </c>
      <c r="N411" s="30" t="str">
        <f>HYPERLINK("https://twitter.com/md_higgins/statuses/7675506658","https://twitter.com/md_higgins/statuses/7675506658")</f>
        <v>https://twitter.com/md_higgins/statuses/7675506658</v>
      </c>
      <c r="O411" s="27" t="s">
        <v>1954</v>
      </c>
      <c r="P411" s="80">
        <v>117</v>
      </c>
      <c r="Q411" s="80">
        <v>8</v>
      </c>
      <c r="R411" s="27" t="s">
        <v>2995</v>
      </c>
      <c r="S411" s="30" t="str">
        <f>HYPERLINK("https://twitter.com/md_higgins/lists","https://twitter.com/md_higgins/lists")</f>
        <v>https://twitter.com/md_higgins/lists</v>
      </c>
      <c r="T411" s="10" t="s">
        <v>771</v>
      </c>
      <c r="U411" s="10" t="s">
        <v>771</v>
      </c>
      <c r="V411" s="10" t="s">
        <v>771</v>
      </c>
      <c r="W411" s="10"/>
      <c r="X411" s="27" t="s">
        <v>417</v>
      </c>
      <c r="Y411" s="27" t="s">
        <v>1951</v>
      </c>
      <c r="Z411" s="80">
        <v>1491</v>
      </c>
      <c r="AA411" s="27">
        <v>5194</v>
      </c>
      <c r="AB411" s="80">
        <v>22518</v>
      </c>
      <c r="AC411" s="27">
        <v>13</v>
      </c>
      <c r="AD411" s="27" t="s">
        <v>4041</v>
      </c>
      <c r="AE411" s="27">
        <v>104192882</v>
      </c>
      <c r="AF411" s="27" t="s">
        <v>1952</v>
      </c>
      <c r="AG411" s="27" t="s">
        <v>416</v>
      </c>
      <c r="AH411" s="79">
        <v>0.64769765421372705</v>
      </c>
      <c r="AI411" s="83">
        <v>2.2170658682634699</v>
      </c>
      <c r="AJ411" s="80">
        <v>2.1407035175879399</v>
      </c>
      <c r="AK411" s="80">
        <v>0.185092127303183</v>
      </c>
      <c r="AL411" s="27">
        <v>410</v>
      </c>
      <c r="AM411" s="97">
        <f>SUM(AL411/Z411)</f>
        <v>0.27498323272971159</v>
      </c>
      <c r="AN411" s="27" t="s">
        <v>417</v>
      </c>
      <c r="AO411" s="27">
        <v>5</v>
      </c>
      <c r="AP411" s="27">
        <v>8</v>
      </c>
      <c r="AQ411" s="27">
        <v>0</v>
      </c>
      <c r="AR411" s="27">
        <f>SUM(AO411:AQ411)</f>
        <v>13</v>
      </c>
      <c r="AS411" s="27" t="s">
        <v>5287</v>
      </c>
      <c r="AT411" s="27" t="s">
        <v>6786</v>
      </c>
      <c r="AU411" s="84"/>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W411" s="77"/>
      <c r="LX411" s="77"/>
    </row>
    <row r="412" spans="1:421" ht="18.600000000000001" customHeight="1" x14ac:dyDescent="0.25">
      <c r="A412" s="119" t="s">
        <v>138</v>
      </c>
      <c r="B412" s="27" t="s">
        <v>1137</v>
      </c>
      <c r="C412" s="27" t="s">
        <v>1138</v>
      </c>
      <c r="D412" s="30" t="str">
        <f>HYPERLINK("https://twitter.com/Al_Kasbah","https://twitter.com/Al_Kasbah")</f>
        <v>https://twitter.com/Al_Kasbah</v>
      </c>
      <c r="E412" s="30" t="str">
        <f>HYPERLINK("http://twiplomacy.com/info/africa/Tunisia","http://twiplomacy.com/info/africa/Tunisia")</f>
        <v>http://twiplomacy.com/info/africa/Tunisia</v>
      </c>
      <c r="F412" s="10" t="s">
        <v>1</v>
      </c>
      <c r="G412" s="10" t="s">
        <v>134</v>
      </c>
      <c r="H412" s="10" t="s">
        <v>788</v>
      </c>
      <c r="I412" s="10" t="s">
        <v>782</v>
      </c>
      <c r="J412" s="27" t="s">
        <v>779</v>
      </c>
      <c r="K412" s="10" t="s">
        <v>4618</v>
      </c>
      <c r="L412" s="10" t="s">
        <v>771</v>
      </c>
      <c r="M412" s="10" t="s">
        <v>771</v>
      </c>
      <c r="N412" s="30" t="str">
        <f>HYPERLINK("https://twitter.com/Al_Kasbah/status/278455135506669568","https://twitter.com/Al_Kasbah/status/278455135506669568")</f>
        <v>https://twitter.com/Al_Kasbah/status/278455135506669568</v>
      </c>
      <c r="O412" s="27" t="s">
        <v>5677</v>
      </c>
      <c r="P412" s="80">
        <v>1</v>
      </c>
      <c r="Q412" s="80">
        <v>1</v>
      </c>
      <c r="R412" s="27" t="s">
        <v>2995</v>
      </c>
      <c r="S412" s="30" t="str">
        <f>HYPERLINK("https://twitter.com/Al_Kasbah/lists","https://twitter.com/Al_Kasbah/lists")</f>
        <v>https://twitter.com/Al_Kasbah/lists</v>
      </c>
      <c r="T412" s="10" t="s">
        <v>771</v>
      </c>
      <c r="U412" s="10" t="s">
        <v>771</v>
      </c>
      <c r="V412" s="10" t="s">
        <v>771</v>
      </c>
      <c r="W412" s="10"/>
      <c r="X412" s="27" t="s">
        <v>138</v>
      </c>
      <c r="Y412" s="27" t="s">
        <v>1137</v>
      </c>
      <c r="Z412" s="80">
        <v>1476</v>
      </c>
      <c r="AA412" s="27">
        <v>1</v>
      </c>
      <c r="AB412" s="80">
        <v>88</v>
      </c>
      <c r="AC412" s="27">
        <v>0</v>
      </c>
      <c r="AD412" s="27" t="s">
        <v>3447</v>
      </c>
      <c r="AE412" s="27">
        <v>881162107</v>
      </c>
      <c r="AF412" s="27" t="s">
        <v>1138</v>
      </c>
      <c r="AG412" s="27"/>
      <c r="AH412" s="79">
        <v>1.13976833976834</v>
      </c>
      <c r="AI412" s="83">
        <v>1.6237623762376201</v>
      </c>
      <c r="AJ412" s="80">
        <v>6.0975609756097598E-3</v>
      </c>
      <c r="AK412" s="80">
        <v>1.28726287262873E-2</v>
      </c>
      <c r="AL412" s="13">
        <v>0</v>
      </c>
      <c r="AM412" s="97">
        <f>SUM(AL412/Z412)</f>
        <v>0</v>
      </c>
      <c r="AN412" s="27" t="s">
        <v>138</v>
      </c>
      <c r="AO412" s="27">
        <v>0</v>
      </c>
      <c r="AP412" s="27">
        <v>2</v>
      </c>
      <c r="AQ412" s="27">
        <v>0</v>
      </c>
      <c r="AR412" s="27">
        <f>SUM(AO412:AQ412)</f>
        <v>2</v>
      </c>
      <c r="AS412" s="27"/>
      <c r="AT412" s="27" t="s">
        <v>5005</v>
      </c>
      <c r="AU412" s="84"/>
      <c r="AV412" s="77"/>
      <c r="AW412" s="77"/>
      <c r="AX412" s="77"/>
      <c r="AY412" s="77"/>
      <c r="AZ412" s="77"/>
      <c r="BA412" s="77"/>
      <c r="BB412" s="77"/>
      <c r="BC412" s="77"/>
      <c r="BD412" s="77"/>
      <c r="BE412" s="77"/>
      <c r="BF412" s="77"/>
      <c r="BG412" s="77"/>
      <c r="BH412" s="77"/>
      <c r="BI412" s="77"/>
      <c r="BJ412" s="77"/>
      <c r="BK412" s="77"/>
      <c r="BL412" s="77"/>
      <c r="BM412" s="77"/>
      <c r="BN412" s="70"/>
      <c r="BO412" s="70"/>
      <c r="BP412" s="70"/>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c r="JT412" s="77"/>
      <c r="JU412" s="77"/>
      <c r="JV412" s="77"/>
      <c r="JW412" s="77"/>
      <c r="JX412" s="77"/>
      <c r="KM412" s="77"/>
      <c r="KN412" s="77"/>
      <c r="KO412" s="77"/>
      <c r="KP412" s="77"/>
      <c r="KQ412" s="77"/>
      <c r="KR412" s="77"/>
      <c r="KS412" s="77"/>
      <c r="KT412" s="77"/>
      <c r="KU412" s="77"/>
      <c r="KV412" s="77"/>
      <c r="KW412" s="77"/>
      <c r="KX412" s="77"/>
      <c r="KY412" s="77"/>
      <c r="KZ412" s="77"/>
      <c r="LA412" s="77"/>
      <c r="LB412" s="77"/>
      <c r="LC412" s="77"/>
      <c r="LD412" s="77"/>
      <c r="LE412" s="77"/>
      <c r="LF412" s="77"/>
      <c r="LG412" s="77"/>
      <c r="LH412" s="77"/>
      <c r="LI412" s="77"/>
      <c r="LJ412" s="77"/>
      <c r="LK412" s="77"/>
      <c r="LL412" s="77"/>
      <c r="LM412" s="77"/>
      <c r="LN412" s="77"/>
      <c r="LO412" s="77"/>
      <c r="LP412" s="77"/>
      <c r="LQ412" s="77"/>
      <c r="LR412" s="77"/>
      <c r="LS412" s="77"/>
      <c r="LT412" s="77"/>
      <c r="LU412" s="77"/>
      <c r="LV412" s="77"/>
      <c r="LW412" s="77"/>
      <c r="LX412" s="77"/>
      <c r="MS412" s="77"/>
    </row>
    <row r="413" spans="1:421" ht="18.600000000000001" customHeight="1" x14ac:dyDescent="0.25">
      <c r="A413" s="119" t="s">
        <v>564</v>
      </c>
      <c r="B413" s="27" t="s">
        <v>564</v>
      </c>
      <c r="C413" s="27" t="s">
        <v>3721</v>
      </c>
      <c r="D413" s="34" t="s">
        <v>2417</v>
      </c>
      <c r="E413" s="34" t="s">
        <v>2416</v>
      </c>
      <c r="F413" s="38" t="s">
        <v>558</v>
      </c>
      <c r="G413" s="38" t="s">
        <v>563</v>
      </c>
      <c r="H413" s="38" t="s">
        <v>788</v>
      </c>
      <c r="I413" s="38" t="s">
        <v>782</v>
      </c>
      <c r="J413" s="27" t="s">
        <v>789</v>
      </c>
      <c r="K413" s="10" t="s">
        <v>777</v>
      </c>
      <c r="L413" s="42" t="s">
        <v>771</v>
      </c>
      <c r="M413" s="42" t="s">
        <v>770</v>
      </c>
      <c r="N413" s="34" t="s">
        <v>2418</v>
      </c>
      <c r="O413" s="27" t="s">
        <v>3159</v>
      </c>
      <c r="P413" s="80">
        <v>25</v>
      </c>
      <c r="Q413" s="80">
        <v>3</v>
      </c>
      <c r="R413" s="27" t="s">
        <v>2995</v>
      </c>
      <c r="S413" s="34" t="s">
        <v>2419</v>
      </c>
      <c r="T413" s="10" t="s">
        <v>771</v>
      </c>
      <c r="U413" s="10" t="s">
        <v>771</v>
      </c>
      <c r="V413" s="10" t="s">
        <v>771</v>
      </c>
      <c r="W413" s="38"/>
      <c r="X413" s="27" t="s">
        <v>564</v>
      </c>
      <c r="Y413" s="27" t="s">
        <v>564</v>
      </c>
      <c r="Z413" s="80">
        <v>1476</v>
      </c>
      <c r="AA413" s="27">
        <v>114</v>
      </c>
      <c r="AB413" s="80">
        <v>416</v>
      </c>
      <c r="AC413" s="27">
        <v>5</v>
      </c>
      <c r="AD413" s="27" t="s">
        <v>3722</v>
      </c>
      <c r="AE413" s="27">
        <v>2494731900</v>
      </c>
      <c r="AF413" s="27" t="s">
        <v>3721</v>
      </c>
      <c r="AG413" s="27" t="s">
        <v>563</v>
      </c>
      <c r="AH413" s="79">
        <v>2.0557103064066902</v>
      </c>
      <c r="AI413" s="83">
        <v>2.0614525139664801</v>
      </c>
      <c r="AJ413" s="80">
        <v>0.46889952153109998</v>
      </c>
      <c r="AK413" s="80">
        <v>9.2959671907040298E-2</v>
      </c>
      <c r="AL413" s="27">
        <v>7</v>
      </c>
      <c r="AM413" s="97">
        <f>SUM(AL413/Z413)</f>
        <v>4.7425474254742545E-3</v>
      </c>
      <c r="AN413" s="27" t="s">
        <v>564</v>
      </c>
      <c r="AO413" s="27">
        <v>7</v>
      </c>
      <c r="AP413" s="27">
        <v>1</v>
      </c>
      <c r="AQ413" s="27">
        <v>0</v>
      </c>
      <c r="AR413" s="27">
        <f>SUM(AO413:AQ413)</f>
        <v>8</v>
      </c>
      <c r="AS413" s="27" t="s">
        <v>5135</v>
      </c>
      <c r="AT413" s="27" t="s">
        <v>583</v>
      </c>
      <c r="AU413" s="84"/>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HL413" s="77"/>
      <c r="HM413" s="77"/>
      <c r="HN413" s="77"/>
      <c r="HO413" s="77"/>
      <c r="HP413" s="77"/>
      <c r="HQ413" s="77"/>
      <c r="HR413" s="77"/>
      <c r="HS413" s="77"/>
      <c r="HT413" s="77"/>
      <c r="HU413" s="77"/>
      <c r="HV413" s="77"/>
      <c r="HW413" s="77"/>
      <c r="HX413" s="77"/>
      <c r="HY413" s="77"/>
      <c r="HZ413" s="77"/>
      <c r="IA413" s="77"/>
      <c r="IB413" s="77"/>
      <c r="IC413" s="77"/>
      <c r="ID413" s="77"/>
      <c r="IE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row>
    <row r="414" spans="1:421" ht="18.600000000000001" customHeight="1" x14ac:dyDescent="0.25">
      <c r="A414" s="119" t="s">
        <v>218</v>
      </c>
      <c r="B414" s="27" t="s">
        <v>1399</v>
      </c>
      <c r="C414" s="27" t="s">
        <v>1400</v>
      </c>
      <c r="D414" s="30" t="str">
        <f>HYPERLINK("https://twitter.com/QueenRania","https://twitter.com/QueenRania")</f>
        <v>https://twitter.com/QueenRania</v>
      </c>
      <c r="E414" s="12" t="s">
        <v>6891</v>
      </c>
      <c r="F414" s="10" t="s">
        <v>154</v>
      </c>
      <c r="G414" s="10" t="s">
        <v>217</v>
      </c>
      <c r="H414" s="10" t="s">
        <v>1402</v>
      </c>
      <c r="I414" s="10" t="s">
        <v>773</v>
      </c>
      <c r="J414" s="27" t="s">
        <v>789</v>
      </c>
      <c r="K414" s="15" t="s">
        <v>777</v>
      </c>
      <c r="L414" s="10" t="s">
        <v>770</v>
      </c>
      <c r="M414" s="10" t="s">
        <v>771</v>
      </c>
      <c r="N414" s="30" t="str">
        <f>HYPERLINK("https://twitter.com/queenrania/statuses/1729537448","https://twitter.com/queenrania/statuses/1729537448")</f>
        <v>https://twitter.com/queenrania/statuses/1729537448</v>
      </c>
      <c r="O414" s="27" t="s">
        <v>6062</v>
      </c>
      <c r="P414" s="80">
        <v>5395</v>
      </c>
      <c r="Q414" s="80">
        <v>5187</v>
      </c>
      <c r="R414" s="27" t="s">
        <v>2994</v>
      </c>
      <c r="S414" s="30" t="str">
        <f>HYPERLINK("https://twitter.com/QueenRania/lists","https://twitter.com/QueenRania/lists")</f>
        <v>https://twitter.com/QueenRania/lists</v>
      </c>
      <c r="T414" s="10">
        <v>1</v>
      </c>
      <c r="U414" s="10">
        <v>3</v>
      </c>
      <c r="V414" s="10" t="s">
        <v>771</v>
      </c>
      <c r="W414" s="10"/>
      <c r="X414" s="27" t="s">
        <v>218</v>
      </c>
      <c r="Y414" s="27" t="s">
        <v>1399</v>
      </c>
      <c r="Z414" s="80">
        <v>1475</v>
      </c>
      <c r="AA414" s="27">
        <v>39</v>
      </c>
      <c r="AB414" s="80">
        <v>4805017</v>
      </c>
      <c r="AC414" s="27">
        <v>0</v>
      </c>
      <c r="AD414" s="27" t="s">
        <v>4399</v>
      </c>
      <c r="AE414" s="27">
        <v>36412963</v>
      </c>
      <c r="AF414" s="27" t="s">
        <v>1400</v>
      </c>
      <c r="AG414" s="27" t="s">
        <v>1401</v>
      </c>
      <c r="AH414" s="79">
        <v>0.576171875</v>
      </c>
      <c r="AI414" s="83">
        <v>0.57702861622892998</v>
      </c>
      <c r="AJ414" s="80">
        <v>207.04215116279099</v>
      </c>
      <c r="AK414" s="80">
        <v>280.22965116279101</v>
      </c>
      <c r="AL414" s="27">
        <v>61</v>
      </c>
      <c r="AM414" s="97">
        <f>SUM(AL414/Z414)</f>
        <v>4.1355932203389831E-2</v>
      </c>
      <c r="AN414" s="27" t="s">
        <v>218</v>
      </c>
      <c r="AO414" s="27">
        <v>1</v>
      </c>
      <c r="AP414" s="27">
        <v>43</v>
      </c>
      <c r="AQ414" s="27">
        <v>0</v>
      </c>
      <c r="AR414" s="27">
        <f>SUM(AO414:AQ414)</f>
        <v>44</v>
      </c>
      <c r="AS414" s="27" t="s">
        <v>219</v>
      </c>
      <c r="AT414" s="27" t="s">
        <v>6844</v>
      </c>
      <c r="AU414" s="84"/>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P414" s="77"/>
      <c r="EQ414" s="77"/>
      <c r="HL414" s="77"/>
      <c r="HM414" s="77"/>
      <c r="HN414" s="77"/>
      <c r="HO414" s="77"/>
      <c r="HP414" s="77"/>
      <c r="HQ414" s="77"/>
      <c r="HR414" s="77"/>
      <c r="HS414" s="77"/>
      <c r="HT414" s="77"/>
      <c r="HU414" s="77"/>
      <c r="HV414" s="77"/>
      <c r="HW414" s="77"/>
      <c r="HX414" s="77"/>
      <c r="HY414" s="77"/>
      <c r="HZ414" s="77"/>
      <c r="IA414" s="77"/>
      <c r="IB414" s="77"/>
      <c r="IC414" s="77"/>
      <c r="ID414" s="16"/>
      <c r="IE414" s="16"/>
      <c r="JY414" s="16"/>
      <c r="JZ414" s="16"/>
      <c r="KA414" s="16"/>
      <c r="KB414" s="16"/>
      <c r="KC414" s="16"/>
      <c r="KD414" s="16"/>
      <c r="KE414" s="16"/>
      <c r="KF414" s="16"/>
      <c r="KG414" s="16"/>
      <c r="KH414" s="16"/>
      <c r="KI414" s="16"/>
      <c r="KJ414" s="16"/>
      <c r="KK414" s="16"/>
      <c r="KL414" s="16"/>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row>
    <row r="415" spans="1:421" ht="18.600000000000001" customHeight="1" x14ac:dyDescent="0.25">
      <c r="A415" s="119" t="s">
        <v>509</v>
      </c>
      <c r="B415" s="27" t="s">
        <v>2179</v>
      </c>
      <c r="C415" s="27" t="s">
        <v>3489</v>
      </c>
      <c r="D415" s="30" t="str">
        <f>HYPERLINK("https://twitter.com/avucic","https://twitter.com/avucic")</f>
        <v>https://twitter.com/avucic</v>
      </c>
      <c r="E415" s="30" t="str">
        <f>HYPERLINK("http://twiplomacy.com/info/europe/Serbia","http://twiplomacy.com/info/europe/Serbia")</f>
        <v>http://twiplomacy.com/info/europe/Serbia</v>
      </c>
      <c r="F415" s="10" t="s">
        <v>332</v>
      </c>
      <c r="G415" s="10" t="s">
        <v>506</v>
      </c>
      <c r="H415" s="10" t="s">
        <v>776</v>
      </c>
      <c r="I415" s="10" t="s">
        <v>773</v>
      </c>
      <c r="J415" s="27" t="s">
        <v>3491</v>
      </c>
      <c r="K415" s="15" t="s">
        <v>777</v>
      </c>
      <c r="L415" s="10" t="s">
        <v>771</v>
      </c>
      <c r="M415" s="10" t="s">
        <v>770</v>
      </c>
      <c r="N415" s="30" t="str">
        <f>HYPERLINK("https://twitter.com/avucic/statuses/143981905023479808","https://twitter.com/avucic/statuses/143981905023479808")</f>
        <v>https://twitter.com/avucic/statuses/143981905023479808</v>
      </c>
      <c r="O415" s="27" t="s">
        <v>5693</v>
      </c>
      <c r="P415" s="80">
        <v>1731</v>
      </c>
      <c r="Q415" s="80">
        <v>1766</v>
      </c>
      <c r="R415" s="27" t="s">
        <v>2994</v>
      </c>
      <c r="S415" s="12" t="str">
        <f>HYPERLINK("https://twitter.com/avucic/lists","https://twitter.com/avucic/lists")</f>
        <v>https://twitter.com/avucic/lists</v>
      </c>
      <c r="T415" s="10" t="s">
        <v>771</v>
      </c>
      <c r="U415" s="10" t="s">
        <v>771</v>
      </c>
      <c r="V415" s="10" t="s">
        <v>771</v>
      </c>
      <c r="W415" s="10"/>
      <c r="X415" s="27" t="s">
        <v>509</v>
      </c>
      <c r="Y415" s="27" t="s">
        <v>2179</v>
      </c>
      <c r="Z415" s="80">
        <v>1472</v>
      </c>
      <c r="AA415" s="27">
        <v>700</v>
      </c>
      <c r="AB415" s="80">
        <v>161125</v>
      </c>
      <c r="AC415" s="27">
        <v>551</v>
      </c>
      <c r="AD415" s="27" t="s">
        <v>3490</v>
      </c>
      <c r="AE415" s="27">
        <v>356450858</v>
      </c>
      <c r="AF415" s="27" t="s">
        <v>3489</v>
      </c>
      <c r="AG415" s="27" t="s">
        <v>2180</v>
      </c>
      <c r="AH415" s="79">
        <v>0.85581395348837197</v>
      </c>
      <c r="AI415" s="83">
        <v>0.914853946550653</v>
      </c>
      <c r="AJ415" s="80">
        <v>490.06548100242497</v>
      </c>
      <c r="AK415" s="80">
        <v>550.04365400161703</v>
      </c>
      <c r="AL415" s="96">
        <v>32</v>
      </c>
      <c r="AM415" s="97">
        <f>SUM(AL415/Z415)</f>
        <v>2.1739130434782608E-2</v>
      </c>
      <c r="AN415" s="27" t="s">
        <v>509</v>
      </c>
      <c r="AO415" s="27">
        <v>59</v>
      </c>
      <c r="AP415" s="27">
        <v>1</v>
      </c>
      <c r="AQ415" s="27">
        <v>30</v>
      </c>
      <c r="AR415" s="27">
        <f>SUM(AO415:AQ415)</f>
        <v>90</v>
      </c>
      <c r="AS415" s="27" t="s">
        <v>6200</v>
      </c>
      <c r="AT415" s="27" t="s">
        <v>705</v>
      </c>
      <c r="AU415" s="84" t="s">
        <v>4651</v>
      </c>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K415" s="77"/>
      <c r="CL415" s="77"/>
      <c r="CM415" s="77"/>
      <c r="CN415" s="77"/>
      <c r="CO415" s="77"/>
      <c r="CP415" s="77"/>
      <c r="CQ415" s="77"/>
      <c r="CR415" s="77"/>
      <c r="CS415" s="77"/>
      <c r="CT415" s="77"/>
      <c r="CU415" s="77"/>
      <c r="CV415" s="77"/>
      <c r="CW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row>
    <row r="416" spans="1:421" ht="18.600000000000001" customHeight="1" x14ac:dyDescent="0.25">
      <c r="A416" s="119" t="s">
        <v>226</v>
      </c>
      <c r="B416" s="27" t="s">
        <v>1421</v>
      </c>
      <c r="C416" s="27" t="s">
        <v>1422</v>
      </c>
      <c r="D416" s="30" t="str">
        <f>HYPERLINK("https://twitter.com/KarimMassimov","https://twitter.com/KarimMassimov")</f>
        <v>https://twitter.com/KarimMassimov</v>
      </c>
      <c r="E416" s="30" t="str">
        <f>HYPERLINK("http://twiplomacy.com/info/asia/Kazakhstan","http://twiplomacy.com/info/asia/Kazakhstan")</f>
        <v>http://twiplomacy.com/info/asia/Kazakhstan</v>
      </c>
      <c r="F416" s="10" t="s">
        <v>154</v>
      </c>
      <c r="G416" s="10" t="s">
        <v>224</v>
      </c>
      <c r="H416" s="10" t="s">
        <v>776</v>
      </c>
      <c r="I416" s="10" t="s">
        <v>773</v>
      </c>
      <c r="J416" s="27" t="s">
        <v>789</v>
      </c>
      <c r="K416" s="103" t="s">
        <v>1423</v>
      </c>
      <c r="L416" s="10"/>
      <c r="M416" s="10" t="s">
        <v>771</v>
      </c>
      <c r="N416" s="30" t="str">
        <f>HYPERLINK("https://twitter.com/KarimMassimov/statuses/50892736022323200","https://twitter.com/KarimMassimov/statuses/50892736022323200")</f>
        <v>https://twitter.com/KarimMassimov/statuses/50892736022323200</v>
      </c>
      <c r="O416" s="27" t="s">
        <v>1424</v>
      </c>
      <c r="P416" s="80">
        <v>376</v>
      </c>
      <c r="Q416" s="80">
        <v>41</v>
      </c>
      <c r="R416" s="27" t="s">
        <v>2994</v>
      </c>
      <c r="S416" s="10" t="s">
        <v>1425</v>
      </c>
      <c r="T416" s="10" t="s">
        <v>771</v>
      </c>
      <c r="U416" s="10" t="s">
        <v>771</v>
      </c>
      <c r="V416" s="10" t="s">
        <v>771</v>
      </c>
      <c r="W416" s="10"/>
      <c r="X416" s="27" t="s">
        <v>226</v>
      </c>
      <c r="Y416" s="27" t="s">
        <v>1421</v>
      </c>
      <c r="Z416" s="80">
        <v>1437</v>
      </c>
      <c r="AA416" s="27">
        <v>100</v>
      </c>
      <c r="AB416" s="80">
        <v>67918</v>
      </c>
      <c r="AC416" s="27">
        <v>1</v>
      </c>
      <c r="AD416" s="27" t="s">
        <v>3922</v>
      </c>
      <c r="AE416" s="27">
        <v>252983114</v>
      </c>
      <c r="AF416" s="27" t="s">
        <v>1422</v>
      </c>
      <c r="AG416" s="27" t="s">
        <v>1426</v>
      </c>
      <c r="AH416" s="79">
        <v>0.75552050473186105</v>
      </c>
      <c r="AI416" s="83">
        <v>2.3557377049180301</v>
      </c>
      <c r="AJ416" s="80">
        <v>4.0204678362573096</v>
      </c>
      <c r="AK416" s="80">
        <v>0.69005847953216404</v>
      </c>
      <c r="AL416" s="27">
        <v>23</v>
      </c>
      <c r="AM416" s="97">
        <f>SUM(AL416/Z416)</f>
        <v>1.6005567153792623E-2</v>
      </c>
      <c r="AN416" s="27" t="s">
        <v>226</v>
      </c>
      <c r="AO416" s="27">
        <v>8</v>
      </c>
      <c r="AP416" s="27">
        <v>6</v>
      </c>
      <c r="AQ416" s="27">
        <v>3</v>
      </c>
      <c r="AR416" s="27">
        <f>SUM(AO416:AQ416)</f>
        <v>17</v>
      </c>
      <c r="AS416" s="27" t="s">
        <v>5231</v>
      </c>
      <c r="AT416" s="27" t="s">
        <v>5232</v>
      </c>
      <c r="AU416" s="84" t="s">
        <v>4792</v>
      </c>
      <c r="AV416" s="77"/>
      <c r="AW416" s="77"/>
      <c r="AX416" s="77"/>
      <c r="AY416" s="77"/>
      <c r="AZ416" s="77"/>
      <c r="BA416" s="77"/>
      <c r="BB416" s="77"/>
      <c r="BC416" s="77"/>
      <c r="BD416" s="77"/>
      <c r="BE416" s="77"/>
      <c r="BF416" s="77"/>
      <c r="BG416" s="77"/>
      <c r="BH416" s="77"/>
      <c r="BI416" s="77"/>
      <c r="BJ416" s="77"/>
      <c r="BK416" s="77"/>
      <c r="BL416" s="77"/>
      <c r="BM416" s="77"/>
      <c r="BN416" s="76"/>
      <c r="BO416" s="76"/>
      <c r="BP416" s="76"/>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16"/>
      <c r="IG416" s="16"/>
      <c r="IH416" s="16"/>
      <c r="II416" s="16"/>
      <c r="IJ416" s="16"/>
      <c r="IK416" s="16"/>
      <c r="IL416" s="16"/>
      <c r="IM416" s="16"/>
      <c r="IN416" s="16"/>
      <c r="IO416" s="16"/>
      <c r="IP416" s="16"/>
      <c r="IQ416" s="16"/>
      <c r="IR416" s="16"/>
      <c r="IS416" s="16"/>
      <c r="IT416" s="16"/>
      <c r="IU416" s="16"/>
      <c r="IV416" s="16"/>
      <c r="IW416" s="16"/>
      <c r="IX416" s="16"/>
      <c r="IY416" s="16"/>
      <c r="IZ416" s="16"/>
      <c r="JA416" s="16"/>
      <c r="JB416" s="16"/>
      <c r="JC416" s="16"/>
      <c r="JD416" s="16"/>
      <c r="JE416" s="16"/>
      <c r="JF416" s="16"/>
      <c r="JG416" s="16"/>
      <c r="JH416" s="16"/>
      <c r="JI416" s="16"/>
      <c r="JJ416" s="16"/>
      <c r="JK416" s="16"/>
      <c r="JL416" s="16"/>
      <c r="JM416" s="16"/>
      <c r="JN416" s="16"/>
      <c r="JO416" s="16"/>
      <c r="JP416" s="16"/>
      <c r="JQ416" s="16"/>
      <c r="JR416" s="16"/>
      <c r="JS416" s="16"/>
      <c r="JT416" s="16"/>
      <c r="JU416" s="16"/>
      <c r="JV416" s="16"/>
      <c r="JW416" s="16"/>
      <c r="JX416" s="16"/>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MS416" s="77"/>
    </row>
    <row r="417" spans="1:368" s="77" customFormat="1" ht="18.600000000000001" customHeight="1" x14ac:dyDescent="0.25">
      <c r="A417" s="119" t="s">
        <v>143</v>
      </c>
      <c r="B417" s="27" t="s">
        <v>1144</v>
      </c>
      <c r="C417" s="27" t="s">
        <v>1145</v>
      </c>
      <c r="D417" s="30" t="str">
        <f>HYPERLINK("https://twitter.com/KagutaMuseveni","https://twitter.com/KagutaMuseveni")</f>
        <v>https://twitter.com/KagutaMuseveni</v>
      </c>
      <c r="E417" s="30" t="str">
        <f>HYPERLINK("http://twiplomacy.com/info/africa/Uganda","http://twiplomacy.com/info/africa/Uganda")</f>
        <v>http://twiplomacy.com/info/africa/Uganda</v>
      </c>
      <c r="F417" s="10" t="s">
        <v>1</v>
      </c>
      <c r="G417" s="10" t="s">
        <v>142</v>
      </c>
      <c r="H417" s="10" t="s">
        <v>772</v>
      </c>
      <c r="I417" s="10" t="s">
        <v>773</v>
      </c>
      <c r="J417" s="27" t="s">
        <v>789</v>
      </c>
      <c r="K417" s="15" t="s">
        <v>777</v>
      </c>
      <c r="L417" s="10" t="s">
        <v>771</v>
      </c>
      <c r="M417" s="10" t="s">
        <v>770</v>
      </c>
      <c r="N417" s="30" t="str">
        <f>HYPERLINK("https://twitter.com/KagutaMuseveni/status/459364673373360128","https://twitter.com/KagutaMuseveni/status/459364673373360128")</f>
        <v>https://twitter.com/KagutaMuseveni/status/459364673373360128</v>
      </c>
      <c r="O417" s="27" t="s">
        <v>1146</v>
      </c>
      <c r="P417" s="80">
        <v>1927</v>
      </c>
      <c r="Q417" s="80">
        <v>771</v>
      </c>
      <c r="R417" s="27" t="s">
        <v>2994</v>
      </c>
      <c r="S417" s="10" t="s">
        <v>1147</v>
      </c>
      <c r="T417" s="10" t="s">
        <v>771</v>
      </c>
      <c r="U417" s="10" t="s">
        <v>771</v>
      </c>
      <c r="V417" s="10" t="s">
        <v>771</v>
      </c>
      <c r="W417" s="10"/>
      <c r="X417" s="27" t="s">
        <v>143</v>
      </c>
      <c r="Y417" s="27" t="s">
        <v>1144</v>
      </c>
      <c r="Z417" s="80">
        <v>1409</v>
      </c>
      <c r="AA417" s="27">
        <v>18</v>
      </c>
      <c r="AB417" s="80">
        <v>241254</v>
      </c>
      <c r="AC417" s="27">
        <v>45</v>
      </c>
      <c r="AD417" s="27" t="s">
        <v>3919</v>
      </c>
      <c r="AE417" s="27">
        <v>126955629</v>
      </c>
      <c r="AF417" s="27" t="s">
        <v>1145</v>
      </c>
      <c r="AG417" s="27" t="s">
        <v>142</v>
      </c>
      <c r="AH417" s="79">
        <v>0.63240574506283698</v>
      </c>
      <c r="AI417" s="83">
        <v>1.91961852861035</v>
      </c>
      <c r="AJ417" s="80">
        <v>34.6602426837973</v>
      </c>
      <c r="AK417" s="80">
        <v>31.811563169164899</v>
      </c>
      <c r="AL417" s="27">
        <v>32</v>
      </c>
      <c r="AM417" s="97">
        <f>SUM(AL417/Z417)</f>
        <v>2.2711142654364799E-2</v>
      </c>
      <c r="AN417" s="27" t="s">
        <v>143</v>
      </c>
      <c r="AO417" s="27">
        <v>2</v>
      </c>
      <c r="AP417" s="27">
        <v>35</v>
      </c>
      <c r="AQ417" s="27">
        <v>5</v>
      </c>
      <c r="AR417" s="27">
        <f>SUM(AO417:AQ417)</f>
        <v>42</v>
      </c>
      <c r="AS417" s="27" t="s">
        <v>5228</v>
      </c>
      <c r="AT417" s="27" t="s">
        <v>6766</v>
      </c>
      <c r="AU417" s="84" t="s">
        <v>4789</v>
      </c>
    </row>
    <row r="418" spans="1:368" ht="18.600000000000001" customHeight="1" x14ac:dyDescent="0.25">
      <c r="A418" s="119" t="s">
        <v>2274</v>
      </c>
      <c r="B418" s="27" t="s">
        <v>2275</v>
      </c>
      <c r="C418" s="27" t="s">
        <v>2276</v>
      </c>
      <c r="D418" s="30" t="str">
        <f>HYPERLINK("https://twitter.com/MFATurkeyArabic","https://twitter.com/MFATurkeyArabic")</f>
        <v>https://twitter.com/MFATurkeyArabic</v>
      </c>
      <c r="E418" s="30" t="str">
        <f>HYPERLINK("http://twiplomacy.com/info/europe/Turkey","http://twiplomacy.com/info/europe/Turkey")</f>
        <v>http://twiplomacy.com/info/europe/Turkey</v>
      </c>
      <c r="F418" s="10" t="s">
        <v>332</v>
      </c>
      <c r="G418" s="10" t="s">
        <v>536</v>
      </c>
      <c r="H418" s="10" t="s">
        <v>795</v>
      </c>
      <c r="I418" s="10" t="s">
        <v>782</v>
      </c>
      <c r="J418" s="27" t="s">
        <v>789</v>
      </c>
      <c r="K418" s="15" t="s">
        <v>777</v>
      </c>
      <c r="L418" s="10" t="s">
        <v>771</v>
      </c>
      <c r="M418" s="10" t="s">
        <v>770</v>
      </c>
      <c r="N418" s="30" t="str">
        <f>HYPERLINK("https://twitter.com/MFATurkeyArabic/statuses/187818176975867905","https://twitter.com/MFATurkeyArabic/statuses/187818176975867905")</f>
        <v>https://twitter.com/MFATurkeyArabic/statuses/187818176975867905</v>
      </c>
      <c r="O418" s="27" t="s">
        <v>5953</v>
      </c>
      <c r="P418" s="80">
        <v>28</v>
      </c>
      <c r="Q418" s="80">
        <v>0</v>
      </c>
      <c r="R418" s="27" t="s">
        <v>2994</v>
      </c>
      <c r="S418" s="10" t="s">
        <v>2277</v>
      </c>
      <c r="T418" s="10" t="s">
        <v>771</v>
      </c>
      <c r="U418" s="10" t="s">
        <v>771</v>
      </c>
      <c r="V418" s="10" t="s">
        <v>771</v>
      </c>
      <c r="W418" s="10"/>
      <c r="X418" s="27" t="s">
        <v>2274</v>
      </c>
      <c r="Y418" s="27" t="s">
        <v>2275</v>
      </c>
      <c r="Z418" s="80">
        <v>1408</v>
      </c>
      <c r="AA418" s="27">
        <v>7</v>
      </c>
      <c r="AB418" s="80">
        <v>7575</v>
      </c>
      <c r="AC418" s="27">
        <v>1</v>
      </c>
      <c r="AD418" s="27" t="s">
        <v>4102</v>
      </c>
      <c r="AE418" s="27">
        <v>544933655</v>
      </c>
      <c r="AF418" s="27" t="s">
        <v>2276</v>
      </c>
      <c r="AG418" s="27"/>
      <c r="AH418" s="79">
        <v>0.94560107454667597</v>
      </c>
      <c r="AI418" s="83">
        <v>0.96435915010281004</v>
      </c>
      <c r="AJ418" s="80">
        <v>1.1913123844732001</v>
      </c>
      <c r="AK418" s="80">
        <v>0.493530499075786</v>
      </c>
      <c r="AL418" s="27">
        <v>2</v>
      </c>
      <c r="AM418" s="97">
        <f>SUM(AL418/Z418)</f>
        <v>1.4204545454545455E-3</v>
      </c>
      <c r="AN418" s="27" t="s">
        <v>2274</v>
      </c>
      <c r="AO418" s="27">
        <v>1</v>
      </c>
      <c r="AP418" s="27">
        <v>15</v>
      </c>
      <c r="AQ418" s="27">
        <v>4</v>
      </c>
      <c r="AR418" s="27">
        <f>SUM(AO418:AQ418)</f>
        <v>20</v>
      </c>
      <c r="AS418" s="27" t="s">
        <v>2279</v>
      </c>
      <c r="AT418" s="27" t="s">
        <v>6789</v>
      </c>
      <c r="AU418" s="84" t="s">
        <v>4852</v>
      </c>
      <c r="AV418" s="77"/>
      <c r="AW418" s="77"/>
      <c r="AX418" s="77"/>
      <c r="AY418" s="77"/>
      <c r="AZ418" s="77"/>
      <c r="BA418" s="77"/>
      <c r="BB418" s="77"/>
      <c r="BC418" s="77"/>
      <c r="BD418" s="77"/>
      <c r="BE418" s="77"/>
      <c r="BF418" s="77"/>
      <c r="BG418" s="77"/>
      <c r="BH418" s="77"/>
      <c r="BI418" s="77"/>
      <c r="BJ418" s="77"/>
      <c r="BK418" s="77"/>
      <c r="BL418" s="77"/>
      <c r="BM418" s="77"/>
      <c r="BN418" s="16"/>
      <c r="BO418" s="16"/>
      <c r="BP418" s="16"/>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16"/>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MT418" s="77"/>
      <c r="MU418" s="77"/>
      <c r="MV418" s="77"/>
      <c r="MW418" s="77"/>
      <c r="MX418" s="77"/>
      <c r="MY418" s="77"/>
      <c r="MZ418" s="77"/>
      <c r="NA418" s="77"/>
      <c r="NB418" s="77"/>
      <c r="NC418" s="77"/>
    </row>
    <row r="419" spans="1:368" ht="18.600000000000001" customHeight="1" x14ac:dyDescent="0.25">
      <c r="A419" s="119" t="s">
        <v>528</v>
      </c>
      <c r="B419" s="27" t="s">
        <v>528</v>
      </c>
      <c r="C419" s="27" t="s">
        <v>2237</v>
      </c>
      <c r="D419" s="30" t="str">
        <f>HYPERLINK("https://twitter.com/MAECgob","https://twitter.com/SpainMFA")</f>
        <v>https://twitter.com/SpainMFA</v>
      </c>
      <c r="E419" s="30" t="str">
        <f>HYPERLINK("http://twiplomacy.com/info/europe/Spain","http://twiplomacy.com/info/europe/Spain")</f>
        <v>http://twiplomacy.com/info/europe/Spain</v>
      </c>
      <c r="F419" s="10" t="s">
        <v>332</v>
      </c>
      <c r="G419" s="10" t="s">
        <v>522</v>
      </c>
      <c r="H419" s="10" t="s">
        <v>795</v>
      </c>
      <c r="I419" s="10" t="s">
        <v>782</v>
      </c>
      <c r="J419" s="27" t="s">
        <v>789</v>
      </c>
      <c r="K419" s="15" t="s">
        <v>777</v>
      </c>
      <c r="L419" s="10" t="s">
        <v>771</v>
      </c>
      <c r="M419" s="10" t="s">
        <v>770</v>
      </c>
      <c r="N419" s="30" t="str">
        <f>HYPERLINK("https://twitter.com/SpainMFA/status/514686112863117312","https://twitter.com/SpainMFA/status/514686112863117312")</f>
        <v>https://twitter.com/SpainMFA/status/514686112863117312</v>
      </c>
      <c r="O419" s="27" t="s">
        <v>6097</v>
      </c>
      <c r="P419" s="80">
        <v>38</v>
      </c>
      <c r="Q419" s="80">
        <v>0</v>
      </c>
      <c r="R419" s="27" t="s">
        <v>2994</v>
      </c>
      <c r="S419" s="30" t="str">
        <f>HYPERLINK("https://twitter.com/SpainMFA/lists","https://twitter.com/SpainMFA/lists")</f>
        <v>https://twitter.com/SpainMFA/lists</v>
      </c>
      <c r="T419" s="10" t="s">
        <v>771</v>
      </c>
      <c r="U419" s="10">
        <v>3</v>
      </c>
      <c r="V419" s="10" t="s">
        <v>771</v>
      </c>
      <c r="W419" s="10"/>
      <c r="X419" s="27" t="s">
        <v>528</v>
      </c>
      <c r="Y419" s="27" t="s">
        <v>528</v>
      </c>
      <c r="Z419" s="80">
        <v>1397</v>
      </c>
      <c r="AA419" s="27">
        <v>1849</v>
      </c>
      <c r="AB419" s="80">
        <v>3642</v>
      </c>
      <c r="AC419" s="27">
        <v>420</v>
      </c>
      <c r="AD419" s="27" t="s">
        <v>4481</v>
      </c>
      <c r="AE419" s="27">
        <v>2775155944</v>
      </c>
      <c r="AF419" s="27" t="s">
        <v>2237</v>
      </c>
      <c r="AG419" s="27" t="s">
        <v>2225</v>
      </c>
      <c r="AH419" s="79">
        <v>2.3637901861252102</v>
      </c>
      <c r="AI419" s="83">
        <v>2.3921232876712302</v>
      </c>
      <c r="AJ419" s="80">
        <v>3.9288174512055098</v>
      </c>
      <c r="AK419" s="80">
        <v>1.4156142365097599</v>
      </c>
      <c r="AL419" s="27">
        <v>18</v>
      </c>
      <c r="AM419" s="97">
        <f>SUM(AL419/Z419)</f>
        <v>1.2884753042233358E-2</v>
      </c>
      <c r="AN419" s="27" t="s">
        <v>528</v>
      </c>
      <c r="AO419" s="27">
        <v>185</v>
      </c>
      <c r="AP419" s="27">
        <v>2</v>
      </c>
      <c r="AQ419" s="27">
        <v>55</v>
      </c>
      <c r="AR419" s="27">
        <f>SUM(AO419:AQ419)</f>
        <v>242</v>
      </c>
      <c r="AS419" s="27" t="s">
        <v>6923</v>
      </c>
      <c r="AT419" s="27" t="s">
        <v>6345</v>
      </c>
      <c r="AU419" s="84" t="s">
        <v>6186</v>
      </c>
      <c r="BM419" s="70"/>
      <c r="BN419" s="77"/>
      <c r="BO419" s="77"/>
      <c r="BP419" s="77"/>
      <c r="BQ419" s="77"/>
      <c r="BR419" s="77"/>
      <c r="BS419" s="77"/>
      <c r="BT419" s="77"/>
      <c r="BU419" s="77"/>
      <c r="BV419" s="77"/>
      <c r="BW419" s="77"/>
      <c r="BX419" s="77"/>
      <c r="BY419" s="77"/>
      <c r="BZ419" s="77"/>
      <c r="CA419" s="77"/>
      <c r="CB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c r="FE419" s="77"/>
      <c r="FF419" s="77"/>
      <c r="FG419" s="77"/>
      <c r="FH419" s="77"/>
      <c r="FI419" s="77"/>
      <c r="FJ419" s="77"/>
      <c r="FK419" s="77"/>
      <c r="FL419" s="77"/>
      <c r="FM419" s="77"/>
      <c r="FN419" s="77"/>
      <c r="FO419" s="77"/>
      <c r="FP419" s="77"/>
      <c r="FQ419" s="77"/>
      <c r="FR419" s="77"/>
      <c r="FS419" s="77"/>
      <c r="FT419" s="77"/>
      <c r="FU419" s="77"/>
      <c r="FV419" s="77"/>
      <c r="FW419" s="77"/>
      <c r="FX419" s="77"/>
      <c r="FY419" s="77"/>
      <c r="FZ419" s="77"/>
      <c r="GA419" s="77"/>
      <c r="GB419" s="77"/>
      <c r="GC419" s="77"/>
      <c r="GD419" s="77"/>
      <c r="GE419" s="77"/>
      <c r="GF419" s="77"/>
      <c r="GG419" s="77"/>
      <c r="GH419" s="77"/>
      <c r="GI419" s="77"/>
      <c r="GJ419" s="77"/>
      <c r="GK419" s="77"/>
      <c r="GL419" s="77"/>
      <c r="GM419" s="77"/>
      <c r="GN419" s="77"/>
      <c r="GO419" s="77"/>
      <c r="GP419" s="77"/>
      <c r="GQ419" s="77"/>
      <c r="GR419" s="77"/>
      <c r="GS419" s="77"/>
      <c r="GT419" s="77"/>
      <c r="GU419" s="77"/>
      <c r="GV419" s="77"/>
      <c r="GW419" s="77"/>
      <c r="GX419" s="77"/>
      <c r="GY419" s="77"/>
      <c r="GZ419" s="77"/>
      <c r="HA419" s="77"/>
      <c r="HB419" s="77"/>
      <c r="HC419" s="77"/>
      <c r="HD419" s="77"/>
      <c r="HE419" s="77"/>
      <c r="HF419" s="77"/>
      <c r="HG419" s="77"/>
      <c r="HH419" s="77"/>
      <c r="HI419" s="77"/>
      <c r="HJ419" s="77"/>
      <c r="HK419" s="77"/>
      <c r="HL419" s="77"/>
      <c r="HM419" s="77"/>
      <c r="HN419" s="77"/>
      <c r="HO419" s="77"/>
      <c r="HP419" s="77"/>
      <c r="HQ419" s="77"/>
      <c r="HR419" s="77"/>
      <c r="HS419" s="77"/>
      <c r="HT419" s="77"/>
      <c r="HU419" s="77"/>
      <c r="HV419" s="77"/>
      <c r="HW419" s="77"/>
      <c r="HX419" s="77"/>
      <c r="HY419" s="77"/>
      <c r="HZ419" s="77"/>
      <c r="IA419" s="77"/>
      <c r="IB419" s="77"/>
      <c r="IC419" s="77"/>
      <c r="JY419" s="77"/>
      <c r="JZ419" s="77"/>
      <c r="KA419" s="77"/>
      <c r="KB419" s="77"/>
      <c r="KC419" s="77"/>
      <c r="KD419" s="77"/>
      <c r="KE419" s="77"/>
      <c r="KF419" s="77"/>
      <c r="KG419" s="77"/>
      <c r="KH419" s="77"/>
      <c r="KI419" s="77"/>
      <c r="KJ419" s="77"/>
      <c r="KK419" s="77"/>
      <c r="KL419" s="77"/>
      <c r="LL419" s="77"/>
      <c r="LM419" s="77"/>
      <c r="LN419" s="77"/>
      <c r="LO419" s="77"/>
      <c r="LP419" s="77"/>
      <c r="LQ419" s="77"/>
      <c r="LR419" s="77"/>
      <c r="LS419" s="77"/>
      <c r="LT419" s="77"/>
      <c r="LU419" s="77"/>
      <c r="LV419" s="77"/>
      <c r="LW419" s="77"/>
      <c r="LX419" s="77"/>
    </row>
    <row r="420" spans="1:368" ht="18.600000000000001" customHeight="1" x14ac:dyDescent="0.25">
      <c r="A420" s="119" t="s">
        <v>364</v>
      </c>
      <c r="B420" s="27" t="s">
        <v>1776</v>
      </c>
      <c r="C420" s="27" t="s">
        <v>6380</v>
      </c>
      <c r="D420" s="30" t="str">
        <f>HYPERLINK("https://twitter.com/Cypresidency","https://twitter.com/CYpresidency")</f>
        <v>https://twitter.com/CYpresidency</v>
      </c>
      <c r="E420" s="30" t="str">
        <f>HYPERLINK("http://twiplomacy.com/info/europe/Cyprus","http://twiplomacy.com/info/europe/Cyprus")</f>
        <v>http://twiplomacy.com/info/europe/Cyprus</v>
      </c>
      <c r="F420" s="10" t="s">
        <v>332</v>
      </c>
      <c r="G420" s="10" t="s">
        <v>362</v>
      </c>
      <c r="H420" s="10" t="s">
        <v>781</v>
      </c>
      <c r="I420" s="10" t="s">
        <v>782</v>
      </c>
      <c r="J420" s="27" t="s">
        <v>789</v>
      </c>
      <c r="K420" s="15" t="s">
        <v>777</v>
      </c>
      <c r="L420" s="10" t="s">
        <v>771</v>
      </c>
      <c r="M420" s="10" t="s">
        <v>770</v>
      </c>
      <c r="N420" s="30" t="str">
        <f>HYPERLINK("https://twitter.com/CYpresidency/statuses/307242246275735553","https://twitter.com/CYpresidency/statuses/307242246275735553")</f>
        <v>https://twitter.com/CYpresidency/statuses/307242246275735553</v>
      </c>
      <c r="O420" s="27" t="s">
        <v>5787</v>
      </c>
      <c r="P420" s="80">
        <v>38</v>
      </c>
      <c r="Q420" s="80">
        <v>35</v>
      </c>
      <c r="R420" s="27" t="s">
        <v>2994</v>
      </c>
      <c r="S420" s="10" t="s">
        <v>1777</v>
      </c>
      <c r="T420" s="10" t="s">
        <v>771</v>
      </c>
      <c r="U420" s="10" t="s">
        <v>771</v>
      </c>
      <c r="V420" s="10" t="s">
        <v>771</v>
      </c>
      <c r="W420" s="10"/>
      <c r="X420" s="27" t="s">
        <v>364</v>
      </c>
      <c r="Y420" s="27" t="s">
        <v>1776</v>
      </c>
      <c r="Z420" s="80">
        <v>1374</v>
      </c>
      <c r="AA420" s="27">
        <v>72</v>
      </c>
      <c r="AB420" s="80">
        <v>6388</v>
      </c>
      <c r="AC420" s="27">
        <v>4</v>
      </c>
      <c r="AD420" s="27" t="s">
        <v>3596</v>
      </c>
      <c r="AE420" s="27">
        <v>1165728211</v>
      </c>
      <c r="AF420" s="27" t="s">
        <v>6380</v>
      </c>
      <c r="AG420" s="27" t="s">
        <v>362</v>
      </c>
      <c r="AH420" s="79">
        <v>1.1673746813933701</v>
      </c>
      <c r="AI420" s="83">
        <v>1.19080659150043</v>
      </c>
      <c r="AJ420" s="80">
        <v>1.9122807017543899</v>
      </c>
      <c r="AK420" s="80">
        <v>1.4614035087719299</v>
      </c>
      <c r="AL420" s="13">
        <v>0</v>
      </c>
      <c r="AM420" s="97">
        <f>SUM(AL420/Z420)</f>
        <v>0</v>
      </c>
      <c r="AN420" s="27" t="s">
        <v>364</v>
      </c>
      <c r="AO420" s="27">
        <v>12</v>
      </c>
      <c r="AP420" s="27">
        <v>14</v>
      </c>
      <c r="AQ420" s="27">
        <v>9</v>
      </c>
      <c r="AR420" s="27">
        <f>SUM(AO420:AQ420)</f>
        <v>35</v>
      </c>
      <c r="AS420" s="27" t="s">
        <v>5073</v>
      </c>
      <c r="AT420" s="27" t="s">
        <v>6694</v>
      </c>
      <c r="AU420" s="84" t="s">
        <v>4686</v>
      </c>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P420" s="77"/>
      <c r="EQ420" s="16"/>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HL420" s="77"/>
      <c r="HM420" s="77"/>
      <c r="HN420" s="77"/>
      <c r="HO420" s="77"/>
      <c r="HP420" s="77"/>
      <c r="HQ420" s="77"/>
      <c r="HR420" s="77"/>
      <c r="HS420" s="77"/>
      <c r="HT420" s="77"/>
      <c r="HU420" s="77"/>
      <c r="HV420" s="77"/>
      <c r="HW420" s="77"/>
      <c r="HX420" s="77"/>
      <c r="HY420" s="77"/>
      <c r="HZ420" s="77"/>
      <c r="IA420" s="77"/>
      <c r="IB420" s="77"/>
      <c r="IC420" s="77"/>
      <c r="ID420" s="77"/>
      <c r="IE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row>
    <row r="421" spans="1:368" ht="18.600000000000001" customHeight="1" x14ac:dyDescent="0.25">
      <c r="A421" s="119" t="s">
        <v>555</v>
      </c>
      <c r="B421" s="27" t="s">
        <v>4554</v>
      </c>
      <c r="C421" s="27" t="s">
        <v>6458</v>
      </c>
      <c r="D421" s="30" t="str">
        <f>HYPERLINK("https://twitter.com/UKUrdu","https://twitter.com/UKUrdu")</f>
        <v>https://twitter.com/UKUrdu</v>
      </c>
      <c r="E421" s="30" t="str">
        <f>HYPERLINK("http://twiplomacy.com/info/europe/United-Kingdom","http://twiplomacy.com/info/europe/United-Kingdom")</f>
        <v>http://twiplomacy.com/info/europe/United-Kingdom</v>
      </c>
      <c r="F421" s="10" t="s">
        <v>332</v>
      </c>
      <c r="G421" s="10" t="s">
        <v>549</v>
      </c>
      <c r="H421" s="10" t="s">
        <v>795</v>
      </c>
      <c r="I421" s="10" t="s">
        <v>782</v>
      </c>
      <c r="J421" s="27" t="s">
        <v>814</v>
      </c>
      <c r="K421" s="15" t="s">
        <v>777</v>
      </c>
      <c r="L421" s="10" t="s">
        <v>771</v>
      </c>
      <c r="M421" s="10" t="s">
        <v>770</v>
      </c>
      <c r="N421" s="30" t="str">
        <f>HYPERLINK("https://twitter.com/UKUrdu/statuses/21571420614","https://twitter.com/UKUrdu/statuses/21571420614")</f>
        <v>https://twitter.com/UKUrdu/statuses/21571420614</v>
      </c>
      <c r="O421" s="27" t="s">
        <v>6118</v>
      </c>
      <c r="P421" s="80">
        <v>4</v>
      </c>
      <c r="Q421" s="80">
        <v>0</v>
      </c>
      <c r="R421" s="27" t="s">
        <v>2994</v>
      </c>
      <c r="S421" s="30" t="str">
        <f>HYPERLINK("https://twitter.com/UKUrdu/lists","https://twitter.com/UKUrdu/lists")</f>
        <v>https://twitter.com/UKUrdu/lists</v>
      </c>
      <c r="T421" s="10">
        <v>2</v>
      </c>
      <c r="U421" s="10">
        <v>1</v>
      </c>
      <c r="V421" s="10" t="s">
        <v>771</v>
      </c>
      <c r="W421" s="10"/>
      <c r="X421" s="27" t="s">
        <v>555</v>
      </c>
      <c r="Y421" s="27" t="s">
        <v>4554</v>
      </c>
      <c r="Z421" s="80">
        <v>1361</v>
      </c>
      <c r="AA421" s="27">
        <v>810</v>
      </c>
      <c r="AB421" s="80">
        <v>6398</v>
      </c>
      <c r="AC421" s="27">
        <v>18</v>
      </c>
      <c r="AD421" s="27" t="s">
        <v>4555</v>
      </c>
      <c r="AE421" s="27">
        <v>180341641</v>
      </c>
      <c r="AF421" s="27" t="s">
        <v>6458</v>
      </c>
      <c r="AG421" s="27" t="s">
        <v>890</v>
      </c>
      <c r="AH421" s="79">
        <v>0.65338454152664405</v>
      </c>
      <c r="AI421" s="83">
        <v>0.65288461538461495</v>
      </c>
      <c r="AJ421" s="80">
        <v>0.193360995850622</v>
      </c>
      <c r="AK421" s="80">
        <v>8.2157676348547704E-2</v>
      </c>
      <c r="AL421" s="96">
        <v>51</v>
      </c>
      <c r="AM421" s="97">
        <f>SUM(AL421/Z421)</f>
        <v>3.7472446730345332E-2</v>
      </c>
      <c r="AN421" s="27" t="s">
        <v>555</v>
      </c>
      <c r="AO421" s="27">
        <v>16</v>
      </c>
      <c r="AP421" s="27">
        <v>2</v>
      </c>
      <c r="AQ421" s="27">
        <v>4</v>
      </c>
      <c r="AR421" s="27">
        <f>SUM(AO421:AQ421)</f>
        <v>22</v>
      </c>
      <c r="AS421" s="27" t="s">
        <v>6262</v>
      </c>
      <c r="AT421" s="27" t="s">
        <v>5536</v>
      </c>
      <c r="AU421" s="84" t="s">
        <v>4978</v>
      </c>
      <c r="AV421" s="77"/>
      <c r="AW421" s="77"/>
      <c r="AX421" s="77"/>
      <c r="AY421" s="77"/>
      <c r="AZ421" s="77"/>
      <c r="BA421" s="77"/>
      <c r="BB421" s="77"/>
      <c r="BC421" s="77"/>
      <c r="BD421" s="77"/>
      <c r="BE421" s="77"/>
      <c r="BF421" s="77"/>
      <c r="BG421" s="77"/>
      <c r="BH421" s="77"/>
      <c r="BI421" s="77"/>
      <c r="BJ421" s="77"/>
      <c r="BK421" s="77"/>
      <c r="BL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c r="EC421" s="77"/>
      <c r="ED421" s="77"/>
      <c r="EE421" s="77"/>
      <c r="EF421" s="77"/>
      <c r="EG421" s="77"/>
      <c r="EH421" s="77"/>
      <c r="EI421" s="77"/>
      <c r="EJ421" s="77"/>
      <c r="EK421" s="77"/>
      <c r="EL421" s="77"/>
      <c r="EM421" s="77"/>
      <c r="EN421" s="77"/>
      <c r="EO421" s="77"/>
      <c r="EP421" s="77"/>
      <c r="EQ421" s="77"/>
      <c r="ER421" s="77"/>
      <c r="ES421" s="77"/>
      <c r="ET421" s="77"/>
      <c r="EU421" s="77"/>
      <c r="EV421" s="77"/>
      <c r="EW421" s="77"/>
      <c r="EX421" s="77"/>
      <c r="EY421" s="77"/>
      <c r="EZ421" s="77"/>
      <c r="FA421" s="77"/>
      <c r="FB421" s="77"/>
      <c r="FC421" s="77"/>
      <c r="FD421" s="77"/>
      <c r="FE421" s="77"/>
      <c r="FF421" s="77"/>
      <c r="FG421" s="77"/>
      <c r="FH421" s="77"/>
      <c r="FI421" s="77"/>
      <c r="FJ421" s="77"/>
      <c r="FK421" s="77"/>
      <c r="FL421" s="77"/>
      <c r="FM421" s="77"/>
      <c r="FN421" s="77"/>
      <c r="FO421" s="77"/>
      <c r="FP421" s="77"/>
      <c r="FQ421" s="77"/>
      <c r="FR421" s="77"/>
      <c r="FS421" s="77"/>
      <c r="FT421" s="77"/>
      <c r="FU421" s="77"/>
      <c r="FV421" s="77"/>
      <c r="FW421" s="77"/>
      <c r="FX421" s="77"/>
      <c r="FY421" s="77"/>
      <c r="FZ421" s="77"/>
      <c r="GA421" s="77"/>
      <c r="GB421" s="77"/>
      <c r="GC421" s="77"/>
      <c r="GD421" s="77"/>
      <c r="GE421" s="77"/>
      <c r="GF421" s="77"/>
      <c r="GG421" s="77"/>
      <c r="GH421" s="77"/>
      <c r="GI421" s="77"/>
      <c r="GJ421" s="77"/>
      <c r="GK421" s="77"/>
      <c r="GL421" s="77"/>
      <c r="GM421" s="77"/>
      <c r="GN421" s="77"/>
      <c r="GO421" s="77"/>
      <c r="GP421" s="77"/>
      <c r="GQ421" s="77"/>
      <c r="GR421" s="77"/>
      <c r="GS421" s="77"/>
      <c r="GT421" s="77"/>
      <c r="GU421" s="77"/>
      <c r="GV421" s="77"/>
      <c r="GW421" s="77"/>
      <c r="GX421" s="77"/>
      <c r="GY421" s="77"/>
      <c r="GZ421" s="77"/>
      <c r="HA421" s="77"/>
      <c r="HB421" s="77"/>
      <c r="HC421" s="77"/>
      <c r="HD421" s="77"/>
      <c r="HE421" s="77"/>
      <c r="HF421" s="77"/>
      <c r="HG421" s="77"/>
      <c r="HH421" s="77"/>
      <c r="HI421" s="77"/>
      <c r="HJ421" s="77"/>
      <c r="HK421" s="77"/>
      <c r="HL421" s="77"/>
      <c r="HM421" s="77"/>
      <c r="HN421" s="77"/>
      <c r="HO421" s="77"/>
      <c r="HP421" s="77"/>
      <c r="HQ421" s="77"/>
      <c r="HR421" s="77"/>
      <c r="HS421" s="77"/>
      <c r="HT421" s="77"/>
      <c r="HU421" s="77"/>
      <c r="HV421" s="77"/>
      <c r="HW421" s="77"/>
      <c r="HX421" s="77"/>
      <c r="HY421" s="77"/>
      <c r="HZ421" s="77"/>
      <c r="IA421" s="77"/>
      <c r="IB421" s="77"/>
      <c r="IC421" s="77"/>
      <c r="ID421" s="77"/>
      <c r="IE421" s="77"/>
      <c r="JY421" s="77"/>
      <c r="JZ421" s="77"/>
      <c r="KA421" s="77"/>
      <c r="KB421" s="77"/>
      <c r="KC421" s="77"/>
      <c r="KD421" s="77"/>
      <c r="KE421" s="77"/>
      <c r="KF421" s="77"/>
      <c r="KG421" s="77"/>
      <c r="KH421" s="77"/>
      <c r="KI421" s="77"/>
      <c r="KJ421" s="77"/>
      <c r="KK421" s="77"/>
      <c r="KL421" s="77"/>
      <c r="KM421" s="77"/>
      <c r="KN421" s="77"/>
      <c r="KO421" s="77"/>
      <c r="KP421" s="77"/>
      <c r="KQ421" s="77"/>
      <c r="KR421" s="77"/>
      <c r="KS421" s="77"/>
      <c r="KT421" s="77"/>
      <c r="KU421" s="77"/>
      <c r="KV421" s="77"/>
      <c r="KW421" s="77"/>
      <c r="KX421" s="77"/>
      <c r="KY421" s="77"/>
      <c r="KZ421" s="77"/>
      <c r="LA421" s="77"/>
      <c r="LB421" s="77"/>
      <c r="LC421" s="77"/>
      <c r="LD421" s="77"/>
      <c r="LE421" s="77"/>
      <c r="LF421" s="77"/>
      <c r="LG421" s="77"/>
      <c r="LH421" s="77"/>
      <c r="LI421" s="77"/>
      <c r="LJ421" s="77"/>
      <c r="LK421" s="77"/>
      <c r="LL421" s="77"/>
      <c r="LM421" s="77"/>
      <c r="LN421" s="77"/>
      <c r="LO421" s="77"/>
      <c r="LP421" s="77"/>
      <c r="LQ421" s="77"/>
      <c r="LR421" s="77"/>
      <c r="LS421" s="77"/>
      <c r="LT421" s="77"/>
      <c r="LU421" s="77"/>
      <c r="LV421" s="77"/>
      <c r="LY421" s="77"/>
      <c r="LZ421" s="77"/>
      <c r="MA421" s="77"/>
      <c r="MB421" s="77"/>
      <c r="MC421" s="77"/>
      <c r="MD421" s="77"/>
      <c r="ME421" s="77"/>
      <c r="MF421" s="77"/>
      <c r="MG421" s="77"/>
      <c r="MH421" s="77"/>
      <c r="MI421" s="77"/>
      <c r="MJ421" s="77"/>
      <c r="MK421" s="77"/>
      <c r="ML421" s="77"/>
      <c r="MM421" s="77"/>
      <c r="MN421" s="77"/>
      <c r="MO421" s="77"/>
      <c r="MP421" s="77"/>
      <c r="MQ421" s="77"/>
      <c r="MR421" s="77"/>
      <c r="MS421" s="77"/>
    </row>
    <row r="422" spans="1:368" s="18" customFormat="1" ht="18.600000000000001" customHeight="1" x14ac:dyDescent="0.25">
      <c r="A422" s="119" t="s">
        <v>2327</v>
      </c>
      <c r="B422" s="27" t="s">
        <v>547</v>
      </c>
      <c r="C422" s="27" t="s">
        <v>2328</v>
      </c>
      <c r="D422" s="30" t="str">
        <f>HYPERLINK("https://twitter.com/PavloKlimkin","https://twitter.com/PavloKlimkin")</f>
        <v>https://twitter.com/PavloKlimkin</v>
      </c>
      <c r="E422" s="30" t="str">
        <f>HYPERLINK("http://twiplomacy.com/info/europe/Ukraine","http://twiplomacy.com/info/europe/Ukraine")</f>
        <v>http://twiplomacy.com/info/europe/Ukraine</v>
      </c>
      <c r="F422" s="10" t="s">
        <v>332</v>
      </c>
      <c r="G422" s="10" t="s">
        <v>543</v>
      </c>
      <c r="H422" s="10" t="s">
        <v>860</v>
      </c>
      <c r="I422" s="10" t="s">
        <v>773</v>
      </c>
      <c r="J422" s="27" t="s">
        <v>789</v>
      </c>
      <c r="K422" s="10" t="s">
        <v>777</v>
      </c>
      <c r="L422" s="10"/>
      <c r="M422" s="10" t="s">
        <v>771</v>
      </c>
      <c r="N422" s="30" t="str">
        <f>HYPERLINK("https://twitter.com/PavloKlimkin/statuses/158890232949899264","https://twitter.com/PavloKlimkin/statuses/158890232949899264")</f>
        <v>https://twitter.com/PavloKlimkin/statuses/158890232949899264</v>
      </c>
      <c r="O422" s="27" t="s">
        <v>2329</v>
      </c>
      <c r="P422" s="80">
        <v>987</v>
      </c>
      <c r="Q422" s="80">
        <v>91</v>
      </c>
      <c r="R422" s="27" t="s">
        <v>2995</v>
      </c>
      <c r="S422" s="10" t="s">
        <v>2330</v>
      </c>
      <c r="T422" s="10" t="s">
        <v>771</v>
      </c>
      <c r="U422" s="10" t="s">
        <v>771</v>
      </c>
      <c r="V422" s="10" t="s">
        <v>771</v>
      </c>
      <c r="W422" s="10"/>
      <c r="X422" s="27" t="s">
        <v>2327</v>
      </c>
      <c r="Y422" s="27" t="s">
        <v>547</v>
      </c>
      <c r="Z422" s="80">
        <v>1347</v>
      </c>
      <c r="AA422" s="27">
        <v>150</v>
      </c>
      <c r="AB422" s="80">
        <v>175007</v>
      </c>
      <c r="AC422" s="27">
        <v>91</v>
      </c>
      <c r="AD422" s="27" t="s">
        <v>4238</v>
      </c>
      <c r="AE422" s="27">
        <v>383733061</v>
      </c>
      <c r="AF422" s="27" t="s">
        <v>2328</v>
      </c>
      <c r="AG422" s="27" t="s">
        <v>2311</v>
      </c>
      <c r="AH422" s="79">
        <v>0.80465949820788496</v>
      </c>
      <c r="AI422" s="83">
        <v>0.85832801531588998</v>
      </c>
      <c r="AJ422" s="80">
        <v>87.647151898734194</v>
      </c>
      <c r="AK422" s="80">
        <v>32.389240506329102</v>
      </c>
      <c r="AL422" s="27">
        <v>27</v>
      </c>
      <c r="AM422" s="97">
        <f>SUM(AL422/Z422)</f>
        <v>2.0044543429844099E-2</v>
      </c>
      <c r="AN422" s="27" t="s">
        <v>2327</v>
      </c>
      <c r="AO422" s="27">
        <v>7</v>
      </c>
      <c r="AP422" s="27">
        <v>44</v>
      </c>
      <c r="AQ422" s="27">
        <v>12</v>
      </c>
      <c r="AR422" s="27">
        <f>SUM(AO422:AQ422)</f>
        <v>63</v>
      </c>
      <c r="AS422" s="27" t="s">
        <v>6609</v>
      </c>
      <c r="AT422" s="27" t="s">
        <v>6814</v>
      </c>
      <c r="AU422" s="84" t="s">
        <v>6523</v>
      </c>
      <c r="AV422" s="77"/>
      <c r="AW422" s="77"/>
      <c r="AX422" s="77"/>
      <c r="AY422" s="77"/>
      <c r="AZ422" s="77"/>
      <c r="BA422" s="77"/>
      <c r="BB422" s="77"/>
      <c r="BC422" s="77"/>
      <c r="BD422" s="77"/>
      <c r="BE422" s="77"/>
      <c r="BF422" s="77"/>
      <c r="BG422" s="77"/>
      <c r="BH422" s="77"/>
      <c r="BI422" s="77"/>
      <c r="BJ422" s="77"/>
      <c r="BK422" s="77"/>
      <c r="BL422" s="77"/>
      <c r="BM422" s="77"/>
      <c r="BN422" s="77"/>
      <c r="BO422" s="77"/>
      <c r="BP422" s="77"/>
      <c r="CC422" s="77"/>
      <c r="CD422" s="77"/>
      <c r="CE422" s="77"/>
      <c r="CF422" s="77"/>
      <c r="CG422" s="77"/>
      <c r="CH422" s="77"/>
      <c r="CI422" s="77"/>
      <c r="CJ422" s="77"/>
      <c r="CK422" s="77"/>
      <c r="CL422" s="77"/>
      <c r="CM422" s="77"/>
      <c r="CN422" s="77"/>
      <c r="CO422" s="77"/>
      <c r="CP422" s="77"/>
      <c r="CQ422" s="77"/>
      <c r="CR422" s="77"/>
      <c r="CS422" s="77"/>
      <c r="CT422" s="77"/>
      <c r="CU422" s="77"/>
      <c r="CV422" s="77"/>
      <c r="CW422" s="77"/>
      <c r="CX422" s="77"/>
      <c r="CY422" s="77"/>
      <c r="CZ422" s="77"/>
      <c r="DA422" s="77"/>
      <c r="DB422" s="77"/>
      <c r="DC422" s="77"/>
      <c r="DD422" s="77"/>
      <c r="DE422" s="77"/>
      <c r="DF422" s="77"/>
      <c r="DG422" s="77"/>
      <c r="DH422" s="77"/>
      <c r="DI422" s="77"/>
      <c r="DJ422" s="77"/>
      <c r="DK422" s="77"/>
      <c r="DL422" s="77"/>
      <c r="DM422" s="77"/>
      <c r="DN422" s="77"/>
      <c r="DO422" s="77"/>
      <c r="DP422" s="77"/>
      <c r="DQ422" s="77"/>
      <c r="DR422" s="77"/>
      <c r="DS422" s="77"/>
      <c r="DT422" s="77"/>
      <c r="DU422" s="77"/>
      <c r="DV422" s="77"/>
      <c r="DW422" s="77"/>
      <c r="DX422" s="77"/>
      <c r="DY422" s="77"/>
      <c r="DZ422" s="77"/>
      <c r="EA422" s="77"/>
      <c r="EB422" s="77"/>
      <c r="EC422" s="77"/>
      <c r="ED422" s="77"/>
      <c r="EE422" s="77"/>
      <c r="EF422" s="77"/>
      <c r="EG422" s="77"/>
      <c r="EH422" s="77"/>
      <c r="EI422" s="77"/>
      <c r="EJ422" s="77"/>
      <c r="EK422" s="77"/>
      <c r="EL422" s="77"/>
      <c r="EM422" s="77"/>
      <c r="EN422" s="77"/>
      <c r="EO422" s="77"/>
      <c r="EP422" s="77"/>
      <c r="EQ422" s="77"/>
      <c r="ER422" s="77"/>
      <c r="ES422" s="77"/>
      <c r="ET422" s="77"/>
      <c r="EU422" s="77"/>
      <c r="EV422" s="77"/>
      <c r="EW422" s="77"/>
      <c r="EX422" s="77"/>
      <c r="EY422" s="77"/>
      <c r="EZ422" s="77"/>
      <c r="FA422" s="77"/>
      <c r="FB422" s="77"/>
      <c r="FC422" s="77"/>
      <c r="FD422" s="77"/>
      <c r="FE422" s="77"/>
      <c r="FF422" s="77"/>
      <c r="FG422" s="77"/>
      <c r="FH422" s="77"/>
      <c r="FI422" s="77"/>
      <c r="FJ422" s="77"/>
      <c r="FK422" s="77"/>
      <c r="FL422" s="77"/>
      <c r="FM422" s="77"/>
      <c r="FN422" s="77"/>
      <c r="FO422" s="77"/>
      <c r="FP422" s="77"/>
      <c r="FQ422" s="77"/>
      <c r="FR422" s="77"/>
      <c r="FS422" s="77"/>
      <c r="FT422" s="77"/>
      <c r="FU422" s="77"/>
      <c r="FV422" s="77"/>
      <c r="FW422" s="77"/>
      <c r="FX422" s="77"/>
      <c r="FY422" s="77"/>
      <c r="FZ422" s="77"/>
      <c r="GA422" s="77"/>
      <c r="GB422" s="77"/>
      <c r="GC422" s="77"/>
      <c r="GD422" s="77"/>
      <c r="GE422" s="77"/>
      <c r="GF422" s="77"/>
      <c r="GG422" s="77"/>
      <c r="GH422" s="77"/>
      <c r="GI422" s="77"/>
      <c r="GJ422" s="77"/>
      <c r="GK422" s="77"/>
      <c r="GL422" s="77"/>
      <c r="GM422" s="77"/>
      <c r="GN422" s="77"/>
      <c r="GO422" s="77"/>
      <c r="GP422" s="77"/>
      <c r="GQ422" s="77"/>
      <c r="GR422" s="77"/>
      <c r="GS422" s="77"/>
      <c r="GT422" s="77"/>
      <c r="GU422" s="77"/>
      <c r="GV422" s="77"/>
      <c r="GW422" s="77"/>
      <c r="GX422" s="77"/>
      <c r="GY422" s="77"/>
      <c r="GZ422" s="77"/>
      <c r="HA422" s="77"/>
      <c r="HB422" s="77"/>
      <c r="HC422" s="77"/>
      <c r="HD422" s="77"/>
      <c r="HE422" s="77"/>
      <c r="HF422" s="77"/>
      <c r="HG422" s="77"/>
      <c r="HH422" s="77"/>
      <c r="HI422" s="77"/>
      <c r="HJ422" s="77"/>
      <c r="HK422" s="77"/>
      <c r="HL422" s="77"/>
      <c r="HM422" s="77"/>
      <c r="HN422" s="77"/>
      <c r="HO422" s="77"/>
      <c r="HP422" s="77"/>
      <c r="HQ422" s="77"/>
      <c r="HR422" s="77"/>
      <c r="HS422" s="77"/>
      <c r="HT422" s="77"/>
      <c r="HU422" s="77"/>
      <c r="HV422" s="77"/>
      <c r="HW422" s="77"/>
      <c r="HX422" s="77"/>
      <c r="HY422" s="77"/>
      <c r="HZ422" s="77"/>
      <c r="IA422" s="77"/>
      <c r="IB422" s="77"/>
      <c r="IC422" s="77"/>
      <c r="ID422" s="77"/>
      <c r="IE422" s="77"/>
      <c r="LL422" s="77"/>
      <c r="LM422" s="77"/>
      <c r="LN422" s="77"/>
      <c r="LO422" s="77"/>
      <c r="LP422" s="77"/>
      <c r="LQ422" s="77"/>
      <c r="LR422" s="77"/>
      <c r="LS422" s="77"/>
      <c r="LT422" s="77"/>
      <c r="LU422" s="77"/>
      <c r="LV422" s="77"/>
      <c r="LW422" s="77"/>
      <c r="LX422" s="77"/>
      <c r="LY422" s="77"/>
      <c r="LZ422" s="77"/>
      <c r="MA422" s="77"/>
      <c r="MB422" s="77"/>
      <c r="MC422" s="77"/>
      <c r="MD422" s="77"/>
      <c r="ME422" s="77"/>
      <c r="MF422" s="77"/>
      <c r="MG422" s="77"/>
      <c r="MH422" s="77"/>
      <c r="MI422" s="77"/>
      <c r="MJ422" s="77"/>
      <c r="MK422" s="77"/>
      <c r="ML422" s="77"/>
      <c r="MM422" s="77"/>
      <c r="MN422" s="77"/>
      <c r="MO422" s="77"/>
      <c r="MP422" s="77"/>
      <c r="MQ422" s="77"/>
      <c r="MR422" s="77"/>
      <c r="MS422" s="77"/>
    </row>
    <row r="423" spans="1:368" ht="18.600000000000001" customHeight="1" x14ac:dyDescent="0.25">
      <c r="A423" s="119" t="s">
        <v>372</v>
      </c>
      <c r="B423" s="27" t="s">
        <v>1805</v>
      </c>
      <c r="C423" s="27" t="s">
        <v>1806</v>
      </c>
      <c r="D423" s="30" t="str">
        <f>HYPERLINK("https://twitter.com/mzvcr","https://twitter.com/mzvcr")</f>
        <v>https://twitter.com/mzvcr</v>
      </c>
      <c r="E423" s="30" t="str">
        <f>HYPERLINK("http://twiplomacy.com/info/europe/Czech-Republic","http://twiplomacy.com/info/europe/Czech-Republic")</f>
        <v>http://twiplomacy.com/info/europe/Czech-Republic</v>
      </c>
      <c r="F423" s="10" t="s">
        <v>332</v>
      </c>
      <c r="G423" s="10" t="s">
        <v>5647</v>
      </c>
      <c r="H423" s="10" t="s">
        <v>795</v>
      </c>
      <c r="I423" s="10" t="s">
        <v>782</v>
      </c>
      <c r="J423" s="27" t="s">
        <v>789</v>
      </c>
      <c r="K423" s="15" t="s">
        <v>777</v>
      </c>
      <c r="L423" s="10" t="s">
        <v>771</v>
      </c>
      <c r="M423" s="10" t="s">
        <v>770</v>
      </c>
      <c r="N423" s="30" t="str">
        <f>HYPERLINK("https://twitter.com/mzvcr/status/504189399803125761","https://twitter.com/mzvcr/status/504189399803125761")</f>
        <v>https://twitter.com/mzvcr/status/504189399803125761</v>
      </c>
      <c r="O423" s="27" t="s">
        <v>5983</v>
      </c>
      <c r="P423" s="80">
        <v>36</v>
      </c>
      <c r="Q423" s="80">
        <v>9</v>
      </c>
      <c r="R423" s="27" t="s">
        <v>2995</v>
      </c>
      <c r="S423" s="30" t="str">
        <f>HYPERLINK("https://twitter.com/mzvcr/lists","https://twitter.com/mzvcr/lists")</f>
        <v>https://twitter.com/mzvcr/lists</v>
      </c>
      <c r="T423" s="10" t="s">
        <v>771</v>
      </c>
      <c r="U423" s="10" t="s">
        <v>771</v>
      </c>
      <c r="V423" s="10" t="s">
        <v>771</v>
      </c>
      <c r="W423" s="10"/>
      <c r="X423" s="27" t="s">
        <v>372</v>
      </c>
      <c r="Y423" s="27" t="s">
        <v>1805</v>
      </c>
      <c r="Z423" s="80">
        <v>1345</v>
      </c>
      <c r="AA423" s="27">
        <v>98</v>
      </c>
      <c r="AB423" s="80">
        <v>6003</v>
      </c>
      <c r="AC423" s="27">
        <v>21</v>
      </c>
      <c r="AD423" s="27" t="s">
        <v>4179</v>
      </c>
      <c r="AE423" s="27">
        <v>2752009597</v>
      </c>
      <c r="AF423" s="27" t="s">
        <v>1806</v>
      </c>
      <c r="AG423" s="27" t="s">
        <v>1807</v>
      </c>
      <c r="AH423" s="79">
        <v>2.1693548387096802</v>
      </c>
      <c r="AI423" s="83">
        <v>2.1941272430668799</v>
      </c>
      <c r="AJ423" s="80">
        <v>1.62402669632925</v>
      </c>
      <c r="AK423" s="80">
        <v>1.6763070077864299</v>
      </c>
      <c r="AL423" s="27">
        <v>4</v>
      </c>
      <c r="AM423" s="97">
        <f>SUM(AL423/Z423)</f>
        <v>2.9739776951672862E-3</v>
      </c>
      <c r="AN423" s="27" t="s">
        <v>372</v>
      </c>
      <c r="AO423" s="27">
        <v>1</v>
      </c>
      <c r="AP423" s="27">
        <v>23</v>
      </c>
      <c r="AQ423" s="27">
        <v>2</v>
      </c>
      <c r="AR423" s="27">
        <f>SUM(AO423:AQ423)</f>
        <v>26</v>
      </c>
      <c r="AS423" s="27" t="s">
        <v>427</v>
      </c>
      <c r="AT423" s="27" t="s">
        <v>6799</v>
      </c>
      <c r="AU423" s="84" t="s">
        <v>4875</v>
      </c>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c r="HY423" s="77"/>
      <c r="HZ423" s="77"/>
      <c r="IA423" s="77"/>
      <c r="IB423" s="77"/>
      <c r="IC423" s="77"/>
      <c r="ID423" s="77"/>
      <c r="IE423" s="77"/>
      <c r="KM423" s="77"/>
      <c r="KN423" s="77"/>
      <c r="KO423" s="77"/>
      <c r="KP423" s="77"/>
      <c r="KQ423" s="77"/>
      <c r="KR423" s="77"/>
      <c r="KS423" s="77"/>
      <c r="KT423" s="77"/>
      <c r="KU423" s="77"/>
      <c r="KV423" s="77"/>
      <c r="KW423" s="77"/>
      <c r="KX423" s="77"/>
      <c r="KY423" s="77"/>
      <c r="KZ423" s="77"/>
      <c r="LA423" s="77"/>
      <c r="LB423" s="77"/>
      <c r="LC423" s="77"/>
      <c r="LD423" s="77"/>
      <c r="LE423" s="77"/>
      <c r="LF423" s="77"/>
      <c r="LG423" s="77"/>
      <c r="LH423" s="77"/>
      <c r="LI423" s="77"/>
      <c r="LJ423" s="77"/>
      <c r="LK423" s="77"/>
      <c r="LY423" s="16"/>
      <c r="LZ423" s="16"/>
      <c r="MA423" s="16"/>
      <c r="MB423" s="16"/>
      <c r="MC423" s="16"/>
      <c r="MD423" s="16"/>
      <c r="ME423" s="16"/>
      <c r="MF423" s="16"/>
      <c r="MG423" s="16"/>
      <c r="MH423" s="16"/>
      <c r="MI423" s="16"/>
      <c r="MJ423" s="16"/>
      <c r="MK423" s="16"/>
      <c r="ML423" s="16"/>
      <c r="MM423" s="16"/>
      <c r="MN423" s="16"/>
      <c r="MO423" s="16"/>
      <c r="MP423" s="16"/>
      <c r="MQ423" s="16"/>
      <c r="MR423" s="16"/>
      <c r="MS423" s="77"/>
    </row>
    <row r="424" spans="1:368" ht="18.600000000000001" customHeight="1" x14ac:dyDescent="0.25">
      <c r="A424" s="119" t="s">
        <v>627</v>
      </c>
      <c r="B424" s="27" t="s">
        <v>2545</v>
      </c>
      <c r="C424" s="27" t="s">
        <v>2546</v>
      </c>
      <c r="D424" s="30" t="str">
        <f>HYPERLINK("https://twitter.com/SaintLuciaGov","https://twitter.com/SaintLuciaGov")</f>
        <v>https://twitter.com/SaintLuciaGov</v>
      </c>
      <c r="E424" s="30" t="str">
        <f>HYPERLINK("http://twiplomacy.com/info/north-america/Saint-Lucia","http://twiplomacy.com/info/north-america/Saint-Lucia")</f>
        <v>http://twiplomacy.com/info/north-america/Saint-Lucia</v>
      </c>
      <c r="F424" s="10" t="s">
        <v>558</v>
      </c>
      <c r="G424" s="10" t="s">
        <v>626</v>
      </c>
      <c r="H424" s="10" t="s">
        <v>788</v>
      </c>
      <c r="I424" s="10" t="s">
        <v>782</v>
      </c>
      <c r="J424" s="27" t="s">
        <v>789</v>
      </c>
      <c r="K424" s="15" t="s">
        <v>777</v>
      </c>
      <c r="L424" s="10" t="s">
        <v>771</v>
      </c>
      <c r="M424" s="10" t="s">
        <v>771</v>
      </c>
      <c r="N424" s="30" t="str">
        <f>HYPERLINK("https://twitter.com/SaintLuciaGov/statuses/424199279863795712","https://twitter.com/SaintLuciaGov/statuses/424199279863795712")</f>
        <v>https://twitter.com/SaintLuciaGov/statuses/424199279863795712</v>
      </c>
      <c r="O424" s="27" t="s">
        <v>6080</v>
      </c>
      <c r="P424" s="80">
        <v>5</v>
      </c>
      <c r="Q424" s="80">
        <v>3</v>
      </c>
      <c r="R424" s="27" t="s">
        <v>2995</v>
      </c>
      <c r="S424" s="10" t="s">
        <v>2547</v>
      </c>
      <c r="T424" s="10" t="s">
        <v>771</v>
      </c>
      <c r="U424" s="10" t="s">
        <v>771</v>
      </c>
      <c r="V424" s="10" t="s">
        <v>771</v>
      </c>
      <c r="W424" s="10"/>
      <c r="X424" s="27" t="s">
        <v>627</v>
      </c>
      <c r="Y424" s="27" t="s">
        <v>2545</v>
      </c>
      <c r="Z424" s="80">
        <v>1326</v>
      </c>
      <c r="AA424" s="27">
        <v>25</v>
      </c>
      <c r="AB424" s="80">
        <v>1268</v>
      </c>
      <c r="AC424" s="27">
        <v>3</v>
      </c>
      <c r="AD424" s="27" t="s">
        <v>4451</v>
      </c>
      <c r="AE424" s="27">
        <v>547314961</v>
      </c>
      <c r="AF424" s="27" t="s">
        <v>2546</v>
      </c>
      <c r="AG424" s="27" t="s">
        <v>626</v>
      </c>
      <c r="AH424" s="79">
        <v>0.89232839838492595</v>
      </c>
      <c r="AI424" s="83">
        <v>1.5880239520958099</v>
      </c>
      <c r="AJ424" s="80">
        <v>0.200607902735562</v>
      </c>
      <c r="AK424" s="80">
        <v>0.13525835866261399</v>
      </c>
      <c r="AL424" s="13">
        <v>0</v>
      </c>
      <c r="AM424" s="97">
        <f>SUM(AL424/Z424)</f>
        <v>0</v>
      </c>
      <c r="AN424" s="27" t="s">
        <v>627</v>
      </c>
      <c r="AO424" s="27">
        <v>1</v>
      </c>
      <c r="AP424" s="27">
        <v>9</v>
      </c>
      <c r="AQ424" s="27">
        <v>0</v>
      </c>
      <c r="AR424" s="27">
        <f>SUM(AO424:AQ424)</f>
        <v>10</v>
      </c>
      <c r="AS424" s="27" t="s">
        <v>726</v>
      </c>
      <c r="AT424" s="27" t="s">
        <v>6852</v>
      </c>
      <c r="AU424" s="84"/>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row>
    <row r="425" spans="1:368" ht="18.600000000000001" customHeight="1" x14ac:dyDescent="0.25">
      <c r="A425" s="119" t="s">
        <v>734</v>
      </c>
      <c r="B425" s="27" t="s">
        <v>2449</v>
      </c>
      <c r="C425" s="27" t="s">
        <v>2451</v>
      </c>
      <c r="D425" s="30" t="str">
        <f>HYPERLINK("https://twitter.com/mgonzalezsanz","https://twitter.com/mgonzalezsanz")</f>
        <v>https://twitter.com/mgonzalezsanz</v>
      </c>
      <c r="E425" s="30" t="s">
        <v>2445</v>
      </c>
      <c r="F425" s="10" t="s">
        <v>558</v>
      </c>
      <c r="G425" s="10" t="s">
        <v>574</v>
      </c>
      <c r="H425" s="10" t="s">
        <v>860</v>
      </c>
      <c r="I425" s="10" t="s">
        <v>773</v>
      </c>
      <c r="J425" s="27" t="s">
        <v>2226</v>
      </c>
      <c r="K425" s="15" t="s">
        <v>777</v>
      </c>
      <c r="L425" s="10" t="s">
        <v>771</v>
      </c>
      <c r="M425" s="10" t="s">
        <v>771</v>
      </c>
      <c r="N425" s="30" t="s">
        <v>2450</v>
      </c>
      <c r="O425" s="27" t="s">
        <v>5955</v>
      </c>
      <c r="P425" s="80">
        <v>70</v>
      </c>
      <c r="Q425" s="80">
        <v>59</v>
      </c>
      <c r="R425" s="27" t="s">
        <v>2995</v>
      </c>
      <c r="S425" s="30" t="str">
        <f>HYPERLINK("https://twitter.com/mgonzalezsanz/lists","https://twitter.com/mgonzalezsanz/lists")</f>
        <v>https://twitter.com/mgonzalezsanz/lists</v>
      </c>
      <c r="T425" s="10" t="s">
        <v>771</v>
      </c>
      <c r="U425" s="10" t="s">
        <v>771</v>
      </c>
      <c r="V425" s="10" t="s">
        <v>771</v>
      </c>
      <c r="W425" s="10"/>
      <c r="X425" s="27" t="s">
        <v>734</v>
      </c>
      <c r="Y425" s="27" t="s">
        <v>2449</v>
      </c>
      <c r="Z425" s="80">
        <v>1323</v>
      </c>
      <c r="AA425" s="27">
        <v>175</v>
      </c>
      <c r="AB425" s="80">
        <v>2402</v>
      </c>
      <c r="AC425" s="27">
        <v>10</v>
      </c>
      <c r="AD425" s="27" t="s">
        <v>4106</v>
      </c>
      <c r="AE425" s="27">
        <v>2507704055</v>
      </c>
      <c r="AF425" s="27" t="s">
        <v>2451</v>
      </c>
      <c r="AG425" s="27"/>
      <c r="AH425" s="79">
        <v>1.7926829268292701</v>
      </c>
      <c r="AI425" s="83">
        <v>1.9090909090909101</v>
      </c>
      <c r="AJ425" s="80">
        <v>1.88486140724947</v>
      </c>
      <c r="AK425" s="80">
        <v>2.5405117270788899</v>
      </c>
      <c r="AL425" s="27">
        <v>59</v>
      </c>
      <c r="AM425" s="97">
        <f>SUM(AL425/Z425)</f>
        <v>4.4595616024187455E-2</v>
      </c>
      <c r="AN425" s="27" t="s">
        <v>734</v>
      </c>
      <c r="AO425" s="27">
        <v>11</v>
      </c>
      <c r="AP425" s="27">
        <v>16</v>
      </c>
      <c r="AQ425" s="27">
        <v>8</v>
      </c>
      <c r="AR425" s="27">
        <f>SUM(AO425:AQ425)</f>
        <v>35</v>
      </c>
      <c r="AS425" s="27" t="s">
        <v>6655</v>
      </c>
      <c r="AT425" s="27" t="s">
        <v>6791</v>
      </c>
      <c r="AU425" s="84" t="s">
        <v>6509</v>
      </c>
      <c r="AV425" s="77"/>
      <c r="AW425" s="77"/>
      <c r="AX425" s="77"/>
      <c r="AY425" s="77"/>
      <c r="AZ425" s="77"/>
      <c r="BA425" s="77"/>
      <c r="BB425" s="77"/>
      <c r="BC425" s="77"/>
      <c r="BD425" s="77"/>
      <c r="BE425" s="77"/>
      <c r="BF425" s="77"/>
      <c r="BG425" s="77"/>
      <c r="BH425" s="77"/>
      <c r="BI425" s="77"/>
      <c r="BJ425" s="77"/>
      <c r="BK425" s="77"/>
      <c r="BL425" s="77"/>
      <c r="BM425" s="77"/>
      <c r="BN425" s="77"/>
      <c r="BO425" s="77"/>
      <c r="BP425" s="77"/>
      <c r="BQ425" s="77"/>
      <c r="BR425" s="77"/>
      <c r="BS425" s="77"/>
      <c r="BT425" s="77"/>
      <c r="BU425" s="77"/>
      <c r="BV425" s="77"/>
      <c r="BW425" s="77"/>
      <c r="BX425" s="77"/>
      <c r="BY425" s="77"/>
      <c r="BZ425" s="77"/>
      <c r="CA425" s="77"/>
      <c r="CB425" s="77"/>
      <c r="CC425" s="77"/>
      <c r="CD425" s="77"/>
      <c r="CE425" s="77"/>
      <c r="CF425" s="77"/>
      <c r="CG425" s="77"/>
      <c r="CH425" s="77"/>
      <c r="CI425" s="77"/>
      <c r="CJ425" s="77"/>
      <c r="CK425" s="77"/>
      <c r="CL425" s="77"/>
      <c r="CM425" s="77"/>
      <c r="CN425" s="77"/>
      <c r="CO425" s="77"/>
      <c r="CP425" s="77"/>
      <c r="CQ425" s="77"/>
      <c r="CR425" s="77"/>
      <c r="CS425" s="77"/>
      <c r="CT425" s="77"/>
      <c r="CU425" s="77"/>
      <c r="CV425" s="77"/>
      <c r="CW425" s="77"/>
      <c r="CX425" s="77"/>
      <c r="CY425" s="77"/>
      <c r="CZ425" s="77"/>
      <c r="DA425" s="77"/>
      <c r="DB425" s="77"/>
      <c r="DC425" s="77"/>
      <c r="DD425" s="77"/>
      <c r="DE425" s="77"/>
      <c r="DF425" s="77"/>
      <c r="DG425" s="77"/>
      <c r="DH425" s="77"/>
      <c r="DI425" s="77"/>
      <c r="DJ425" s="77"/>
      <c r="DK425" s="77"/>
      <c r="DL425" s="77"/>
      <c r="DM425" s="77"/>
      <c r="DN425" s="77"/>
      <c r="DO425" s="77"/>
      <c r="DP425" s="77"/>
      <c r="DQ425" s="77"/>
      <c r="DR425" s="77"/>
      <c r="DS425" s="77"/>
      <c r="DT425" s="77"/>
      <c r="DU425" s="77"/>
      <c r="DV425" s="77"/>
      <c r="DW425" s="77"/>
      <c r="DX425" s="77"/>
      <c r="DY425" s="77"/>
      <c r="DZ425" s="77"/>
      <c r="EA425" s="77"/>
      <c r="EB425" s="77"/>
      <c r="EC425" s="77"/>
      <c r="ED425" s="77"/>
      <c r="EE425" s="77"/>
      <c r="EF425" s="77"/>
      <c r="EG425" s="77"/>
      <c r="EH425" s="77"/>
      <c r="EI425" s="77"/>
      <c r="EJ425" s="77"/>
      <c r="EK425" s="77"/>
      <c r="EL425" s="77"/>
      <c r="EM425" s="77"/>
      <c r="EN425" s="77"/>
      <c r="EO425" s="77"/>
      <c r="EP425" s="77"/>
      <c r="EQ425" s="77"/>
      <c r="ER425" s="77"/>
      <c r="ES425" s="77"/>
      <c r="ET425" s="77"/>
      <c r="EU425" s="77"/>
      <c r="EV425" s="77"/>
      <c r="EW425" s="77"/>
      <c r="EX425" s="77"/>
      <c r="EY425" s="77"/>
      <c r="EZ425" s="77"/>
      <c r="FA425" s="77"/>
      <c r="FB425" s="77"/>
      <c r="FC425" s="77"/>
      <c r="FD425" s="77"/>
      <c r="FE425" s="77"/>
      <c r="FF425" s="77"/>
      <c r="FG425" s="77"/>
      <c r="FH425" s="77"/>
      <c r="FI425" s="77"/>
      <c r="FJ425" s="77"/>
      <c r="FK425" s="77"/>
      <c r="FL425" s="77"/>
      <c r="FM425" s="77"/>
      <c r="FN425" s="77"/>
      <c r="FO425" s="77"/>
      <c r="FP425" s="77"/>
      <c r="FQ425" s="77"/>
      <c r="FR425" s="77"/>
      <c r="FS425" s="77"/>
      <c r="FT425" s="77"/>
      <c r="FU425" s="77"/>
      <c r="FV425" s="77"/>
      <c r="FW425" s="77"/>
      <c r="FX425" s="77"/>
      <c r="FY425" s="77"/>
      <c r="FZ425" s="77"/>
      <c r="GA425" s="77"/>
      <c r="GB425" s="77"/>
      <c r="GC425" s="77"/>
      <c r="GD425" s="77"/>
      <c r="GE425" s="77"/>
      <c r="GF425" s="77"/>
      <c r="GG425" s="77"/>
      <c r="GH425" s="77"/>
      <c r="GI425" s="77"/>
      <c r="GJ425" s="77"/>
      <c r="GK425" s="77"/>
      <c r="GL425" s="77"/>
      <c r="GM425" s="77"/>
      <c r="GN425" s="77"/>
      <c r="GO425" s="77"/>
      <c r="GP425" s="77"/>
      <c r="GQ425" s="77"/>
      <c r="GR425" s="77"/>
      <c r="GS425" s="77"/>
      <c r="GT425" s="77"/>
      <c r="GU425" s="77"/>
      <c r="GV425" s="77"/>
      <c r="GW425" s="77"/>
      <c r="GX425" s="77"/>
      <c r="GY425" s="77"/>
      <c r="GZ425" s="77"/>
      <c r="HA425" s="77"/>
      <c r="HB425" s="77"/>
      <c r="HC425" s="77"/>
      <c r="HD425" s="77"/>
      <c r="HE425" s="77"/>
      <c r="HF425" s="77"/>
      <c r="HG425" s="77"/>
      <c r="HH425" s="77"/>
      <c r="HI425" s="77"/>
      <c r="HJ425" s="77"/>
      <c r="HK425" s="77"/>
      <c r="HL425" s="77"/>
      <c r="HM425" s="77"/>
      <c r="HN425" s="77"/>
      <c r="HO425" s="77"/>
      <c r="HP425" s="77"/>
      <c r="HQ425" s="77"/>
      <c r="HR425" s="77"/>
      <c r="HS425" s="77"/>
      <c r="HT425" s="77"/>
      <c r="HU425" s="77"/>
      <c r="HV425" s="77"/>
      <c r="HW425" s="77"/>
      <c r="HX425" s="77"/>
      <c r="HY425" s="77"/>
      <c r="HZ425" s="77"/>
      <c r="IA425" s="77"/>
      <c r="IB425" s="77"/>
      <c r="IC425" s="77"/>
      <c r="ID425" s="77"/>
      <c r="IE425" s="77"/>
      <c r="JY425" s="77"/>
      <c r="JZ425" s="77"/>
      <c r="KA425" s="77"/>
      <c r="KB425" s="77"/>
      <c r="KC425" s="77"/>
      <c r="KD425" s="77"/>
      <c r="KE425" s="77"/>
      <c r="KF425" s="77"/>
      <c r="KG425" s="77"/>
      <c r="KH425" s="77"/>
      <c r="KI425" s="77"/>
      <c r="KJ425" s="77"/>
      <c r="KK425" s="77"/>
      <c r="KL425" s="77"/>
      <c r="KM425" s="77"/>
      <c r="KN425" s="77"/>
      <c r="KO425" s="77"/>
      <c r="KP425" s="77"/>
      <c r="KQ425" s="77"/>
      <c r="KR425" s="77"/>
      <c r="KS425" s="77"/>
      <c r="KT425" s="77"/>
      <c r="KU425" s="77"/>
      <c r="KV425" s="77"/>
      <c r="KW425" s="77"/>
      <c r="KX425" s="77"/>
      <c r="KY425" s="77"/>
      <c r="KZ425" s="77"/>
      <c r="LA425" s="77"/>
      <c r="LB425" s="77"/>
      <c r="LC425" s="77"/>
      <c r="LD425" s="77"/>
      <c r="LE425" s="77"/>
      <c r="LF425" s="77"/>
      <c r="LG425" s="77"/>
      <c r="LH425" s="77"/>
      <c r="LI425" s="77"/>
      <c r="LJ425" s="77"/>
      <c r="LK425" s="77"/>
      <c r="LL425" s="77"/>
      <c r="LM425" s="77"/>
      <c r="LN425" s="77"/>
      <c r="LO425" s="77"/>
      <c r="LP425" s="77"/>
      <c r="LQ425" s="77"/>
      <c r="LR425" s="77"/>
      <c r="LS425" s="77"/>
      <c r="LT425" s="77"/>
      <c r="LU425" s="77"/>
      <c r="LV425" s="77"/>
      <c r="LY425" s="77"/>
      <c r="LZ425" s="77"/>
      <c r="MA425" s="77"/>
      <c r="MB425" s="77"/>
      <c r="MC425" s="77"/>
      <c r="MD425" s="77"/>
      <c r="ME425" s="77"/>
      <c r="MF425" s="77"/>
      <c r="MG425" s="77"/>
      <c r="MH425" s="77"/>
      <c r="MI425" s="77"/>
      <c r="MJ425" s="77"/>
      <c r="MK425" s="77"/>
      <c r="ML425" s="77"/>
      <c r="MM425" s="77"/>
      <c r="MN425" s="77"/>
      <c r="MO425" s="77"/>
      <c r="MP425" s="77"/>
      <c r="MQ425" s="77"/>
      <c r="MR425" s="77"/>
    </row>
    <row r="426" spans="1:368" ht="18.600000000000001" customHeight="1" x14ac:dyDescent="0.25">
      <c r="A426" s="119" t="s">
        <v>104</v>
      </c>
      <c r="B426" s="27" t="s">
        <v>1054</v>
      </c>
      <c r="C426" s="27" t="s">
        <v>3979</v>
      </c>
      <c r="D426" s="30" t="str">
        <f>HYPERLINK("https://twitter.com/macky_sall","https://twitter.com/macky_sall")</f>
        <v>https://twitter.com/macky_sall</v>
      </c>
      <c r="E426" s="30" t="str">
        <f>HYPERLINK("http://twiplomacy.com/info/africa/Senegal","http://twiplomacy.com/info/africa/Senegal")</f>
        <v>http://twiplomacy.com/info/africa/Senegal</v>
      </c>
      <c r="F426" s="10" t="s">
        <v>1</v>
      </c>
      <c r="G426" s="10" t="s">
        <v>103</v>
      </c>
      <c r="H426" s="10" t="s">
        <v>772</v>
      </c>
      <c r="I426" s="10" t="s">
        <v>773</v>
      </c>
      <c r="J426" s="27" t="s">
        <v>779</v>
      </c>
      <c r="K426" s="15" t="s">
        <v>777</v>
      </c>
      <c r="L426" s="10" t="s">
        <v>771</v>
      </c>
      <c r="M426" s="10" t="s">
        <v>770</v>
      </c>
      <c r="N426" s="30" t="str">
        <f>HYPERLINK("https://twitter.com/macky_sall/statuses/12530478317834241","https://twitter.com/macky_sall/statuses/12530478317834241")</f>
        <v>https://twitter.com/macky_sall/statuses/12530478317834241</v>
      </c>
      <c r="O426" s="27" t="s">
        <v>5914</v>
      </c>
      <c r="P426" s="80">
        <v>303</v>
      </c>
      <c r="Q426" s="80">
        <v>335</v>
      </c>
      <c r="R426" s="27" t="s">
        <v>2994</v>
      </c>
      <c r="S426" s="30" t="str">
        <f>HYPERLINK("https://twitter.com/macky_sall/lists","https://twitter.com/macky_sall/lists")</f>
        <v>https://twitter.com/macky_sall/lists</v>
      </c>
      <c r="T426" s="10" t="s">
        <v>771</v>
      </c>
      <c r="U426" s="10">
        <v>9</v>
      </c>
      <c r="V426" s="10" t="s">
        <v>771</v>
      </c>
      <c r="W426" s="10"/>
      <c r="X426" s="27" t="s">
        <v>104</v>
      </c>
      <c r="Y426" s="27" t="s">
        <v>1054</v>
      </c>
      <c r="Z426" s="80">
        <v>1322</v>
      </c>
      <c r="AA426" s="27">
        <v>861</v>
      </c>
      <c r="AB426" s="80">
        <v>147096</v>
      </c>
      <c r="AC426" s="27">
        <v>26</v>
      </c>
      <c r="AD426" s="27" t="s">
        <v>3980</v>
      </c>
      <c r="AE426" s="27">
        <v>197493438</v>
      </c>
      <c r="AF426" s="27" t="s">
        <v>3979</v>
      </c>
      <c r="AG426" s="27" t="s">
        <v>1055</v>
      </c>
      <c r="AH426" s="79">
        <v>0.64803921568627498</v>
      </c>
      <c r="AI426" s="83">
        <v>0.67072552004058805</v>
      </c>
      <c r="AJ426" s="80">
        <v>13.864393338620101</v>
      </c>
      <c r="AK426" s="80">
        <v>13.747026169706601</v>
      </c>
      <c r="AL426" s="27">
        <v>51</v>
      </c>
      <c r="AM426" s="97">
        <f>SUM(AL426/Z426)</f>
        <v>3.8577912254160365E-2</v>
      </c>
      <c r="AN426" s="27" t="s">
        <v>104</v>
      </c>
      <c r="AO426" s="27">
        <v>21</v>
      </c>
      <c r="AP426" s="27">
        <v>24</v>
      </c>
      <c r="AQ426" s="27">
        <v>6</v>
      </c>
      <c r="AR426" s="27">
        <f>SUM(AO426:AQ426)</f>
        <v>51</v>
      </c>
      <c r="AS426" s="27" t="s">
        <v>6650</v>
      </c>
      <c r="AT426" s="27" t="s">
        <v>6310</v>
      </c>
      <c r="AU426" s="84" t="s">
        <v>4809</v>
      </c>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c r="HY426" s="77"/>
      <c r="HZ426" s="77"/>
      <c r="IA426" s="77"/>
      <c r="IB426" s="77"/>
      <c r="IC426" s="77"/>
      <c r="ID426" s="77"/>
      <c r="IE426" s="77"/>
      <c r="JY426" s="77"/>
      <c r="JZ426" s="77"/>
      <c r="KA426" s="77"/>
      <c r="KB426" s="77"/>
      <c r="KC426" s="77"/>
      <c r="KD426" s="77"/>
      <c r="KE426" s="77"/>
      <c r="KF426" s="77"/>
      <c r="KG426" s="77"/>
      <c r="KH426" s="77"/>
      <c r="KI426" s="77"/>
      <c r="KJ426" s="77"/>
      <c r="KK426" s="77"/>
      <c r="KL426" s="77"/>
      <c r="KM426" s="77"/>
      <c r="KN426" s="77"/>
      <c r="KO426" s="77"/>
      <c r="KP426" s="77"/>
      <c r="KQ426" s="77"/>
      <c r="KR426" s="77"/>
      <c r="KS426" s="77"/>
      <c r="KT426" s="77"/>
      <c r="KU426" s="77"/>
      <c r="KV426" s="77"/>
      <c r="KW426" s="77"/>
      <c r="KX426" s="77"/>
      <c r="KY426" s="77"/>
      <c r="KZ426" s="77"/>
      <c r="LA426" s="77"/>
      <c r="LB426" s="77"/>
      <c r="LC426" s="77"/>
      <c r="LD426" s="77"/>
      <c r="LE426" s="77"/>
      <c r="LF426" s="77"/>
      <c r="LG426" s="77"/>
      <c r="LH426" s="77"/>
      <c r="LI426" s="77"/>
      <c r="LJ426" s="77"/>
      <c r="LK426" s="77"/>
      <c r="LL426" s="77"/>
      <c r="LM426" s="77"/>
      <c r="LN426" s="77"/>
      <c r="LO426" s="77"/>
      <c r="LP426" s="77"/>
      <c r="LQ426" s="77"/>
      <c r="LR426" s="77"/>
      <c r="LS426" s="77"/>
      <c r="LT426" s="77"/>
      <c r="LU426" s="77"/>
      <c r="LV426" s="77"/>
      <c r="LY426" s="77"/>
      <c r="LZ426" s="77"/>
      <c r="MA426" s="77"/>
      <c r="MB426" s="77"/>
      <c r="MC426" s="77"/>
      <c r="MD426" s="77"/>
      <c r="ME426" s="77"/>
      <c r="MF426" s="77"/>
      <c r="MG426" s="77"/>
      <c r="MH426" s="77"/>
      <c r="MI426" s="77"/>
      <c r="MJ426" s="77"/>
      <c r="MK426" s="77"/>
      <c r="ML426" s="77"/>
      <c r="MM426" s="77"/>
      <c r="MN426" s="77"/>
      <c r="MO426" s="77"/>
      <c r="MP426" s="77"/>
      <c r="MQ426" s="77"/>
      <c r="MR426" s="77"/>
    </row>
    <row r="427" spans="1:368" ht="18.600000000000001" customHeight="1" x14ac:dyDescent="0.25">
      <c r="A427" s="119" t="s">
        <v>596</v>
      </c>
      <c r="B427" s="27" t="s">
        <v>2487</v>
      </c>
      <c r="C427" s="27" t="s">
        <v>3884</v>
      </c>
      <c r="D427" s="34" t="s">
        <v>2486</v>
      </c>
      <c r="E427" s="34" t="s">
        <v>2485</v>
      </c>
      <c r="F427" s="38" t="s">
        <v>558</v>
      </c>
      <c r="G427" s="38" t="s">
        <v>595</v>
      </c>
      <c r="H427" s="38" t="s">
        <v>772</v>
      </c>
      <c r="I427" s="38" t="s">
        <v>773</v>
      </c>
      <c r="J427" s="27" t="s">
        <v>2226</v>
      </c>
      <c r="K427" s="15" t="s">
        <v>777</v>
      </c>
      <c r="L427" s="10"/>
      <c r="M427" s="10" t="s">
        <v>770</v>
      </c>
      <c r="N427" s="34" t="s">
        <v>2488</v>
      </c>
      <c r="O427" s="27" t="s">
        <v>3173</v>
      </c>
      <c r="P427" s="80">
        <v>384</v>
      </c>
      <c r="Q427" s="80">
        <v>892</v>
      </c>
      <c r="R427" s="27" t="s">
        <v>2995</v>
      </c>
      <c r="S427" s="34" t="s">
        <v>2489</v>
      </c>
      <c r="T427" s="38" t="s">
        <v>771</v>
      </c>
      <c r="U427" s="38">
        <v>1</v>
      </c>
      <c r="V427" s="10" t="s">
        <v>771</v>
      </c>
      <c r="W427" s="38"/>
      <c r="X427" s="27" t="s">
        <v>596</v>
      </c>
      <c r="Y427" s="27" t="s">
        <v>2487</v>
      </c>
      <c r="Z427" s="80">
        <v>1310</v>
      </c>
      <c r="AA427" s="27">
        <v>869</v>
      </c>
      <c r="AB427" s="80">
        <v>71254</v>
      </c>
      <c r="AC427" s="27">
        <v>1203</v>
      </c>
      <c r="AD427" s="27" t="s">
        <v>3885</v>
      </c>
      <c r="AE427" s="27">
        <v>1691434632</v>
      </c>
      <c r="AF427" s="27" t="s">
        <v>3884</v>
      </c>
      <c r="AG427" s="27" t="s">
        <v>595</v>
      </c>
      <c r="AH427" s="79">
        <v>1.3323170731707299</v>
      </c>
      <c r="AI427" s="83">
        <v>1.34226804123711</v>
      </c>
      <c r="AJ427" s="80">
        <v>13.356039963669399</v>
      </c>
      <c r="AK427" s="80">
        <v>33.486830154405098</v>
      </c>
      <c r="AL427" s="27">
        <v>714</v>
      </c>
      <c r="AM427" s="97">
        <f>SUM(AL427/Z427)</f>
        <v>0.54503816793893134</v>
      </c>
      <c r="AN427" s="27" t="s">
        <v>596</v>
      </c>
      <c r="AO427" s="27">
        <v>2</v>
      </c>
      <c r="AP427" s="27">
        <v>9</v>
      </c>
      <c r="AQ427" s="27">
        <v>3</v>
      </c>
      <c r="AR427" s="27">
        <f>SUM(AO427:AQ427)</f>
        <v>14</v>
      </c>
      <c r="AS427" s="27" t="s">
        <v>5217</v>
      </c>
      <c r="AT427" s="27" t="s">
        <v>5218</v>
      </c>
      <c r="AU427" s="84" t="s">
        <v>4777</v>
      </c>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Y427" s="77"/>
      <c r="LZ427" s="77"/>
      <c r="MA427" s="77"/>
      <c r="MB427" s="77"/>
      <c r="MC427" s="77"/>
      <c r="MD427" s="77"/>
      <c r="ME427" s="77"/>
      <c r="MF427" s="77"/>
      <c r="MG427" s="77"/>
      <c r="MH427" s="77"/>
      <c r="MI427" s="77"/>
      <c r="MJ427" s="77"/>
      <c r="MK427" s="77"/>
      <c r="ML427" s="77"/>
      <c r="MM427" s="77"/>
      <c r="MN427" s="77"/>
      <c r="MO427" s="77"/>
      <c r="MP427" s="77"/>
      <c r="MQ427" s="77"/>
      <c r="MR427" s="77"/>
      <c r="ND427" s="77"/>
    </row>
    <row r="428" spans="1:368" ht="18.600000000000001" customHeight="1" x14ac:dyDescent="0.25">
      <c r="A428" s="119" t="s">
        <v>725</v>
      </c>
      <c r="B428" s="27" t="s">
        <v>1846</v>
      </c>
      <c r="C428" s="27" t="s">
        <v>1847</v>
      </c>
      <c r="D428" s="30" t="str">
        <f>HYPERLINK("https://twitter.com/JunckerEU","https://twitter.com/JunckerEU")</f>
        <v>https://twitter.com/JunckerEU</v>
      </c>
      <c r="E428" s="30" t="str">
        <f>HYPERLINK("http://twiplomacy.com/info/europe/Europe","http://twiplomacy.com/info/europe/Europe")</f>
        <v>http://twiplomacy.com/info/europe/Europe</v>
      </c>
      <c r="F428" s="10" t="s">
        <v>332</v>
      </c>
      <c r="G428" s="10" t="s">
        <v>1837</v>
      </c>
      <c r="H428" s="10" t="s">
        <v>1848</v>
      </c>
      <c r="I428" s="10" t="s">
        <v>773</v>
      </c>
      <c r="J428" s="27" t="s">
        <v>789</v>
      </c>
      <c r="K428" s="15" t="s">
        <v>777</v>
      </c>
      <c r="L428" s="10" t="s">
        <v>771</v>
      </c>
      <c r="M428" s="10" t="s">
        <v>770</v>
      </c>
      <c r="N428" s="30" t="str">
        <f>HYPERLINK("https://twitter.com/JunckerEU/status/422114705943969792","https://twitter.com/JunckerEU/status/422114705943969792")</f>
        <v>https://twitter.com/JunckerEU/status/422114705943969792</v>
      </c>
      <c r="O428" s="27" t="s">
        <v>5893</v>
      </c>
      <c r="P428" s="80">
        <v>2181</v>
      </c>
      <c r="Q428" s="80">
        <v>1381</v>
      </c>
      <c r="R428" s="27" t="s">
        <v>2994</v>
      </c>
      <c r="S428" s="30" t="str">
        <f>HYPERLINK("https://twitter.com/JunckerEU/lists","https://twitter.com/JunckerEU/lists")</f>
        <v>https://twitter.com/JunckerEU/lists</v>
      </c>
      <c r="T428" s="10" t="s">
        <v>771</v>
      </c>
      <c r="U428" s="10">
        <v>2</v>
      </c>
      <c r="V428" s="10" t="s">
        <v>771</v>
      </c>
      <c r="W428" s="10"/>
      <c r="X428" s="27" t="s">
        <v>725</v>
      </c>
      <c r="Y428" s="27" t="s">
        <v>1846</v>
      </c>
      <c r="Z428" s="80">
        <v>1301</v>
      </c>
      <c r="AA428" s="27">
        <v>1557</v>
      </c>
      <c r="AB428" s="80">
        <v>257528</v>
      </c>
      <c r="AC428" s="27">
        <v>280</v>
      </c>
      <c r="AD428" s="27" t="s">
        <v>3910</v>
      </c>
      <c r="AE428" s="27">
        <v>169426475</v>
      </c>
      <c r="AF428" s="27" t="s">
        <v>1847</v>
      </c>
      <c r="AG428" s="27" t="s">
        <v>332</v>
      </c>
      <c r="AH428" s="79">
        <v>0.61629559450497395</v>
      </c>
      <c r="AI428" s="83">
        <v>1.5495818399044201</v>
      </c>
      <c r="AJ428" s="80">
        <v>59.853479853479897</v>
      </c>
      <c r="AK428" s="80">
        <v>35.8998778998779</v>
      </c>
      <c r="AL428" s="27">
        <v>51</v>
      </c>
      <c r="AM428" s="97">
        <f>SUM(AL428/Z428)</f>
        <v>3.9200614911606459E-2</v>
      </c>
      <c r="AN428" s="27" t="s">
        <v>725</v>
      </c>
      <c r="AO428" s="27">
        <v>12</v>
      </c>
      <c r="AP428" s="27">
        <v>99</v>
      </c>
      <c r="AQ428" s="27">
        <v>15</v>
      </c>
      <c r="AR428" s="27">
        <f>SUM(AO428:AQ428)</f>
        <v>126</v>
      </c>
      <c r="AS428" s="27" t="s">
        <v>5222</v>
      </c>
      <c r="AT428" s="27" t="s">
        <v>6763</v>
      </c>
      <c r="AU428" s="84" t="s">
        <v>4785</v>
      </c>
      <c r="AV428" s="77"/>
      <c r="AW428" s="77"/>
      <c r="AX428" s="77"/>
      <c r="AY428" s="77"/>
      <c r="AZ428" s="77"/>
      <c r="BA428" s="77"/>
      <c r="BB428" s="77"/>
      <c r="BC428" s="77"/>
      <c r="BD428" s="77"/>
      <c r="BE428" s="77"/>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16"/>
      <c r="CL428" s="16"/>
      <c r="CM428" s="16"/>
      <c r="CN428" s="16"/>
      <c r="CO428" s="16"/>
      <c r="CP428" s="16"/>
      <c r="CQ428" s="16"/>
      <c r="CR428" s="16"/>
      <c r="CS428" s="16"/>
      <c r="CT428" s="16"/>
      <c r="CU428" s="16"/>
      <c r="CV428" s="16"/>
      <c r="CW428" s="16"/>
      <c r="CX428" s="77"/>
      <c r="CY428" s="77"/>
      <c r="CZ428" s="77"/>
      <c r="DA428" s="77"/>
      <c r="DB428" s="77"/>
      <c r="DC428" s="77"/>
      <c r="DD428" s="77"/>
      <c r="DE428" s="77"/>
      <c r="DF428" s="77"/>
      <c r="DG428" s="77"/>
      <c r="DH428" s="77"/>
      <c r="DI428" s="77"/>
      <c r="DJ428" s="77"/>
      <c r="DK428" s="77"/>
      <c r="DL428" s="77"/>
      <c r="DM428" s="77"/>
      <c r="DN428" s="77"/>
      <c r="DO428" s="77"/>
      <c r="DP428" s="77"/>
      <c r="DQ428" s="77"/>
      <c r="DR428" s="77"/>
      <c r="DS428" s="77"/>
      <c r="DT428" s="77"/>
      <c r="DU428" s="77"/>
      <c r="DV428" s="77"/>
      <c r="DW428" s="77"/>
      <c r="DX428" s="77"/>
      <c r="DY428" s="77"/>
      <c r="DZ428" s="77"/>
      <c r="EA428" s="77"/>
      <c r="EB428" s="77"/>
      <c r="EC428" s="77"/>
      <c r="ED428" s="77"/>
      <c r="EE428" s="77"/>
      <c r="EF428" s="77"/>
      <c r="EG428" s="77"/>
      <c r="EH428" s="77"/>
      <c r="EI428" s="77"/>
      <c r="EJ428" s="77"/>
      <c r="EK428" s="77"/>
      <c r="EL428" s="77"/>
      <c r="EM428" s="77"/>
      <c r="EN428" s="77"/>
      <c r="EO428" s="77"/>
      <c r="EQ428" s="77"/>
      <c r="ER428" s="77"/>
      <c r="ES428" s="77"/>
      <c r="ET428" s="77"/>
      <c r="EU428" s="77"/>
      <c r="EV428" s="77"/>
      <c r="EW428" s="77"/>
      <c r="EX428" s="77"/>
      <c r="EY428" s="77"/>
      <c r="EZ428" s="77"/>
      <c r="FA428" s="77"/>
      <c r="FB428" s="77"/>
      <c r="FC428" s="77"/>
      <c r="FD428" s="77"/>
      <c r="FE428" s="77"/>
      <c r="FF428" s="77"/>
      <c r="FG428" s="77"/>
      <c r="FH428" s="77"/>
      <c r="FI428" s="77"/>
      <c r="FJ428" s="77"/>
      <c r="FK428" s="77"/>
      <c r="FL428" s="77"/>
      <c r="FM428" s="77"/>
      <c r="FN428" s="77"/>
      <c r="FO428" s="77"/>
      <c r="FP428" s="77"/>
      <c r="FQ428" s="77"/>
      <c r="FR428" s="77"/>
      <c r="FS428" s="77"/>
      <c r="FT428" s="77"/>
      <c r="FU428" s="77"/>
      <c r="FV428" s="77"/>
      <c r="FW428" s="77"/>
      <c r="FX428" s="77"/>
      <c r="FY428" s="77"/>
      <c r="FZ428" s="77"/>
      <c r="GA428" s="77"/>
      <c r="GB428" s="77"/>
      <c r="GC428" s="77"/>
      <c r="GD428" s="77"/>
      <c r="GE428" s="77"/>
      <c r="GF428" s="77"/>
      <c r="GG428" s="77"/>
      <c r="GH428" s="77"/>
      <c r="GI428" s="77"/>
      <c r="GJ428" s="77"/>
      <c r="GK428" s="77"/>
      <c r="HL428" s="77"/>
      <c r="HM428" s="77"/>
      <c r="HN428" s="77"/>
      <c r="HO428" s="77"/>
      <c r="HP428" s="77"/>
      <c r="HQ428" s="77"/>
      <c r="HR428" s="77"/>
      <c r="HS428" s="77"/>
      <c r="HT428" s="77"/>
      <c r="HU428" s="77"/>
      <c r="HV428" s="77"/>
      <c r="HW428" s="77"/>
      <c r="HX428" s="77"/>
      <c r="HY428" s="77"/>
      <c r="HZ428" s="77"/>
      <c r="IA428" s="77"/>
      <c r="IB428" s="77"/>
      <c r="IC428" s="77"/>
      <c r="ID428" s="77"/>
      <c r="IE428" s="77"/>
      <c r="IF428" s="77"/>
      <c r="IG428" s="77"/>
      <c r="IH428" s="77"/>
      <c r="II428" s="77"/>
      <c r="IJ428" s="77"/>
      <c r="IK428" s="77"/>
      <c r="IL428" s="77"/>
      <c r="IM428" s="77"/>
      <c r="IN428" s="77"/>
      <c r="IO428" s="77"/>
      <c r="IP428" s="77"/>
      <c r="IQ428" s="77"/>
      <c r="IR428" s="77"/>
      <c r="IS428" s="77"/>
      <c r="IT428" s="77"/>
      <c r="IU428" s="77"/>
      <c r="IV428" s="77"/>
      <c r="IW428" s="77"/>
      <c r="IX428" s="77"/>
      <c r="IY428" s="77"/>
      <c r="IZ428" s="77"/>
      <c r="JA428" s="77"/>
      <c r="JB428" s="77"/>
      <c r="JC428" s="77"/>
      <c r="JD428" s="77"/>
      <c r="JE428" s="77"/>
      <c r="JF428" s="77"/>
      <c r="JG428" s="77"/>
      <c r="JH428" s="77"/>
      <c r="JI428" s="77"/>
      <c r="JJ428" s="77"/>
      <c r="JK428" s="77"/>
      <c r="JL428" s="77"/>
      <c r="JM428" s="77"/>
      <c r="JN428" s="77"/>
      <c r="JO428" s="77"/>
      <c r="JP428" s="77"/>
      <c r="JQ428" s="77"/>
      <c r="JR428" s="77"/>
      <c r="JS428" s="77"/>
      <c r="JT428" s="77"/>
      <c r="JU428" s="77"/>
      <c r="JV428" s="77"/>
      <c r="JW428" s="77"/>
      <c r="JX428" s="77"/>
      <c r="JY428" s="77"/>
      <c r="JZ428" s="77"/>
      <c r="KA428" s="77"/>
      <c r="KB428" s="77"/>
      <c r="KC428" s="77"/>
      <c r="KD428" s="77"/>
      <c r="KE428" s="77"/>
      <c r="KF428" s="77"/>
      <c r="KG428" s="77"/>
      <c r="KH428" s="77"/>
      <c r="KI428" s="77"/>
      <c r="KJ428" s="77"/>
      <c r="KK428" s="77"/>
      <c r="KL428" s="77"/>
      <c r="LL428" s="77"/>
      <c r="LM428" s="77"/>
      <c r="LN428" s="77"/>
      <c r="LO428" s="77"/>
      <c r="LP428" s="77"/>
      <c r="LQ428" s="77"/>
      <c r="LR428" s="77"/>
      <c r="LS428" s="77"/>
      <c r="LT428" s="77"/>
      <c r="LU428" s="77"/>
      <c r="LV428" s="77"/>
      <c r="LY428" s="77"/>
      <c r="LZ428" s="77"/>
      <c r="MA428" s="77"/>
      <c r="MB428" s="77"/>
      <c r="MC428" s="77"/>
      <c r="MD428" s="77"/>
      <c r="ME428" s="77"/>
      <c r="MF428" s="77"/>
      <c r="MG428" s="77"/>
      <c r="MH428" s="77"/>
      <c r="MI428" s="77"/>
      <c r="MJ428" s="77"/>
      <c r="MK428" s="77"/>
      <c r="ML428" s="77"/>
      <c r="MM428" s="77"/>
      <c r="MN428" s="77"/>
      <c r="MO428" s="77"/>
      <c r="MP428" s="77"/>
      <c r="MQ428" s="77"/>
      <c r="MR428" s="77"/>
    </row>
    <row r="429" spans="1:368" ht="18.600000000000001" customHeight="1" x14ac:dyDescent="0.25">
      <c r="A429" s="119" t="s">
        <v>2633</v>
      </c>
      <c r="B429" s="27" t="s">
        <v>2634</v>
      </c>
      <c r="C429" s="27" t="s">
        <v>2635</v>
      </c>
      <c r="D429" s="30" t="str">
        <f>HYPERLINK("https://twitter.com/FijiPM","https://twitter.com/FijiPM")</f>
        <v>https://twitter.com/FijiPM</v>
      </c>
      <c r="E429" s="30" t="str">
        <f>HYPERLINK("http://twiplomacy.com/info/oceania/Fiji","http://twiplomacy.com/info/oceania/Fiji")</f>
        <v>http://twiplomacy.com/info/oceania/Fiji</v>
      </c>
      <c r="F429" s="10" t="s">
        <v>643</v>
      </c>
      <c r="G429" s="10" t="s">
        <v>647</v>
      </c>
      <c r="H429" s="10" t="s">
        <v>776</v>
      </c>
      <c r="I429" s="10" t="s">
        <v>773</v>
      </c>
      <c r="J429" s="27" t="s">
        <v>789</v>
      </c>
      <c r="K429" s="15" t="s">
        <v>777</v>
      </c>
      <c r="L429" s="10" t="s">
        <v>771</v>
      </c>
      <c r="M429" s="10" t="s">
        <v>771</v>
      </c>
      <c r="N429" s="30" t="str">
        <f>HYPERLINK("https://twitter.com/FijiPM/statuses/130383485352419328","https://twitter.com/FijiPM/statuses/130383485352419328")</f>
        <v>https://twitter.com/FijiPM/statuses/130383485352419328</v>
      </c>
      <c r="O429" s="27" t="s">
        <v>5760</v>
      </c>
      <c r="P429" s="80">
        <v>707</v>
      </c>
      <c r="Q429" s="80">
        <v>2096</v>
      </c>
      <c r="R429" s="27" t="s">
        <v>2995</v>
      </c>
      <c r="S429" s="10" t="s">
        <v>2636</v>
      </c>
      <c r="T429" s="10" t="s">
        <v>771</v>
      </c>
      <c r="U429" s="10" t="s">
        <v>771</v>
      </c>
      <c r="V429" s="10" t="s">
        <v>771</v>
      </c>
      <c r="W429" s="10"/>
      <c r="X429" s="27" t="s">
        <v>2633</v>
      </c>
      <c r="Y429" s="27" t="s">
        <v>2634</v>
      </c>
      <c r="Z429" s="80">
        <v>1298</v>
      </c>
      <c r="AA429" s="27">
        <v>44</v>
      </c>
      <c r="AB429" s="80">
        <v>13192</v>
      </c>
      <c r="AC429" s="27">
        <v>49</v>
      </c>
      <c r="AD429" s="27" t="s">
        <v>3682</v>
      </c>
      <c r="AE429" s="27">
        <v>395425451</v>
      </c>
      <c r="AF429" s="27" t="s">
        <v>2635</v>
      </c>
      <c r="AG429" s="27" t="s">
        <v>2637</v>
      </c>
      <c r="AH429" s="79">
        <v>0.78429003021148003</v>
      </c>
      <c r="AI429" s="83">
        <v>0.79049939098660205</v>
      </c>
      <c r="AJ429" s="80">
        <v>1.4782258064516101</v>
      </c>
      <c r="AK429" s="80">
        <v>2.79112903225806</v>
      </c>
      <c r="AL429" s="27">
        <v>18</v>
      </c>
      <c r="AM429" s="97">
        <f>SUM(AL429/Z429)</f>
        <v>1.386748844375963E-2</v>
      </c>
      <c r="AN429" s="27" t="s">
        <v>2633</v>
      </c>
      <c r="AO429" s="27">
        <v>7</v>
      </c>
      <c r="AP429" s="27">
        <v>8</v>
      </c>
      <c r="AQ429" s="27">
        <v>3</v>
      </c>
      <c r="AR429" s="27">
        <f>SUM(AO429:AQ429)</f>
        <v>18</v>
      </c>
      <c r="AS429" s="27" t="s">
        <v>6564</v>
      </c>
      <c r="AT429" s="27" t="s">
        <v>5605</v>
      </c>
      <c r="AU429" s="84" t="s">
        <v>5592</v>
      </c>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Y429" s="77"/>
      <c r="LZ429" s="77"/>
      <c r="MA429" s="77"/>
      <c r="MB429" s="77"/>
      <c r="MC429" s="77"/>
      <c r="MD429" s="77"/>
      <c r="ME429" s="77"/>
      <c r="MF429" s="77"/>
      <c r="MG429" s="77"/>
      <c r="MH429" s="77"/>
      <c r="MI429" s="77"/>
      <c r="MJ429" s="77"/>
      <c r="MK429" s="77"/>
      <c r="ML429" s="77"/>
      <c r="MM429" s="77"/>
      <c r="MN429" s="77"/>
      <c r="MO429" s="77"/>
      <c r="MP429" s="77"/>
      <c r="MQ429" s="77"/>
      <c r="MR429" s="77"/>
      <c r="MT429" s="77"/>
      <c r="MU429" s="77"/>
      <c r="MV429" s="77"/>
      <c r="MW429" s="77"/>
      <c r="MX429" s="77"/>
      <c r="MY429" s="77"/>
      <c r="MZ429" s="77"/>
      <c r="NA429" s="77"/>
      <c r="NB429" s="77"/>
      <c r="NC429" s="77"/>
    </row>
    <row r="430" spans="1:368" ht="18.600000000000001" customHeight="1" x14ac:dyDescent="0.25">
      <c r="A430" s="119" t="s">
        <v>202</v>
      </c>
      <c r="B430" s="27" t="s">
        <v>1334</v>
      </c>
      <c r="C430" s="27"/>
      <c r="D430" s="30" t="str">
        <f>HYPERLINK("https://twitter.com/PresidentFuad","https://twitter.com/PresidentFuad")</f>
        <v>https://twitter.com/PresidentFuad</v>
      </c>
      <c r="E430" s="30" t="str">
        <f>HYPERLINK("http://twiplomacy.com/info/asia/Iraq","http://twiplomacy.com/info/asia/Iraq")</f>
        <v>http://twiplomacy.com/info/asia/Iraq</v>
      </c>
      <c r="F430" s="10" t="s">
        <v>154</v>
      </c>
      <c r="G430" s="10" t="s">
        <v>201</v>
      </c>
      <c r="H430" s="10" t="s">
        <v>772</v>
      </c>
      <c r="I430" s="10" t="s">
        <v>773</v>
      </c>
      <c r="J430" s="27" t="s">
        <v>789</v>
      </c>
      <c r="K430" s="15" t="s">
        <v>777</v>
      </c>
      <c r="L430" s="10" t="s">
        <v>771</v>
      </c>
      <c r="M430" s="10" t="s">
        <v>770</v>
      </c>
      <c r="N430" s="30" t="s">
        <v>1336</v>
      </c>
      <c r="O430" s="27" t="s">
        <v>6048</v>
      </c>
      <c r="P430" s="80">
        <v>4</v>
      </c>
      <c r="Q430" s="80">
        <v>2</v>
      </c>
      <c r="R430" s="27" t="s">
        <v>2995</v>
      </c>
      <c r="S430" s="30" t="str">
        <f>HYPERLINK("https://twitter.com/PresidentFuad/lists","https://twitter.com/PresidentFuad/lists")</f>
        <v>https://twitter.com/PresidentFuad/lists</v>
      </c>
      <c r="T430" s="10" t="s">
        <v>771</v>
      </c>
      <c r="U430" s="10" t="s">
        <v>771</v>
      </c>
      <c r="V430" s="10" t="s">
        <v>771</v>
      </c>
      <c r="W430" s="10"/>
      <c r="X430" s="27" t="s">
        <v>202</v>
      </c>
      <c r="Y430" s="27" t="s">
        <v>1334</v>
      </c>
      <c r="Z430" s="80">
        <v>1282</v>
      </c>
      <c r="AA430" s="27">
        <v>0</v>
      </c>
      <c r="AB430" s="80">
        <v>241</v>
      </c>
      <c r="AC430" s="27">
        <v>0</v>
      </c>
      <c r="AD430" s="27" t="s">
        <v>4358</v>
      </c>
      <c r="AE430" s="27">
        <v>2999154457</v>
      </c>
      <c r="AF430" s="27"/>
      <c r="AG430" s="27"/>
      <c r="AH430" s="79">
        <v>2.7869565217391301</v>
      </c>
      <c r="AI430" s="83">
        <v>2.7930283224400898</v>
      </c>
      <c r="AJ430" s="80">
        <v>4.6021840873634902E-2</v>
      </c>
      <c r="AK430" s="80">
        <v>0.15444617784711401</v>
      </c>
      <c r="AL430" s="13">
        <v>0</v>
      </c>
      <c r="AM430" s="97">
        <f>SUM(AL430/Z430)</f>
        <v>0</v>
      </c>
      <c r="AN430" s="27" t="s">
        <v>202</v>
      </c>
      <c r="AO430" s="27">
        <v>0</v>
      </c>
      <c r="AP430" s="27">
        <v>2</v>
      </c>
      <c r="AQ430" s="27">
        <v>0</v>
      </c>
      <c r="AR430" s="27">
        <f>SUM(AO430:AQ430)</f>
        <v>2</v>
      </c>
      <c r="AS430" s="27"/>
      <c r="AT430" s="27" t="s">
        <v>5005</v>
      </c>
      <c r="AU430" s="84"/>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T430" s="16"/>
      <c r="MU430" s="16"/>
      <c r="MV430" s="16"/>
      <c r="MW430" s="16"/>
      <c r="MX430" s="16"/>
      <c r="MY430" s="16"/>
      <c r="MZ430" s="16"/>
      <c r="NA430" s="16"/>
      <c r="NB430" s="16"/>
      <c r="NC430" s="16"/>
    </row>
    <row r="431" spans="1:368" ht="18.600000000000001" customHeight="1" x14ac:dyDescent="0.25">
      <c r="A431" s="119" t="s">
        <v>531</v>
      </c>
      <c r="B431" s="27" t="s">
        <v>2238</v>
      </c>
      <c r="C431" s="27" t="s">
        <v>2239</v>
      </c>
      <c r="D431" s="30" t="str">
        <f>HYPERLINK("https://twitter.com/margotwallstrom","https://twitter.com/margotwallstrom")</f>
        <v>https://twitter.com/margotwallstrom</v>
      </c>
      <c r="E431" s="30" t="str">
        <f>HYPERLINK("http://twiplomacy.com/info/europe/sweden/","http://twiplomacy.com/info/europe/sweden/")</f>
        <v>http://twiplomacy.com/info/europe/sweden/</v>
      </c>
      <c r="F431" s="10" t="s">
        <v>332</v>
      </c>
      <c r="G431" s="10" t="s">
        <v>529</v>
      </c>
      <c r="H431" s="10" t="s">
        <v>860</v>
      </c>
      <c r="I431" s="10" t="s">
        <v>773</v>
      </c>
      <c r="J431" s="27" t="s">
        <v>789</v>
      </c>
      <c r="K431" s="15" t="s">
        <v>777</v>
      </c>
      <c r="L431" s="10" t="s">
        <v>1114</v>
      </c>
      <c r="M431" s="10" t="s">
        <v>770</v>
      </c>
      <c r="N431" s="30" t="str">
        <f>HYPERLINK("https://twitter.com/margotwallstrom/status/65914289428496384","https://twitter.com/margotwallstrom/status/65914289428496384")</f>
        <v>https://twitter.com/margotwallstrom/status/65914289428496384</v>
      </c>
      <c r="O431" s="27" t="s">
        <v>5924</v>
      </c>
      <c r="P431" s="80">
        <v>1529</v>
      </c>
      <c r="Q431" s="80">
        <v>2590</v>
      </c>
      <c r="R431" s="27" t="s">
        <v>2994</v>
      </c>
      <c r="S431" s="30" t="str">
        <f>HYPERLINK("https://twitter.com/margotwallstrom/lists","https://twitter.com/margotwallstrom/lists")</f>
        <v>https://twitter.com/margotwallstrom/lists</v>
      </c>
      <c r="T431" s="10" t="s">
        <v>771</v>
      </c>
      <c r="U431" s="10" t="s">
        <v>771</v>
      </c>
      <c r="V431" s="10" t="s">
        <v>771</v>
      </c>
      <c r="W431" s="10"/>
      <c r="X431" s="27" t="s">
        <v>531</v>
      </c>
      <c r="Y431" s="27" t="s">
        <v>2238</v>
      </c>
      <c r="Z431" s="80">
        <v>1278</v>
      </c>
      <c r="AA431" s="27">
        <v>489</v>
      </c>
      <c r="AB431" s="80">
        <v>45036</v>
      </c>
      <c r="AC431" s="27">
        <v>149</v>
      </c>
      <c r="AD431" s="27" t="s">
        <v>4024</v>
      </c>
      <c r="AE431" s="27">
        <v>193116688</v>
      </c>
      <c r="AF431" s="27" t="s">
        <v>2239</v>
      </c>
      <c r="AG431" s="27" t="s">
        <v>2096</v>
      </c>
      <c r="AH431" s="79">
        <v>0.62341463414634102</v>
      </c>
      <c r="AI431" s="83">
        <v>0.70065789473684204</v>
      </c>
      <c r="AJ431" s="80">
        <v>32.180899908172599</v>
      </c>
      <c r="AK431" s="80">
        <v>34.232323232323203</v>
      </c>
      <c r="AL431" s="27">
        <v>29</v>
      </c>
      <c r="AM431" s="97">
        <f>SUM(AL431/Z431)</f>
        <v>2.2691705790297341E-2</v>
      </c>
      <c r="AN431" s="27" t="s">
        <v>531</v>
      </c>
      <c r="AO431" s="27">
        <v>20</v>
      </c>
      <c r="AP431" s="27">
        <v>47</v>
      </c>
      <c r="AQ431" s="27">
        <v>17</v>
      </c>
      <c r="AR431" s="27">
        <f>SUM(AO431:AQ431)</f>
        <v>84</v>
      </c>
      <c r="AS431" s="27" t="s">
        <v>5276</v>
      </c>
      <c r="AT431" s="27" t="s">
        <v>5277</v>
      </c>
      <c r="AU431" s="84" t="s">
        <v>6503</v>
      </c>
      <c r="AV431" s="77"/>
      <c r="AW431" s="77"/>
      <c r="AX431" s="77"/>
      <c r="AY431" s="77"/>
      <c r="AZ431" s="77"/>
      <c r="BA431" s="77"/>
      <c r="BB431" s="77"/>
      <c r="BC431" s="77"/>
      <c r="BD431" s="77"/>
      <c r="BE431" s="77"/>
      <c r="BF431" s="77"/>
      <c r="BG431" s="77"/>
      <c r="BH431" s="77"/>
      <c r="BI431" s="77"/>
      <c r="BJ431" s="77"/>
      <c r="BK431" s="77"/>
      <c r="BL431" s="77"/>
      <c r="BM431" s="77"/>
      <c r="BN431" s="77"/>
      <c r="BO431" s="77"/>
      <c r="BP431" s="77"/>
      <c r="BQ431" s="77"/>
      <c r="BR431" s="77"/>
      <c r="BS431" s="77"/>
      <c r="BT431" s="77"/>
      <c r="BU431" s="77"/>
      <c r="BV431" s="77"/>
      <c r="BW431" s="77"/>
      <c r="BX431" s="77"/>
      <c r="BY431" s="77"/>
      <c r="BZ431" s="77"/>
      <c r="CA431" s="77"/>
      <c r="CB431" s="77"/>
      <c r="CC431" s="77"/>
      <c r="CD431" s="77"/>
      <c r="CE431" s="77"/>
      <c r="CF431" s="77"/>
      <c r="CG431" s="77"/>
      <c r="CH431" s="77"/>
      <c r="CI431" s="77"/>
      <c r="CJ431" s="77"/>
      <c r="CK431" s="77"/>
      <c r="CL431" s="77"/>
      <c r="CM431" s="77"/>
      <c r="CN431" s="77"/>
      <c r="CO431" s="77"/>
      <c r="CP431" s="77"/>
      <c r="CQ431" s="77"/>
      <c r="CR431" s="77"/>
      <c r="CS431" s="77"/>
      <c r="CT431" s="77"/>
      <c r="CU431" s="77"/>
      <c r="CV431" s="77"/>
      <c r="CW431" s="77"/>
      <c r="CX431" s="77"/>
      <c r="CY431" s="77"/>
      <c r="CZ431" s="77"/>
      <c r="DA431" s="77"/>
      <c r="DB431" s="77"/>
      <c r="DC431" s="77"/>
      <c r="DD431" s="77"/>
      <c r="DE431" s="77"/>
      <c r="DF431" s="77"/>
      <c r="DG431" s="77"/>
      <c r="DH431" s="77"/>
      <c r="DI431" s="77"/>
      <c r="DJ431" s="77"/>
      <c r="DK431" s="77"/>
      <c r="DL431" s="77"/>
      <c r="DM431" s="77"/>
      <c r="DN431" s="77"/>
      <c r="DO431" s="77"/>
      <c r="DP431" s="77"/>
      <c r="DQ431" s="77"/>
      <c r="DR431" s="77"/>
      <c r="DS431" s="77"/>
      <c r="DT431" s="77"/>
      <c r="DU431" s="77"/>
      <c r="DV431" s="77"/>
      <c r="DW431" s="77"/>
      <c r="DX431" s="77"/>
      <c r="DY431" s="77"/>
      <c r="DZ431" s="77"/>
      <c r="EA431" s="77"/>
      <c r="EB431" s="77"/>
      <c r="EC431" s="77"/>
      <c r="ED431" s="77"/>
      <c r="EE431" s="77"/>
      <c r="EF431" s="77"/>
      <c r="EG431" s="77"/>
      <c r="EH431" s="77"/>
      <c r="EI431" s="77"/>
      <c r="EJ431" s="77"/>
      <c r="EK431" s="77"/>
      <c r="EL431" s="77"/>
      <c r="EM431" s="77"/>
      <c r="EN431" s="77"/>
      <c r="EO431" s="77"/>
      <c r="EP431" s="77"/>
      <c r="EQ431" s="77"/>
      <c r="ER431" s="77"/>
      <c r="ES431" s="77"/>
      <c r="ET431" s="77"/>
      <c r="EU431" s="77"/>
      <c r="EV431" s="77"/>
      <c r="EW431" s="77"/>
      <c r="EX431" s="77"/>
      <c r="EY431" s="77"/>
      <c r="EZ431" s="77"/>
      <c r="FA431" s="77"/>
      <c r="FB431" s="77"/>
      <c r="FC431" s="77"/>
      <c r="FD431" s="77"/>
      <c r="FE431" s="77"/>
      <c r="FF431" s="77"/>
      <c r="FG431" s="77"/>
      <c r="FH431" s="77"/>
      <c r="FI431" s="77"/>
      <c r="FJ431" s="77"/>
      <c r="FK431" s="77"/>
      <c r="FL431" s="77"/>
      <c r="FM431" s="77"/>
      <c r="FN431" s="77"/>
      <c r="FO431" s="77"/>
      <c r="FP431" s="77"/>
      <c r="FQ431" s="77"/>
      <c r="FR431" s="77"/>
      <c r="FS431" s="77"/>
      <c r="FT431" s="77"/>
      <c r="FU431" s="77"/>
      <c r="FV431" s="77"/>
      <c r="FW431" s="77"/>
      <c r="FX431" s="77"/>
      <c r="FY431" s="77"/>
      <c r="FZ431" s="77"/>
      <c r="GA431" s="77"/>
      <c r="GB431" s="77"/>
      <c r="GC431" s="77"/>
      <c r="GD431" s="77"/>
      <c r="GE431" s="77"/>
      <c r="GF431" s="77"/>
      <c r="GG431" s="77"/>
      <c r="GH431" s="77"/>
      <c r="GI431" s="77"/>
      <c r="GJ431" s="77"/>
      <c r="GK431" s="77"/>
      <c r="HL431" s="77"/>
      <c r="HM431" s="77"/>
      <c r="HN431" s="77"/>
      <c r="HO431" s="77"/>
      <c r="HP431" s="77"/>
      <c r="HQ431" s="77"/>
      <c r="HR431" s="77"/>
      <c r="HS431" s="77"/>
      <c r="HT431" s="77"/>
      <c r="HU431" s="77"/>
      <c r="HV431" s="77"/>
      <c r="HW431" s="77"/>
      <c r="HX431" s="77"/>
      <c r="HY431" s="77"/>
      <c r="HZ431" s="77"/>
      <c r="IA431" s="77"/>
      <c r="IB431" s="77"/>
      <c r="IC431" s="77"/>
      <c r="ID431" s="77"/>
      <c r="IE431" s="77"/>
      <c r="JY431" s="77"/>
      <c r="JZ431" s="77"/>
      <c r="KA431" s="77"/>
      <c r="KB431" s="77"/>
      <c r="KC431" s="77"/>
      <c r="KD431" s="77"/>
      <c r="KE431" s="77"/>
      <c r="KF431" s="77"/>
      <c r="KG431" s="77"/>
      <c r="KH431" s="77"/>
      <c r="KI431" s="77"/>
      <c r="KJ431" s="77"/>
      <c r="KK431" s="77"/>
      <c r="KL431" s="77"/>
      <c r="LL431" s="77"/>
      <c r="LM431" s="77"/>
      <c r="LN431" s="77"/>
      <c r="LO431" s="77"/>
      <c r="LP431" s="77"/>
      <c r="LQ431" s="77"/>
      <c r="LR431" s="77"/>
      <c r="LS431" s="77"/>
      <c r="LT431" s="77"/>
      <c r="LU431" s="77"/>
      <c r="LV431" s="77"/>
      <c r="LW431" s="77"/>
      <c r="LX431" s="77"/>
      <c r="LY431" s="77"/>
      <c r="LZ431" s="77"/>
      <c r="MA431" s="77"/>
      <c r="MB431" s="77"/>
      <c r="MC431" s="77"/>
      <c r="MD431" s="77"/>
      <c r="ME431" s="77"/>
      <c r="MF431" s="77"/>
      <c r="MG431" s="77"/>
      <c r="MH431" s="77"/>
      <c r="MI431" s="77"/>
      <c r="MJ431" s="77"/>
      <c r="MK431" s="77"/>
      <c r="ML431" s="77"/>
      <c r="MM431" s="77"/>
      <c r="MN431" s="77"/>
      <c r="MO431" s="77"/>
      <c r="MP431" s="77"/>
      <c r="MQ431" s="77"/>
      <c r="MR431" s="77"/>
      <c r="MS431" s="77"/>
    </row>
    <row r="432" spans="1:368" ht="18.600000000000001" customHeight="1" x14ac:dyDescent="0.25">
      <c r="A432" s="119" t="s">
        <v>2987</v>
      </c>
      <c r="B432" s="27" t="s">
        <v>2988</v>
      </c>
      <c r="C432" s="27" t="s">
        <v>6410</v>
      </c>
      <c r="D432" s="12" t="s">
        <v>3040</v>
      </c>
      <c r="E432" s="30" t="str">
        <f>HYPERLINK("http://twiplomacy.com/info/asia/United-Arab-Emirates","http://twiplomacy.com/info/asia/United-Arab-Emirates")</f>
        <v>http://twiplomacy.com/info/asia/United-Arab-Emirates</v>
      </c>
      <c r="F432" s="10" t="s">
        <v>154</v>
      </c>
      <c r="G432" s="10" t="s">
        <v>317</v>
      </c>
      <c r="H432" s="10" t="s">
        <v>772</v>
      </c>
      <c r="I432" s="10" t="s">
        <v>773</v>
      </c>
      <c r="J432" s="27" t="s">
        <v>996</v>
      </c>
      <c r="K432" s="15" t="s">
        <v>777</v>
      </c>
      <c r="L432" s="14" t="s">
        <v>771</v>
      </c>
      <c r="M432" s="14" t="s">
        <v>771</v>
      </c>
      <c r="N432" s="30" t="s">
        <v>3041</v>
      </c>
      <c r="O432" s="27" t="s">
        <v>3210</v>
      </c>
      <c r="P432" s="80">
        <v>1712</v>
      </c>
      <c r="Q432" s="80">
        <v>592</v>
      </c>
      <c r="R432" s="27" t="s">
        <v>2995</v>
      </c>
      <c r="S432" s="31" t="s">
        <v>2989</v>
      </c>
      <c r="T432" s="10" t="s">
        <v>771</v>
      </c>
      <c r="U432" s="10" t="s">
        <v>771</v>
      </c>
      <c r="V432" s="10" t="s">
        <v>771</v>
      </c>
      <c r="W432" s="10"/>
      <c r="X432" s="27" t="s">
        <v>2987</v>
      </c>
      <c r="Y432" s="27" t="s">
        <v>2988</v>
      </c>
      <c r="Z432" s="80">
        <v>1233</v>
      </c>
      <c r="AA432" s="27">
        <v>7</v>
      </c>
      <c r="AB432" s="80">
        <v>728137</v>
      </c>
      <c r="AC432" s="27">
        <v>1</v>
      </c>
      <c r="AD432" s="27" t="s">
        <v>3925</v>
      </c>
      <c r="AE432" s="27">
        <v>611109758</v>
      </c>
      <c r="AF432" s="27" t="s">
        <v>6410</v>
      </c>
      <c r="AG432" s="27"/>
      <c r="AH432" s="79">
        <v>0.87199434229137196</v>
      </c>
      <c r="AI432" s="83">
        <v>0.87322946175637395</v>
      </c>
      <c r="AJ432" s="80">
        <v>168.79755102040801</v>
      </c>
      <c r="AK432" s="80">
        <v>85.816326530612201</v>
      </c>
      <c r="AL432" s="27">
        <v>1</v>
      </c>
      <c r="AM432" s="97">
        <f>SUM(AL432/Z432)</f>
        <v>8.110300081103001E-4</v>
      </c>
      <c r="AN432" s="27" t="s">
        <v>2987</v>
      </c>
      <c r="AO432" s="27">
        <v>3</v>
      </c>
      <c r="AP432" s="27">
        <v>3</v>
      </c>
      <c r="AQ432" s="27">
        <v>0</v>
      </c>
      <c r="AR432" s="27">
        <f>SUM(AO432:AQ432)</f>
        <v>6</v>
      </c>
      <c r="AS432" s="27" t="s">
        <v>5234</v>
      </c>
      <c r="AT432" s="27" t="s">
        <v>5235</v>
      </c>
      <c r="AU432" s="84"/>
      <c r="AV432" s="77"/>
      <c r="AW432" s="77"/>
      <c r="AX432" s="77"/>
      <c r="AY432" s="77"/>
      <c r="AZ432" s="77"/>
      <c r="BA432" s="77"/>
      <c r="BB432" s="77"/>
      <c r="BC432" s="77"/>
      <c r="BD432" s="77"/>
      <c r="BE432" s="77"/>
      <c r="BF432" s="77"/>
      <c r="BG432" s="77"/>
      <c r="BH432" s="77"/>
      <c r="BI432" s="77"/>
      <c r="BJ432" s="77"/>
      <c r="BK432" s="77"/>
      <c r="BL432" s="77"/>
      <c r="BM432" s="77"/>
      <c r="BN432" s="71"/>
      <c r="BO432" s="71"/>
      <c r="BP432" s="71"/>
      <c r="BQ432" s="77"/>
      <c r="BR432" s="77"/>
      <c r="BS432" s="77"/>
      <c r="BT432" s="77"/>
      <c r="BU432" s="77"/>
      <c r="BV432" s="77"/>
      <c r="BW432" s="77"/>
      <c r="BX432" s="77"/>
      <c r="BY432" s="77"/>
      <c r="BZ432" s="77"/>
      <c r="CA432" s="77"/>
      <c r="CB432" s="77"/>
      <c r="CC432" s="77"/>
      <c r="CD432" s="77"/>
      <c r="CE432" s="77"/>
      <c r="CF432" s="77"/>
      <c r="CG432" s="77"/>
      <c r="CH432" s="77"/>
      <c r="CI432" s="77"/>
      <c r="CJ432" s="77"/>
      <c r="CK432" s="77"/>
      <c r="CL432" s="77"/>
      <c r="CM432" s="77"/>
      <c r="CN432" s="77"/>
      <c r="CO432" s="77"/>
      <c r="CP432" s="77"/>
      <c r="CQ432" s="77"/>
      <c r="CR432" s="77"/>
      <c r="CS432" s="77"/>
      <c r="CT432" s="77"/>
      <c r="CU432" s="77"/>
      <c r="CV432" s="77"/>
      <c r="CW432" s="77"/>
      <c r="CX432" s="77"/>
      <c r="CY432" s="77"/>
      <c r="CZ432" s="77"/>
      <c r="DA432" s="77"/>
      <c r="DB432" s="77"/>
      <c r="DC432" s="77"/>
      <c r="DD432" s="77"/>
      <c r="DE432" s="77"/>
      <c r="DF432" s="77"/>
      <c r="DG432" s="77"/>
      <c r="DH432" s="77"/>
      <c r="DI432" s="77"/>
      <c r="DJ432" s="77"/>
      <c r="DK432" s="77"/>
      <c r="DL432" s="77"/>
      <c r="DM432" s="77"/>
      <c r="DN432" s="77"/>
      <c r="DO432" s="77"/>
      <c r="DP432" s="77"/>
      <c r="DQ432" s="77"/>
      <c r="DR432" s="77"/>
      <c r="DS432" s="77"/>
      <c r="DT432" s="77"/>
      <c r="DU432" s="77"/>
      <c r="DV432" s="77"/>
      <c r="DW432" s="77"/>
      <c r="DX432" s="77"/>
      <c r="DY432" s="77"/>
      <c r="DZ432" s="77"/>
      <c r="EA432" s="77"/>
      <c r="EB432" s="77"/>
      <c r="EC432" s="77"/>
      <c r="ED432" s="77"/>
      <c r="EE432" s="77"/>
      <c r="EF432" s="77"/>
      <c r="EG432" s="77"/>
      <c r="EH432" s="77"/>
      <c r="EI432" s="77"/>
      <c r="EJ432" s="77"/>
      <c r="EK432" s="77"/>
      <c r="EL432" s="77"/>
      <c r="EM432" s="77"/>
      <c r="EN432" s="77"/>
      <c r="EO432" s="77"/>
      <c r="EP432" s="77"/>
      <c r="ER432" s="77"/>
      <c r="ES432" s="77"/>
      <c r="ET432" s="77"/>
      <c r="EU432" s="77"/>
      <c r="EV432" s="77"/>
      <c r="EW432" s="77"/>
      <c r="EX432" s="77"/>
      <c r="EY432" s="77"/>
      <c r="EZ432" s="77"/>
      <c r="FA432" s="77"/>
      <c r="FB432" s="77"/>
      <c r="FC432" s="77"/>
      <c r="FD432" s="77"/>
      <c r="FE432" s="77"/>
      <c r="FF432" s="77"/>
      <c r="FG432" s="77"/>
      <c r="FH432" s="77"/>
      <c r="FI432" s="77"/>
      <c r="FJ432" s="77"/>
      <c r="FK432" s="77"/>
      <c r="FL432" s="77"/>
      <c r="FM432" s="77"/>
      <c r="FN432" s="77"/>
      <c r="FO432" s="77"/>
      <c r="FP432" s="77"/>
      <c r="FQ432" s="77"/>
      <c r="FR432" s="77"/>
      <c r="FS432" s="77"/>
      <c r="FT432" s="77"/>
      <c r="FU432" s="77"/>
      <c r="FV432" s="77"/>
      <c r="FW432" s="77"/>
      <c r="FX432" s="77"/>
      <c r="FY432" s="77"/>
      <c r="FZ432" s="77"/>
      <c r="GA432" s="77"/>
      <c r="GB432" s="77"/>
      <c r="GC432" s="77"/>
      <c r="GD432" s="77"/>
      <c r="GE432" s="77"/>
      <c r="GF432" s="77"/>
      <c r="GG432" s="77"/>
      <c r="GH432" s="77"/>
      <c r="GI432" s="77"/>
      <c r="GJ432" s="77"/>
      <c r="GK432" s="77"/>
      <c r="GL432" s="77"/>
      <c r="GM432" s="77"/>
      <c r="GN432" s="77"/>
      <c r="GO432" s="77"/>
      <c r="GP432" s="77"/>
      <c r="GQ432" s="77"/>
      <c r="GR432" s="77"/>
      <c r="GS432" s="77"/>
      <c r="GT432" s="77"/>
      <c r="GU432" s="77"/>
      <c r="GV432" s="77"/>
      <c r="GW432" s="77"/>
      <c r="GX432" s="77"/>
      <c r="GY432" s="77"/>
      <c r="GZ432" s="77"/>
      <c r="HA432" s="77"/>
      <c r="HB432" s="77"/>
      <c r="HC432" s="77"/>
      <c r="HD432" s="77"/>
      <c r="HE432" s="77"/>
      <c r="HF432" s="77"/>
      <c r="HG432" s="77"/>
      <c r="HH432" s="77"/>
      <c r="HI432" s="77"/>
      <c r="HJ432" s="77"/>
      <c r="HK432" s="77"/>
      <c r="HL432" s="77"/>
      <c r="HM432" s="77"/>
      <c r="HN432" s="77"/>
      <c r="HO432" s="77"/>
      <c r="HP432" s="77"/>
      <c r="HQ432" s="77"/>
      <c r="HR432" s="77"/>
      <c r="HS432" s="77"/>
      <c r="HT432" s="77"/>
      <c r="HU432" s="77"/>
      <c r="HV432" s="77"/>
      <c r="HW432" s="77"/>
      <c r="HX432" s="77"/>
      <c r="HY432" s="77"/>
      <c r="HZ432" s="77"/>
      <c r="IA432" s="77"/>
      <c r="IB432" s="77"/>
      <c r="IC432" s="77"/>
      <c r="ID432" s="77"/>
      <c r="IE432" s="77"/>
      <c r="JY432" s="77"/>
      <c r="JZ432" s="77"/>
      <c r="KA432" s="77"/>
      <c r="KB432" s="77"/>
      <c r="KC432" s="77"/>
      <c r="KD432" s="77"/>
      <c r="KE432" s="77"/>
      <c r="KF432" s="77"/>
      <c r="KG432" s="77"/>
      <c r="KH432" s="77"/>
      <c r="KI432" s="77"/>
      <c r="KJ432" s="77"/>
      <c r="KK432" s="77"/>
      <c r="KL432" s="77"/>
      <c r="KM432" s="77"/>
      <c r="KN432" s="77"/>
      <c r="KO432" s="77"/>
      <c r="KP432" s="77"/>
      <c r="KQ432" s="77"/>
      <c r="KR432" s="77"/>
      <c r="KS432" s="77"/>
      <c r="KT432" s="77"/>
      <c r="KU432" s="77"/>
      <c r="KV432" s="77"/>
      <c r="KW432" s="77"/>
      <c r="KX432" s="77"/>
      <c r="KY432" s="77"/>
      <c r="KZ432" s="77"/>
      <c r="LA432" s="77"/>
      <c r="LB432" s="77"/>
      <c r="LC432" s="77"/>
      <c r="LD432" s="77"/>
      <c r="LE432" s="77"/>
      <c r="LF432" s="77"/>
      <c r="LG432" s="77"/>
      <c r="LH432" s="77"/>
      <c r="LI432" s="77"/>
      <c r="LJ432" s="77"/>
      <c r="LK432" s="77"/>
      <c r="LL432" s="77"/>
      <c r="LM432" s="77"/>
      <c r="LN432" s="77"/>
      <c r="LO432" s="77"/>
      <c r="LP432" s="77"/>
      <c r="LQ432" s="77"/>
      <c r="LR432" s="77"/>
      <c r="LS432" s="77"/>
      <c r="LT432" s="77"/>
      <c r="LU432" s="77"/>
      <c r="LV432" s="77"/>
      <c r="LW432" s="77"/>
      <c r="LX432" s="77"/>
    </row>
    <row r="433" spans="1:421" ht="18.600000000000001" customHeight="1" x14ac:dyDescent="0.25">
      <c r="A433" s="119" t="s">
        <v>2335</v>
      </c>
      <c r="B433" s="27" t="s">
        <v>2336</v>
      </c>
      <c r="C433" s="27" t="s">
        <v>4522</v>
      </c>
      <c r="D433" s="30" t="str">
        <f>HYPERLINK("https://twitter.com/TheBankova","https://twitter.com/TheBankova")</f>
        <v>https://twitter.com/TheBankova</v>
      </c>
      <c r="E433" s="30" t="str">
        <f>HYPERLINK("http://twiplomacy.com/info/europe/Ukraine","http://twiplomacy.com/info/europe/Ukraine")</f>
        <v>http://twiplomacy.com/info/europe/Ukraine</v>
      </c>
      <c r="F433" s="10" t="s">
        <v>332</v>
      </c>
      <c r="G433" s="10" t="s">
        <v>543</v>
      </c>
      <c r="H433" s="10" t="s">
        <v>781</v>
      </c>
      <c r="I433" s="10" t="s">
        <v>782</v>
      </c>
      <c r="J433" s="27" t="s">
        <v>789</v>
      </c>
      <c r="K433" s="15" t="s">
        <v>777</v>
      </c>
      <c r="L433" s="10" t="s">
        <v>771</v>
      </c>
      <c r="M433" s="10" t="s">
        <v>770</v>
      </c>
      <c r="N433" s="30" t="s">
        <v>3092</v>
      </c>
      <c r="O433" s="27" t="s">
        <v>3209</v>
      </c>
      <c r="P433" s="80">
        <v>280</v>
      </c>
      <c r="Q433" s="80">
        <v>113</v>
      </c>
      <c r="R433" s="27" t="s">
        <v>2994</v>
      </c>
      <c r="S433" s="12" t="s">
        <v>3098</v>
      </c>
      <c r="T433" s="10" t="s">
        <v>771</v>
      </c>
      <c r="U433" s="10" t="s">
        <v>771</v>
      </c>
      <c r="V433" s="10" t="s">
        <v>771</v>
      </c>
      <c r="W433" s="20"/>
      <c r="X433" s="27" t="s">
        <v>2335</v>
      </c>
      <c r="Y433" s="27" t="s">
        <v>2336</v>
      </c>
      <c r="Z433" s="80">
        <v>1232</v>
      </c>
      <c r="AA433" s="27">
        <v>282</v>
      </c>
      <c r="AB433" s="80">
        <v>2789</v>
      </c>
      <c r="AC433" s="27">
        <v>0</v>
      </c>
      <c r="AD433" s="27" t="s">
        <v>4523</v>
      </c>
      <c r="AE433" s="27">
        <v>3307072595</v>
      </c>
      <c r="AF433" s="27" t="s">
        <v>4522</v>
      </c>
      <c r="AG433" s="27" t="s">
        <v>2311</v>
      </c>
      <c r="AH433" s="79">
        <v>3.68862275449102</v>
      </c>
      <c r="AI433" s="83">
        <v>3.6996996996996998</v>
      </c>
      <c r="AJ433" s="80">
        <v>15.909780775716699</v>
      </c>
      <c r="AK433" s="80">
        <v>5.0151770657672898</v>
      </c>
      <c r="AL433" s="27">
        <v>14</v>
      </c>
      <c r="AM433" s="97">
        <f>SUM(AL433/Z433)</f>
        <v>1.1363636363636364E-2</v>
      </c>
      <c r="AN433" s="27" t="s">
        <v>2335</v>
      </c>
      <c r="AO433" s="27">
        <v>53</v>
      </c>
      <c r="AP433" s="27">
        <v>3</v>
      </c>
      <c r="AQ433" s="27">
        <v>7</v>
      </c>
      <c r="AR433" s="27">
        <f>SUM(AO433:AQ433)</f>
        <v>63</v>
      </c>
      <c r="AS433" s="27" t="s">
        <v>5516</v>
      </c>
      <c r="AT433" s="27" t="s">
        <v>6865</v>
      </c>
      <c r="AU433" s="84" t="s">
        <v>4967</v>
      </c>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16"/>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HL433" s="77"/>
      <c r="HM433" s="77"/>
      <c r="HN433" s="77"/>
      <c r="HO433" s="77"/>
      <c r="HP433" s="77"/>
      <c r="HQ433" s="77"/>
      <c r="HR433" s="77"/>
      <c r="HS433" s="77"/>
      <c r="HT433" s="77"/>
      <c r="HU433" s="77"/>
      <c r="HV433" s="77"/>
      <c r="HW433" s="77"/>
      <c r="HX433" s="77"/>
      <c r="HY433" s="77"/>
      <c r="HZ433" s="77"/>
      <c r="IA433" s="77"/>
      <c r="IB433" s="77"/>
      <c r="IC433" s="77"/>
      <c r="ID433" s="77"/>
      <c r="IE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row>
    <row r="434" spans="1:421" ht="18.600000000000001" customHeight="1" x14ac:dyDescent="0.25">
      <c r="A434" s="119" t="s">
        <v>468</v>
      </c>
      <c r="B434" s="27" t="s">
        <v>2074</v>
      </c>
      <c r="C434" s="27" t="s">
        <v>2075</v>
      </c>
      <c r="D434" s="30" t="str">
        <f>HYPERLINK("https://twitter.com/Khtweets","https://twitter.com/koninklijkhuis")</f>
        <v>https://twitter.com/koninklijkhuis</v>
      </c>
      <c r="E434" s="30" t="str">
        <f>HYPERLINK("http://twiplomacy.com/info/europe/Netherlands","http://twiplomacy.com/info/europe/Netherlands")</f>
        <v>http://twiplomacy.com/info/europe/Netherlands</v>
      </c>
      <c r="F434" s="10" t="s">
        <v>332</v>
      </c>
      <c r="G434" s="10" t="s">
        <v>467</v>
      </c>
      <c r="H434" s="10" t="s">
        <v>2076</v>
      </c>
      <c r="I434" s="10" t="s">
        <v>782</v>
      </c>
      <c r="J434" s="27" t="s">
        <v>789</v>
      </c>
      <c r="K434" s="15" t="s">
        <v>777</v>
      </c>
      <c r="L434" s="10" t="s">
        <v>771</v>
      </c>
      <c r="M434" s="10" t="s">
        <v>770</v>
      </c>
      <c r="N434" s="30" t="str">
        <f>HYPERLINK("https://twitter.com/koninklijkhuis/statuses/25481715212","https://twitter.com/koninklijkhuis/statuses/25481715212")</f>
        <v>https://twitter.com/koninklijkhuis/statuses/25481715212</v>
      </c>
      <c r="O434" s="27" t="s">
        <v>5904</v>
      </c>
      <c r="P434" s="80">
        <v>1068</v>
      </c>
      <c r="Q434" s="80">
        <v>58</v>
      </c>
      <c r="R434" s="27" t="s">
        <v>2994</v>
      </c>
      <c r="S434" s="10" t="s">
        <v>2077</v>
      </c>
      <c r="T434" s="10" t="s">
        <v>771</v>
      </c>
      <c r="U434" s="10" t="s">
        <v>771</v>
      </c>
      <c r="V434" s="10" t="s">
        <v>771</v>
      </c>
      <c r="W434" s="10"/>
      <c r="X434" s="27" t="s">
        <v>468</v>
      </c>
      <c r="Y434" s="27" t="s">
        <v>2074</v>
      </c>
      <c r="Z434" s="80">
        <v>1230</v>
      </c>
      <c r="AA434" s="27">
        <v>0</v>
      </c>
      <c r="AB434" s="80">
        <v>183732</v>
      </c>
      <c r="AC434" s="27">
        <v>0</v>
      </c>
      <c r="AD434" s="27" t="s">
        <v>3946</v>
      </c>
      <c r="AE434" s="27">
        <v>156926956</v>
      </c>
      <c r="AF434" s="27" t="s">
        <v>2075</v>
      </c>
      <c r="AG434" s="27" t="s">
        <v>2078</v>
      </c>
      <c r="AH434" s="79">
        <v>0.57342657342657299</v>
      </c>
      <c r="AI434" s="83">
        <v>0.59647404505386903</v>
      </c>
      <c r="AJ434" s="80">
        <v>33.500941619585703</v>
      </c>
      <c r="AK434" s="80">
        <v>20.2683615819209</v>
      </c>
      <c r="AL434" s="27">
        <v>6</v>
      </c>
      <c r="AM434" s="97">
        <f>SUM(AL434/Z434)</f>
        <v>4.8780487804878049E-3</v>
      </c>
      <c r="AN434" s="27" t="s">
        <v>468</v>
      </c>
      <c r="AO434" s="27">
        <v>0</v>
      </c>
      <c r="AP434" s="27">
        <v>9</v>
      </c>
      <c r="AQ434" s="27">
        <v>0</v>
      </c>
      <c r="AR434" s="27">
        <f>SUM(AO434:AQ434)</f>
        <v>9</v>
      </c>
      <c r="AS434" s="27"/>
      <c r="AT434" s="27" t="s">
        <v>6768</v>
      </c>
      <c r="AU434" s="84"/>
      <c r="AV434" s="77"/>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c r="EC434" s="77"/>
      <c r="ED434" s="77"/>
      <c r="EE434" s="77"/>
      <c r="EF434" s="77"/>
      <c r="EG434" s="77"/>
      <c r="EH434" s="77"/>
      <c r="EI434" s="77"/>
      <c r="EJ434" s="77"/>
      <c r="EK434" s="77"/>
      <c r="EL434" s="77"/>
      <c r="EP434" s="77"/>
      <c r="EQ434" s="77"/>
      <c r="ER434" s="77"/>
      <c r="ES434" s="77"/>
      <c r="ET434" s="77"/>
      <c r="EU434" s="77"/>
      <c r="EV434" s="77"/>
      <c r="EW434" s="77"/>
      <c r="EX434" s="77"/>
      <c r="EY434" s="77"/>
      <c r="EZ434" s="77"/>
      <c r="FA434" s="77"/>
      <c r="FB434" s="77"/>
      <c r="FC434" s="77"/>
      <c r="FD434" s="77"/>
      <c r="FE434" s="77"/>
      <c r="FF434" s="77"/>
      <c r="FG434" s="77"/>
      <c r="FH434" s="77"/>
      <c r="FI434" s="77"/>
      <c r="FJ434" s="77"/>
      <c r="FK434" s="77"/>
      <c r="FL434" s="77"/>
      <c r="FM434" s="77"/>
      <c r="FN434" s="77"/>
      <c r="FO434" s="77"/>
      <c r="FP434" s="77"/>
      <c r="FQ434" s="77"/>
      <c r="FR434" s="77"/>
      <c r="FS434" s="77"/>
      <c r="FT434" s="77"/>
      <c r="FU434" s="77"/>
      <c r="FV434" s="77"/>
      <c r="FW434" s="77"/>
      <c r="FX434" s="77"/>
      <c r="FY434" s="77"/>
      <c r="FZ434" s="77"/>
      <c r="GA434" s="77"/>
      <c r="GB434" s="77"/>
      <c r="GC434" s="77"/>
      <c r="GD434" s="77"/>
      <c r="GE434" s="77"/>
      <c r="GF434" s="77"/>
      <c r="GG434" s="77"/>
      <c r="GH434" s="77"/>
      <c r="GI434" s="77"/>
      <c r="GJ434" s="77"/>
      <c r="GK434" s="77"/>
      <c r="ID434" s="77"/>
      <c r="IE434" s="77"/>
      <c r="KM434" s="77"/>
      <c r="KN434" s="77"/>
      <c r="KO434" s="77"/>
      <c r="KP434" s="77"/>
      <c r="KQ434" s="77"/>
      <c r="KR434" s="77"/>
      <c r="KS434" s="77"/>
      <c r="KT434" s="77"/>
      <c r="KU434" s="77"/>
      <c r="KV434" s="77"/>
      <c r="KW434" s="77"/>
      <c r="KX434" s="77"/>
      <c r="KY434" s="77"/>
      <c r="KZ434" s="77"/>
      <c r="LA434" s="77"/>
      <c r="LB434" s="77"/>
      <c r="LC434" s="77"/>
      <c r="LD434" s="77"/>
      <c r="LE434" s="77"/>
      <c r="LF434" s="77"/>
      <c r="LG434" s="77"/>
      <c r="LH434" s="77"/>
      <c r="LI434" s="77"/>
      <c r="LJ434" s="77"/>
      <c r="LK434" s="77"/>
      <c r="LL434" s="77"/>
      <c r="LM434" s="77"/>
      <c r="LN434" s="77"/>
      <c r="LO434" s="77"/>
      <c r="LP434" s="77"/>
      <c r="LQ434" s="77"/>
      <c r="LR434" s="77"/>
      <c r="LS434" s="77"/>
      <c r="LT434" s="77"/>
      <c r="LU434" s="77"/>
      <c r="LV434" s="77"/>
      <c r="LW434" s="16"/>
      <c r="LX434" s="16"/>
      <c r="LY434" s="77"/>
      <c r="LZ434" s="77"/>
      <c r="MA434" s="77"/>
      <c r="MB434" s="77"/>
      <c r="MC434" s="77"/>
      <c r="MD434" s="77"/>
      <c r="ME434" s="77"/>
      <c r="MF434" s="77"/>
      <c r="MG434" s="77"/>
      <c r="MH434" s="77"/>
      <c r="MI434" s="77"/>
      <c r="MJ434" s="77"/>
      <c r="MK434" s="77"/>
      <c r="ML434" s="77"/>
      <c r="MM434" s="77"/>
      <c r="MN434" s="77"/>
      <c r="MO434" s="77"/>
      <c r="MP434" s="77"/>
      <c r="MQ434" s="77"/>
      <c r="MR434" s="77"/>
      <c r="NE434" s="77"/>
      <c r="NF434" s="77"/>
      <c r="NG434" s="77"/>
      <c r="NH434" s="77"/>
      <c r="NI434" s="77"/>
      <c r="NJ434" s="77"/>
      <c r="NK434" s="77"/>
      <c r="NL434" s="77"/>
      <c r="NM434" s="77"/>
      <c r="NN434" s="77"/>
      <c r="NO434" s="77"/>
      <c r="NP434" s="77"/>
      <c r="NQ434" s="77"/>
      <c r="NR434" s="77"/>
      <c r="NS434" s="77"/>
      <c r="NT434" s="77"/>
      <c r="NU434" s="77"/>
      <c r="NV434" s="77"/>
      <c r="NW434" s="77"/>
      <c r="NX434" s="77"/>
      <c r="NY434" s="77"/>
      <c r="NZ434" s="77"/>
      <c r="OA434" s="77"/>
      <c r="OB434" s="77"/>
      <c r="OC434" s="77"/>
      <c r="OD434" s="77"/>
      <c r="OE434" s="77"/>
      <c r="OF434" s="77"/>
      <c r="OG434" s="77"/>
      <c r="OH434" s="77"/>
      <c r="OI434" s="77"/>
      <c r="OJ434" s="77"/>
      <c r="OK434" s="77"/>
      <c r="OL434" s="77"/>
      <c r="OM434" s="77"/>
      <c r="ON434" s="77"/>
      <c r="OO434" s="77"/>
      <c r="OP434" s="77"/>
      <c r="OQ434" s="77"/>
      <c r="OR434" s="77"/>
      <c r="OS434" s="77"/>
      <c r="OT434" s="77"/>
      <c r="OU434" s="77"/>
      <c r="OV434" s="77"/>
      <c r="OW434" s="77"/>
      <c r="OX434" s="77"/>
      <c r="OY434" s="77"/>
      <c r="OZ434" s="77"/>
      <c r="PA434" s="77"/>
      <c r="PB434" s="77"/>
      <c r="PC434" s="77"/>
      <c r="PD434" s="77"/>
      <c r="PE434" s="77"/>
    </row>
    <row r="435" spans="1:421" ht="18.600000000000001" customHeight="1" x14ac:dyDescent="0.25">
      <c r="A435" s="119" t="s">
        <v>1242</v>
      </c>
      <c r="B435" s="27" t="s">
        <v>4254</v>
      </c>
      <c r="C435" s="27"/>
      <c r="D435" s="30" t="str">
        <f>HYPERLINK("https://twitter.com/PMBhutan","https://twitter.com/PMBhutan")</f>
        <v>https://twitter.com/PMBhutan</v>
      </c>
      <c r="E435" s="30" t="s">
        <v>1243</v>
      </c>
      <c r="F435" s="10" t="s">
        <v>154</v>
      </c>
      <c r="G435" s="10" t="s">
        <v>171</v>
      </c>
      <c r="H435" s="10" t="s">
        <v>776</v>
      </c>
      <c r="I435" s="10" t="s">
        <v>782</v>
      </c>
      <c r="J435" s="27" t="s">
        <v>789</v>
      </c>
      <c r="K435" s="15" t="s">
        <v>777</v>
      </c>
      <c r="L435" s="10" t="s">
        <v>771</v>
      </c>
      <c r="M435" s="10" t="s">
        <v>770</v>
      </c>
      <c r="N435" s="30" t="str">
        <f>HYPERLINK("https://twitter.com/PMBhutan/status/534268108567887874","https://twitter.com/PMBhutan/status/534268108567887874")</f>
        <v>https://twitter.com/PMBhutan/status/534268108567887874</v>
      </c>
      <c r="O435" s="27" t="s">
        <v>6012</v>
      </c>
      <c r="P435" s="80">
        <v>140</v>
      </c>
      <c r="Q435" s="80">
        <v>406</v>
      </c>
      <c r="R435" s="27" t="s">
        <v>2995</v>
      </c>
      <c r="S435" s="30" t="str">
        <f>HYPERLINK("https://twitter.com/PMBhutan/lists","https://twitter.com/PMBhutan/lists")</f>
        <v>https://twitter.com/PMBhutan/lists</v>
      </c>
      <c r="T435" s="10" t="s">
        <v>771</v>
      </c>
      <c r="U435" s="10" t="s">
        <v>771</v>
      </c>
      <c r="V435" s="10" t="s">
        <v>771</v>
      </c>
      <c r="W435" s="10"/>
      <c r="X435" s="27" t="s">
        <v>1242</v>
      </c>
      <c r="Y435" s="27" t="s">
        <v>4254</v>
      </c>
      <c r="Z435" s="80">
        <v>1220</v>
      </c>
      <c r="AA435" s="27">
        <v>49</v>
      </c>
      <c r="AB435" s="80">
        <v>2177</v>
      </c>
      <c r="AC435" s="27">
        <v>62</v>
      </c>
      <c r="AD435" s="27" t="s">
        <v>4255</v>
      </c>
      <c r="AE435" s="27">
        <v>2902507831</v>
      </c>
      <c r="AF435" s="27"/>
      <c r="AG435" s="27"/>
      <c r="AH435" s="79">
        <v>2.2932330827067702</v>
      </c>
      <c r="AI435" s="83">
        <v>2.2975517890772101</v>
      </c>
      <c r="AJ435" s="80">
        <v>1.1911894273127801</v>
      </c>
      <c r="AK435" s="80">
        <v>2.5207048458149801</v>
      </c>
      <c r="AL435" s="27">
        <v>62</v>
      </c>
      <c r="AM435" s="97">
        <f>SUM(AL435/Z435)</f>
        <v>5.0819672131147541E-2</v>
      </c>
      <c r="AN435" s="27" t="s">
        <v>1242</v>
      </c>
      <c r="AO435" s="27">
        <v>3</v>
      </c>
      <c r="AP435" s="27">
        <v>3</v>
      </c>
      <c r="AQ435" s="27">
        <v>1</v>
      </c>
      <c r="AR435" s="27">
        <f>SUM(AO435:AQ435)</f>
        <v>7</v>
      </c>
      <c r="AS435" s="27" t="s">
        <v>5391</v>
      </c>
      <c r="AT435" s="27" t="s">
        <v>6816</v>
      </c>
      <c r="AU435" s="84" t="s">
        <v>172</v>
      </c>
      <c r="AV435" s="77"/>
      <c r="AW435" s="77"/>
      <c r="AX435" s="77"/>
      <c r="AY435" s="77"/>
      <c r="AZ435" s="77"/>
      <c r="BA435" s="77"/>
      <c r="BB435" s="77"/>
      <c r="BC435" s="77"/>
      <c r="BD435" s="77"/>
      <c r="BE435" s="77"/>
      <c r="BF435" s="77"/>
      <c r="BG435" s="77"/>
      <c r="BH435" s="77"/>
      <c r="BI435" s="77"/>
      <c r="BJ435" s="77"/>
      <c r="BK435" s="77"/>
      <c r="BL435" s="77"/>
      <c r="BN435" s="77"/>
      <c r="BO435" s="77"/>
      <c r="BP435" s="77"/>
      <c r="BQ435" s="77"/>
      <c r="BR435" s="77"/>
      <c r="BS435" s="77"/>
      <c r="BT435" s="77"/>
      <c r="BU435" s="77"/>
      <c r="BV435" s="77"/>
      <c r="BW435" s="77"/>
      <c r="BX435" s="77"/>
      <c r="BY435" s="77"/>
      <c r="BZ435" s="77"/>
      <c r="CA435" s="77"/>
      <c r="CB435" s="77"/>
      <c r="CC435" s="77"/>
      <c r="CD435" s="77"/>
      <c r="CE435" s="77"/>
      <c r="CF435" s="77"/>
      <c r="CG435" s="77"/>
      <c r="CH435" s="77"/>
      <c r="CI435" s="77"/>
      <c r="CJ435" s="77"/>
      <c r="CK435" s="77"/>
      <c r="CL435" s="77"/>
      <c r="CM435" s="77"/>
      <c r="CN435" s="77"/>
      <c r="CO435" s="77"/>
      <c r="CP435" s="77"/>
      <c r="CQ435" s="77"/>
      <c r="CR435" s="77"/>
      <c r="CS435" s="77"/>
      <c r="CT435" s="77"/>
      <c r="CU435" s="77"/>
      <c r="CV435" s="77"/>
      <c r="CW435" s="77"/>
      <c r="EM435" s="77"/>
      <c r="EN435" s="77"/>
      <c r="EO435" s="77"/>
      <c r="EP435" s="77"/>
      <c r="EQ435" s="77"/>
      <c r="ER435" s="77"/>
      <c r="ES435" s="77"/>
      <c r="ET435" s="77"/>
      <c r="EU435" s="77"/>
      <c r="EV435" s="77"/>
      <c r="EW435" s="77"/>
      <c r="EX435" s="77"/>
      <c r="EY435" s="77"/>
      <c r="EZ435" s="77"/>
      <c r="FA435" s="77"/>
      <c r="FB435" s="77"/>
      <c r="FC435" s="77"/>
      <c r="FD435" s="77"/>
      <c r="FE435" s="77"/>
      <c r="FF435" s="77"/>
      <c r="FG435" s="77"/>
      <c r="FH435" s="77"/>
      <c r="FI435" s="77"/>
      <c r="FJ435" s="77"/>
      <c r="FK435" s="77"/>
      <c r="FL435" s="77"/>
      <c r="FM435" s="77"/>
      <c r="FN435" s="77"/>
      <c r="FO435" s="77"/>
      <c r="FP435" s="77"/>
      <c r="FQ435" s="77"/>
      <c r="FR435" s="77"/>
      <c r="FS435" s="77"/>
      <c r="FT435" s="77"/>
      <c r="FU435" s="77"/>
      <c r="FV435" s="77"/>
      <c r="FW435" s="77"/>
      <c r="FX435" s="77"/>
      <c r="FY435" s="77"/>
      <c r="FZ435" s="77"/>
      <c r="GA435" s="77"/>
      <c r="GB435" s="77"/>
      <c r="GC435" s="77"/>
      <c r="GD435" s="77"/>
      <c r="GE435" s="77"/>
      <c r="GF435" s="77"/>
      <c r="GG435" s="77"/>
      <c r="GH435" s="77"/>
      <c r="GI435" s="77"/>
      <c r="GJ435" s="77"/>
      <c r="GK435" s="77"/>
      <c r="GL435" s="77"/>
      <c r="GM435" s="77"/>
      <c r="GN435" s="77"/>
      <c r="GO435" s="77"/>
      <c r="GP435" s="77"/>
      <c r="GQ435" s="77"/>
      <c r="GR435" s="77"/>
      <c r="GS435" s="77"/>
      <c r="GT435" s="77"/>
      <c r="GU435" s="77"/>
      <c r="GV435" s="77"/>
      <c r="GW435" s="77"/>
      <c r="GX435" s="77"/>
      <c r="GY435" s="77"/>
      <c r="GZ435" s="77"/>
      <c r="HA435" s="77"/>
      <c r="HB435" s="77"/>
      <c r="HC435" s="77"/>
      <c r="HD435" s="77"/>
      <c r="HE435" s="77"/>
      <c r="HF435" s="77"/>
      <c r="HG435" s="77"/>
      <c r="HH435" s="77"/>
      <c r="HI435" s="77"/>
      <c r="HJ435" s="77"/>
      <c r="HK435" s="77"/>
      <c r="HL435" s="77"/>
      <c r="HM435" s="77"/>
      <c r="HN435" s="77"/>
      <c r="HO435" s="77"/>
      <c r="HP435" s="77"/>
      <c r="HQ435" s="77"/>
      <c r="HR435" s="77"/>
      <c r="HS435" s="77"/>
      <c r="HT435" s="77"/>
      <c r="HU435" s="77"/>
      <c r="HV435" s="77"/>
      <c r="HW435" s="77"/>
      <c r="HX435" s="77"/>
      <c r="HY435" s="77"/>
      <c r="HZ435" s="77"/>
      <c r="IA435" s="77"/>
      <c r="IB435" s="77"/>
      <c r="IC435" s="77"/>
      <c r="ID435" s="77"/>
      <c r="IE435" s="77"/>
      <c r="JY435" s="77"/>
      <c r="JZ435" s="77"/>
      <c r="KA435" s="77"/>
      <c r="KB435" s="77"/>
      <c r="KC435" s="77"/>
      <c r="KD435" s="77"/>
      <c r="KE435" s="77"/>
      <c r="KF435" s="77"/>
      <c r="KG435" s="77"/>
      <c r="KH435" s="77"/>
      <c r="KI435" s="77"/>
      <c r="KJ435" s="77"/>
      <c r="KK435" s="77"/>
      <c r="KL435" s="77"/>
      <c r="LL435" s="77"/>
      <c r="LM435" s="77"/>
      <c r="LN435" s="77"/>
      <c r="LO435" s="77"/>
      <c r="LP435" s="77"/>
      <c r="LQ435" s="77"/>
      <c r="LR435" s="77"/>
      <c r="LS435" s="77"/>
      <c r="LT435" s="77"/>
      <c r="LU435" s="77"/>
      <c r="LV435" s="77"/>
      <c r="LW435" s="77"/>
      <c r="LX435" s="77"/>
    </row>
    <row r="436" spans="1:421" ht="18.600000000000001" customHeight="1" x14ac:dyDescent="0.25">
      <c r="A436" s="119" t="s">
        <v>357</v>
      </c>
      <c r="B436" s="27" t="s">
        <v>1759</v>
      </c>
      <c r="C436" s="27" t="s">
        <v>1760</v>
      </c>
      <c r="D436" s="30" t="str">
        <f>HYPERLINK("https://twitter.com/MFABulgaria","https://twitter.com/MFABulgaria")</f>
        <v>https://twitter.com/MFABulgaria</v>
      </c>
      <c r="E436" s="30" t="str">
        <f>HYPERLINK("http://twiplomacy.com/info/europe/Bulgaria","http://twiplomacy.com/info/europe/Bulgaria")</f>
        <v>http://twiplomacy.com/info/europe/Bulgaria</v>
      </c>
      <c r="F436" s="10" t="s">
        <v>332</v>
      </c>
      <c r="G436" s="10" t="s">
        <v>353</v>
      </c>
      <c r="H436" s="10" t="s">
        <v>795</v>
      </c>
      <c r="I436" s="10" t="s">
        <v>782</v>
      </c>
      <c r="J436" s="27" t="s">
        <v>789</v>
      </c>
      <c r="K436" s="10" t="s">
        <v>777</v>
      </c>
      <c r="L436" s="10" t="s">
        <v>771</v>
      </c>
      <c r="M436" s="10" t="s">
        <v>771</v>
      </c>
      <c r="N436" s="30" t="str">
        <f>HYPERLINK("https://twitter.com/MFABulgaria/statuses/12387053762","https://twitter.com/MFABulgaria/statuses/12387053762")</f>
        <v>https://twitter.com/MFABulgaria/statuses/12387053762</v>
      </c>
      <c r="O436" s="27" t="s">
        <v>1761</v>
      </c>
      <c r="P436" s="80">
        <v>108</v>
      </c>
      <c r="Q436" s="80">
        <v>58</v>
      </c>
      <c r="R436" s="27" t="s">
        <v>2994</v>
      </c>
      <c r="S436" s="10" t="s">
        <v>1762</v>
      </c>
      <c r="T436" s="10" t="s">
        <v>771</v>
      </c>
      <c r="U436" s="10" t="s">
        <v>771</v>
      </c>
      <c r="V436" s="10" t="s">
        <v>771</v>
      </c>
      <c r="W436" s="10"/>
      <c r="X436" s="27" t="s">
        <v>357</v>
      </c>
      <c r="Y436" s="27" t="s">
        <v>1759</v>
      </c>
      <c r="Z436" s="80">
        <v>1219</v>
      </c>
      <c r="AA436" s="27">
        <v>268</v>
      </c>
      <c r="AB436" s="80">
        <v>8670</v>
      </c>
      <c r="AC436" s="27">
        <v>45</v>
      </c>
      <c r="AD436" s="27" t="s">
        <v>4068</v>
      </c>
      <c r="AE436" s="27">
        <v>133272363</v>
      </c>
      <c r="AF436" s="27" t="s">
        <v>1760</v>
      </c>
      <c r="AG436" s="27" t="s">
        <v>1763</v>
      </c>
      <c r="AH436" s="79">
        <v>0.55183340878225395</v>
      </c>
      <c r="AI436" s="83">
        <v>0.55409090909090897</v>
      </c>
      <c r="AJ436" s="80">
        <v>1.1998292058069999</v>
      </c>
      <c r="AK436" s="80">
        <v>0.63620836891545696</v>
      </c>
      <c r="AL436" s="27">
        <v>21</v>
      </c>
      <c r="AM436" s="97">
        <f>SUM(AL436/Z436)</f>
        <v>1.7227235438884332E-2</v>
      </c>
      <c r="AN436" s="27" t="s">
        <v>357</v>
      </c>
      <c r="AO436" s="27">
        <v>33</v>
      </c>
      <c r="AP436" s="27">
        <v>28</v>
      </c>
      <c r="AQ436" s="27">
        <v>59</v>
      </c>
      <c r="AR436" s="27">
        <f>SUM(AO436:AQ436)</f>
        <v>120</v>
      </c>
      <c r="AS436" s="27" t="s">
        <v>6232</v>
      </c>
      <c r="AT436" s="27" t="s">
        <v>5299</v>
      </c>
      <c r="AU436" s="84" t="s">
        <v>6171</v>
      </c>
      <c r="AV436" s="77"/>
      <c r="AW436" s="77"/>
      <c r="AX436" s="77"/>
      <c r="AY436" s="77"/>
      <c r="AZ436" s="77"/>
      <c r="BA436" s="77"/>
      <c r="BB436" s="77"/>
      <c r="BC436" s="77"/>
      <c r="BD436" s="77"/>
      <c r="BE436" s="77"/>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EM436" s="77"/>
      <c r="EN436" s="77"/>
      <c r="EO436" s="77"/>
      <c r="EP436" s="77"/>
      <c r="EQ436" s="77"/>
      <c r="ID436" s="77"/>
      <c r="IE436" s="77"/>
      <c r="IF436" s="77"/>
      <c r="IG436" s="77"/>
      <c r="IH436" s="77"/>
      <c r="II436" s="77"/>
      <c r="IJ436" s="77"/>
      <c r="IK436" s="77"/>
      <c r="IL436" s="77"/>
      <c r="IM436" s="77"/>
      <c r="IN436" s="77"/>
      <c r="IO436" s="77"/>
      <c r="IP436" s="77"/>
      <c r="IQ436" s="77"/>
      <c r="IR436" s="77"/>
      <c r="IS436" s="77"/>
      <c r="IT436" s="77"/>
      <c r="IU436" s="77"/>
      <c r="IV436" s="77"/>
      <c r="IW436" s="77"/>
      <c r="IX436" s="77"/>
      <c r="IY436" s="77"/>
      <c r="IZ436" s="77"/>
      <c r="JA436" s="77"/>
      <c r="JB436" s="77"/>
      <c r="JC436" s="77"/>
      <c r="JD436" s="77"/>
      <c r="JE436" s="77"/>
      <c r="JF436" s="77"/>
      <c r="JG436" s="77"/>
      <c r="JH436" s="77"/>
      <c r="JI436" s="77"/>
      <c r="JJ436" s="77"/>
      <c r="JK436" s="77"/>
      <c r="JL436" s="77"/>
      <c r="JM436" s="77"/>
      <c r="JN436" s="77"/>
      <c r="JO436" s="77"/>
      <c r="JP436" s="77"/>
      <c r="JQ436" s="77"/>
      <c r="JR436" s="77"/>
      <c r="JS436" s="77"/>
      <c r="JT436" s="77"/>
      <c r="JU436" s="77"/>
      <c r="JV436" s="77"/>
      <c r="JW436" s="77"/>
      <c r="JX436" s="77"/>
      <c r="LW436" s="77"/>
      <c r="LX436" s="77"/>
      <c r="LY436" s="77"/>
      <c r="LZ436" s="77"/>
      <c r="MA436" s="77"/>
      <c r="MB436" s="77"/>
      <c r="MC436" s="77"/>
      <c r="MD436" s="77"/>
      <c r="ME436" s="77"/>
      <c r="MF436" s="77"/>
      <c r="MG436" s="77"/>
      <c r="MH436" s="77"/>
      <c r="MI436" s="77"/>
      <c r="MJ436" s="77"/>
      <c r="MK436" s="77"/>
      <c r="ML436" s="77"/>
      <c r="MM436" s="77"/>
      <c r="MN436" s="77"/>
      <c r="MO436" s="77"/>
      <c r="MP436" s="77"/>
      <c r="MQ436" s="77"/>
      <c r="MR436" s="77"/>
    </row>
    <row r="437" spans="1:421" ht="18.600000000000001" customHeight="1" x14ac:dyDescent="0.25">
      <c r="A437" s="119" t="s">
        <v>214</v>
      </c>
      <c r="B437" s="27" t="s">
        <v>2832</v>
      </c>
      <c r="C437" s="27" t="s">
        <v>6366</v>
      </c>
      <c r="D437" s="30" t="str">
        <f>HYPERLINK("https://twitter.com/AbeShinzo","https://twitter.com/AbeShinzo")</f>
        <v>https://twitter.com/AbeShinzo</v>
      </c>
      <c r="E437" s="30" t="str">
        <f>HYPERLINK("http://twiplomacy.com/info/asia/japan/","http://twiplomacy.com/info/asia/japan/")</f>
        <v>http://twiplomacy.com/info/asia/japan/</v>
      </c>
      <c r="F437" s="10" t="s">
        <v>154</v>
      </c>
      <c r="G437" s="10" t="s">
        <v>213</v>
      </c>
      <c r="H437" s="10" t="s">
        <v>776</v>
      </c>
      <c r="I437" s="10" t="s">
        <v>773</v>
      </c>
      <c r="J437" s="27" t="s">
        <v>1382</v>
      </c>
      <c r="K437" s="15" t="s">
        <v>777</v>
      </c>
      <c r="L437" s="10" t="s">
        <v>771</v>
      </c>
      <c r="M437" s="10" t="s">
        <v>771</v>
      </c>
      <c r="N437" s="30" t="str">
        <f>HYPERLINK("https://twitter.com/AbeShinzo/statuses/170454779317854208","https://twitter.com/AbeShinzo/statuses/170454779317854208")</f>
        <v>https://twitter.com/AbeShinzo/statuses/170454779317854208</v>
      </c>
      <c r="O437" s="27" t="s">
        <v>5668</v>
      </c>
      <c r="P437" s="80">
        <v>15965</v>
      </c>
      <c r="Q437" s="80">
        <v>5521</v>
      </c>
      <c r="R437" s="27" t="s">
        <v>2994</v>
      </c>
      <c r="S437" s="10" t="s">
        <v>2833</v>
      </c>
      <c r="T437" s="10" t="s">
        <v>771</v>
      </c>
      <c r="U437" s="10" t="s">
        <v>771</v>
      </c>
      <c r="V437" s="10" t="s">
        <v>771</v>
      </c>
      <c r="W437" s="10"/>
      <c r="X437" s="27" t="s">
        <v>214</v>
      </c>
      <c r="Y437" s="27" t="s">
        <v>2832</v>
      </c>
      <c r="Z437" s="80">
        <v>1205</v>
      </c>
      <c r="AA437" s="27">
        <v>13</v>
      </c>
      <c r="AB437" s="80">
        <v>595241</v>
      </c>
      <c r="AC437" s="27">
        <v>0</v>
      </c>
      <c r="AD437" s="27" t="s">
        <v>3425</v>
      </c>
      <c r="AE437" s="27">
        <v>468122115</v>
      </c>
      <c r="AF437" s="27" t="s">
        <v>6366</v>
      </c>
      <c r="AG437" s="27"/>
      <c r="AH437" s="79">
        <v>0.76996805111821098</v>
      </c>
      <c r="AI437" s="83">
        <v>0.79328505595786702</v>
      </c>
      <c r="AJ437" s="80">
        <v>440.330536912752</v>
      </c>
      <c r="AK437" s="80">
        <v>326.380033557047</v>
      </c>
      <c r="AL437" s="96">
        <v>28</v>
      </c>
      <c r="AM437" s="97">
        <f>SUM(AL437/Z437)</f>
        <v>2.3236514522821577E-2</v>
      </c>
      <c r="AN437" s="27" t="s">
        <v>214</v>
      </c>
      <c r="AO437" s="27">
        <v>4</v>
      </c>
      <c r="AP437" s="27">
        <v>36</v>
      </c>
      <c r="AQ437" s="27">
        <v>4</v>
      </c>
      <c r="AR437" s="27">
        <f>SUM(AO437:AQ437)</f>
        <v>44</v>
      </c>
      <c r="AS437" s="27" t="s">
        <v>4999</v>
      </c>
      <c r="AT437" s="27" t="s">
        <v>6668</v>
      </c>
      <c r="AU437" s="84" t="s">
        <v>6465</v>
      </c>
      <c r="AV437" s="77"/>
      <c r="AW437" s="77"/>
      <c r="AX437" s="77"/>
      <c r="AY437" s="77"/>
      <c r="AZ437" s="77"/>
      <c r="BA437" s="77"/>
      <c r="BB437" s="77"/>
      <c r="BC437" s="77"/>
      <c r="BD437" s="77"/>
      <c r="BE437" s="77"/>
      <c r="BF437" s="77"/>
      <c r="BG437" s="77"/>
      <c r="BH437" s="77"/>
      <c r="BI437" s="77"/>
      <c r="BJ437" s="77"/>
      <c r="BK437" s="77"/>
      <c r="BL437" s="77"/>
      <c r="BM437" s="77"/>
      <c r="BN437" s="77"/>
      <c r="BO437" s="77"/>
      <c r="BP437" s="77"/>
      <c r="BQ437" s="77"/>
      <c r="BR437" s="77"/>
      <c r="BS437" s="77"/>
      <c r="BT437" s="77"/>
      <c r="BU437" s="77"/>
      <c r="BV437" s="77"/>
      <c r="BW437" s="77"/>
      <c r="BX437" s="77"/>
      <c r="BY437" s="77"/>
      <c r="BZ437" s="77"/>
      <c r="CA437" s="77"/>
      <c r="CB437" s="77"/>
      <c r="CC437" s="77"/>
      <c r="CD437" s="77"/>
      <c r="CE437" s="77"/>
      <c r="CF437" s="77"/>
      <c r="CG437" s="77"/>
      <c r="CH437" s="77"/>
      <c r="CI437" s="77"/>
      <c r="CJ437" s="77"/>
      <c r="CK437" s="77"/>
      <c r="CL437" s="77"/>
      <c r="CM437" s="77"/>
      <c r="CN437" s="77"/>
      <c r="CO437" s="77"/>
      <c r="CP437" s="77"/>
      <c r="CQ437" s="77"/>
      <c r="CR437" s="77"/>
      <c r="CS437" s="77"/>
      <c r="CT437" s="77"/>
      <c r="CU437" s="77"/>
      <c r="CV437" s="77"/>
      <c r="CW437" s="77"/>
      <c r="CX437" s="77"/>
      <c r="CY437" s="77"/>
      <c r="CZ437" s="77"/>
      <c r="DA437" s="77"/>
      <c r="DB437" s="77"/>
      <c r="DC437" s="77"/>
      <c r="DD437" s="77"/>
      <c r="DE437" s="77"/>
      <c r="DF437" s="77"/>
      <c r="DG437" s="77"/>
      <c r="DH437" s="77"/>
      <c r="DI437" s="77"/>
      <c r="DJ437" s="77"/>
      <c r="DK437" s="77"/>
      <c r="DL437" s="77"/>
      <c r="DM437" s="77"/>
      <c r="DN437" s="77"/>
      <c r="DO437" s="77"/>
      <c r="DP437" s="77"/>
      <c r="DQ437" s="77"/>
      <c r="DR437" s="77"/>
      <c r="DS437" s="77"/>
      <c r="DT437" s="77"/>
      <c r="DU437" s="77"/>
      <c r="DV437" s="77"/>
      <c r="DW437" s="77"/>
      <c r="DX437" s="77"/>
      <c r="DY437" s="77"/>
      <c r="DZ437" s="77"/>
      <c r="EA437" s="77"/>
      <c r="EB437" s="77"/>
      <c r="EC437" s="77"/>
      <c r="ED437" s="77"/>
      <c r="EE437" s="77"/>
      <c r="EF437" s="77"/>
      <c r="EG437" s="77"/>
      <c r="EH437" s="77"/>
      <c r="EI437" s="77"/>
      <c r="EJ437" s="77"/>
      <c r="EK437" s="77"/>
      <c r="EL437" s="77"/>
      <c r="EM437" s="77"/>
      <c r="EN437" s="77"/>
      <c r="EO437" s="77"/>
      <c r="EQ437" s="77"/>
      <c r="ER437" s="77"/>
      <c r="ES437" s="77"/>
      <c r="ET437" s="77"/>
      <c r="EU437" s="77"/>
      <c r="EV437" s="77"/>
      <c r="EW437" s="77"/>
      <c r="EX437" s="77"/>
      <c r="EY437" s="77"/>
      <c r="EZ437" s="77"/>
      <c r="FA437" s="77"/>
      <c r="FB437" s="77"/>
      <c r="FC437" s="77"/>
      <c r="FD437" s="77"/>
      <c r="FE437" s="77"/>
      <c r="FF437" s="77"/>
      <c r="FG437" s="77"/>
      <c r="FH437" s="77"/>
      <c r="FI437" s="77"/>
      <c r="FJ437" s="77"/>
      <c r="FK437" s="77"/>
      <c r="FL437" s="77"/>
      <c r="FM437" s="77"/>
      <c r="FN437" s="77"/>
      <c r="FO437" s="77"/>
      <c r="FP437" s="77"/>
      <c r="FQ437" s="77"/>
      <c r="FR437" s="77"/>
      <c r="FS437" s="77"/>
      <c r="FT437" s="77"/>
      <c r="FU437" s="77"/>
      <c r="FV437" s="77"/>
      <c r="FW437" s="77"/>
      <c r="FX437" s="77"/>
      <c r="FY437" s="77"/>
      <c r="FZ437" s="77"/>
      <c r="GA437" s="77"/>
      <c r="GB437" s="77"/>
      <c r="GC437" s="77"/>
      <c r="GD437" s="77"/>
      <c r="GE437" s="77"/>
      <c r="GF437" s="77"/>
      <c r="GG437" s="77"/>
      <c r="GH437" s="77"/>
      <c r="GI437" s="77"/>
      <c r="GJ437" s="77"/>
      <c r="GK437" s="77"/>
      <c r="GL437" s="77"/>
      <c r="GM437" s="77"/>
      <c r="GN437" s="77"/>
      <c r="GO437" s="77"/>
      <c r="GP437" s="77"/>
      <c r="GQ437" s="77"/>
      <c r="GR437" s="77"/>
      <c r="GS437" s="77"/>
      <c r="GT437" s="77"/>
      <c r="GU437" s="77"/>
      <c r="GV437" s="77"/>
      <c r="GW437" s="77"/>
      <c r="GX437" s="77"/>
      <c r="GY437" s="77"/>
      <c r="GZ437" s="77"/>
      <c r="HA437" s="77"/>
      <c r="HB437" s="77"/>
      <c r="HC437" s="77"/>
      <c r="HD437" s="77"/>
      <c r="HE437" s="77"/>
      <c r="HF437" s="77"/>
      <c r="HG437" s="77"/>
      <c r="HH437" s="77"/>
      <c r="HI437" s="77"/>
      <c r="HJ437" s="77"/>
      <c r="HK437" s="77"/>
      <c r="HL437" s="77"/>
      <c r="HM437" s="77"/>
      <c r="HN437" s="77"/>
      <c r="HO437" s="77"/>
      <c r="HP437" s="77"/>
      <c r="HQ437" s="77"/>
      <c r="HR437" s="77"/>
      <c r="HS437" s="77"/>
      <c r="HT437" s="77"/>
      <c r="HU437" s="77"/>
      <c r="HV437" s="77"/>
      <c r="HW437" s="77"/>
      <c r="HX437" s="77"/>
      <c r="HY437" s="77"/>
      <c r="HZ437" s="77"/>
      <c r="IA437" s="77"/>
      <c r="IB437" s="77"/>
      <c r="IC437" s="77"/>
      <c r="ID437" s="77"/>
      <c r="IE437" s="77"/>
      <c r="IF437" s="77"/>
      <c r="IG437" s="77"/>
      <c r="IH437" s="77"/>
      <c r="II437" s="77"/>
      <c r="IJ437" s="77"/>
      <c r="IK437" s="77"/>
      <c r="IL437" s="77"/>
      <c r="IM437" s="77"/>
      <c r="IN437" s="77"/>
      <c r="IO437" s="77"/>
      <c r="IP437" s="77"/>
      <c r="IQ437" s="77"/>
      <c r="IR437" s="77"/>
      <c r="IS437" s="77"/>
      <c r="IT437" s="77"/>
      <c r="IU437" s="77"/>
      <c r="IV437" s="77"/>
      <c r="IW437" s="77"/>
      <c r="IX437" s="77"/>
      <c r="IY437" s="77"/>
      <c r="IZ437" s="77"/>
      <c r="JA437" s="77"/>
      <c r="JB437" s="77"/>
      <c r="JC437" s="77"/>
      <c r="JD437" s="77"/>
      <c r="JE437" s="77"/>
      <c r="JF437" s="77"/>
      <c r="JG437" s="77"/>
      <c r="JH437" s="77"/>
      <c r="JI437" s="77"/>
      <c r="JJ437" s="77"/>
      <c r="JK437" s="77"/>
      <c r="JL437" s="77"/>
      <c r="JM437" s="77"/>
      <c r="JN437" s="77"/>
      <c r="JO437" s="77"/>
      <c r="JP437" s="77"/>
      <c r="JQ437" s="77"/>
      <c r="JR437" s="77"/>
      <c r="JS437" s="77"/>
      <c r="JT437" s="77"/>
      <c r="JU437" s="77"/>
      <c r="JV437" s="77"/>
      <c r="JW437" s="77"/>
      <c r="JX437" s="77"/>
      <c r="JY437" s="77"/>
      <c r="JZ437" s="77"/>
      <c r="KA437" s="77"/>
      <c r="KB437" s="77"/>
      <c r="KC437" s="77"/>
      <c r="KD437" s="77"/>
      <c r="KE437" s="77"/>
      <c r="KF437" s="77"/>
      <c r="KG437" s="77"/>
      <c r="KH437" s="77"/>
      <c r="KI437" s="77"/>
      <c r="KJ437" s="77"/>
      <c r="KK437" s="77"/>
      <c r="KL437" s="77"/>
      <c r="KM437" s="77"/>
      <c r="KN437" s="77"/>
      <c r="KO437" s="77"/>
      <c r="KP437" s="77"/>
      <c r="KQ437" s="77"/>
      <c r="KR437" s="77"/>
      <c r="KS437" s="77"/>
      <c r="KT437" s="77"/>
      <c r="KU437" s="77"/>
      <c r="KV437" s="77"/>
      <c r="KW437" s="77"/>
      <c r="KX437" s="77"/>
      <c r="KY437" s="77"/>
      <c r="KZ437" s="77"/>
      <c r="LA437" s="77"/>
      <c r="LB437" s="77"/>
      <c r="LC437" s="77"/>
      <c r="LD437" s="77"/>
      <c r="LE437" s="77"/>
      <c r="LF437" s="77"/>
      <c r="LG437" s="77"/>
      <c r="LH437" s="77"/>
      <c r="LI437" s="77"/>
      <c r="LJ437" s="77"/>
      <c r="LK437" s="77"/>
      <c r="LW437" s="77"/>
      <c r="LX437" s="77"/>
      <c r="LY437" s="77"/>
      <c r="LZ437" s="77"/>
      <c r="MA437" s="77"/>
      <c r="MB437" s="77"/>
      <c r="MC437" s="77"/>
      <c r="MD437" s="77"/>
      <c r="ME437" s="77"/>
      <c r="MF437" s="77"/>
      <c r="MG437" s="77"/>
      <c r="MH437" s="77"/>
      <c r="MI437" s="77"/>
      <c r="MJ437" s="77"/>
      <c r="MK437" s="77"/>
      <c r="ML437" s="77"/>
      <c r="MM437" s="77"/>
      <c r="MN437" s="77"/>
      <c r="MO437" s="77"/>
      <c r="MP437" s="77"/>
      <c r="MQ437" s="77"/>
      <c r="MR437" s="77"/>
    </row>
    <row r="438" spans="1:421" ht="18.600000000000001" customHeight="1" x14ac:dyDescent="0.25">
      <c r="A438" s="119" t="s">
        <v>499</v>
      </c>
      <c r="B438" s="27" t="s">
        <v>2145</v>
      </c>
      <c r="C438" s="27" t="s">
        <v>2146</v>
      </c>
      <c r="D438" s="30" t="str">
        <f>HYPERLINK("https://twitter.com/MedvedevRussia","https://twitter.com/MedvedevRussia")</f>
        <v>https://twitter.com/MedvedevRussia</v>
      </c>
      <c r="E438" s="30" t="str">
        <f>HYPERLINK("http://twiplomacy.com/info/europe/Russia","http://twiplomacy.com/info/europe/Russia")</f>
        <v>http://twiplomacy.com/info/europe/Russia</v>
      </c>
      <c r="F438" s="10" t="s">
        <v>332</v>
      </c>
      <c r="G438" s="10" t="s">
        <v>496</v>
      </c>
      <c r="H438" s="10" t="s">
        <v>776</v>
      </c>
      <c r="I438" s="10" t="s">
        <v>773</v>
      </c>
      <c r="J438" s="27" t="s">
        <v>1420</v>
      </c>
      <c r="K438" s="15" t="s">
        <v>777</v>
      </c>
      <c r="L438" s="10" t="s">
        <v>1020</v>
      </c>
      <c r="M438" s="10" t="s">
        <v>771</v>
      </c>
      <c r="N438" s="30" t="str">
        <f>HYPERLINK("https://twitter.com/MedvedevRussia/statuses/16863556707","https://twitter.com/MedvedevRussia/statuses/16863556707")</f>
        <v>https://twitter.com/MedvedevRussia/statuses/16863556707</v>
      </c>
      <c r="O438" s="27" t="s">
        <v>5933</v>
      </c>
      <c r="P438" s="80">
        <v>4485</v>
      </c>
      <c r="Q438" s="80">
        <v>630</v>
      </c>
      <c r="R438" s="27" t="s">
        <v>2994</v>
      </c>
      <c r="S438" s="10" t="s">
        <v>2147</v>
      </c>
      <c r="T438" s="10" t="s">
        <v>771</v>
      </c>
      <c r="U438" s="10" t="s">
        <v>771</v>
      </c>
      <c r="V438" s="10" t="s">
        <v>771</v>
      </c>
      <c r="W438" s="10"/>
      <c r="X438" s="27" t="s">
        <v>499</v>
      </c>
      <c r="Y438" s="27" t="s">
        <v>2145</v>
      </c>
      <c r="Z438" s="80">
        <v>1165</v>
      </c>
      <c r="AA438" s="27">
        <v>60</v>
      </c>
      <c r="AB438" s="80">
        <v>4921106</v>
      </c>
      <c r="AC438" s="27">
        <v>0</v>
      </c>
      <c r="AD438" s="27" t="s">
        <v>4046</v>
      </c>
      <c r="AE438" s="27">
        <v>153812887</v>
      </c>
      <c r="AF438" s="27" t="s">
        <v>2146</v>
      </c>
      <c r="AG438" s="27" t="s">
        <v>2148</v>
      </c>
      <c r="AH438" s="79">
        <v>0.54085422469823596</v>
      </c>
      <c r="AI438" s="83">
        <v>0.54464703132304804</v>
      </c>
      <c r="AJ438" s="80">
        <v>281.59773371104802</v>
      </c>
      <c r="AK438" s="80">
        <v>138.32483474976399</v>
      </c>
      <c r="AL438" s="27">
        <v>28</v>
      </c>
      <c r="AM438" s="97">
        <f>SUM(AL438/Z438)</f>
        <v>2.4034334763948499E-2</v>
      </c>
      <c r="AN438" s="27" t="s">
        <v>499</v>
      </c>
      <c r="AO438" s="27">
        <v>2</v>
      </c>
      <c r="AP438" s="27">
        <v>24</v>
      </c>
      <c r="AQ438" s="27">
        <v>6</v>
      </c>
      <c r="AR438" s="27">
        <f>SUM(AO438:AQ438)</f>
        <v>32</v>
      </c>
      <c r="AS438" s="27" t="s">
        <v>5288</v>
      </c>
      <c r="AT438" s="27" t="s">
        <v>5612</v>
      </c>
      <c r="AU438" s="84" t="s">
        <v>4835</v>
      </c>
      <c r="AV438" s="77"/>
      <c r="AW438" s="77"/>
      <c r="AX438" s="77"/>
      <c r="AY438" s="77"/>
      <c r="AZ438" s="77"/>
      <c r="BA438" s="77"/>
      <c r="BB438" s="77"/>
      <c r="BC438" s="77"/>
      <c r="BD438" s="77"/>
      <c r="BE438" s="77"/>
      <c r="BF438" s="77"/>
      <c r="BG438" s="77"/>
      <c r="BH438" s="77"/>
      <c r="BI438" s="77"/>
      <c r="BJ438" s="77"/>
      <c r="BK438" s="77"/>
      <c r="BL438" s="77"/>
      <c r="BM438" s="77"/>
      <c r="BN438" s="77"/>
      <c r="BO438" s="77"/>
      <c r="BP438" s="77"/>
      <c r="CC438" s="77"/>
      <c r="CD438" s="77"/>
      <c r="CE438" s="77"/>
      <c r="CF438" s="77"/>
      <c r="CG438" s="77"/>
      <c r="CH438" s="77"/>
      <c r="CI438" s="77"/>
      <c r="CJ438" s="77"/>
      <c r="CK438" s="77"/>
      <c r="CL438" s="77"/>
      <c r="CM438" s="77"/>
      <c r="CN438" s="77"/>
      <c r="CO438" s="77"/>
      <c r="CP438" s="77"/>
      <c r="CQ438" s="77"/>
      <c r="CR438" s="77"/>
      <c r="CS438" s="77"/>
      <c r="CT438" s="77"/>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c r="DS438" s="77"/>
      <c r="DT438" s="77"/>
      <c r="DU438" s="77"/>
      <c r="DV438" s="77"/>
      <c r="DW438" s="77"/>
      <c r="DX438" s="77"/>
      <c r="DY438" s="77"/>
      <c r="DZ438" s="77"/>
      <c r="EA438" s="77"/>
      <c r="EB438" s="77"/>
      <c r="EC438" s="77"/>
      <c r="ED438" s="77"/>
      <c r="EE438" s="77"/>
      <c r="EF438" s="77"/>
      <c r="EG438" s="77"/>
      <c r="EH438" s="77"/>
      <c r="EI438" s="77"/>
      <c r="EJ438" s="77"/>
      <c r="EK438" s="77"/>
      <c r="EL438" s="77"/>
      <c r="EM438" s="77"/>
      <c r="EN438" s="77"/>
      <c r="EO438" s="77"/>
      <c r="EP438" s="77"/>
      <c r="ER438" s="77"/>
      <c r="ES438" s="77"/>
      <c r="ET438" s="77"/>
      <c r="EU438" s="77"/>
      <c r="EV438" s="77"/>
      <c r="EW438" s="77"/>
      <c r="EX438" s="77"/>
      <c r="EY438" s="77"/>
      <c r="EZ438" s="77"/>
      <c r="FA438" s="77"/>
      <c r="FB438" s="77"/>
      <c r="FC438" s="77"/>
      <c r="FD438" s="77"/>
      <c r="FE438" s="77"/>
      <c r="FF438" s="77"/>
      <c r="FG438" s="77"/>
      <c r="FH438" s="77"/>
      <c r="FI438" s="77"/>
      <c r="FJ438" s="77"/>
      <c r="FK438" s="77"/>
      <c r="FL438" s="77"/>
      <c r="FM438" s="77"/>
      <c r="FN438" s="77"/>
      <c r="FO438" s="77"/>
      <c r="FP438" s="77"/>
      <c r="FQ438" s="77"/>
      <c r="FR438" s="77"/>
      <c r="FS438" s="77"/>
      <c r="FT438" s="77"/>
      <c r="FU438" s="77"/>
      <c r="FV438" s="77"/>
      <c r="FW438" s="77"/>
      <c r="FX438" s="77"/>
      <c r="FY438" s="77"/>
      <c r="FZ438" s="77"/>
      <c r="GA438" s="77"/>
      <c r="GB438" s="77"/>
      <c r="GC438" s="77"/>
      <c r="GD438" s="77"/>
      <c r="GE438" s="77"/>
      <c r="GF438" s="77"/>
      <c r="GG438" s="77"/>
      <c r="GH438" s="77"/>
      <c r="GI438" s="77"/>
      <c r="GJ438" s="77"/>
      <c r="GK438" s="77"/>
      <c r="ID438" s="77"/>
      <c r="IE438" s="77"/>
      <c r="IF438" s="77"/>
      <c r="IG438" s="77"/>
      <c r="IH438" s="77"/>
      <c r="II438" s="77"/>
      <c r="IJ438" s="77"/>
      <c r="IK438" s="77"/>
      <c r="IL438" s="77"/>
      <c r="IM438" s="77"/>
      <c r="IN438" s="77"/>
      <c r="IO438" s="77"/>
      <c r="IP438" s="77"/>
      <c r="IQ438" s="77"/>
      <c r="IR438" s="77"/>
      <c r="IS438" s="77"/>
      <c r="IT438" s="77"/>
      <c r="IU438" s="77"/>
      <c r="IV438" s="77"/>
      <c r="IW438" s="77"/>
      <c r="IX438" s="77"/>
      <c r="IY438" s="77"/>
      <c r="IZ438" s="77"/>
      <c r="JA438" s="77"/>
      <c r="JB438" s="77"/>
      <c r="JC438" s="77"/>
      <c r="JD438" s="77"/>
      <c r="JE438" s="77"/>
      <c r="JF438" s="77"/>
      <c r="JG438" s="77"/>
      <c r="JH438" s="77"/>
      <c r="JI438" s="77"/>
      <c r="JJ438" s="77"/>
      <c r="JK438" s="77"/>
      <c r="JL438" s="77"/>
      <c r="JM438" s="77"/>
      <c r="JN438" s="77"/>
      <c r="JO438" s="77"/>
      <c r="JP438" s="77"/>
      <c r="JQ438" s="77"/>
      <c r="JR438" s="77"/>
      <c r="JS438" s="77"/>
      <c r="JT438" s="77"/>
      <c r="JU438" s="77"/>
      <c r="JV438" s="77"/>
      <c r="JW438" s="77"/>
      <c r="JX438" s="77"/>
      <c r="JY438" s="77"/>
      <c r="JZ438" s="77"/>
      <c r="KA438" s="77"/>
      <c r="KB438" s="77"/>
      <c r="KC438" s="77"/>
      <c r="KD438" s="77"/>
      <c r="KE438" s="77"/>
      <c r="KF438" s="77"/>
      <c r="KG438" s="77"/>
      <c r="KH438" s="77"/>
      <c r="KI438" s="77"/>
      <c r="KJ438" s="77"/>
      <c r="KK438" s="77"/>
      <c r="KL438" s="77"/>
      <c r="KM438" s="77"/>
      <c r="KN438" s="77"/>
      <c r="KO438" s="77"/>
      <c r="KP438" s="77"/>
      <c r="KQ438" s="77"/>
      <c r="KR438" s="77"/>
      <c r="KS438" s="77"/>
      <c r="KT438" s="77"/>
      <c r="KU438" s="77"/>
      <c r="KV438" s="77"/>
      <c r="KW438" s="77"/>
      <c r="KX438" s="77"/>
      <c r="KY438" s="77"/>
      <c r="KZ438" s="77"/>
      <c r="LA438" s="77"/>
      <c r="LB438" s="77"/>
      <c r="LC438" s="77"/>
      <c r="LD438" s="77"/>
      <c r="LE438" s="77"/>
      <c r="LF438" s="77"/>
      <c r="LG438" s="77"/>
      <c r="LH438" s="77"/>
      <c r="LI438" s="77"/>
      <c r="LJ438" s="77"/>
      <c r="LK438" s="77"/>
      <c r="MS438" s="16"/>
    </row>
    <row r="439" spans="1:421" ht="18.600000000000001" customHeight="1" x14ac:dyDescent="0.25">
      <c r="A439" s="119" t="s">
        <v>1177</v>
      </c>
      <c r="B439" s="27" t="s">
        <v>3434</v>
      </c>
      <c r="C439" s="27" t="s">
        <v>3435</v>
      </c>
      <c r="D439" s="30" t="str">
        <f>HYPERLINK("https://twitter.com/afgexecutive","https://twitter.com/afgexecutive")</f>
        <v>https://twitter.com/afgexecutive</v>
      </c>
      <c r="E439" s="30" t="str">
        <f>HYPERLINK("http://twiplomacy.com/info/asia/Afghanistan","http://twiplomacy.com/info/asia/Afghanistan")</f>
        <v>http://twiplomacy.com/info/asia/Afghanistan</v>
      </c>
      <c r="F439" s="10" t="s">
        <v>154</v>
      </c>
      <c r="G439" s="10" t="s">
        <v>153</v>
      </c>
      <c r="H439" s="10" t="s">
        <v>1178</v>
      </c>
      <c r="I439" s="10" t="s">
        <v>782</v>
      </c>
      <c r="J439" s="27" t="s">
        <v>789</v>
      </c>
      <c r="K439" s="10" t="s">
        <v>777</v>
      </c>
      <c r="L439" s="42" t="s">
        <v>771</v>
      </c>
      <c r="M439" s="42" t="s">
        <v>770</v>
      </c>
      <c r="N439" s="30" t="s">
        <v>3110</v>
      </c>
      <c r="O439" s="27" t="s">
        <v>5674</v>
      </c>
      <c r="P439" s="80">
        <v>143</v>
      </c>
      <c r="Q439" s="80">
        <v>134</v>
      </c>
      <c r="R439" s="27" t="s">
        <v>2994</v>
      </c>
      <c r="S439" s="30" t="str">
        <f>HYPERLINK("https://twitter.com/DrAAbdullah/lists","https://twitter.com/afgexecutive/lists")</f>
        <v>https://twitter.com/afgexecutive/lists</v>
      </c>
      <c r="T439" s="10" t="s">
        <v>771</v>
      </c>
      <c r="U439" s="10" t="s">
        <v>771</v>
      </c>
      <c r="V439" s="10" t="s">
        <v>771</v>
      </c>
      <c r="W439" s="10"/>
      <c r="X439" s="27" t="s">
        <v>1177</v>
      </c>
      <c r="Y439" s="27" t="s">
        <v>3434</v>
      </c>
      <c r="Z439" s="80">
        <v>1155</v>
      </c>
      <c r="AA439" s="27">
        <v>13</v>
      </c>
      <c r="AB439" s="80">
        <v>27071</v>
      </c>
      <c r="AC439" s="27">
        <v>25</v>
      </c>
      <c r="AD439" s="27" t="s">
        <v>3436</v>
      </c>
      <c r="AE439" s="27">
        <v>2870463431</v>
      </c>
      <c r="AF439" s="27" t="s">
        <v>3435</v>
      </c>
      <c r="AG439" s="27" t="s">
        <v>1175</v>
      </c>
      <c r="AH439" s="79">
        <v>2.1428571428571401</v>
      </c>
      <c r="AI439" s="83">
        <v>2.14684014869888</v>
      </c>
      <c r="AJ439" s="80">
        <v>4.6305506216696299</v>
      </c>
      <c r="AK439" s="80">
        <v>9.1980461811722893</v>
      </c>
      <c r="AL439" s="96">
        <v>9</v>
      </c>
      <c r="AM439" s="97">
        <f>SUM(AL439/Z439)</f>
        <v>7.7922077922077922E-3</v>
      </c>
      <c r="AN439" s="27" t="s">
        <v>1177</v>
      </c>
      <c r="AO439" s="27">
        <v>0</v>
      </c>
      <c r="AP439" s="27">
        <v>3</v>
      </c>
      <c r="AQ439" s="27">
        <v>0</v>
      </c>
      <c r="AR439" s="27">
        <f>SUM(AO439:AQ439)</f>
        <v>3</v>
      </c>
      <c r="AS439" s="27"/>
      <c r="AT439" s="27" t="s">
        <v>5006</v>
      </c>
      <c r="AU439" s="84"/>
      <c r="AV439" s="77"/>
      <c r="AW439" s="77"/>
      <c r="AX439" s="77"/>
      <c r="AY439" s="77"/>
      <c r="AZ439" s="77"/>
      <c r="BA439" s="77"/>
      <c r="BB439" s="77"/>
      <c r="BC439" s="77"/>
      <c r="BD439" s="77"/>
      <c r="BE439" s="77"/>
      <c r="BF439" s="77"/>
      <c r="BG439" s="77"/>
      <c r="BH439" s="77"/>
      <c r="BI439" s="77"/>
      <c r="BJ439" s="77"/>
      <c r="BK439" s="77"/>
      <c r="BL439" s="77"/>
      <c r="BM439" s="77"/>
      <c r="BN439" s="77"/>
      <c r="BO439" s="77"/>
      <c r="BP439" s="77"/>
      <c r="CC439" s="77"/>
      <c r="CD439" s="77"/>
      <c r="CE439" s="77"/>
      <c r="CF439" s="77"/>
      <c r="CG439" s="77"/>
      <c r="CH439" s="77"/>
      <c r="CI439" s="77"/>
      <c r="CJ439" s="77"/>
      <c r="CK439" s="77"/>
      <c r="CL439" s="77"/>
      <c r="CM439" s="77"/>
      <c r="CN439" s="77"/>
      <c r="CO439" s="77"/>
      <c r="CP439" s="77"/>
      <c r="CQ439" s="77"/>
      <c r="CR439" s="77"/>
      <c r="CS439" s="77"/>
      <c r="CT439" s="77"/>
      <c r="CU439" s="77"/>
      <c r="CV439" s="77"/>
      <c r="CW439" s="77"/>
      <c r="CX439" s="77"/>
      <c r="CY439" s="77"/>
      <c r="CZ439" s="77"/>
      <c r="DA439" s="77"/>
      <c r="DB439" s="77"/>
      <c r="DC439" s="77"/>
      <c r="DD439" s="77"/>
      <c r="DE439" s="77"/>
      <c r="DF439" s="77"/>
      <c r="DG439" s="77"/>
      <c r="DH439" s="77"/>
      <c r="DI439" s="77"/>
      <c r="DJ439" s="77"/>
      <c r="DK439" s="77"/>
      <c r="DL439" s="77"/>
      <c r="DM439" s="77"/>
      <c r="DN439" s="77"/>
      <c r="DO439" s="77"/>
      <c r="DP439" s="77"/>
      <c r="DQ439" s="77"/>
      <c r="DR439" s="77"/>
      <c r="DS439" s="77"/>
      <c r="DT439" s="77"/>
      <c r="DU439" s="77"/>
      <c r="DV439" s="77"/>
      <c r="DW439" s="77"/>
      <c r="DX439" s="77"/>
      <c r="DY439" s="77"/>
      <c r="DZ439" s="77"/>
      <c r="EA439" s="77"/>
      <c r="EB439" s="77"/>
      <c r="EC439" s="77"/>
      <c r="ED439" s="77"/>
      <c r="EE439" s="77"/>
      <c r="EF439" s="77"/>
      <c r="EG439" s="77"/>
      <c r="EH439" s="77"/>
      <c r="EI439" s="77"/>
      <c r="EJ439" s="77"/>
      <c r="EK439" s="77"/>
      <c r="EL439" s="77"/>
      <c r="EM439" s="77"/>
      <c r="EN439" s="77"/>
      <c r="EO439" s="77"/>
      <c r="EP439" s="77"/>
      <c r="EQ439" s="77"/>
      <c r="ER439" s="77"/>
      <c r="ES439" s="77"/>
      <c r="ET439" s="77"/>
      <c r="EU439" s="77"/>
      <c r="EV439" s="77"/>
      <c r="EW439" s="77"/>
      <c r="EX439" s="77"/>
      <c r="EY439" s="77"/>
      <c r="EZ439" s="77"/>
      <c r="FA439" s="77"/>
      <c r="FB439" s="77"/>
      <c r="FC439" s="77"/>
      <c r="FD439" s="77"/>
      <c r="FE439" s="77"/>
      <c r="FF439" s="77"/>
      <c r="FG439" s="77"/>
      <c r="FH439" s="77"/>
      <c r="FI439" s="77"/>
      <c r="FJ439" s="77"/>
      <c r="FK439" s="77"/>
      <c r="FL439" s="77"/>
      <c r="FM439" s="77"/>
      <c r="FN439" s="77"/>
      <c r="FO439" s="77"/>
      <c r="FP439" s="77"/>
      <c r="FQ439" s="77"/>
      <c r="FR439" s="77"/>
      <c r="FS439" s="77"/>
      <c r="FT439" s="77"/>
      <c r="FU439" s="77"/>
      <c r="FV439" s="77"/>
      <c r="FW439" s="77"/>
      <c r="FX439" s="77"/>
      <c r="FY439" s="77"/>
      <c r="FZ439" s="77"/>
      <c r="GA439" s="77"/>
      <c r="GB439" s="77"/>
      <c r="GC439" s="77"/>
      <c r="GD439" s="77"/>
      <c r="GE439" s="77"/>
      <c r="GF439" s="77"/>
      <c r="GG439" s="77"/>
      <c r="GH439" s="77"/>
      <c r="GI439" s="77"/>
      <c r="GJ439" s="77"/>
      <c r="GK439" s="77"/>
      <c r="GL439" s="77"/>
      <c r="GM439" s="77"/>
      <c r="GN439" s="77"/>
      <c r="GO439" s="77"/>
      <c r="GP439" s="77"/>
      <c r="GQ439" s="77"/>
      <c r="GR439" s="77"/>
      <c r="GS439" s="77"/>
      <c r="GT439" s="77"/>
      <c r="GU439" s="77"/>
      <c r="GV439" s="77"/>
      <c r="GW439" s="77"/>
      <c r="GX439" s="77"/>
      <c r="GY439" s="77"/>
      <c r="GZ439" s="77"/>
      <c r="HA439" s="77"/>
      <c r="HB439" s="77"/>
      <c r="HC439" s="77"/>
      <c r="HD439" s="77"/>
      <c r="HE439" s="77"/>
      <c r="HF439" s="77"/>
      <c r="HG439" s="77"/>
      <c r="HH439" s="77"/>
      <c r="HI439" s="77"/>
      <c r="HJ439" s="77"/>
      <c r="HK439" s="77"/>
      <c r="HL439" s="77"/>
      <c r="HM439" s="77"/>
      <c r="HN439" s="77"/>
      <c r="HO439" s="77"/>
      <c r="HP439" s="77"/>
      <c r="HQ439" s="77"/>
      <c r="HR439" s="77"/>
      <c r="HS439" s="77"/>
      <c r="HT439" s="77"/>
      <c r="HU439" s="77"/>
      <c r="HV439" s="77"/>
      <c r="HW439" s="77"/>
      <c r="HX439" s="77"/>
      <c r="HY439" s="77"/>
      <c r="HZ439" s="77"/>
      <c r="IA439" s="77"/>
      <c r="IB439" s="77"/>
      <c r="IC439" s="77"/>
      <c r="ID439" s="77"/>
      <c r="IE439" s="77"/>
      <c r="IF439" s="77"/>
      <c r="IG439" s="77"/>
      <c r="IH439" s="77"/>
      <c r="II439" s="77"/>
      <c r="IJ439" s="77"/>
      <c r="IK439" s="77"/>
      <c r="IL439" s="77"/>
      <c r="IM439" s="77"/>
      <c r="IN439" s="77"/>
      <c r="IO439" s="77"/>
      <c r="IP439" s="77"/>
      <c r="IQ439" s="77"/>
      <c r="IR439" s="77"/>
      <c r="IS439" s="77"/>
      <c r="IT439" s="77"/>
      <c r="IU439" s="77"/>
      <c r="IV439" s="77"/>
      <c r="IW439" s="77"/>
      <c r="IX439" s="77"/>
      <c r="IY439" s="77"/>
      <c r="IZ439" s="77"/>
      <c r="JA439" s="77"/>
      <c r="JB439" s="77"/>
      <c r="JC439" s="77"/>
      <c r="JD439" s="77"/>
      <c r="JE439" s="77"/>
      <c r="JF439" s="77"/>
      <c r="JG439" s="77"/>
      <c r="JH439" s="77"/>
      <c r="JI439" s="77"/>
      <c r="JJ439" s="77"/>
      <c r="JK439" s="77"/>
      <c r="JL439" s="77"/>
      <c r="JM439" s="77"/>
      <c r="JN439" s="77"/>
      <c r="JO439" s="77"/>
      <c r="JP439" s="77"/>
      <c r="JQ439" s="77"/>
      <c r="JR439" s="77"/>
      <c r="JS439" s="77"/>
      <c r="JT439" s="77"/>
      <c r="JU439" s="77"/>
      <c r="JV439" s="77"/>
      <c r="JW439" s="77"/>
      <c r="JX439" s="77"/>
      <c r="LL439" s="77"/>
      <c r="LM439" s="77"/>
      <c r="LN439" s="77"/>
      <c r="LO439" s="77"/>
      <c r="LP439" s="77"/>
      <c r="LQ439" s="77"/>
      <c r="LR439" s="77"/>
      <c r="LS439" s="77"/>
      <c r="LT439" s="77"/>
      <c r="LU439" s="77"/>
      <c r="LV439" s="77"/>
      <c r="LW439" s="77"/>
      <c r="LX439" s="77"/>
      <c r="LY439" s="77"/>
      <c r="LZ439" s="77"/>
      <c r="MA439" s="77"/>
      <c r="MB439" s="77"/>
      <c r="MC439" s="77"/>
      <c r="MD439" s="77"/>
      <c r="ME439" s="77"/>
      <c r="MF439" s="77"/>
      <c r="MG439" s="77"/>
      <c r="MH439" s="77"/>
      <c r="MI439" s="77"/>
      <c r="MJ439" s="77"/>
      <c r="MK439" s="77"/>
      <c r="ML439" s="77"/>
      <c r="MM439" s="77"/>
      <c r="MN439" s="77"/>
      <c r="MO439" s="77"/>
      <c r="MP439" s="77"/>
      <c r="MQ439" s="77"/>
      <c r="MR439" s="77"/>
    </row>
    <row r="440" spans="1:421" ht="18.600000000000001" customHeight="1" x14ac:dyDescent="0.25">
      <c r="A440" s="119" t="s">
        <v>502</v>
      </c>
      <c r="B440" s="27" t="s">
        <v>2168</v>
      </c>
      <c r="C440" s="27" t="s">
        <v>2169</v>
      </c>
      <c r="D440" s="30" t="str">
        <f>HYPERLINK("https://twitter.com/PutinRF_Eng","https://twitter.com/PutinRF_Eng")</f>
        <v>https://twitter.com/PutinRF_Eng</v>
      </c>
      <c r="E440" s="30" t="str">
        <f>HYPERLINK("http://twiplomacy.com/info/europe/Russia","http://twiplomacy.com/info/europe/Russia")</f>
        <v>http://twiplomacy.com/info/europe/Russia</v>
      </c>
      <c r="F440" s="10" t="s">
        <v>332</v>
      </c>
      <c r="G440" s="10" t="s">
        <v>496</v>
      </c>
      <c r="H440" s="10" t="s">
        <v>772</v>
      </c>
      <c r="I440" s="10" t="s">
        <v>773</v>
      </c>
      <c r="J440" s="27" t="s">
        <v>1420</v>
      </c>
      <c r="K440" s="15" t="s">
        <v>777</v>
      </c>
      <c r="L440" s="10" t="s">
        <v>771</v>
      </c>
      <c r="M440" s="10" t="s">
        <v>770</v>
      </c>
      <c r="N440" s="30" t="str">
        <f>HYPERLINK("https://twitter.com/PutinRF_Eng/statuses/266415140201701376","https://twitter.com/PutinRF_Eng/statuses/266415140201701376")</f>
        <v>https://twitter.com/PutinRF_Eng/statuses/266415140201701376</v>
      </c>
      <c r="O440" s="27" t="s">
        <v>6061</v>
      </c>
      <c r="P440" s="80">
        <v>760</v>
      </c>
      <c r="Q440" s="80">
        <v>0</v>
      </c>
      <c r="R440" s="27" t="s">
        <v>2995</v>
      </c>
      <c r="S440" s="10" t="s">
        <v>2170</v>
      </c>
      <c r="T440" s="10" t="s">
        <v>771</v>
      </c>
      <c r="U440" s="10" t="s">
        <v>771</v>
      </c>
      <c r="V440" s="10" t="s">
        <v>771</v>
      </c>
      <c r="W440" s="10"/>
      <c r="X440" s="27" t="s">
        <v>502</v>
      </c>
      <c r="Y440" s="27" t="s">
        <v>2168</v>
      </c>
      <c r="Z440" s="80">
        <v>1154</v>
      </c>
      <c r="AA440" s="27">
        <v>15</v>
      </c>
      <c r="AB440" s="80">
        <v>382400</v>
      </c>
      <c r="AC440" s="27">
        <v>34</v>
      </c>
      <c r="AD440" s="27" t="s">
        <v>4396</v>
      </c>
      <c r="AE440" s="27">
        <v>932196612</v>
      </c>
      <c r="AF440" s="27" t="s">
        <v>2169</v>
      </c>
      <c r="AG440" s="27" t="s">
        <v>2171</v>
      </c>
      <c r="AH440" s="79">
        <v>0.90723270440251602</v>
      </c>
      <c r="AI440" s="83">
        <v>0.91009463722397499</v>
      </c>
      <c r="AJ440" s="80">
        <v>78.284941388638401</v>
      </c>
      <c r="AK440" s="80">
        <v>113.70604147880999</v>
      </c>
      <c r="AL440" s="27">
        <v>2</v>
      </c>
      <c r="AM440" s="97">
        <f>SUM(AL440/Z440)</f>
        <v>1.7331022530329288E-3</v>
      </c>
      <c r="AN440" s="27" t="s">
        <v>502</v>
      </c>
      <c r="AO440" s="27">
        <v>3</v>
      </c>
      <c r="AP440" s="27">
        <v>41</v>
      </c>
      <c r="AQ440" s="27">
        <v>4</v>
      </c>
      <c r="AR440" s="27">
        <f>SUM(AO440:AQ440)</f>
        <v>48</v>
      </c>
      <c r="AS440" s="27" t="s">
        <v>5459</v>
      </c>
      <c r="AT440" s="27" t="s">
        <v>6843</v>
      </c>
      <c r="AU440" s="84" t="s">
        <v>6533</v>
      </c>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c r="HY440" s="77"/>
      <c r="HZ440" s="77"/>
      <c r="IA440" s="77"/>
      <c r="IB440" s="77"/>
      <c r="IC440" s="77"/>
      <c r="IF440" s="77"/>
      <c r="IG440" s="77"/>
      <c r="IH440" s="77"/>
      <c r="II440" s="77"/>
      <c r="IJ440" s="77"/>
      <c r="IK440" s="77"/>
      <c r="IL440" s="77"/>
      <c r="IM440" s="77"/>
      <c r="IN440" s="77"/>
      <c r="IO440" s="77"/>
      <c r="IP440" s="77"/>
      <c r="IQ440" s="77"/>
      <c r="IR440" s="77"/>
      <c r="IS440" s="77"/>
      <c r="IT440" s="77"/>
      <c r="IU440" s="77"/>
      <c r="IV440" s="77"/>
      <c r="IW440" s="77"/>
      <c r="IX440" s="77"/>
      <c r="IY440" s="77"/>
      <c r="IZ440" s="77"/>
      <c r="JA440" s="77"/>
      <c r="JB440" s="77"/>
      <c r="JC440" s="77"/>
      <c r="JD440" s="77"/>
      <c r="JE440" s="77"/>
      <c r="JF440" s="77"/>
      <c r="JG440" s="77"/>
      <c r="JH440" s="77"/>
      <c r="JI440" s="77"/>
      <c r="JJ440" s="77"/>
      <c r="JK440" s="77"/>
      <c r="JL440" s="77"/>
      <c r="JM440" s="77"/>
      <c r="JN440" s="77"/>
      <c r="JO440" s="77"/>
      <c r="JP440" s="77"/>
      <c r="JQ440" s="77"/>
      <c r="JR440" s="77"/>
      <c r="JS440" s="77"/>
      <c r="JT440" s="77"/>
      <c r="JU440" s="77"/>
      <c r="JV440" s="77"/>
      <c r="JW440" s="77"/>
      <c r="JX440" s="77"/>
      <c r="JY440" s="77"/>
      <c r="JZ440" s="77"/>
      <c r="KA440" s="77"/>
      <c r="KB440" s="77"/>
      <c r="KC440" s="77"/>
      <c r="KD440" s="77"/>
      <c r="KE440" s="77"/>
      <c r="KF440" s="77"/>
      <c r="KG440" s="77"/>
      <c r="KH440" s="77"/>
      <c r="KI440" s="77"/>
      <c r="KJ440" s="77"/>
      <c r="KK440" s="77"/>
      <c r="KL440" s="77"/>
      <c r="KM440" s="16"/>
      <c r="KN440" s="16"/>
      <c r="KO440" s="16"/>
      <c r="KP440" s="16"/>
      <c r="KQ440" s="16"/>
      <c r="KR440" s="16"/>
      <c r="KS440" s="16"/>
      <c r="KT440" s="16"/>
      <c r="KU440" s="16"/>
      <c r="KV440" s="16"/>
      <c r="KW440" s="16"/>
      <c r="KX440" s="16"/>
      <c r="KY440" s="16"/>
      <c r="KZ440" s="16"/>
      <c r="LA440" s="16"/>
      <c r="LB440" s="16"/>
      <c r="LC440" s="16"/>
      <c r="LD440" s="16"/>
      <c r="LE440" s="16"/>
      <c r="LF440" s="16"/>
      <c r="LG440" s="16"/>
      <c r="LH440" s="16"/>
      <c r="LI440" s="16"/>
      <c r="LJ440" s="16"/>
      <c r="LK440" s="16"/>
    </row>
    <row r="441" spans="1:421" ht="18.600000000000001" customHeight="1" x14ac:dyDescent="0.25">
      <c r="A441" s="119" t="s">
        <v>198</v>
      </c>
      <c r="B441" s="27" t="s">
        <v>1326</v>
      </c>
      <c r="C441" s="27" t="s">
        <v>1328</v>
      </c>
      <c r="D441" s="30" t="str">
        <f>HYPERLINK("https://twitter.com/IranMFA","https://twitter.com/IranMFA")</f>
        <v>https://twitter.com/IranMFA</v>
      </c>
      <c r="E441" s="30" t="str">
        <f>HYPERLINK("http://twiplomacy.com/info/asia/Iran","http://twiplomacy.com/info/asia/Iran")</f>
        <v>http://twiplomacy.com/info/asia/Iran</v>
      </c>
      <c r="F441" s="10" t="s">
        <v>154</v>
      </c>
      <c r="G441" s="10" t="s">
        <v>194</v>
      </c>
      <c r="H441" s="10" t="s">
        <v>795</v>
      </c>
      <c r="I441" s="10" t="s">
        <v>782</v>
      </c>
      <c r="J441" s="27" t="s">
        <v>789</v>
      </c>
      <c r="K441" s="15" t="s">
        <v>777</v>
      </c>
      <c r="L441" s="10" t="s">
        <v>771</v>
      </c>
      <c r="M441" s="10" t="s">
        <v>770</v>
      </c>
      <c r="N441" s="30" t="s">
        <v>1327</v>
      </c>
      <c r="O441" s="27" t="s">
        <v>5877</v>
      </c>
      <c r="P441" s="80">
        <v>23</v>
      </c>
      <c r="Q441" s="80">
        <v>18</v>
      </c>
      <c r="R441" s="27" t="s">
        <v>2995</v>
      </c>
      <c r="S441" s="30" t="str">
        <f>HYPERLINK("https://twitter.com/IranMFA/lists","https://twitter.com/IranMFA/lists")</f>
        <v>https://twitter.com/IranMFA/lists</v>
      </c>
      <c r="T441" s="10" t="s">
        <v>771</v>
      </c>
      <c r="U441" s="10" t="s">
        <v>771</v>
      </c>
      <c r="V441" s="10" t="s">
        <v>771</v>
      </c>
      <c r="W441" s="10"/>
      <c r="X441" s="27" t="s">
        <v>198</v>
      </c>
      <c r="Y441" s="27" t="s">
        <v>1326</v>
      </c>
      <c r="Z441" s="80">
        <v>1139</v>
      </c>
      <c r="AA441" s="27">
        <v>6</v>
      </c>
      <c r="AB441" s="80">
        <v>4116</v>
      </c>
      <c r="AC441" s="27">
        <v>2</v>
      </c>
      <c r="AD441" s="27" t="s">
        <v>3839</v>
      </c>
      <c r="AE441" s="27">
        <v>2785367359</v>
      </c>
      <c r="AF441" s="27" t="s">
        <v>1328</v>
      </c>
      <c r="AG441" s="27" t="s">
        <v>1315</v>
      </c>
      <c r="AH441" s="79">
        <v>1.87335526315789</v>
      </c>
      <c r="AI441" s="83">
        <v>2.1409774436090201</v>
      </c>
      <c r="AJ441" s="80">
        <v>0.65689149560117299</v>
      </c>
      <c r="AK441" s="80">
        <v>0.81329423264907097</v>
      </c>
      <c r="AL441" s="27">
        <v>112</v>
      </c>
      <c r="AM441" s="97">
        <f>SUM(AL441/Z441)</f>
        <v>9.8331870061457424E-2</v>
      </c>
      <c r="AN441" s="27" t="s">
        <v>198</v>
      </c>
      <c r="AO441" s="27">
        <v>5</v>
      </c>
      <c r="AP441" s="27">
        <v>21</v>
      </c>
      <c r="AQ441" s="27">
        <v>0</v>
      </c>
      <c r="AR441" s="27">
        <f>SUM(AO441:AQ441)</f>
        <v>26</v>
      </c>
      <c r="AS441" s="27" t="s">
        <v>5198</v>
      </c>
      <c r="AT441" s="27" t="s">
        <v>5199</v>
      </c>
      <c r="AU441" s="84"/>
      <c r="AV441" s="77"/>
      <c r="AW441" s="77"/>
      <c r="AX441" s="77"/>
      <c r="AY441" s="77"/>
      <c r="AZ441" s="77"/>
      <c r="BA441" s="77"/>
      <c r="BB441" s="77"/>
      <c r="BC441" s="77"/>
      <c r="BD441" s="77"/>
      <c r="BE441" s="77"/>
      <c r="BF441" s="77"/>
      <c r="BG441" s="77"/>
      <c r="BH441" s="77"/>
      <c r="BI441" s="77"/>
      <c r="BJ441" s="77"/>
      <c r="BK441" s="77"/>
      <c r="BL441" s="77"/>
      <c r="BM441" s="77"/>
      <c r="BN441" s="77"/>
      <c r="BO441" s="77"/>
      <c r="BP441" s="77"/>
      <c r="BQ441" s="16"/>
      <c r="BR441" s="16"/>
      <c r="BS441" s="16"/>
      <c r="BT441" s="16"/>
      <c r="BU441" s="16"/>
      <c r="BV441" s="16"/>
      <c r="BW441" s="16"/>
      <c r="BX441" s="16"/>
      <c r="BY441" s="16"/>
      <c r="BZ441" s="16"/>
      <c r="CA441" s="16"/>
      <c r="CB441" s="16"/>
      <c r="CC441" s="77"/>
      <c r="CD441" s="77"/>
      <c r="CE441" s="77"/>
      <c r="CF441" s="77"/>
      <c r="CG441" s="77"/>
      <c r="CH441" s="77"/>
      <c r="CI441" s="77"/>
      <c r="CJ441" s="77"/>
      <c r="CK441" s="77"/>
      <c r="CL441" s="77"/>
      <c r="CM441" s="77"/>
      <c r="CN441" s="77"/>
      <c r="CO441" s="77"/>
      <c r="CP441" s="77"/>
      <c r="CQ441" s="77"/>
      <c r="CR441" s="77"/>
      <c r="CS441" s="77"/>
      <c r="CT441" s="77"/>
      <c r="CU441" s="77"/>
      <c r="CV441" s="77"/>
      <c r="CW441" s="77"/>
      <c r="CX441" s="77"/>
      <c r="CY441" s="77"/>
      <c r="CZ441" s="77"/>
      <c r="DA441" s="77"/>
      <c r="DB441" s="77"/>
      <c r="DC441" s="77"/>
      <c r="DD441" s="77"/>
      <c r="DE441" s="77"/>
      <c r="DF441" s="77"/>
      <c r="DG441" s="77"/>
      <c r="DH441" s="77"/>
      <c r="DI441" s="77"/>
      <c r="DJ441" s="77"/>
      <c r="DK441" s="77"/>
      <c r="DL441" s="77"/>
      <c r="DM441" s="77"/>
      <c r="DN441" s="77"/>
      <c r="DO441" s="77"/>
      <c r="DP441" s="77"/>
      <c r="DQ441" s="77"/>
      <c r="DR441" s="77"/>
      <c r="DS441" s="77"/>
      <c r="DT441" s="77"/>
      <c r="DU441" s="77"/>
      <c r="DV441" s="77"/>
      <c r="DW441" s="77"/>
      <c r="DX441" s="77"/>
      <c r="DY441" s="77"/>
      <c r="DZ441" s="77"/>
      <c r="EA441" s="77"/>
      <c r="EB441" s="77"/>
      <c r="EC441" s="77"/>
      <c r="ED441" s="77"/>
      <c r="EE441" s="77"/>
      <c r="EF441" s="77"/>
      <c r="EG441" s="77"/>
      <c r="EH441" s="77"/>
      <c r="EI441" s="77"/>
      <c r="EJ441" s="77"/>
      <c r="EK441" s="77"/>
      <c r="EL441" s="77"/>
      <c r="EM441" s="77"/>
      <c r="EN441" s="77"/>
      <c r="EO441" s="77"/>
      <c r="EP441" s="77"/>
      <c r="EQ441" s="77"/>
      <c r="ER441" s="77"/>
      <c r="ES441" s="77"/>
      <c r="ET441" s="77"/>
      <c r="EU441" s="77"/>
      <c r="EV441" s="77"/>
      <c r="EW441" s="77"/>
      <c r="EX441" s="77"/>
      <c r="EY441" s="77"/>
      <c r="EZ441" s="77"/>
      <c r="FA441" s="77"/>
      <c r="FB441" s="77"/>
      <c r="FC441" s="77"/>
      <c r="FD441" s="77"/>
      <c r="FE441" s="77"/>
      <c r="FF441" s="77"/>
      <c r="FG441" s="77"/>
      <c r="FH441" s="77"/>
      <c r="FI441" s="77"/>
      <c r="FJ441" s="77"/>
      <c r="FK441" s="77"/>
      <c r="FL441" s="77"/>
      <c r="FM441" s="77"/>
      <c r="FN441" s="77"/>
      <c r="FO441" s="77"/>
      <c r="FP441" s="77"/>
      <c r="FQ441" s="77"/>
      <c r="FR441" s="77"/>
      <c r="FS441" s="77"/>
      <c r="FT441" s="77"/>
      <c r="FU441" s="77"/>
      <c r="FV441" s="77"/>
      <c r="FW441" s="77"/>
      <c r="FX441" s="77"/>
      <c r="FY441" s="77"/>
      <c r="FZ441" s="77"/>
      <c r="GA441" s="77"/>
      <c r="GB441" s="77"/>
      <c r="GC441" s="77"/>
      <c r="GD441" s="77"/>
      <c r="GE441" s="77"/>
      <c r="GF441" s="77"/>
      <c r="GG441" s="77"/>
      <c r="GH441" s="77"/>
      <c r="GI441" s="77"/>
      <c r="GJ441" s="77"/>
      <c r="GK441" s="77"/>
      <c r="GL441" s="77"/>
      <c r="GM441" s="77"/>
      <c r="GN441" s="77"/>
      <c r="GO441" s="77"/>
      <c r="GP441" s="77"/>
      <c r="GQ441" s="77"/>
      <c r="GR441" s="77"/>
      <c r="GS441" s="77"/>
      <c r="GT441" s="77"/>
      <c r="GU441" s="77"/>
      <c r="GV441" s="77"/>
      <c r="GW441" s="77"/>
      <c r="GX441" s="77"/>
      <c r="GY441" s="77"/>
      <c r="GZ441" s="77"/>
      <c r="HA441" s="77"/>
      <c r="HB441" s="77"/>
      <c r="HC441" s="77"/>
      <c r="HD441" s="77"/>
      <c r="HE441" s="77"/>
      <c r="HF441" s="77"/>
      <c r="HG441" s="77"/>
      <c r="HH441" s="77"/>
      <c r="HI441" s="77"/>
      <c r="HJ441" s="77"/>
      <c r="HK441" s="77"/>
      <c r="HL441" s="77"/>
      <c r="HM441" s="77"/>
      <c r="HN441" s="77"/>
      <c r="HO441" s="77"/>
      <c r="HP441" s="77"/>
      <c r="HQ441" s="77"/>
      <c r="HR441" s="77"/>
      <c r="HS441" s="77"/>
      <c r="HT441" s="77"/>
      <c r="HU441" s="77"/>
      <c r="HV441" s="77"/>
      <c r="HW441" s="77"/>
      <c r="HX441" s="77"/>
      <c r="HY441" s="77"/>
      <c r="HZ441" s="77"/>
      <c r="IA441" s="77"/>
      <c r="IB441" s="77"/>
      <c r="IC441" s="77"/>
      <c r="JY441" s="77"/>
      <c r="JZ441" s="77"/>
      <c r="KA441" s="77"/>
      <c r="KB441" s="77"/>
      <c r="KC441" s="77"/>
      <c r="KD441" s="77"/>
      <c r="KE441" s="77"/>
      <c r="KF441" s="77"/>
      <c r="KG441" s="77"/>
      <c r="KH441" s="77"/>
      <c r="KI441" s="77"/>
      <c r="KJ441" s="77"/>
      <c r="KK441" s="77"/>
      <c r="KL441" s="77"/>
      <c r="LW441" s="16"/>
      <c r="LX441" s="16"/>
      <c r="LY441" s="77"/>
      <c r="LZ441" s="77"/>
      <c r="MA441" s="77"/>
      <c r="MB441" s="77"/>
      <c r="MC441" s="77"/>
      <c r="MD441" s="77"/>
      <c r="ME441" s="77"/>
      <c r="MF441" s="77"/>
      <c r="MG441" s="77"/>
      <c r="MH441" s="77"/>
      <c r="MI441" s="77"/>
      <c r="MJ441" s="77"/>
      <c r="MK441" s="77"/>
      <c r="ML441" s="77"/>
      <c r="MM441" s="77"/>
      <c r="MN441" s="77"/>
      <c r="MO441" s="77"/>
      <c r="MP441" s="77"/>
      <c r="MQ441" s="77"/>
      <c r="MR441" s="77"/>
    </row>
    <row r="442" spans="1:421" ht="18.600000000000001" customHeight="1" x14ac:dyDescent="0.25">
      <c r="A442" s="119" t="s">
        <v>137</v>
      </c>
      <c r="B442" s="27" t="s">
        <v>1130</v>
      </c>
      <c r="C442" s="27" t="s">
        <v>3793</v>
      </c>
      <c r="D442" s="30" t="str">
        <f>HYPERLINK("https://twitter.com/Habib_essid","https://twitter.com/Habib_essid")</f>
        <v>https://twitter.com/Habib_essid</v>
      </c>
      <c r="E442" s="30" t="str">
        <f>HYPERLINK("http://twiplomacy.com/info/africa/Tunisia","http://twiplomacy.com/info/africa/Tunisia")</f>
        <v>http://twiplomacy.com/info/africa/Tunisia</v>
      </c>
      <c r="F442" s="10" t="s">
        <v>1</v>
      </c>
      <c r="G442" s="10" t="s">
        <v>134</v>
      </c>
      <c r="H442" s="10" t="s">
        <v>776</v>
      </c>
      <c r="I442" s="10" t="s">
        <v>773</v>
      </c>
      <c r="J442" s="27" t="s">
        <v>779</v>
      </c>
      <c r="K442" s="15" t="s">
        <v>777</v>
      </c>
      <c r="L442" s="10" t="s">
        <v>1114</v>
      </c>
      <c r="M442" s="10" t="s">
        <v>770</v>
      </c>
      <c r="N442" s="30" t="str">
        <f>HYPERLINK("https://twitter.com/Habib_essid/status/568371536996012033","https://twitter.com/Habib_essid/status/568371536996012033")</f>
        <v>https://twitter.com/Habib_essid/status/568371536996012033</v>
      </c>
      <c r="O442" s="30" t="str">
        <f>HYPERLINK("https://twitter.com/Habib_essid/statuses/512901122642964480","https://twitter.com/Habib_essid/statuses/512901122642964480")</f>
        <v>https://twitter.com/Habib_essid/statuses/512901122642964480</v>
      </c>
      <c r="P442" s="46">
        <v>27</v>
      </c>
      <c r="Q442" s="46">
        <v>7</v>
      </c>
      <c r="R442" s="27" t="s">
        <v>2995</v>
      </c>
      <c r="S442" s="30" t="str">
        <f>HYPERLINK("https://twitter.com/Habib_essid/lists","https://twitter.com/Habib_essid/lists")</f>
        <v>https://twitter.com/Habib_essid/lists</v>
      </c>
      <c r="T442" s="10" t="s">
        <v>771</v>
      </c>
      <c r="U442" s="10" t="s">
        <v>771</v>
      </c>
      <c r="V442" s="10" t="s">
        <v>771</v>
      </c>
      <c r="W442" s="10"/>
      <c r="X442" s="27" t="s">
        <v>137</v>
      </c>
      <c r="Y442" s="27" t="s">
        <v>1130</v>
      </c>
      <c r="Z442" s="80">
        <v>1114</v>
      </c>
      <c r="AA442" s="27">
        <v>26</v>
      </c>
      <c r="AB442" s="80">
        <v>8903</v>
      </c>
      <c r="AC442" s="27">
        <v>7</v>
      </c>
      <c r="AD442" s="27" t="s">
        <v>3794</v>
      </c>
      <c r="AE442" s="27">
        <v>2962245094</v>
      </c>
      <c r="AF442" s="27" t="s">
        <v>3793</v>
      </c>
      <c r="AG442" s="27"/>
      <c r="AH442" s="79">
        <v>2.3064182194616998</v>
      </c>
      <c r="AI442" s="83">
        <v>2.5433789954337902</v>
      </c>
      <c r="AJ442" s="80">
        <v>0.28096947935368</v>
      </c>
      <c r="AK442" s="80">
        <v>0.52962298025134602</v>
      </c>
      <c r="AL442" s="27">
        <v>1</v>
      </c>
      <c r="AM442" s="97">
        <f>SUM(AL442/Z442)</f>
        <v>8.9766606822262122E-4</v>
      </c>
      <c r="AN442" s="27" t="s">
        <v>137</v>
      </c>
      <c r="AO442" s="27">
        <v>11</v>
      </c>
      <c r="AP442" s="27">
        <v>1</v>
      </c>
      <c r="AQ442" s="27">
        <v>0</v>
      </c>
      <c r="AR442" s="27">
        <f>SUM(AO442:AQ442)</f>
        <v>12</v>
      </c>
      <c r="AS442" s="27" t="s">
        <v>5169</v>
      </c>
      <c r="AT442" s="27" t="s">
        <v>705</v>
      </c>
      <c r="AU442" s="84"/>
      <c r="AV442" s="77"/>
      <c r="AW442" s="77"/>
      <c r="AX442" s="77"/>
      <c r="AY442" s="77"/>
      <c r="AZ442" s="77"/>
      <c r="BA442" s="77"/>
      <c r="BB442" s="77"/>
      <c r="BC442" s="77"/>
      <c r="BD442" s="77"/>
      <c r="BE442" s="77"/>
      <c r="BF442" s="77"/>
      <c r="BG442" s="77"/>
      <c r="BH442" s="77"/>
      <c r="BI442" s="77"/>
      <c r="BJ442" s="77"/>
      <c r="BK442" s="77"/>
      <c r="BL442" s="77"/>
      <c r="BM442" s="77"/>
      <c r="BN442" s="77"/>
      <c r="BO442" s="77"/>
      <c r="BP442" s="77"/>
      <c r="BQ442" s="77"/>
      <c r="BR442" s="77"/>
      <c r="BS442" s="77"/>
      <c r="BT442" s="77"/>
      <c r="BU442" s="77"/>
      <c r="BV442" s="77"/>
      <c r="BW442" s="77"/>
      <c r="BX442" s="77"/>
      <c r="BY442" s="77"/>
      <c r="BZ442" s="77"/>
      <c r="CA442" s="77"/>
      <c r="CB442" s="77"/>
      <c r="CC442" s="77"/>
      <c r="CD442" s="77"/>
      <c r="CE442" s="77"/>
      <c r="CF442" s="77"/>
      <c r="CG442" s="77"/>
      <c r="CH442" s="77"/>
      <c r="CI442" s="77"/>
      <c r="CJ442" s="77"/>
      <c r="CK442" s="77"/>
      <c r="CL442" s="77"/>
      <c r="CM442" s="77"/>
      <c r="CN442" s="77"/>
      <c r="CO442" s="77"/>
      <c r="CP442" s="77"/>
      <c r="CQ442" s="77"/>
      <c r="CR442" s="77"/>
      <c r="CS442" s="77"/>
      <c r="CT442" s="77"/>
      <c r="CU442" s="77"/>
      <c r="CV442" s="77"/>
      <c r="CW442" s="77"/>
      <c r="CX442" s="77"/>
      <c r="CY442" s="77"/>
      <c r="CZ442" s="77"/>
      <c r="DA442" s="77"/>
      <c r="DB442" s="77"/>
      <c r="DC442" s="77"/>
      <c r="DD442" s="77"/>
      <c r="DE442" s="77"/>
      <c r="DF442" s="77"/>
      <c r="DG442" s="77"/>
      <c r="DH442" s="77"/>
      <c r="DI442" s="77"/>
      <c r="DJ442" s="77"/>
      <c r="DK442" s="77"/>
      <c r="DL442" s="77"/>
      <c r="DM442" s="77"/>
      <c r="DN442" s="77"/>
      <c r="DO442" s="77"/>
      <c r="DP442" s="77"/>
      <c r="DQ442" s="77"/>
      <c r="DR442" s="77"/>
      <c r="DS442" s="77"/>
      <c r="DT442" s="77"/>
      <c r="DU442" s="77"/>
      <c r="DV442" s="77"/>
      <c r="DW442" s="77"/>
      <c r="DX442" s="77"/>
      <c r="DY442" s="77"/>
      <c r="DZ442" s="77"/>
      <c r="EA442" s="77"/>
      <c r="EB442" s="77"/>
      <c r="EC442" s="77"/>
      <c r="ED442" s="77"/>
      <c r="EE442" s="77"/>
      <c r="EF442" s="77"/>
      <c r="EG442" s="77"/>
      <c r="EH442" s="77"/>
      <c r="EI442" s="77"/>
      <c r="EJ442" s="77"/>
      <c r="EK442" s="77"/>
      <c r="EL442" s="77"/>
      <c r="EM442" s="77"/>
      <c r="EN442" s="77"/>
      <c r="EO442" s="77"/>
      <c r="EP442" s="77"/>
      <c r="EQ442" s="77"/>
      <c r="ER442" s="77"/>
      <c r="ES442" s="77"/>
      <c r="ET442" s="77"/>
      <c r="EU442" s="77"/>
      <c r="EV442" s="77"/>
      <c r="EW442" s="77"/>
      <c r="EX442" s="77"/>
      <c r="EY442" s="77"/>
      <c r="EZ442" s="77"/>
      <c r="FA442" s="77"/>
      <c r="FB442" s="77"/>
      <c r="FC442" s="77"/>
      <c r="FD442" s="77"/>
      <c r="FE442" s="77"/>
      <c r="FF442" s="77"/>
      <c r="FG442" s="77"/>
      <c r="FH442" s="77"/>
      <c r="FI442" s="77"/>
      <c r="FJ442" s="77"/>
      <c r="FK442" s="77"/>
      <c r="FL442" s="77"/>
      <c r="FM442" s="77"/>
      <c r="FN442" s="77"/>
      <c r="FO442" s="77"/>
      <c r="FP442" s="77"/>
      <c r="FQ442" s="77"/>
      <c r="FR442" s="77"/>
      <c r="FS442" s="77"/>
      <c r="FT442" s="77"/>
      <c r="FU442" s="77"/>
      <c r="FV442" s="77"/>
      <c r="FW442" s="77"/>
      <c r="FX442" s="77"/>
      <c r="FY442" s="77"/>
      <c r="FZ442" s="77"/>
      <c r="GA442" s="77"/>
      <c r="GB442" s="77"/>
      <c r="GC442" s="77"/>
      <c r="GD442" s="77"/>
      <c r="GE442" s="77"/>
      <c r="GF442" s="77"/>
      <c r="GG442" s="77"/>
      <c r="GH442" s="77"/>
      <c r="GI442" s="77"/>
      <c r="GJ442" s="77"/>
      <c r="GK442" s="77"/>
      <c r="GL442" s="77"/>
      <c r="GM442" s="77"/>
      <c r="GN442" s="77"/>
      <c r="GO442" s="77"/>
      <c r="GP442" s="77"/>
      <c r="GQ442" s="77"/>
      <c r="GR442" s="77"/>
      <c r="GS442" s="77"/>
      <c r="GT442" s="77"/>
      <c r="GU442" s="77"/>
      <c r="GV442" s="77"/>
      <c r="GW442" s="77"/>
      <c r="GX442" s="77"/>
      <c r="GY442" s="77"/>
      <c r="GZ442" s="77"/>
      <c r="HA442" s="77"/>
      <c r="HB442" s="77"/>
      <c r="HC442" s="77"/>
      <c r="HD442" s="77"/>
      <c r="HE442" s="77"/>
      <c r="HF442" s="77"/>
      <c r="HG442" s="77"/>
      <c r="HH442" s="77"/>
      <c r="HI442" s="77"/>
      <c r="HJ442" s="77"/>
      <c r="HK442" s="77"/>
      <c r="HL442" s="77"/>
      <c r="HM442" s="77"/>
      <c r="HN442" s="77"/>
      <c r="HO442" s="77"/>
      <c r="HP442" s="77"/>
      <c r="HQ442" s="77"/>
      <c r="HR442" s="77"/>
      <c r="HS442" s="77"/>
      <c r="HT442" s="77"/>
      <c r="HU442" s="77"/>
      <c r="HV442" s="77"/>
      <c r="HW442" s="77"/>
      <c r="HX442" s="77"/>
      <c r="HY442" s="77"/>
      <c r="HZ442" s="77"/>
      <c r="IA442" s="77"/>
      <c r="IB442" s="77"/>
      <c r="IC442" s="77"/>
      <c r="IF442" s="77"/>
      <c r="IG442" s="77"/>
      <c r="IH442" s="77"/>
      <c r="II442" s="77"/>
      <c r="IJ442" s="77"/>
      <c r="IK442" s="77"/>
      <c r="IL442" s="77"/>
      <c r="IM442" s="77"/>
      <c r="IN442" s="77"/>
      <c r="IO442" s="77"/>
      <c r="IP442" s="77"/>
      <c r="IQ442" s="77"/>
      <c r="IR442" s="77"/>
      <c r="IS442" s="77"/>
      <c r="IT442" s="77"/>
      <c r="IU442" s="77"/>
      <c r="IV442" s="77"/>
      <c r="IW442" s="77"/>
      <c r="IX442" s="77"/>
      <c r="IY442" s="77"/>
      <c r="IZ442" s="77"/>
      <c r="JA442" s="77"/>
      <c r="JB442" s="77"/>
      <c r="JC442" s="77"/>
      <c r="JD442" s="77"/>
      <c r="JE442" s="77"/>
      <c r="JF442" s="77"/>
      <c r="JG442" s="77"/>
      <c r="JH442" s="77"/>
      <c r="JI442" s="77"/>
      <c r="JJ442" s="77"/>
      <c r="JK442" s="77"/>
      <c r="JL442" s="77"/>
      <c r="JM442" s="77"/>
      <c r="JN442" s="77"/>
      <c r="JO442" s="77"/>
      <c r="JP442" s="77"/>
      <c r="JQ442" s="77"/>
      <c r="JR442" s="77"/>
      <c r="JS442" s="77"/>
      <c r="JT442" s="77"/>
      <c r="JU442" s="77"/>
      <c r="JV442" s="77"/>
      <c r="JW442" s="77"/>
      <c r="JX442" s="77"/>
      <c r="JY442" s="77"/>
      <c r="JZ442" s="77"/>
      <c r="KA442" s="77"/>
      <c r="KB442" s="77"/>
      <c r="KC442" s="77"/>
      <c r="KD442" s="77"/>
      <c r="KE442" s="77"/>
      <c r="KF442" s="77"/>
      <c r="KG442" s="77"/>
      <c r="KH442" s="77"/>
      <c r="KI442" s="77"/>
      <c r="KJ442" s="77"/>
      <c r="KK442" s="77"/>
      <c r="KL442" s="77"/>
      <c r="KM442" s="77"/>
      <c r="KN442" s="77"/>
      <c r="KO442" s="77"/>
      <c r="KP442" s="77"/>
      <c r="KQ442" s="77"/>
      <c r="KR442" s="77"/>
      <c r="KS442" s="77"/>
      <c r="KT442" s="77"/>
      <c r="KU442" s="77"/>
      <c r="KV442" s="77"/>
      <c r="KW442" s="77"/>
      <c r="KX442" s="77"/>
      <c r="KY442" s="77"/>
      <c r="KZ442" s="77"/>
      <c r="LA442" s="77"/>
      <c r="LB442" s="77"/>
      <c r="LC442" s="77"/>
      <c r="LD442" s="77"/>
      <c r="LE442" s="77"/>
      <c r="LF442" s="77"/>
      <c r="LG442" s="77"/>
      <c r="LH442" s="77"/>
      <c r="LI442" s="77"/>
      <c r="LJ442" s="77"/>
      <c r="LK442" s="77"/>
      <c r="LL442" s="77"/>
      <c r="LM442" s="77"/>
      <c r="LN442" s="77"/>
      <c r="LO442" s="77"/>
      <c r="LP442" s="77"/>
      <c r="LQ442" s="77"/>
      <c r="LR442" s="77"/>
      <c r="LS442" s="77"/>
      <c r="LT442" s="77"/>
      <c r="LU442" s="77"/>
      <c r="LV442" s="77"/>
      <c r="LW442" s="77"/>
      <c r="LX442" s="77"/>
      <c r="LY442" s="77"/>
      <c r="LZ442" s="77"/>
      <c r="MA442" s="77"/>
      <c r="MB442" s="77"/>
      <c r="MC442" s="77"/>
      <c r="MD442" s="77"/>
      <c r="ME442" s="77"/>
      <c r="MF442" s="77"/>
      <c r="MG442" s="77"/>
      <c r="MH442" s="77"/>
      <c r="MI442" s="77"/>
      <c r="MJ442" s="77"/>
      <c r="MK442" s="77"/>
      <c r="ML442" s="77"/>
      <c r="MM442" s="77"/>
      <c r="MN442" s="77"/>
      <c r="MO442" s="77"/>
      <c r="MP442" s="77"/>
      <c r="MQ442" s="77"/>
      <c r="MR442" s="77"/>
      <c r="NE442" s="77"/>
      <c r="NF442" s="77"/>
      <c r="NG442" s="77"/>
      <c r="NH442" s="77"/>
      <c r="NI442" s="77"/>
      <c r="NJ442" s="77"/>
      <c r="NK442" s="77"/>
      <c r="NL442" s="77"/>
      <c r="NM442" s="77"/>
      <c r="NN442" s="77"/>
      <c r="NO442" s="77"/>
      <c r="NP442" s="77"/>
      <c r="NQ442" s="77"/>
      <c r="NR442" s="77"/>
      <c r="NS442" s="77"/>
      <c r="NT442" s="77"/>
      <c r="NU442" s="77"/>
      <c r="NV442" s="77"/>
      <c r="NW442" s="77"/>
      <c r="NX442" s="77"/>
      <c r="NY442" s="77"/>
      <c r="NZ442" s="77"/>
      <c r="OA442" s="77"/>
      <c r="OB442" s="77"/>
      <c r="OC442" s="77"/>
      <c r="OD442" s="77"/>
      <c r="OE442" s="77"/>
      <c r="OF442" s="77"/>
      <c r="OG442" s="77"/>
      <c r="OH442" s="77"/>
      <c r="OI442" s="77"/>
      <c r="OJ442" s="77"/>
      <c r="OK442" s="77"/>
      <c r="OL442" s="77"/>
      <c r="OM442" s="77"/>
      <c r="ON442" s="77"/>
      <c r="OO442" s="77"/>
      <c r="OP442" s="77"/>
      <c r="OQ442" s="77"/>
      <c r="OR442" s="77"/>
      <c r="OS442" s="77"/>
      <c r="OT442" s="77"/>
      <c r="OU442" s="77"/>
      <c r="OV442" s="77"/>
      <c r="OW442" s="77"/>
      <c r="OX442" s="77"/>
      <c r="OY442" s="77"/>
      <c r="OZ442" s="77"/>
      <c r="PA442" s="77"/>
      <c r="PB442" s="77"/>
      <c r="PC442" s="77"/>
      <c r="PD442" s="77"/>
      <c r="PE442" s="77"/>
    </row>
    <row r="443" spans="1:421" ht="18.600000000000001" customHeight="1" x14ac:dyDescent="0.25">
      <c r="A443" s="119" t="s">
        <v>412</v>
      </c>
      <c r="B443" s="27" t="s">
        <v>1938</v>
      </c>
      <c r="C443" s="27" t="s">
        <v>1939</v>
      </c>
      <c r="D443" s="30" t="str">
        <f>HYPERLINK("https://twitter.com/kormany_hu","https://twitter.com/kormany_hu")</f>
        <v>https://twitter.com/kormany_hu</v>
      </c>
      <c r="E443" s="30" t="str">
        <f>HYPERLINK("http://twiplomacy.com/info/europe/Hungary","http://twiplomacy.com/info/europe/Hungary")</f>
        <v>http://twiplomacy.com/info/europe/Hungary</v>
      </c>
      <c r="F443" s="10" t="s">
        <v>332</v>
      </c>
      <c r="G443" s="10" t="s">
        <v>410</v>
      </c>
      <c r="H443" s="10" t="s">
        <v>788</v>
      </c>
      <c r="I443" s="10" t="s">
        <v>782</v>
      </c>
      <c r="J443" s="27" t="s">
        <v>1943</v>
      </c>
      <c r="K443" s="15" t="s">
        <v>4610</v>
      </c>
      <c r="L443" s="10" t="s">
        <v>771</v>
      </c>
      <c r="M443" s="10" t="s">
        <v>771</v>
      </c>
      <c r="N443" s="30" t="str">
        <f>HYPERLINK("https://twitter.com/kormany_hu/statuses/25945265361920001","https://twitter.com/kormany_hu/statuses/25945265361920001")</f>
        <v>https://twitter.com/kormany_hu/statuses/25945265361920001</v>
      </c>
      <c r="O443" s="27" t="s">
        <v>1941</v>
      </c>
      <c r="P443" s="80">
        <v>6</v>
      </c>
      <c r="Q443" s="80">
        <v>1</v>
      </c>
      <c r="R443" s="27" t="s">
        <v>2995</v>
      </c>
      <c r="S443" s="10" t="s">
        <v>1942</v>
      </c>
      <c r="T443" s="10" t="s">
        <v>771</v>
      </c>
      <c r="U443" s="10" t="s">
        <v>771</v>
      </c>
      <c r="V443" s="10" t="s">
        <v>771</v>
      </c>
      <c r="W443" s="10"/>
      <c r="X443" s="27" t="s">
        <v>412</v>
      </c>
      <c r="Y443" s="27" t="s">
        <v>1938</v>
      </c>
      <c r="Z443" s="80">
        <v>1107</v>
      </c>
      <c r="AA443" s="27">
        <v>0</v>
      </c>
      <c r="AB443" s="80">
        <v>1139</v>
      </c>
      <c r="AC443" s="27">
        <v>1</v>
      </c>
      <c r="AD443" s="27" t="s">
        <v>3947</v>
      </c>
      <c r="AE443" s="27">
        <v>237292791</v>
      </c>
      <c r="AF443" s="27" t="s">
        <v>1939</v>
      </c>
      <c r="AG443" s="27" t="s">
        <v>1940</v>
      </c>
      <c r="AH443" s="79">
        <v>0.57150232318017602</v>
      </c>
      <c r="AI443" s="83">
        <v>0.88844301765650102</v>
      </c>
      <c r="AJ443" s="80">
        <v>0.17450271247739599</v>
      </c>
      <c r="AK443" s="80">
        <v>3.25497287522604E-2</v>
      </c>
      <c r="AL443" s="13">
        <v>0</v>
      </c>
      <c r="AM443" s="97">
        <f>SUM(AL443/Z443)</f>
        <v>0</v>
      </c>
      <c r="AN443" s="27" t="s">
        <v>412</v>
      </c>
      <c r="AO443" s="27">
        <v>0</v>
      </c>
      <c r="AP443" s="27">
        <v>12</v>
      </c>
      <c r="AQ443" s="27">
        <v>0</v>
      </c>
      <c r="AR443" s="27">
        <f>SUM(AO443:AQ443)</f>
        <v>12</v>
      </c>
      <c r="AS443" s="27"/>
      <c r="AT443" s="27" t="s">
        <v>5241</v>
      </c>
      <c r="AU443" s="84"/>
      <c r="AV443" s="16"/>
      <c r="AW443" s="16"/>
      <c r="AX443" s="16"/>
      <c r="AY443" s="16"/>
      <c r="AZ443" s="16"/>
      <c r="BA443" s="16"/>
      <c r="BB443" s="16"/>
      <c r="BC443" s="16"/>
      <c r="BD443" s="16"/>
      <c r="BE443" s="16"/>
      <c r="BF443" s="16"/>
      <c r="BG443" s="16"/>
      <c r="BH443" s="16"/>
      <c r="BI443" s="16"/>
      <c r="BJ443" s="16"/>
      <c r="BK443" s="16"/>
      <c r="BL443" s="16"/>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EM443" s="77"/>
      <c r="EN443" s="77"/>
      <c r="EO443" s="77"/>
      <c r="EP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c r="HY443" s="77"/>
      <c r="HZ443" s="77"/>
      <c r="IA443" s="77"/>
      <c r="IB443" s="77"/>
      <c r="IC443" s="77"/>
      <c r="ID443" s="16"/>
      <c r="IE443" s="16"/>
      <c r="JY443" s="77"/>
      <c r="JZ443" s="77"/>
      <c r="KA443" s="77"/>
      <c r="KB443" s="77"/>
      <c r="KC443" s="77"/>
      <c r="KD443" s="77"/>
      <c r="KE443" s="77"/>
      <c r="KF443" s="77"/>
      <c r="KG443" s="77"/>
      <c r="KH443" s="77"/>
      <c r="KI443" s="77"/>
      <c r="KJ443" s="77"/>
      <c r="KK443" s="77"/>
      <c r="KL443" s="77"/>
      <c r="KM443" s="77"/>
      <c r="KN443" s="77"/>
      <c r="KO443" s="77"/>
      <c r="KP443" s="77"/>
      <c r="KQ443" s="77"/>
      <c r="KR443" s="77"/>
      <c r="KS443" s="77"/>
      <c r="KT443" s="77"/>
      <c r="KU443" s="77"/>
      <c r="KV443" s="77"/>
      <c r="KW443" s="77"/>
      <c r="KX443" s="77"/>
      <c r="KY443" s="77"/>
      <c r="KZ443" s="77"/>
      <c r="LA443" s="77"/>
      <c r="LB443" s="77"/>
      <c r="LC443" s="77"/>
      <c r="LD443" s="77"/>
      <c r="LE443" s="77"/>
      <c r="LF443" s="77"/>
      <c r="LG443" s="77"/>
      <c r="LH443" s="77"/>
      <c r="LI443" s="77"/>
      <c r="LJ443" s="77"/>
      <c r="LK443" s="77"/>
      <c r="LL443" s="77"/>
      <c r="LM443" s="77"/>
      <c r="LN443" s="77"/>
      <c r="LO443" s="77"/>
      <c r="LP443" s="77"/>
      <c r="LQ443" s="77"/>
      <c r="LR443" s="77"/>
      <c r="LS443" s="77"/>
      <c r="LT443" s="77"/>
      <c r="LU443" s="77"/>
      <c r="LV443" s="77"/>
    </row>
    <row r="444" spans="1:421" ht="18.600000000000001" customHeight="1" x14ac:dyDescent="0.25">
      <c r="A444" s="119" t="s">
        <v>580</v>
      </c>
      <c r="B444" s="27" t="s">
        <v>2454</v>
      </c>
      <c r="C444" s="27" t="s">
        <v>2455</v>
      </c>
      <c r="D444" s="30" t="str">
        <f>HYPERLINK("https://twitter.com/RaulCastroR","https://twitter.com/RaulCastroR")</f>
        <v>https://twitter.com/RaulCastroR</v>
      </c>
      <c r="E444" s="30" t="str">
        <f>HYPERLINK("http://twiplomacy.com/info/north-america/Cuba","http://twiplomacy.com/info/north-america/Cuba")</f>
        <v>http://twiplomacy.com/info/north-america/Cuba</v>
      </c>
      <c r="F444" s="10" t="s">
        <v>558</v>
      </c>
      <c r="G444" s="10" t="s">
        <v>579</v>
      </c>
      <c r="H444" s="10" t="s">
        <v>772</v>
      </c>
      <c r="I444" s="10" t="s">
        <v>773</v>
      </c>
      <c r="J444" s="27" t="s">
        <v>2226</v>
      </c>
      <c r="K444" s="15" t="s">
        <v>777</v>
      </c>
      <c r="L444" s="10" t="s">
        <v>771</v>
      </c>
      <c r="M444" s="10" t="s">
        <v>771</v>
      </c>
      <c r="N444" s="30" t="str">
        <f>HYPERLINK("https://twitter.com/RaulCastroR/statuses/64750857589243905","https://twitter.com/RaulCastroR/statuses/64750857589243905")</f>
        <v>https://twitter.com/RaulCastroR/statuses/64750857589243905</v>
      </c>
      <c r="O444" s="27" t="s">
        <v>2456</v>
      </c>
      <c r="P444" s="80">
        <v>484</v>
      </c>
      <c r="Q444" s="80">
        <v>43</v>
      </c>
      <c r="R444" s="27" t="s">
        <v>2995</v>
      </c>
      <c r="S444" s="10" t="s">
        <v>2457</v>
      </c>
      <c r="T444" s="10" t="s">
        <v>771</v>
      </c>
      <c r="U444" s="10" t="s">
        <v>771</v>
      </c>
      <c r="V444" s="10" t="s">
        <v>771</v>
      </c>
      <c r="W444" s="73"/>
      <c r="X444" s="27" t="s">
        <v>580</v>
      </c>
      <c r="Y444" s="27" t="s">
        <v>2454</v>
      </c>
      <c r="Z444" s="80">
        <v>1106</v>
      </c>
      <c r="AA444" s="27">
        <v>36</v>
      </c>
      <c r="AB444" s="80">
        <v>203884</v>
      </c>
      <c r="AC444" s="27">
        <v>0</v>
      </c>
      <c r="AD444" s="27" t="s">
        <v>4405</v>
      </c>
      <c r="AE444" s="27">
        <v>291220589</v>
      </c>
      <c r="AF444" s="27" t="s">
        <v>2455</v>
      </c>
      <c r="AG444" s="27" t="s">
        <v>579</v>
      </c>
      <c r="AH444" s="79">
        <v>0.60503282275711201</v>
      </c>
      <c r="AI444" s="83">
        <v>0.60536398467432995</v>
      </c>
      <c r="AJ444" s="80">
        <v>22.964673913043502</v>
      </c>
      <c r="AK444" s="80">
        <v>8.09963768115942</v>
      </c>
      <c r="AL444" s="13">
        <v>0</v>
      </c>
      <c r="AM444" s="97">
        <f>SUM(AL444/Z444)</f>
        <v>0</v>
      </c>
      <c r="AN444" s="27" t="s">
        <v>580</v>
      </c>
      <c r="AO444" s="27">
        <v>2</v>
      </c>
      <c r="AP444" s="27">
        <v>21</v>
      </c>
      <c r="AQ444" s="27">
        <v>1</v>
      </c>
      <c r="AR444" s="27">
        <f>SUM(AO444:AQ444)</f>
        <v>24</v>
      </c>
      <c r="AS444" s="27" t="s">
        <v>5460</v>
      </c>
      <c r="AT444" s="27" t="s">
        <v>6845</v>
      </c>
      <c r="AU444" s="84" t="s">
        <v>581</v>
      </c>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Y444" s="16"/>
      <c r="LZ444" s="16"/>
      <c r="MA444" s="16"/>
      <c r="MB444" s="16"/>
      <c r="MC444" s="16"/>
      <c r="MD444" s="16"/>
      <c r="ME444" s="16"/>
      <c r="MF444" s="16"/>
      <c r="MG444" s="16"/>
      <c r="MH444" s="16"/>
      <c r="MI444" s="16"/>
      <c r="MJ444" s="16"/>
      <c r="MK444" s="16"/>
      <c r="ML444" s="16"/>
      <c r="MM444" s="16"/>
      <c r="MN444" s="16"/>
      <c r="MO444" s="16"/>
      <c r="MP444" s="16"/>
      <c r="MQ444" s="16"/>
      <c r="MR444" s="16"/>
    </row>
    <row r="445" spans="1:421" ht="18.600000000000001" customHeight="1" x14ac:dyDescent="0.25">
      <c r="A445" s="119" t="s">
        <v>76</v>
      </c>
      <c r="B445" s="27" t="s">
        <v>971</v>
      </c>
      <c r="C445" s="27" t="s">
        <v>972</v>
      </c>
      <c r="D445" s="30" t="str">
        <f>HYPERLINK("https://twitter.com/PresidenceMada","https://twitter.com/PresidenceMada")</f>
        <v>https://twitter.com/PresidenceMada</v>
      </c>
      <c r="E445" s="30" t="str">
        <f>HYPERLINK("http://twiplomacy.com/info/africa/Madagascar","http://twiplomacy.com/info/africa/Madagascar")</f>
        <v>http://twiplomacy.com/info/africa/Madagascar</v>
      </c>
      <c r="F445" s="10" t="s">
        <v>1</v>
      </c>
      <c r="G445" s="10" t="s">
        <v>75</v>
      </c>
      <c r="H445" s="10" t="s">
        <v>781</v>
      </c>
      <c r="I445" s="10" t="s">
        <v>782</v>
      </c>
      <c r="J445" s="27" t="s">
        <v>779</v>
      </c>
      <c r="K445" s="15" t="s">
        <v>777</v>
      </c>
      <c r="L445" s="10" t="s">
        <v>771</v>
      </c>
      <c r="M445" s="10" t="s">
        <v>770</v>
      </c>
      <c r="N445" s="30" t="str">
        <f>HYPERLINK("https://twitter.com/PresidenceMada/statuses/447856671147442176","https://twitter.com/PresidenceMada/statuses/447856671147442176")</f>
        <v>https://twitter.com/PresidenceMada/statuses/447856671147442176</v>
      </c>
      <c r="O445" s="27" t="s">
        <v>6033</v>
      </c>
      <c r="P445" s="80">
        <v>22</v>
      </c>
      <c r="Q445" s="80">
        <v>0</v>
      </c>
      <c r="R445" s="27" t="s">
        <v>2995</v>
      </c>
      <c r="S445" s="10" t="s">
        <v>973</v>
      </c>
      <c r="T445" s="10" t="s">
        <v>771</v>
      </c>
      <c r="U445" s="10" t="s">
        <v>771</v>
      </c>
      <c r="V445" s="10" t="s">
        <v>771</v>
      </c>
      <c r="W445" s="10"/>
      <c r="X445" s="27" t="s">
        <v>76</v>
      </c>
      <c r="Y445" s="27" t="s">
        <v>971</v>
      </c>
      <c r="Z445" s="80">
        <v>1084</v>
      </c>
      <c r="AA445" s="27">
        <v>147</v>
      </c>
      <c r="AB445" s="80">
        <v>4624</v>
      </c>
      <c r="AC445" s="27">
        <v>8</v>
      </c>
      <c r="AD445" s="27" t="s">
        <v>4321</v>
      </c>
      <c r="AE445" s="27">
        <v>2407830288</v>
      </c>
      <c r="AF445" s="27" t="s">
        <v>972</v>
      </c>
      <c r="AG445" s="27" t="s">
        <v>974</v>
      </c>
      <c r="AH445" s="79">
        <v>1.40779220779221</v>
      </c>
      <c r="AI445" s="83">
        <v>1.4114583333333299</v>
      </c>
      <c r="AJ445" s="80">
        <v>1.13575525812619</v>
      </c>
      <c r="AK445" s="80">
        <v>0.69789674952198899</v>
      </c>
      <c r="AL445" s="27">
        <v>120</v>
      </c>
      <c r="AM445" s="97">
        <f>SUM(AL445/Z445)</f>
        <v>0.11070110701107011</v>
      </c>
      <c r="AN445" s="27" t="s">
        <v>76</v>
      </c>
      <c r="AO445" s="27">
        <v>6</v>
      </c>
      <c r="AP445" s="27">
        <v>9</v>
      </c>
      <c r="AQ445" s="27">
        <v>0</v>
      </c>
      <c r="AR445" s="27">
        <f>SUM(AO445:AQ445)</f>
        <v>15</v>
      </c>
      <c r="AS445" s="27" t="s">
        <v>5423</v>
      </c>
      <c r="AT445" s="27" t="s">
        <v>6830</v>
      </c>
      <c r="AU445" s="84"/>
      <c r="AV445" s="77"/>
      <c r="AW445" s="77"/>
      <c r="AX445" s="77"/>
      <c r="AY445" s="77"/>
      <c r="AZ445" s="77"/>
      <c r="BA445" s="77"/>
      <c r="BB445" s="77"/>
      <c r="BC445" s="77"/>
      <c r="BD445" s="77"/>
      <c r="BE445" s="77"/>
      <c r="BF445" s="77"/>
      <c r="BG445" s="77"/>
      <c r="BH445" s="77"/>
      <c r="BI445" s="77"/>
      <c r="BJ445" s="77"/>
      <c r="BK445" s="77"/>
      <c r="BL445" s="77"/>
      <c r="BM445" s="77"/>
      <c r="BN445" s="77"/>
      <c r="BO445" s="77"/>
      <c r="BP445" s="77"/>
      <c r="BQ445" s="77"/>
      <c r="BR445" s="77"/>
      <c r="BS445" s="77"/>
      <c r="BT445" s="77"/>
      <c r="BU445" s="77"/>
      <c r="BV445" s="77"/>
      <c r="BW445" s="77"/>
      <c r="BX445" s="77"/>
      <c r="BY445" s="77"/>
      <c r="BZ445" s="77"/>
      <c r="CA445" s="77"/>
      <c r="CB445" s="77"/>
      <c r="EM445" s="77"/>
      <c r="EN445" s="77"/>
      <c r="EO445" s="77"/>
      <c r="EP445" s="77"/>
      <c r="EQ445" s="77"/>
      <c r="ER445" s="77"/>
      <c r="ES445" s="77"/>
      <c r="ET445" s="77"/>
      <c r="EU445" s="77"/>
      <c r="EV445" s="77"/>
      <c r="EW445" s="77"/>
      <c r="EX445" s="77"/>
      <c r="EY445" s="77"/>
      <c r="EZ445" s="77"/>
      <c r="FA445" s="77"/>
      <c r="FB445" s="77"/>
      <c r="FC445" s="77"/>
      <c r="FD445" s="77"/>
      <c r="FE445" s="77"/>
      <c r="FF445" s="77"/>
      <c r="FG445" s="77"/>
      <c r="FH445" s="77"/>
      <c r="FI445" s="77"/>
      <c r="FJ445" s="77"/>
      <c r="FK445" s="77"/>
      <c r="FL445" s="77"/>
      <c r="FM445" s="77"/>
      <c r="FN445" s="77"/>
      <c r="FO445" s="77"/>
      <c r="FP445" s="77"/>
      <c r="FQ445" s="77"/>
      <c r="FR445" s="77"/>
      <c r="FS445" s="77"/>
      <c r="FT445" s="77"/>
      <c r="FU445" s="77"/>
      <c r="FV445" s="77"/>
      <c r="FW445" s="77"/>
      <c r="FX445" s="77"/>
      <c r="FY445" s="77"/>
      <c r="FZ445" s="77"/>
      <c r="GA445" s="77"/>
      <c r="GB445" s="77"/>
      <c r="GC445" s="77"/>
      <c r="GD445" s="77"/>
      <c r="GE445" s="77"/>
      <c r="GF445" s="77"/>
      <c r="GG445" s="77"/>
      <c r="GH445" s="77"/>
      <c r="GI445" s="77"/>
      <c r="GJ445" s="77"/>
      <c r="GK445" s="77"/>
      <c r="GL445" s="77"/>
      <c r="GM445" s="77"/>
      <c r="GN445" s="77"/>
      <c r="GO445" s="77"/>
      <c r="GP445" s="77"/>
      <c r="GQ445" s="77"/>
      <c r="GR445" s="77"/>
      <c r="GS445" s="77"/>
      <c r="GT445" s="77"/>
      <c r="GU445" s="77"/>
      <c r="GV445" s="77"/>
      <c r="GW445" s="77"/>
      <c r="GX445" s="77"/>
      <c r="GY445" s="77"/>
      <c r="GZ445" s="77"/>
      <c r="HA445" s="77"/>
      <c r="HB445" s="77"/>
      <c r="HC445" s="77"/>
      <c r="HD445" s="77"/>
      <c r="HE445" s="77"/>
      <c r="HF445" s="77"/>
      <c r="HG445" s="77"/>
      <c r="HH445" s="77"/>
      <c r="HI445" s="77"/>
      <c r="HJ445" s="77"/>
      <c r="HK445" s="77"/>
      <c r="IF445" s="77"/>
      <c r="IG445" s="77"/>
      <c r="IH445" s="77"/>
      <c r="II445" s="77"/>
      <c r="IJ445" s="77"/>
      <c r="IK445" s="77"/>
      <c r="IL445" s="77"/>
      <c r="IM445" s="77"/>
      <c r="IN445" s="77"/>
      <c r="IO445" s="77"/>
      <c r="IP445" s="77"/>
      <c r="IQ445" s="77"/>
      <c r="IR445" s="77"/>
      <c r="IS445" s="77"/>
      <c r="IT445" s="77"/>
      <c r="IU445" s="77"/>
      <c r="IV445" s="77"/>
      <c r="IW445" s="77"/>
      <c r="IX445" s="77"/>
      <c r="IY445" s="77"/>
      <c r="IZ445" s="77"/>
      <c r="JA445" s="77"/>
      <c r="JB445" s="77"/>
      <c r="JC445" s="77"/>
      <c r="JD445" s="77"/>
      <c r="JE445" s="77"/>
      <c r="JF445" s="77"/>
      <c r="JG445" s="77"/>
      <c r="JH445" s="77"/>
      <c r="JI445" s="77"/>
      <c r="JJ445" s="77"/>
      <c r="JK445" s="77"/>
      <c r="JL445" s="77"/>
      <c r="JM445" s="77"/>
      <c r="JN445" s="77"/>
      <c r="JO445" s="77"/>
      <c r="JP445" s="77"/>
      <c r="JQ445" s="77"/>
      <c r="JR445" s="77"/>
      <c r="JS445" s="77"/>
      <c r="JT445" s="77"/>
      <c r="JU445" s="77"/>
      <c r="JV445" s="77"/>
      <c r="JW445" s="77"/>
      <c r="JX445" s="77"/>
      <c r="JY445" s="77"/>
      <c r="JZ445" s="77"/>
      <c r="KA445" s="77"/>
      <c r="KB445" s="77"/>
      <c r="KC445" s="77"/>
      <c r="KD445" s="77"/>
      <c r="KE445" s="77"/>
      <c r="KF445" s="77"/>
      <c r="KG445" s="77"/>
      <c r="KH445" s="77"/>
      <c r="KI445" s="77"/>
      <c r="KJ445" s="77"/>
      <c r="KK445" s="77"/>
      <c r="KL445" s="77"/>
      <c r="LL445" s="77"/>
      <c r="LM445" s="77"/>
      <c r="LN445" s="77"/>
      <c r="LO445" s="77"/>
      <c r="LP445" s="77"/>
      <c r="LQ445" s="77"/>
      <c r="LR445" s="77"/>
      <c r="LS445" s="77"/>
      <c r="LT445" s="77"/>
      <c r="LU445" s="77"/>
      <c r="LV445" s="77"/>
      <c r="LW445" s="77"/>
      <c r="LX445" s="77"/>
      <c r="MS445" s="77"/>
      <c r="ND445" s="77"/>
    </row>
    <row r="446" spans="1:421" ht="18.600000000000001" customHeight="1" x14ac:dyDescent="0.25">
      <c r="A446" s="119" t="s">
        <v>1030</v>
      </c>
      <c r="B446" s="27" t="s">
        <v>1031</v>
      </c>
      <c r="C446" s="27" t="s">
        <v>4191</v>
      </c>
      <c r="D446" s="30" t="str">
        <f>HYPERLINK("https://twitter.com/NGRPresident","https://twitter.com/NGRPresident")</f>
        <v>https://twitter.com/NGRPresident</v>
      </c>
      <c r="E446" s="30" t="str">
        <f>HYPERLINK("http://twiplomacy.com/info/africa/Nigeria","http://twiplomacy.com/info/africa/Nigeria")</f>
        <v>http://twiplomacy.com/info/africa/Nigeria</v>
      </c>
      <c r="F446" s="10" t="s">
        <v>1</v>
      </c>
      <c r="G446" s="10" t="s">
        <v>95</v>
      </c>
      <c r="H446" s="10" t="s">
        <v>772</v>
      </c>
      <c r="I446" s="10" t="s">
        <v>782</v>
      </c>
      <c r="J446" s="27" t="s">
        <v>789</v>
      </c>
      <c r="K446" s="15" t="s">
        <v>777</v>
      </c>
      <c r="L446" s="10" t="s">
        <v>771</v>
      </c>
      <c r="M446" s="10" t="s">
        <v>770</v>
      </c>
      <c r="N446" s="30" t="s">
        <v>3120</v>
      </c>
      <c r="O446" s="27" t="s">
        <v>3179</v>
      </c>
      <c r="P446" s="80">
        <v>1257</v>
      </c>
      <c r="Q446" s="80">
        <v>117</v>
      </c>
      <c r="R446" s="27" t="s">
        <v>2994</v>
      </c>
      <c r="S446" s="12" t="s">
        <v>3094</v>
      </c>
      <c r="T446" s="10" t="s">
        <v>771</v>
      </c>
      <c r="U446" s="10" t="s">
        <v>771</v>
      </c>
      <c r="V446" s="10" t="s">
        <v>771</v>
      </c>
      <c r="W446" s="20"/>
      <c r="X446" s="27" t="s">
        <v>1030</v>
      </c>
      <c r="Y446" s="27" t="s">
        <v>1031</v>
      </c>
      <c r="Z446" s="80">
        <v>1080</v>
      </c>
      <c r="AA446" s="27">
        <v>7</v>
      </c>
      <c r="AB446" s="80">
        <v>245051</v>
      </c>
      <c r="AC446" s="27">
        <v>36</v>
      </c>
      <c r="AD446" s="27" t="s">
        <v>4192</v>
      </c>
      <c r="AE446" s="27">
        <v>2964950313</v>
      </c>
      <c r="AF446" s="27" t="s">
        <v>4191</v>
      </c>
      <c r="AG446" s="27" t="s">
        <v>4193</v>
      </c>
      <c r="AH446" s="79">
        <v>2.2474012474012501</v>
      </c>
      <c r="AI446" s="83">
        <v>2.2520833333333301</v>
      </c>
      <c r="AJ446" s="80">
        <v>192.151338766007</v>
      </c>
      <c r="AK446" s="80">
        <v>48.107101280558801</v>
      </c>
      <c r="AL446" s="27">
        <v>288</v>
      </c>
      <c r="AM446" s="97">
        <f>SUM(AL446/Z446)</f>
        <v>0.26666666666666666</v>
      </c>
      <c r="AN446" s="27" t="s">
        <v>1030</v>
      </c>
      <c r="AO446" s="27">
        <v>0</v>
      </c>
      <c r="AP446" s="27">
        <v>8</v>
      </c>
      <c r="AQ446" s="27">
        <v>2</v>
      </c>
      <c r="AR446" s="27">
        <f>SUM(AO446:AQ446)</f>
        <v>10</v>
      </c>
      <c r="AS446" s="27"/>
      <c r="AT446" s="27" t="s">
        <v>6802</v>
      </c>
      <c r="AU446" s="84" t="s">
        <v>4879</v>
      </c>
      <c r="AV446" s="77"/>
      <c r="AW446" s="77"/>
      <c r="AX446" s="77"/>
      <c r="AY446" s="77"/>
      <c r="AZ446" s="77"/>
      <c r="BA446" s="77"/>
      <c r="BB446" s="77"/>
      <c r="BC446" s="77"/>
      <c r="BD446" s="77"/>
      <c r="BE446" s="77"/>
      <c r="BF446" s="77"/>
      <c r="BG446" s="77"/>
      <c r="BH446" s="77"/>
      <c r="BI446" s="77"/>
      <c r="BJ446" s="77"/>
      <c r="BK446" s="77"/>
      <c r="BL446" s="77"/>
      <c r="BM446" s="77"/>
      <c r="BN446" s="77"/>
      <c r="BO446" s="77"/>
      <c r="BP446" s="77"/>
      <c r="BQ446" s="77"/>
      <c r="BR446" s="77"/>
      <c r="BS446" s="77"/>
      <c r="BT446" s="77"/>
      <c r="BU446" s="77"/>
      <c r="BV446" s="77"/>
      <c r="BW446" s="77"/>
      <c r="BX446" s="77"/>
      <c r="BY446" s="77"/>
      <c r="BZ446" s="77"/>
      <c r="CA446" s="77"/>
      <c r="CB446" s="77"/>
      <c r="CK446" s="77"/>
      <c r="CL446" s="77"/>
      <c r="CM446" s="77"/>
      <c r="CN446" s="77"/>
      <c r="CO446" s="77"/>
      <c r="CP446" s="77"/>
      <c r="CQ446" s="77"/>
      <c r="CR446" s="77"/>
      <c r="CS446" s="77"/>
      <c r="CT446" s="77"/>
      <c r="CU446" s="77"/>
      <c r="CV446" s="77"/>
      <c r="CW446" s="77"/>
      <c r="CX446" s="77"/>
      <c r="CY446" s="77"/>
      <c r="CZ446" s="77"/>
      <c r="DA446" s="77"/>
      <c r="DB446" s="77"/>
      <c r="DC446" s="77"/>
      <c r="DD446" s="77"/>
      <c r="DE446" s="77"/>
      <c r="DF446" s="77"/>
      <c r="DG446" s="77"/>
      <c r="DH446" s="77"/>
      <c r="DI446" s="77"/>
      <c r="DJ446" s="77"/>
      <c r="DK446" s="77"/>
      <c r="DL446" s="77"/>
      <c r="DM446" s="77"/>
      <c r="DN446" s="77"/>
      <c r="DO446" s="77"/>
      <c r="DP446" s="77"/>
      <c r="DQ446" s="77"/>
      <c r="DR446" s="77"/>
      <c r="DS446" s="77"/>
      <c r="DT446" s="77"/>
      <c r="DU446" s="77"/>
      <c r="DV446" s="77"/>
      <c r="DW446" s="77"/>
      <c r="DX446" s="77"/>
      <c r="DY446" s="77"/>
      <c r="DZ446" s="77"/>
      <c r="EA446" s="77"/>
      <c r="EB446" s="77"/>
      <c r="EC446" s="77"/>
      <c r="ED446" s="77"/>
      <c r="EE446" s="77"/>
      <c r="EF446" s="77"/>
      <c r="EG446" s="77"/>
      <c r="EH446" s="77"/>
      <c r="EI446" s="77"/>
      <c r="EJ446" s="77"/>
      <c r="EK446" s="77"/>
      <c r="EL446" s="77"/>
      <c r="EM446" s="77"/>
      <c r="EN446" s="77"/>
      <c r="EO446" s="77"/>
      <c r="EP446" s="77"/>
      <c r="EQ446" s="77"/>
      <c r="ER446" s="77"/>
      <c r="ES446" s="77"/>
      <c r="ET446" s="77"/>
      <c r="EU446" s="77"/>
      <c r="EV446" s="77"/>
      <c r="EW446" s="77"/>
      <c r="EX446" s="77"/>
      <c r="EY446" s="77"/>
      <c r="EZ446" s="77"/>
      <c r="FA446" s="77"/>
      <c r="FB446" s="77"/>
      <c r="FC446" s="77"/>
      <c r="FD446" s="77"/>
      <c r="FE446" s="77"/>
      <c r="FF446" s="77"/>
      <c r="FG446" s="77"/>
      <c r="FH446" s="77"/>
      <c r="FI446" s="77"/>
      <c r="FJ446" s="77"/>
      <c r="FK446" s="77"/>
      <c r="FL446" s="77"/>
      <c r="FM446" s="77"/>
      <c r="FN446" s="77"/>
      <c r="FO446" s="77"/>
      <c r="FP446" s="77"/>
      <c r="FQ446" s="77"/>
      <c r="FR446" s="77"/>
      <c r="FS446" s="77"/>
      <c r="FT446" s="77"/>
      <c r="FU446" s="77"/>
      <c r="FV446" s="77"/>
      <c r="FW446" s="77"/>
      <c r="FX446" s="77"/>
      <c r="FY446" s="77"/>
      <c r="FZ446" s="77"/>
      <c r="GA446" s="77"/>
      <c r="GB446" s="77"/>
      <c r="GC446" s="77"/>
      <c r="GD446" s="77"/>
      <c r="GE446" s="77"/>
      <c r="GF446" s="77"/>
      <c r="GG446" s="77"/>
      <c r="GH446" s="77"/>
      <c r="GI446" s="77"/>
      <c r="GJ446" s="77"/>
      <c r="GK446" s="77"/>
      <c r="GL446" s="77"/>
      <c r="GM446" s="77"/>
      <c r="GN446" s="77"/>
      <c r="GO446" s="77"/>
      <c r="GP446" s="77"/>
      <c r="GQ446" s="77"/>
      <c r="GR446" s="77"/>
      <c r="GS446" s="77"/>
      <c r="GT446" s="77"/>
      <c r="GU446" s="77"/>
      <c r="GV446" s="77"/>
      <c r="GW446" s="77"/>
      <c r="GX446" s="77"/>
      <c r="GY446" s="77"/>
      <c r="GZ446" s="77"/>
      <c r="HA446" s="77"/>
      <c r="HB446" s="77"/>
      <c r="HC446" s="77"/>
      <c r="HD446" s="77"/>
      <c r="HE446" s="77"/>
      <c r="HF446" s="77"/>
      <c r="HG446" s="77"/>
      <c r="HH446" s="77"/>
      <c r="HI446" s="77"/>
      <c r="HJ446" s="77"/>
      <c r="HK446" s="77"/>
      <c r="HL446" s="77"/>
      <c r="HM446" s="77"/>
      <c r="HN446" s="77"/>
      <c r="HO446" s="77"/>
      <c r="HP446" s="77"/>
      <c r="HQ446" s="77"/>
      <c r="HR446" s="77"/>
      <c r="HS446" s="77"/>
      <c r="HT446" s="77"/>
      <c r="HU446" s="77"/>
      <c r="HV446" s="77"/>
      <c r="HW446" s="77"/>
      <c r="HX446" s="77"/>
      <c r="HY446" s="77"/>
      <c r="HZ446" s="77"/>
      <c r="IA446" s="77"/>
      <c r="IB446" s="77"/>
      <c r="IC446" s="77"/>
      <c r="ID446" s="77"/>
      <c r="IE446" s="77"/>
      <c r="IF446" s="77"/>
      <c r="IG446" s="77"/>
      <c r="IH446" s="77"/>
      <c r="II446" s="77"/>
      <c r="IJ446" s="77"/>
      <c r="IK446" s="77"/>
      <c r="IL446" s="77"/>
      <c r="IM446" s="77"/>
      <c r="IN446" s="77"/>
      <c r="IO446" s="77"/>
      <c r="IP446" s="77"/>
      <c r="IQ446" s="77"/>
      <c r="IR446" s="77"/>
      <c r="IS446" s="77"/>
      <c r="IT446" s="77"/>
      <c r="IU446" s="77"/>
      <c r="IV446" s="77"/>
      <c r="IW446" s="77"/>
      <c r="IX446" s="77"/>
      <c r="IY446" s="77"/>
      <c r="IZ446" s="77"/>
      <c r="JA446" s="77"/>
      <c r="JB446" s="77"/>
      <c r="JC446" s="77"/>
      <c r="JD446" s="77"/>
      <c r="JE446" s="77"/>
      <c r="JF446" s="77"/>
      <c r="JG446" s="77"/>
      <c r="JH446" s="77"/>
      <c r="JI446" s="77"/>
      <c r="JJ446" s="77"/>
      <c r="JK446" s="77"/>
      <c r="JL446" s="77"/>
      <c r="JM446" s="77"/>
      <c r="JN446" s="77"/>
      <c r="JO446" s="77"/>
      <c r="JP446" s="77"/>
      <c r="JQ446" s="77"/>
      <c r="JR446" s="77"/>
      <c r="JS446" s="77"/>
      <c r="JT446" s="77"/>
      <c r="JU446" s="77"/>
      <c r="JV446" s="77"/>
      <c r="JW446" s="77"/>
      <c r="JX446" s="77"/>
      <c r="JY446" s="77"/>
      <c r="JZ446" s="77"/>
      <c r="KA446" s="77"/>
      <c r="KB446" s="77"/>
      <c r="KC446" s="77"/>
      <c r="KD446" s="77"/>
      <c r="KE446" s="77"/>
      <c r="KF446" s="77"/>
      <c r="KG446" s="77"/>
      <c r="KH446" s="77"/>
      <c r="KI446" s="77"/>
      <c r="KJ446" s="77"/>
      <c r="KK446" s="77"/>
      <c r="KL446" s="77"/>
      <c r="LL446" s="77"/>
      <c r="LM446" s="77"/>
      <c r="LN446" s="77"/>
      <c r="LO446" s="77"/>
      <c r="LP446" s="77"/>
      <c r="LQ446" s="77"/>
      <c r="LR446" s="77"/>
      <c r="LS446" s="77"/>
      <c r="LT446" s="77"/>
      <c r="LU446" s="77"/>
      <c r="LV446" s="77"/>
      <c r="LW446" s="77"/>
      <c r="LX446" s="77"/>
      <c r="LY446" s="77"/>
      <c r="LZ446" s="77"/>
      <c r="MA446" s="77"/>
      <c r="MB446" s="77"/>
      <c r="MC446" s="77"/>
      <c r="MD446" s="77"/>
      <c r="ME446" s="77"/>
      <c r="MF446" s="77"/>
      <c r="MG446" s="77"/>
      <c r="MH446" s="77"/>
      <c r="MI446" s="77"/>
      <c r="MJ446" s="77"/>
      <c r="MK446" s="77"/>
      <c r="ML446" s="77"/>
      <c r="MM446" s="77"/>
      <c r="MN446" s="77"/>
      <c r="MO446" s="77"/>
      <c r="MP446" s="77"/>
      <c r="MQ446" s="77"/>
      <c r="MR446" s="77"/>
    </row>
    <row r="447" spans="1:421" ht="18.600000000000001" customHeight="1" x14ac:dyDescent="0.25">
      <c r="A447" s="119" t="s">
        <v>309</v>
      </c>
      <c r="B447" s="27" t="s">
        <v>309</v>
      </c>
      <c r="C447" s="27"/>
      <c r="D447" s="30" t="str">
        <f>HYPERLINK("https://twitter.com/presstj","https://twitter.com/presstj")</f>
        <v>https://twitter.com/presstj</v>
      </c>
      <c r="E447" s="30" t="str">
        <f>HYPERLINK("http://twiplomacy.com/info/asia/Tajikistan","http://twiplomacy.com/info/asia/Tajikistan")</f>
        <v>http://twiplomacy.com/info/asia/Tajikistan</v>
      </c>
      <c r="F447" s="10" t="s">
        <v>154</v>
      </c>
      <c r="G447" s="10" t="s">
        <v>308</v>
      </c>
      <c r="H447" s="10" t="s">
        <v>781</v>
      </c>
      <c r="I447" s="10" t="s">
        <v>782</v>
      </c>
      <c r="J447" s="27" t="s">
        <v>1420</v>
      </c>
      <c r="K447" s="10" t="s">
        <v>777</v>
      </c>
      <c r="L447" s="10" t="s">
        <v>771</v>
      </c>
      <c r="M447" s="10" t="s">
        <v>770</v>
      </c>
      <c r="N447" s="30" t="str">
        <f>HYPERLINK("https://twitter.com/presstj/statuses/201866567582105600","https://twitter.com/presstj/statuses/201866567582105600")</f>
        <v>https://twitter.com/presstj/statuses/201866567582105600</v>
      </c>
      <c r="O447" s="27" t="s">
        <v>6052</v>
      </c>
      <c r="P447" s="80">
        <v>5</v>
      </c>
      <c r="Q447" s="80">
        <v>0</v>
      </c>
      <c r="R447" s="27" t="s">
        <v>2995</v>
      </c>
      <c r="S447" s="10" t="s">
        <v>1641</v>
      </c>
      <c r="T447" s="10" t="s">
        <v>771</v>
      </c>
      <c r="U447" s="10" t="s">
        <v>771</v>
      </c>
      <c r="V447" s="10" t="s">
        <v>771</v>
      </c>
      <c r="W447" s="10"/>
      <c r="X447" s="27" t="s">
        <v>309</v>
      </c>
      <c r="Y447" s="27" t="s">
        <v>309</v>
      </c>
      <c r="Z447" s="80">
        <v>1068</v>
      </c>
      <c r="AA447" s="27">
        <v>0</v>
      </c>
      <c r="AB447" s="80">
        <v>396</v>
      </c>
      <c r="AC447" s="27">
        <v>0</v>
      </c>
      <c r="AD447" s="27" t="s">
        <v>4372</v>
      </c>
      <c r="AE447" s="27">
        <v>579483133</v>
      </c>
      <c r="AF447" s="27"/>
      <c r="AG447" s="27" t="s">
        <v>1642</v>
      </c>
      <c r="AH447" s="79">
        <v>0.73706004140786796</v>
      </c>
      <c r="AI447" s="83">
        <v>0.73807878369039404</v>
      </c>
      <c r="AJ447" s="80">
        <v>9.6441947565543099E-2</v>
      </c>
      <c r="AK447" s="80">
        <v>0.13857677902621701</v>
      </c>
      <c r="AL447" s="13">
        <v>0</v>
      </c>
      <c r="AM447" s="97">
        <f>SUM(AL447/Z447)</f>
        <v>0</v>
      </c>
      <c r="AN447" s="27" t="s">
        <v>309</v>
      </c>
      <c r="AO447" s="27">
        <v>0</v>
      </c>
      <c r="AP447" s="27">
        <v>7</v>
      </c>
      <c r="AQ447" s="27">
        <v>0</v>
      </c>
      <c r="AR447" s="27">
        <f>SUM(AO447:AQ447)</f>
        <v>7</v>
      </c>
      <c r="AS447" s="27"/>
      <c r="AT447" s="27" t="s">
        <v>5446</v>
      </c>
      <c r="AU447" s="84"/>
      <c r="AV447" s="77"/>
      <c r="AW447" s="77"/>
      <c r="AX447" s="77"/>
      <c r="AY447" s="77"/>
      <c r="AZ447" s="77"/>
      <c r="BA447" s="77"/>
      <c r="BB447" s="77"/>
      <c r="BC447" s="77"/>
      <c r="BD447" s="77"/>
      <c r="BE447" s="77"/>
      <c r="BF447" s="77"/>
      <c r="BG447" s="77"/>
      <c r="BH447" s="77"/>
      <c r="BI447" s="77"/>
      <c r="BJ447" s="77"/>
      <c r="BK447" s="77"/>
      <c r="BL447" s="77"/>
      <c r="BM447" s="77"/>
      <c r="BN447" s="77"/>
      <c r="BO447" s="77"/>
      <c r="BP447" s="77"/>
      <c r="BQ447" s="77"/>
      <c r="BR447" s="77"/>
      <c r="BS447" s="77"/>
      <c r="BT447" s="77"/>
      <c r="BU447" s="77"/>
      <c r="BV447" s="77"/>
      <c r="BW447" s="77"/>
      <c r="BX447" s="77"/>
      <c r="BY447" s="77"/>
      <c r="BZ447" s="77"/>
      <c r="CA447" s="77"/>
      <c r="CB447" s="77"/>
      <c r="CC447" s="77"/>
      <c r="CD447" s="77"/>
      <c r="CE447" s="77"/>
      <c r="CF447" s="77"/>
      <c r="CG447" s="77"/>
      <c r="CH447" s="77"/>
      <c r="CI447" s="77"/>
      <c r="CJ447" s="77"/>
      <c r="CK447" s="77"/>
      <c r="CL447" s="77"/>
      <c r="CM447" s="77"/>
      <c r="CN447" s="77"/>
      <c r="CO447" s="77"/>
      <c r="CP447" s="77"/>
      <c r="CQ447" s="77"/>
      <c r="CR447" s="77"/>
      <c r="CS447" s="77"/>
      <c r="CT447" s="77"/>
      <c r="CU447" s="77"/>
      <c r="CV447" s="77"/>
      <c r="CW447" s="77"/>
      <c r="CX447" s="77"/>
      <c r="CY447" s="77"/>
      <c r="CZ447" s="77"/>
      <c r="DA447" s="77"/>
      <c r="DB447" s="77"/>
      <c r="DC447" s="77"/>
      <c r="DD447" s="77"/>
      <c r="DE447" s="77"/>
      <c r="DF447" s="77"/>
      <c r="DG447" s="77"/>
      <c r="DH447" s="77"/>
      <c r="DI447" s="77"/>
      <c r="DJ447" s="77"/>
      <c r="DK447" s="77"/>
      <c r="DL447" s="77"/>
      <c r="DM447" s="77"/>
      <c r="DN447" s="77"/>
      <c r="DO447" s="77"/>
      <c r="DP447" s="77"/>
      <c r="DQ447" s="77"/>
      <c r="DR447" s="77"/>
      <c r="DS447" s="77"/>
      <c r="DT447" s="77"/>
      <c r="DU447" s="77"/>
      <c r="DV447" s="77"/>
      <c r="DW447" s="77"/>
      <c r="DX447" s="77"/>
      <c r="DY447" s="77"/>
      <c r="DZ447" s="77"/>
      <c r="EA447" s="77"/>
      <c r="EB447" s="77"/>
      <c r="EC447" s="77"/>
      <c r="ED447" s="77"/>
      <c r="EE447" s="77"/>
      <c r="EF447" s="77"/>
      <c r="EG447" s="77"/>
      <c r="EH447" s="77"/>
      <c r="EI447" s="77"/>
      <c r="EJ447" s="77"/>
      <c r="EK447" s="77"/>
      <c r="EL447" s="77"/>
      <c r="EM447" s="77"/>
      <c r="EN447" s="77"/>
      <c r="EO447" s="77"/>
      <c r="EP447" s="77"/>
      <c r="HL447" s="77"/>
      <c r="HM447" s="77"/>
      <c r="HN447" s="77"/>
      <c r="HO447" s="77"/>
      <c r="HP447" s="77"/>
      <c r="HQ447" s="77"/>
      <c r="HR447" s="77"/>
      <c r="HS447" s="77"/>
      <c r="HT447" s="77"/>
      <c r="HU447" s="77"/>
      <c r="HV447" s="77"/>
      <c r="HW447" s="77"/>
      <c r="HX447" s="77"/>
      <c r="HY447" s="77"/>
      <c r="HZ447" s="77"/>
      <c r="IA447" s="77"/>
      <c r="IB447" s="77"/>
      <c r="IC447" s="77"/>
      <c r="ID447" s="77"/>
      <c r="IE447" s="77"/>
      <c r="IF447" s="77"/>
      <c r="IG447" s="77"/>
      <c r="IH447" s="77"/>
      <c r="II447" s="77"/>
      <c r="IJ447" s="77"/>
      <c r="IK447" s="77"/>
      <c r="IL447" s="77"/>
      <c r="IM447" s="77"/>
      <c r="IN447" s="77"/>
      <c r="IO447" s="77"/>
      <c r="IP447" s="77"/>
      <c r="IQ447" s="77"/>
      <c r="IR447" s="77"/>
      <c r="IS447" s="77"/>
      <c r="IT447" s="77"/>
      <c r="IU447" s="77"/>
      <c r="IV447" s="77"/>
      <c r="IW447" s="77"/>
      <c r="IX447" s="77"/>
      <c r="IY447" s="77"/>
      <c r="IZ447" s="77"/>
      <c r="JA447" s="77"/>
      <c r="JB447" s="77"/>
      <c r="JC447" s="77"/>
      <c r="JD447" s="77"/>
      <c r="JE447" s="77"/>
      <c r="JF447" s="77"/>
      <c r="JG447" s="77"/>
      <c r="JH447" s="77"/>
      <c r="JI447" s="77"/>
      <c r="JJ447" s="77"/>
      <c r="JK447" s="77"/>
      <c r="JL447" s="77"/>
      <c r="JM447" s="77"/>
      <c r="JN447" s="77"/>
      <c r="JO447" s="77"/>
      <c r="JP447" s="77"/>
      <c r="JQ447" s="77"/>
      <c r="JR447" s="77"/>
      <c r="JS447" s="77"/>
      <c r="JT447" s="77"/>
      <c r="JU447" s="77"/>
      <c r="JV447" s="77"/>
      <c r="JW447" s="77"/>
      <c r="JX447" s="77"/>
      <c r="JY447" s="77"/>
      <c r="JZ447" s="77"/>
      <c r="KA447" s="77"/>
      <c r="KB447" s="77"/>
      <c r="KC447" s="77"/>
      <c r="KD447" s="77"/>
      <c r="KE447" s="77"/>
      <c r="KF447" s="77"/>
      <c r="KG447" s="77"/>
      <c r="KH447" s="77"/>
      <c r="KI447" s="77"/>
      <c r="KJ447" s="77"/>
      <c r="KK447" s="77"/>
      <c r="KL447" s="77"/>
      <c r="KM447" s="77"/>
      <c r="KN447" s="77"/>
      <c r="KO447" s="77"/>
      <c r="KP447" s="77"/>
      <c r="KQ447" s="77"/>
      <c r="KR447" s="77"/>
      <c r="KS447" s="77"/>
      <c r="KT447" s="77"/>
      <c r="KU447" s="77"/>
      <c r="KV447" s="77"/>
      <c r="KW447" s="77"/>
      <c r="KX447" s="77"/>
      <c r="KY447" s="77"/>
      <c r="KZ447" s="77"/>
      <c r="LA447" s="77"/>
      <c r="LB447" s="77"/>
      <c r="LC447" s="77"/>
      <c r="LD447" s="77"/>
      <c r="LE447" s="77"/>
      <c r="LF447" s="77"/>
      <c r="LG447" s="77"/>
      <c r="LH447" s="77"/>
      <c r="LI447" s="77"/>
      <c r="LJ447" s="77"/>
      <c r="LK447" s="77"/>
      <c r="LL447" s="77"/>
      <c r="LM447" s="77"/>
      <c r="LN447" s="77"/>
      <c r="LO447" s="77"/>
      <c r="LP447" s="77"/>
      <c r="LQ447" s="77"/>
      <c r="LR447" s="77"/>
      <c r="LS447" s="77"/>
      <c r="LT447" s="77"/>
      <c r="LU447" s="77"/>
      <c r="LV447" s="77"/>
    </row>
    <row r="448" spans="1:421" ht="18.600000000000001" customHeight="1" x14ac:dyDescent="0.25">
      <c r="A448" s="119" t="s">
        <v>3368</v>
      </c>
      <c r="B448" s="27" t="s">
        <v>3852</v>
      </c>
      <c r="C448" s="27" t="s">
        <v>6404</v>
      </c>
      <c r="D448" s="51" t="s">
        <v>3361</v>
      </c>
      <c r="E448" s="30" t="str">
        <f>HYPERLINK("http://twiplomacy.com/info/asia/Israel","http://twiplomacy.com/info/asia/Israel")</f>
        <v>http://twiplomacy.com/info/asia/Israel</v>
      </c>
      <c r="F448" s="10" t="s">
        <v>154</v>
      </c>
      <c r="G448" s="10" t="s">
        <v>207</v>
      </c>
      <c r="H448" s="10" t="s">
        <v>795</v>
      </c>
      <c r="I448" s="10" t="s">
        <v>782</v>
      </c>
      <c r="J448" s="27" t="s">
        <v>789</v>
      </c>
      <c r="K448" s="15" t="s">
        <v>777</v>
      </c>
      <c r="L448" s="10"/>
      <c r="M448" s="10"/>
      <c r="N448" s="30" t="s">
        <v>3383</v>
      </c>
      <c r="O448" s="27" t="s">
        <v>3399</v>
      </c>
      <c r="P448" s="80">
        <v>14</v>
      </c>
      <c r="Q448" s="80">
        <v>22</v>
      </c>
      <c r="R448" s="27" t="s">
        <v>2994</v>
      </c>
      <c r="S448" s="12" t="s">
        <v>3378</v>
      </c>
      <c r="T448" s="10">
        <v>4</v>
      </c>
      <c r="U448" s="10">
        <v>2</v>
      </c>
      <c r="V448" s="10" t="s">
        <v>771</v>
      </c>
      <c r="W448" s="10"/>
      <c r="X448" s="27" t="s">
        <v>3368</v>
      </c>
      <c r="Y448" s="27" t="s">
        <v>3852</v>
      </c>
      <c r="Z448" s="80">
        <v>1056</v>
      </c>
      <c r="AA448" s="27">
        <v>292</v>
      </c>
      <c r="AB448" s="80">
        <v>5829</v>
      </c>
      <c r="AC448" s="27">
        <v>11</v>
      </c>
      <c r="AD448" s="27" t="s">
        <v>3853</v>
      </c>
      <c r="AE448" s="27">
        <v>357452665</v>
      </c>
      <c r="AF448" s="27" t="s">
        <v>6404</v>
      </c>
      <c r="AG448" s="27" t="s">
        <v>3854</v>
      </c>
      <c r="AH448" s="79">
        <v>0.61431064572425798</v>
      </c>
      <c r="AI448" s="83">
        <v>0.61538461538461497</v>
      </c>
      <c r="AJ448" s="80">
        <v>0.68588469184890699</v>
      </c>
      <c r="AK448" s="80">
        <v>0.82107355864811105</v>
      </c>
      <c r="AL448" s="27">
        <v>17</v>
      </c>
      <c r="AM448" s="97">
        <f>SUM(AL448/Z448)</f>
        <v>1.6098484848484848E-2</v>
      </c>
      <c r="AN448" s="27" t="s">
        <v>3368</v>
      </c>
      <c r="AO448" s="27">
        <v>2</v>
      </c>
      <c r="AP448" s="27">
        <v>0</v>
      </c>
      <c r="AQ448" s="27">
        <v>6</v>
      </c>
      <c r="AR448" s="27">
        <f>SUM(AO448:AQ448)</f>
        <v>8</v>
      </c>
      <c r="AS448" s="27" t="s">
        <v>5204</v>
      </c>
      <c r="AT448" s="27"/>
      <c r="AU448" s="84" t="s">
        <v>4767</v>
      </c>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77"/>
      <c r="CD448" s="77"/>
      <c r="CE448" s="77"/>
      <c r="CF448" s="77"/>
      <c r="CG448" s="77"/>
      <c r="CH448" s="77"/>
      <c r="CI448" s="77"/>
      <c r="CJ448" s="77"/>
      <c r="CK448" s="77"/>
      <c r="CL448" s="77"/>
      <c r="CM448" s="77"/>
      <c r="CN448" s="77"/>
      <c r="CO448" s="77"/>
      <c r="CP448" s="77"/>
      <c r="CQ448" s="77"/>
      <c r="CR448" s="77"/>
      <c r="CS448" s="77"/>
      <c r="CT448" s="77"/>
      <c r="CU448" s="77"/>
      <c r="CV448" s="77"/>
      <c r="CW448" s="77"/>
      <c r="CX448" s="77"/>
      <c r="CY448" s="77"/>
      <c r="CZ448" s="77"/>
      <c r="DA448" s="77"/>
      <c r="DB448" s="77"/>
      <c r="DC448" s="77"/>
      <c r="DD448" s="77"/>
      <c r="DE448" s="77"/>
      <c r="DF448" s="77"/>
      <c r="DG448" s="77"/>
      <c r="DH448" s="77"/>
      <c r="DI448" s="77"/>
      <c r="DJ448" s="77"/>
      <c r="DK448" s="77"/>
      <c r="DL448" s="77"/>
      <c r="DM448" s="77"/>
      <c r="DN448" s="77"/>
      <c r="DO448" s="77"/>
      <c r="DP448" s="77"/>
      <c r="DQ448" s="77"/>
      <c r="DR448" s="77"/>
      <c r="DS448" s="77"/>
      <c r="DT448" s="77"/>
      <c r="DU448" s="77"/>
      <c r="DV448" s="77"/>
      <c r="DW448" s="77"/>
      <c r="DX448" s="77"/>
      <c r="DY448" s="77"/>
      <c r="DZ448" s="77"/>
      <c r="EA448" s="77"/>
      <c r="EB448" s="77"/>
      <c r="EC448" s="77"/>
      <c r="ED448" s="77"/>
      <c r="EE448" s="77"/>
      <c r="EF448" s="77"/>
      <c r="EG448" s="77"/>
      <c r="EH448" s="77"/>
      <c r="EI448" s="77"/>
      <c r="EJ448" s="77"/>
      <c r="EK448" s="77"/>
      <c r="EL448" s="77"/>
      <c r="EM448" s="77"/>
      <c r="EN448" s="77"/>
      <c r="EO448" s="77"/>
      <c r="ER448" s="77"/>
      <c r="ES448" s="77"/>
      <c r="ET448" s="77"/>
      <c r="EU448" s="77"/>
      <c r="EV448" s="77"/>
      <c r="EW448" s="77"/>
      <c r="EX448" s="77"/>
      <c r="EY448" s="77"/>
      <c r="EZ448" s="77"/>
      <c r="FA448" s="77"/>
      <c r="FB448" s="77"/>
      <c r="FC448" s="77"/>
      <c r="FD448" s="77"/>
      <c r="FE448" s="77"/>
      <c r="FF448" s="77"/>
      <c r="FG448" s="77"/>
      <c r="FH448" s="77"/>
      <c r="FI448" s="77"/>
      <c r="FJ448" s="77"/>
      <c r="FK448" s="77"/>
      <c r="FL448" s="77"/>
      <c r="FM448" s="77"/>
      <c r="FN448" s="77"/>
      <c r="FO448" s="77"/>
      <c r="FP448" s="77"/>
      <c r="FQ448" s="77"/>
      <c r="FR448" s="77"/>
      <c r="FS448" s="77"/>
      <c r="FT448" s="77"/>
      <c r="FU448" s="77"/>
      <c r="FV448" s="77"/>
      <c r="FW448" s="77"/>
      <c r="FX448" s="77"/>
      <c r="FY448" s="77"/>
      <c r="FZ448" s="77"/>
      <c r="GA448" s="77"/>
      <c r="GB448" s="77"/>
      <c r="GC448" s="77"/>
      <c r="GD448" s="77"/>
      <c r="GE448" s="77"/>
      <c r="GF448" s="77"/>
      <c r="GG448" s="77"/>
      <c r="GH448" s="77"/>
      <c r="GI448" s="77"/>
      <c r="GJ448" s="77"/>
      <c r="GK448" s="77"/>
      <c r="GL448" s="77"/>
      <c r="GM448" s="77"/>
      <c r="GN448" s="77"/>
      <c r="GO448" s="77"/>
      <c r="GP448" s="77"/>
      <c r="GQ448" s="77"/>
      <c r="GR448" s="77"/>
      <c r="GS448" s="77"/>
      <c r="GT448" s="77"/>
      <c r="GU448" s="77"/>
      <c r="GV448" s="77"/>
      <c r="GW448" s="77"/>
      <c r="GX448" s="77"/>
      <c r="GY448" s="77"/>
      <c r="GZ448" s="77"/>
      <c r="HA448" s="77"/>
      <c r="HB448" s="77"/>
      <c r="HC448" s="77"/>
      <c r="HD448" s="77"/>
      <c r="HE448" s="77"/>
      <c r="HF448" s="77"/>
      <c r="HG448" s="77"/>
      <c r="HH448" s="77"/>
      <c r="HI448" s="77"/>
      <c r="HJ448" s="77"/>
      <c r="HK448" s="77"/>
      <c r="HL448" s="77"/>
      <c r="HM448" s="77"/>
      <c r="HN448" s="77"/>
      <c r="HO448" s="77"/>
      <c r="HP448" s="77"/>
      <c r="HQ448" s="77"/>
      <c r="HR448" s="77"/>
      <c r="HS448" s="77"/>
      <c r="HT448" s="77"/>
      <c r="HU448" s="77"/>
      <c r="HV448" s="77"/>
      <c r="HW448" s="77"/>
      <c r="HX448" s="77"/>
      <c r="HY448" s="77"/>
      <c r="HZ448" s="77"/>
      <c r="IA448" s="77"/>
      <c r="IB448" s="77"/>
      <c r="IC448" s="77"/>
      <c r="IF448" s="77"/>
      <c r="IG448" s="77"/>
      <c r="IH448" s="77"/>
      <c r="II448" s="77"/>
      <c r="IJ448" s="77"/>
      <c r="IK448" s="77"/>
      <c r="IL448" s="77"/>
      <c r="IM448" s="77"/>
      <c r="IN448" s="77"/>
      <c r="IO448" s="77"/>
      <c r="IP448" s="77"/>
      <c r="IQ448" s="77"/>
      <c r="IR448" s="77"/>
      <c r="IS448" s="77"/>
      <c r="IT448" s="77"/>
      <c r="IU448" s="77"/>
      <c r="IV448" s="77"/>
      <c r="IW448" s="77"/>
      <c r="IX448" s="77"/>
      <c r="IY448" s="77"/>
      <c r="IZ448" s="77"/>
      <c r="JA448" s="77"/>
      <c r="JB448" s="77"/>
      <c r="JC448" s="77"/>
      <c r="JD448" s="77"/>
      <c r="JE448" s="77"/>
      <c r="JF448" s="77"/>
      <c r="JG448" s="77"/>
      <c r="JH448" s="77"/>
      <c r="JI448" s="77"/>
      <c r="JJ448" s="77"/>
      <c r="JK448" s="77"/>
      <c r="JL448" s="77"/>
      <c r="JM448" s="77"/>
      <c r="JN448" s="77"/>
      <c r="JO448" s="77"/>
      <c r="JP448" s="77"/>
      <c r="JQ448" s="77"/>
      <c r="JR448" s="77"/>
      <c r="JS448" s="77"/>
      <c r="JT448" s="77"/>
      <c r="JU448" s="77"/>
      <c r="JV448" s="77"/>
      <c r="JW448" s="77"/>
      <c r="JX448" s="77"/>
      <c r="JY448" s="77"/>
      <c r="JZ448" s="77"/>
      <c r="KA448" s="77"/>
      <c r="KB448" s="77"/>
      <c r="KC448" s="77"/>
      <c r="KD448" s="77"/>
      <c r="KE448" s="77"/>
      <c r="KF448" s="77"/>
      <c r="KG448" s="77"/>
      <c r="KH448" s="77"/>
      <c r="KI448" s="77"/>
      <c r="KJ448" s="77"/>
      <c r="KK448" s="77"/>
      <c r="KL448" s="77"/>
      <c r="KM448" s="77"/>
      <c r="KN448" s="77"/>
      <c r="KO448" s="77"/>
      <c r="KP448" s="77"/>
      <c r="KQ448" s="77"/>
      <c r="KR448" s="77"/>
      <c r="KS448" s="77"/>
      <c r="KT448" s="77"/>
      <c r="KU448" s="77"/>
      <c r="KV448" s="77"/>
      <c r="KW448" s="77"/>
      <c r="KX448" s="77"/>
      <c r="KY448" s="77"/>
      <c r="KZ448" s="77"/>
      <c r="LA448" s="77"/>
      <c r="LB448" s="77"/>
      <c r="LC448" s="77"/>
      <c r="LD448" s="77"/>
      <c r="LE448" s="77"/>
      <c r="LF448" s="77"/>
      <c r="LG448" s="77"/>
      <c r="LH448" s="77"/>
      <c r="LI448" s="77"/>
      <c r="LJ448" s="77"/>
      <c r="LK448" s="77"/>
      <c r="LL448" s="77"/>
      <c r="LM448" s="77"/>
      <c r="LN448" s="77"/>
      <c r="LO448" s="77"/>
      <c r="LP448" s="77"/>
      <c r="LQ448" s="77"/>
      <c r="LR448" s="77"/>
      <c r="LS448" s="77"/>
      <c r="LT448" s="77"/>
      <c r="LU448" s="77"/>
      <c r="LV448" s="77"/>
      <c r="LW448" s="77"/>
      <c r="LX448" s="77"/>
    </row>
    <row r="449" spans="1:421" ht="18.600000000000001" customHeight="1" x14ac:dyDescent="0.25">
      <c r="A449" s="119" t="s">
        <v>300</v>
      </c>
      <c r="B449" s="27" t="s">
        <v>1620</v>
      </c>
      <c r="C449" s="27" t="s">
        <v>4009</v>
      </c>
      <c r="D449" s="30" t="str">
        <f>HYPERLINK("https://twitter.com/MaithripalaS","https://twitter.com/MaithripalaS")</f>
        <v>https://twitter.com/MaithripalaS</v>
      </c>
      <c r="E449" s="30" t="str">
        <f>HYPERLINK("http://twiplomacy.com/info/asia/Sri-Lanka","http://twiplomacy.com/info/asia/Sri-Lanka")</f>
        <v>http://twiplomacy.com/info/asia/Sri-Lanka</v>
      </c>
      <c r="F449" s="10" t="s">
        <v>154</v>
      </c>
      <c r="G449" s="10" t="s">
        <v>299</v>
      </c>
      <c r="H449" s="10" t="s">
        <v>772</v>
      </c>
      <c r="I449" s="10" t="s">
        <v>773</v>
      </c>
      <c r="J449" s="27" t="s">
        <v>789</v>
      </c>
      <c r="K449" s="15" t="s">
        <v>777</v>
      </c>
      <c r="L449" s="10"/>
      <c r="M449" s="10" t="s">
        <v>770</v>
      </c>
      <c r="N449" s="30" t="str">
        <f>HYPERLINK("https://twitter.com/PresidentGovLK/status/564652776706170880","https://twitter.com/MaithripalaS/status/564652776706170880")</f>
        <v>https://twitter.com/MaithripalaS/status/564652776706170880</v>
      </c>
      <c r="O449" s="27" t="s">
        <v>5917</v>
      </c>
      <c r="P449" s="80">
        <v>1015</v>
      </c>
      <c r="Q449" s="80">
        <v>2149</v>
      </c>
      <c r="R449" s="27" t="s">
        <v>2994</v>
      </c>
      <c r="S449" s="30" t="str">
        <f>HYPERLINK("https://twitter.com/PresidentGovLK/lists","https://twitter.com/MaithripalaS/lists")</f>
        <v>https://twitter.com/MaithripalaS/lists</v>
      </c>
      <c r="T449" s="10" t="s">
        <v>771</v>
      </c>
      <c r="U449" s="10">
        <v>5</v>
      </c>
      <c r="V449" s="10" t="s">
        <v>771</v>
      </c>
      <c r="W449" s="10"/>
      <c r="X449" s="27" t="s">
        <v>300</v>
      </c>
      <c r="Y449" s="27" t="s">
        <v>1620</v>
      </c>
      <c r="Z449" s="80">
        <v>1056</v>
      </c>
      <c r="AA449" s="27">
        <v>27</v>
      </c>
      <c r="AB449" s="80">
        <v>64580</v>
      </c>
      <c r="AC449" s="27">
        <v>5</v>
      </c>
      <c r="AD449" s="27" t="s">
        <v>4010</v>
      </c>
      <c r="AE449" s="27">
        <v>3002789437</v>
      </c>
      <c r="AF449" s="27" t="s">
        <v>4009</v>
      </c>
      <c r="AG449" s="27" t="s">
        <v>299</v>
      </c>
      <c r="AH449" s="79">
        <v>2.3056768558952001</v>
      </c>
      <c r="AI449" s="83">
        <v>2.36241610738255</v>
      </c>
      <c r="AJ449" s="80">
        <v>18.338818973862502</v>
      </c>
      <c r="AK449" s="80">
        <v>33.006776379477301</v>
      </c>
      <c r="AL449" s="27">
        <v>8</v>
      </c>
      <c r="AM449" s="97">
        <f>SUM(AL449/Z449)</f>
        <v>7.575757575757576E-3</v>
      </c>
      <c r="AN449" s="27" t="s">
        <v>300</v>
      </c>
      <c r="AO449" s="27">
        <v>12</v>
      </c>
      <c r="AP449" s="27">
        <v>11</v>
      </c>
      <c r="AQ449" s="27">
        <v>4</v>
      </c>
      <c r="AR449" s="27">
        <f>SUM(AO449:AQ449)</f>
        <v>27</v>
      </c>
      <c r="AS449" s="27" t="s">
        <v>5271</v>
      </c>
      <c r="AT449" s="27" t="s">
        <v>6778</v>
      </c>
      <c r="AU449" s="84" t="s">
        <v>4823</v>
      </c>
      <c r="AV449" s="77"/>
      <c r="AW449" s="77"/>
      <c r="AX449" s="77"/>
      <c r="AY449" s="77"/>
      <c r="AZ449" s="77"/>
      <c r="BA449" s="77"/>
      <c r="BB449" s="77"/>
      <c r="BC449" s="77"/>
      <c r="BD449" s="77"/>
      <c r="BE449" s="77"/>
      <c r="BF449" s="77"/>
      <c r="BG449" s="77"/>
      <c r="BH449" s="77"/>
      <c r="BI449" s="77"/>
      <c r="BJ449" s="77"/>
      <c r="BK449" s="77"/>
      <c r="BL449" s="77"/>
      <c r="BM449" s="77"/>
      <c r="BN449" s="77"/>
      <c r="BO449" s="77"/>
      <c r="BP449" s="77"/>
      <c r="BQ449" s="71"/>
      <c r="BR449" s="71"/>
      <c r="BS449" s="71"/>
      <c r="BT449" s="71"/>
      <c r="BU449" s="71"/>
      <c r="BV449" s="71"/>
      <c r="BW449" s="71"/>
      <c r="BX449" s="71"/>
      <c r="BY449" s="71"/>
      <c r="BZ449" s="71"/>
      <c r="CA449" s="71"/>
      <c r="CB449" s="71"/>
      <c r="CC449" s="77"/>
      <c r="CD449" s="77"/>
      <c r="CE449" s="77"/>
      <c r="CF449" s="77"/>
      <c r="CG449" s="77"/>
      <c r="CH449" s="77"/>
      <c r="CI449" s="77"/>
      <c r="CJ449" s="77"/>
      <c r="CK449" s="77"/>
      <c r="CL449" s="77"/>
      <c r="CM449" s="77"/>
      <c r="CN449" s="77"/>
      <c r="CO449" s="77"/>
      <c r="CP449" s="77"/>
      <c r="CQ449" s="77"/>
      <c r="CR449" s="77"/>
      <c r="CS449" s="77"/>
      <c r="CT449" s="77"/>
      <c r="CU449" s="77"/>
      <c r="CV449" s="77"/>
      <c r="CW449" s="77"/>
      <c r="CX449" s="77"/>
      <c r="CY449" s="77"/>
      <c r="CZ449" s="77"/>
      <c r="DA449" s="77"/>
      <c r="DB449" s="77"/>
      <c r="DC449" s="77"/>
      <c r="DD449" s="77"/>
      <c r="DE449" s="77"/>
      <c r="DF449" s="77"/>
      <c r="DG449" s="77"/>
      <c r="DH449" s="77"/>
      <c r="DI449" s="77"/>
      <c r="DJ449" s="77"/>
      <c r="DK449" s="77"/>
      <c r="DL449" s="77"/>
      <c r="DM449" s="77"/>
      <c r="DN449" s="77"/>
      <c r="DO449" s="77"/>
      <c r="DP449" s="77"/>
      <c r="DQ449" s="77"/>
      <c r="DR449" s="77"/>
      <c r="DS449" s="77"/>
      <c r="DT449" s="77"/>
      <c r="DU449" s="77"/>
      <c r="DV449" s="77"/>
      <c r="DW449" s="77"/>
      <c r="DX449" s="77"/>
      <c r="DY449" s="77"/>
      <c r="DZ449" s="77"/>
      <c r="EA449" s="77"/>
      <c r="EB449" s="77"/>
      <c r="EC449" s="77"/>
      <c r="ED449" s="77"/>
      <c r="EE449" s="77"/>
      <c r="EF449" s="77"/>
      <c r="EG449" s="77"/>
      <c r="EH449" s="77"/>
      <c r="EI449" s="77"/>
      <c r="EJ449" s="77"/>
      <c r="EK449" s="77"/>
      <c r="EL449" s="77"/>
      <c r="EM449" s="77"/>
      <c r="EN449" s="77"/>
      <c r="EO449" s="77"/>
      <c r="EP449" s="77"/>
      <c r="ER449" s="77"/>
      <c r="ES449" s="77"/>
      <c r="ET449" s="77"/>
      <c r="EU449" s="77"/>
      <c r="EV449" s="77"/>
      <c r="EW449" s="77"/>
      <c r="EX449" s="77"/>
      <c r="EY449" s="77"/>
      <c r="EZ449" s="77"/>
      <c r="FA449" s="77"/>
      <c r="FB449" s="77"/>
      <c r="FC449" s="77"/>
      <c r="FD449" s="77"/>
      <c r="FE449" s="77"/>
      <c r="FF449" s="77"/>
      <c r="FG449" s="77"/>
      <c r="FH449" s="77"/>
      <c r="FI449" s="77"/>
      <c r="FJ449" s="77"/>
      <c r="FK449" s="77"/>
      <c r="FL449" s="77"/>
      <c r="FM449" s="77"/>
      <c r="FN449" s="77"/>
      <c r="FO449" s="77"/>
      <c r="FP449" s="77"/>
      <c r="FQ449" s="77"/>
      <c r="FR449" s="77"/>
      <c r="FS449" s="77"/>
      <c r="FT449" s="77"/>
      <c r="FU449" s="77"/>
      <c r="FV449" s="77"/>
      <c r="FW449" s="77"/>
      <c r="FX449" s="77"/>
      <c r="FY449" s="77"/>
      <c r="FZ449" s="77"/>
      <c r="GA449" s="77"/>
      <c r="GB449" s="77"/>
      <c r="GC449" s="77"/>
      <c r="GD449" s="77"/>
      <c r="GE449" s="77"/>
      <c r="GF449" s="77"/>
      <c r="GG449" s="77"/>
      <c r="GH449" s="77"/>
      <c r="GI449" s="77"/>
      <c r="GJ449" s="77"/>
      <c r="GK449" s="77"/>
      <c r="GL449" s="77"/>
      <c r="GM449" s="77"/>
      <c r="GN449" s="77"/>
      <c r="GO449" s="77"/>
      <c r="GP449" s="77"/>
      <c r="GQ449" s="77"/>
      <c r="GR449" s="77"/>
      <c r="GS449" s="77"/>
      <c r="GT449" s="77"/>
      <c r="GU449" s="77"/>
      <c r="GV449" s="77"/>
      <c r="GW449" s="77"/>
      <c r="GX449" s="77"/>
      <c r="GY449" s="77"/>
      <c r="GZ449" s="77"/>
      <c r="HA449" s="77"/>
      <c r="HB449" s="77"/>
      <c r="HC449" s="77"/>
      <c r="HD449" s="77"/>
      <c r="HE449" s="77"/>
      <c r="HF449" s="77"/>
      <c r="HG449" s="77"/>
      <c r="HH449" s="77"/>
      <c r="HI449" s="77"/>
      <c r="HJ449" s="77"/>
      <c r="HK449" s="77"/>
      <c r="HL449" s="16"/>
      <c r="HM449" s="16"/>
      <c r="HN449" s="16"/>
      <c r="HO449" s="16"/>
      <c r="HP449" s="16"/>
      <c r="HQ449" s="16"/>
      <c r="HR449" s="16"/>
      <c r="HS449" s="16"/>
      <c r="HT449" s="16"/>
      <c r="HU449" s="16"/>
      <c r="HV449" s="16"/>
      <c r="HW449" s="16"/>
      <c r="HX449" s="16"/>
      <c r="HY449" s="16"/>
      <c r="HZ449" s="16"/>
      <c r="IA449" s="16"/>
      <c r="IB449" s="16"/>
      <c r="IC449" s="16"/>
      <c r="ID449" s="77"/>
      <c r="IE449" s="77"/>
      <c r="IF449" s="77"/>
      <c r="IG449" s="77"/>
      <c r="IH449" s="77"/>
      <c r="II449" s="77"/>
      <c r="IJ449" s="77"/>
      <c r="IK449" s="77"/>
      <c r="IL449" s="77"/>
      <c r="IM449" s="77"/>
      <c r="IN449" s="77"/>
      <c r="IO449" s="77"/>
      <c r="IP449" s="77"/>
      <c r="IQ449" s="77"/>
      <c r="IR449" s="77"/>
      <c r="IS449" s="77"/>
      <c r="IT449" s="77"/>
      <c r="IU449" s="77"/>
      <c r="IV449" s="77"/>
      <c r="IW449" s="77"/>
      <c r="IX449" s="77"/>
      <c r="IY449" s="77"/>
      <c r="IZ449" s="77"/>
      <c r="JA449" s="77"/>
      <c r="JB449" s="77"/>
      <c r="JC449" s="77"/>
      <c r="JD449" s="77"/>
      <c r="JE449" s="77"/>
      <c r="JF449" s="77"/>
      <c r="JG449" s="77"/>
      <c r="JH449" s="77"/>
      <c r="JI449" s="77"/>
      <c r="JJ449" s="77"/>
      <c r="JK449" s="77"/>
      <c r="JL449" s="77"/>
      <c r="JM449" s="77"/>
      <c r="JN449" s="77"/>
      <c r="JO449" s="77"/>
      <c r="JP449" s="77"/>
      <c r="JQ449" s="77"/>
      <c r="JR449" s="77"/>
      <c r="JS449" s="77"/>
      <c r="JT449" s="77"/>
      <c r="JU449" s="77"/>
      <c r="JV449" s="77"/>
      <c r="JW449" s="77"/>
      <c r="JX449" s="77"/>
      <c r="JY449" s="77"/>
      <c r="JZ449" s="77"/>
      <c r="KA449" s="77"/>
      <c r="KB449" s="77"/>
      <c r="KC449" s="77"/>
      <c r="KD449" s="77"/>
      <c r="KE449" s="77"/>
      <c r="KF449" s="77"/>
      <c r="KG449" s="77"/>
      <c r="KH449" s="77"/>
      <c r="KI449" s="77"/>
      <c r="KJ449" s="77"/>
      <c r="KK449" s="77"/>
      <c r="KL449" s="77"/>
      <c r="KM449" s="77"/>
      <c r="KN449" s="77"/>
      <c r="KO449" s="77"/>
      <c r="KP449" s="77"/>
      <c r="KQ449" s="77"/>
      <c r="KR449" s="77"/>
      <c r="KS449" s="77"/>
      <c r="KT449" s="77"/>
      <c r="KU449" s="77"/>
      <c r="KV449" s="77"/>
      <c r="KW449" s="77"/>
      <c r="KX449" s="77"/>
      <c r="KY449" s="77"/>
      <c r="KZ449" s="77"/>
      <c r="LA449" s="77"/>
      <c r="LB449" s="77"/>
      <c r="LC449" s="77"/>
      <c r="LD449" s="77"/>
      <c r="LE449" s="77"/>
      <c r="LF449" s="77"/>
      <c r="LG449" s="77"/>
      <c r="LH449" s="77"/>
      <c r="LI449" s="77"/>
      <c r="LJ449" s="77"/>
      <c r="LK449" s="77"/>
      <c r="LL449" s="77"/>
      <c r="LM449" s="77"/>
      <c r="LN449" s="77"/>
      <c r="LO449" s="77"/>
      <c r="LP449" s="77"/>
      <c r="LQ449" s="77"/>
      <c r="LR449" s="77"/>
      <c r="LS449" s="77"/>
      <c r="LT449" s="77"/>
      <c r="LU449" s="77"/>
      <c r="LV449" s="77"/>
    </row>
    <row r="450" spans="1:421" ht="18.600000000000001" customHeight="1" x14ac:dyDescent="0.25">
      <c r="A450" s="119" t="s">
        <v>108</v>
      </c>
      <c r="B450" s="27" t="s">
        <v>1059</v>
      </c>
      <c r="C450" s="27" t="s">
        <v>1060</v>
      </c>
      <c r="D450" s="30" t="str">
        <f>HYPERLINK("https://twitter.com/StateHouseSey","https://twitter.com/StateHouseSey")</f>
        <v>https://twitter.com/StateHouseSey</v>
      </c>
      <c r="E450" s="30" t="str">
        <f>HYPERLINK("http://twiplomacy.com/info/africa/Seychelles","http://twiplomacy.com/info/africa/Seychelles")</f>
        <v>http://twiplomacy.com/info/africa/Seychelles</v>
      </c>
      <c r="F450" s="10" t="s">
        <v>1</v>
      </c>
      <c r="G450" s="10" t="s">
        <v>107</v>
      </c>
      <c r="H450" s="10" t="s">
        <v>781</v>
      </c>
      <c r="I450" s="10" t="s">
        <v>782</v>
      </c>
      <c r="J450" s="27" t="s">
        <v>789</v>
      </c>
      <c r="K450" s="15" t="s">
        <v>777</v>
      </c>
      <c r="L450" s="10" t="s">
        <v>771</v>
      </c>
      <c r="M450" s="10" t="s">
        <v>770</v>
      </c>
      <c r="N450" s="30" t="str">
        <f>HYPERLINK("https://twitter.com/StateHouseSey/statuses/286786481660510208","https://twitter.com/StateHouseSey/statuses/286786481660510208")</f>
        <v>https://twitter.com/StateHouseSey/statuses/286786481660510208</v>
      </c>
      <c r="O450" s="27" t="s">
        <v>1061</v>
      </c>
      <c r="P450" s="80">
        <v>14</v>
      </c>
      <c r="Q450" s="80">
        <v>8</v>
      </c>
      <c r="R450" s="27" t="s">
        <v>2995</v>
      </c>
      <c r="S450" s="10" t="s">
        <v>1062</v>
      </c>
      <c r="T450" s="10" t="s">
        <v>771</v>
      </c>
      <c r="U450" s="10" t="s">
        <v>771</v>
      </c>
      <c r="V450" s="10" t="s">
        <v>771</v>
      </c>
      <c r="W450" s="10"/>
      <c r="X450" s="27" t="s">
        <v>108</v>
      </c>
      <c r="Y450" s="27" t="s">
        <v>1059</v>
      </c>
      <c r="Z450" s="80">
        <v>1047</v>
      </c>
      <c r="AA450" s="27">
        <v>279</v>
      </c>
      <c r="AB450" s="80">
        <v>1003</v>
      </c>
      <c r="AC450" s="27">
        <v>21</v>
      </c>
      <c r="AD450" s="27" t="s">
        <v>4491</v>
      </c>
      <c r="AE450" s="27">
        <v>1057428702</v>
      </c>
      <c r="AF450" s="27" t="s">
        <v>1060</v>
      </c>
      <c r="AG450" s="27" t="s">
        <v>107</v>
      </c>
      <c r="AH450" s="79">
        <v>0.86172839506172805</v>
      </c>
      <c r="AI450" s="83">
        <v>0.86221122112211201</v>
      </c>
      <c r="AJ450" s="80">
        <v>0.66868932038834905</v>
      </c>
      <c r="AK450" s="80">
        <v>0.72572815533980595</v>
      </c>
      <c r="AL450" s="27">
        <v>43</v>
      </c>
      <c r="AM450" s="97">
        <f>SUM(AL450/Z450)</f>
        <v>4.1069723018147083E-2</v>
      </c>
      <c r="AN450" s="27" t="s">
        <v>108</v>
      </c>
      <c r="AO450" s="27">
        <v>47</v>
      </c>
      <c r="AP450" s="27">
        <v>3</v>
      </c>
      <c r="AQ450" s="27">
        <v>7</v>
      </c>
      <c r="AR450" s="27">
        <f>SUM(AO450:AQ450)</f>
        <v>57</v>
      </c>
      <c r="AS450" s="27" t="s">
        <v>6628</v>
      </c>
      <c r="AT450" s="27" t="s">
        <v>5396</v>
      </c>
      <c r="AU450" s="84" t="s">
        <v>4959</v>
      </c>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16"/>
      <c r="EQ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Y450" s="77"/>
      <c r="LZ450" s="77"/>
      <c r="MA450" s="77"/>
      <c r="MB450" s="77"/>
      <c r="MC450" s="77"/>
      <c r="MD450" s="77"/>
      <c r="ME450" s="77"/>
      <c r="MF450" s="77"/>
      <c r="MG450" s="77"/>
      <c r="MH450" s="77"/>
      <c r="MI450" s="77"/>
      <c r="MJ450" s="77"/>
      <c r="MK450" s="77"/>
      <c r="ML450" s="77"/>
      <c r="MM450" s="77"/>
      <c r="MN450" s="77"/>
      <c r="MO450" s="77"/>
      <c r="MP450" s="77"/>
      <c r="MQ450" s="77"/>
      <c r="MR450" s="77"/>
      <c r="MS450" s="16"/>
    </row>
    <row r="451" spans="1:421" ht="18.600000000000001" customHeight="1" x14ac:dyDescent="0.25">
      <c r="A451" s="119" t="s">
        <v>398</v>
      </c>
      <c r="B451" s="27" t="s">
        <v>1892</v>
      </c>
      <c r="C451" s="27" t="s">
        <v>1893</v>
      </c>
      <c r="D451" s="30" t="str">
        <f>HYPERLINK("https://twitter.com/manuelvalls","https://twitter.com/manuelvalls")</f>
        <v>https://twitter.com/manuelvalls</v>
      </c>
      <c r="E451" s="30" t="str">
        <f>HYPERLINK("http://twiplomacy.com/info/europe/France","http://twiplomacy.com/info/europe/France")</f>
        <v>http://twiplomacy.com/info/europe/France</v>
      </c>
      <c r="F451" s="10" t="s">
        <v>332</v>
      </c>
      <c r="G451" s="10" t="s">
        <v>395</v>
      </c>
      <c r="H451" s="10" t="s">
        <v>776</v>
      </c>
      <c r="I451" s="10" t="s">
        <v>773</v>
      </c>
      <c r="J451" s="27" t="s">
        <v>779</v>
      </c>
      <c r="K451" s="15" t="s">
        <v>777</v>
      </c>
      <c r="L451" s="10" t="s">
        <v>1020</v>
      </c>
      <c r="M451" s="10" t="s">
        <v>771</v>
      </c>
      <c r="N451" s="30" t="str">
        <f>HYPERLINK("https://twitter.com/manuelvalls/status/504574044071788544","https://twitter.com/manuelvalls/status/504574044071788544")</f>
        <v>https://twitter.com/manuelvalls/status/504574044071788544</v>
      </c>
      <c r="O451" s="11" t="s">
        <v>5922</v>
      </c>
      <c r="P451" s="80">
        <v>21916</v>
      </c>
      <c r="Q451" s="80">
        <v>10813</v>
      </c>
      <c r="R451" s="27" t="s">
        <v>2994</v>
      </c>
      <c r="S451" s="30" t="str">
        <f>HYPERLINK("https://twitter.com/manuelvalls/lists","https://twitter.com/manuelvalls/lists")</f>
        <v>https://twitter.com/manuelvalls/lists</v>
      </c>
      <c r="T451" s="10" t="s">
        <v>771</v>
      </c>
      <c r="U451" s="10" t="s">
        <v>771</v>
      </c>
      <c r="V451" s="10" t="s">
        <v>771</v>
      </c>
      <c r="W451" s="10"/>
      <c r="X451" s="27" t="s">
        <v>398</v>
      </c>
      <c r="Y451" s="27" t="s">
        <v>1892</v>
      </c>
      <c r="Z451" s="80">
        <v>1031</v>
      </c>
      <c r="AA451" s="27">
        <v>855</v>
      </c>
      <c r="AB451" s="80">
        <v>464169</v>
      </c>
      <c r="AC451" s="27">
        <v>29</v>
      </c>
      <c r="AD451" s="27" t="s">
        <v>4022</v>
      </c>
      <c r="AE451" s="27">
        <v>70385068</v>
      </c>
      <c r="AF451" s="27" t="s">
        <v>1893</v>
      </c>
      <c r="AG451" s="27"/>
      <c r="AH451" s="79">
        <v>0.42323481116584599</v>
      </c>
      <c r="AI451" s="83">
        <v>1.6818923327895601</v>
      </c>
      <c r="AJ451" s="80">
        <v>243.73747494989999</v>
      </c>
      <c r="AK451" s="80">
        <v>167.672344689379</v>
      </c>
      <c r="AL451" s="27">
        <v>18</v>
      </c>
      <c r="AM451" s="97">
        <f>SUM(AL451/Z451)</f>
        <v>1.7458777885548012E-2</v>
      </c>
      <c r="AN451" s="27" t="s">
        <v>398</v>
      </c>
      <c r="AO451" s="27">
        <v>36</v>
      </c>
      <c r="AP451" s="27">
        <v>26</v>
      </c>
      <c r="AQ451" s="27">
        <v>38</v>
      </c>
      <c r="AR451" s="27">
        <f>SUM(AO451:AQ451)</f>
        <v>100</v>
      </c>
      <c r="AS451" s="27" t="s">
        <v>6651</v>
      </c>
      <c r="AT451" s="27" t="s">
        <v>6314</v>
      </c>
      <c r="AU451" s="84" t="s">
        <v>6167</v>
      </c>
      <c r="AV451" s="77"/>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c r="EC451" s="77"/>
      <c r="ED451" s="77"/>
      <c r="EE451" s="77"/>
      <c r="EF451" s="77"/>
      <c r="EG451" s="77"/>
      <c r="EH451" s="77"/>
      <c r="EI451" s="77"/>
      <c r="EJ451" s="77"/>
      <c r="EK451" s="77"/>
      <c r="EL451" s="77"/>
      <c r="EM451" s="77"/>
      <c r="EN451" s="77"/>
      <c r="EO451" s="77"/>
      <c r="EP451" s="77"/>
      <c r="EQ451" s="77"/>
      <c r="ID451" s="77"/>
      <c r="IE451" s="77"/>
      <c r="KM451" s="77"/>
      <c r="KN451" s="77"/>
      <c r="KO451" s="77"/>
      <c r="KP451" s="77"/>
      <c r="KQ451" s="77"/>
      <c r="KR451" s="77"/>
      <c r="KS451" s="77"/>
      <c r="KT451" s="77"/>
      <c r="KU451" s="77"/>
      <c r="KV451" s="77"/>
      <c r="KW451" s="77"/>
      <c r="KX451" s="77"/>
      <c r="KY451" s="77"/>
      <c r="KZ451" s="77"/>
      <c r="LA451" s="77"/>
      <c r="LB451" s="77"/>
      <c r="LC451" s="77"/>
      <c r="LD451" s="77"/>
      <c r="LE451" s="77"/>
      <c r="LF451" s="77"/>
      <c r="LG451" s="77"/>
      <c r="LH451" s="77"/>
      <c r="LI451" s="77"/>
      <c r="LJ451" s="77"/>
      <c r="LK451" s="77"/>
      <c r="LL451" s="77"/>
      <c r="LM451" s="77"/>
      <c r="LN451" s="77"/>
      <c r="LO451" s="77"/>
      <c r="LP451" s="77"/>
      <c r="LQ451" s="77"/>
      <c r="LR451" s="77"/>
      <c r="LS451" s="77"/>
      <c r="LT451" s="77"/>
      <c r="LU451" s="77"/>
      <c r="LV451" s="77"/>
      <c r="LW451" s="77"/>
      <c r="LX451" s="77"/>
      <c r="MS451" s="77"/>
      <c r="MT451" s="77"/>
      <c r="MU451" s="77"/>
      <c r="MV451" s="77"/>
      <c r="MW451" s="77"/>
      <c r="MX451" s="77"/>
      <c r="MY451" s="77"/>
      <c r="MZ451" s="77"/>
      <c r="NA451" s="77"/>
      <c r="NB451" s="77"/>
      <c r="NC451" s="77"/>
    </row>
    <row r="452" spans="1:421" ht="18.600000000000001" customHeight="1" x14ac:dyDescent="0.25">
      <c r="A452" s="119" t="s">
        <v>504</v>
      </c>
      <c r="B452" s="27" t="s">
        <v>2156</v>
      </c>
      <c r="C452" s="27" t="s">
        <v>2157</v>
      </c>
      <c r="D452" s="30" t="str">
        <f>HYPERLINK("https://twitter.com/MedvedevRussiaE","https://twitter.com/MedvedevRussiaE")</f>
        <v>https://twitter.com/MedvedevRussiaE</v>
      </c>
      <c r="E452" s="30" t="str">
        <f>HYPERLINK("http://twiplomacy.com/info/europe/Russia","http://twiplomacy.com/info/europe/Russia")</f>
        <v>http://twiplomacy.com/info/europe/Russia</v>
      </c>
      <c r="F452" s="10" t="s">
        <v>332</v>
      </c>
      <c r="G452" s="10" t="s">
        <v>496</v>
      </c>
      <c r="H452" s="10" t="s">
        <v>776</v>
      </c>
      <c r="I452" s="10" t="s">
        <v>773</v>
      </c>
      <c r="J452" s="27" t="s">
        <v>789</v>
      </c>
      <c r="K452" s="15" t="s">
        <v>777</v>
      </c>
      <c r="L452" s="10" t="s">
        <v>771</v>
      </c>
      <c r="M452" s="10" t="s">
        <v>771</v>
      </c>
      <c r="N452" s="30" t="str">
        <f>HYPERLINK("https://twitter.com/MedvedevRussiaE/statuses/16864333645","https://twitter.com/MedvedevRussiaE/statuses/16864333645")</f>
        <v>https://twitter.com/MedvedevRussiaE/statuses/16864333645</v>
      </c>
      <c r="O452" s="27" t="s">
        <v>5934</v>
      </c>
      <c r="P452" s="80">
        <v>884</v>
      </c>
      <c r="Q452" s="80">
        <v>1167</v>
      </c>
      <c r="R452" s="27" t="s">
        <v>2994</v>
      </c>
      <c r="S452" s="10" t="s">
        <v>2158</v>
      </c>
      <c r="T452" s="10" t="s">
        <v>771</v>
      </c>
      <c r="U452" s="10" t="s">
        <v>771</v>
      </c>
      <c r="V452" s="10" t="s">
        <v>771</v>
      </c>
      <c r="W452" s="10"/>
      <c r="X452" s="27" t="s">
        <v>504</v>
      </c>
      <c r="Y452" s="27" t="s">
        <v>2156</v>
      </c>
      <c r="Z452" s="80">
        <v>1029</v>
      </c>
      <c r="AA452" s="27">
        <v>25</v>
      </c>
      <c r="AB452" s="80">
        <v>1096843</v>
      </c>
      <c r="AC452" s="27">
        <v>0</v>
      </c>
      <c r="AD452" s="27" t="s">
        <v>4047</v>
      </c>
      <c r="AE452" s="27">
        <v>153810519</v>
      </c>
      <c r="AF452" s="27" t="s">
        <v>2157</v>
      </c>
      <c r="AG452" s="27" t="s">
        <v>2159</v>
      </c>
      <c r="AH452" s="79">
        <v>0.47771587743732602</v>
      </c>
      <c r="AI452" s="83">
        <v>0.48106591865357601</v>
      </c>
      <c r="AJ452" s="80">
        <v>70.136178861788594</v>
      </c>
      <c r="AK452" s="80">
        <v>52.147357723577201</v>
      </c>
      <c r="AL452" s="27">
        <v>7</v>
      </c>
      <c r="AM452" s="97">
        <f>SUM(AL452/Z452)</f>
        <v>6.8027210884353739E-3</v>
      </c>
      <c r="AN452" s="27" t="s">
        <v>504</v>
      </c>
      <c r="AO452" s="27">
        <v>1</v>
      </c>
      <c r="AP452" s="27">
        <v>61</v>
      </c>
      <c r="AQ452" s="27">
        <v>13</v>
      </c>
      <c r="AR452" s="27">
        <f>SUM(AO452:AQ452)</f>
        <v>75</v>
      </c>
      <c r="AS452" s="27" t="s">
        <v>253</v>
      </c>
      <c r="AT452" s="27" t="s">
        <v>5613</v>
      </c>
      <c r="AU452" s="84" t="s">
        <v>4836</v>
      </c>
      <c r="AV452" s="77"/>
      <c r="AW452" s="77"/>
      <c r="AX452" s="77"/>
      <c r="AY452" s="77"/>
      <c r="AZ452" s="77"/>
      <c r="BA452" s="77"/>
      <c r="BB452" s="77"/>
      <c r="BC452" s="77"/>
      <c r="BD452" s="77"/>
      <c r="BE452" s="77"/>
      <c r="BF452" s="77"/>
      <c r="BG452" s="77"/>
      <c r="BH452" s="77"/>
      <c r="BI452" s="77"/>
      <c r="BJ452" s="77"/>
      <c r="BK452" s="77"/>
      <c r="BL452" s="77"/>
      <c r="BM452" s="77"/>
      <c r="BN452" s="77"/>
      <c r="BO452" s="77"/>
      <c r="BP452" s="77"/>
      <c r="BQ452" s="77"/>
      <c r="BR452" s="77"/>
      <c r="BS452" s="77"/>
      <c r="BT452" s="77"/>
      <c r="BU452" s="77"/>
      <c r="BV452" s="77"/>
      <c r="BW452" s="77"/>
      <c r="BX452" s="77"/>
      <c r="BY452" s="77"/>
      <c r="BZ452" s="77"/>
      <c r="CA452" s="77"/>
      <c r="CB452" s="77"/>
      <c r="CC452" s="77"/>
      <c r="CD452" s="77"/>
      <c r="CE452" s="77"/>
      <c r="CF452" s="77"/>
      <c r="CG452" s="77"/>
      <c r="CH452" s="77"/>
      <c r="CI452" s="77"/>
      <c r="CJ452" s="77"/>
      <c r="CK452" s="77"/>
      <c r="CL452" s="77"/>
      <c r="CM452" s="77"/>
      <c r="CN452" s="77"/>
      <c r="CO452" s="77"/>
      <c r="CP452" s="77"/>
      <c r="CQ452" s="77"/>
      <c r="CR452" s="77"/>
      <c r="CS452" s="77"/>
      <c r="CT452" s="77"/>
      <c r="CU452" s="77"/>
      <c r="CV452" s="77"/>
      <c r="CW452" s="77"/>
      <c r="CX452" s="77"/>
      <c r="CY452" s="77"/>
      <c r="CZ452" s="77"/>
      <c r="DA452" s="77"/>
      <c r="DB452" s="77"/>
      <c r="DC452" s="77"/>
      <c r="DD452" s="77"/>
      <c r="DE452" s="77"/>
      <c r="DF452" s="77"/>
      <c r="DG452" s="77"/>
      <c r="DH452" s="77"/>
      <c r="DI452" s="77"/>
      <c r="DJ452" s="77"/>
      <c r="DK452" s="77"/>
      <c r="DL452" s="77"/>
      <c r="DM452" s="77"/>
      <c r="DN452" s="77"/>
      <c r="DO452" s="77"/>
      <c r="DP452" s="77"/>
      <c r="DQ452" s="77"/>
      <c r="DR452" s="77"/>
      <c r="DS452" s="77"/>
      <c r="DT452" s="77"/>
      <c r="DU452" s="77"/>
      <c r="DV452" s="77"/>
      <c r="DW452" s="77"/>
      <c r="DX452" s="77"/>
      <c r="DY452" s="77"/>
      <c r="DZ452" s="77"/>
      <c r="EA452" s="77"/>
      <c r="EB452" s="77"/>
      <c r="EC452" s="77"/>
      <c r="ED452" s="77"/>
      <c r="EE452" s="77"/>
      <c r="EF452" s="77"/>
      <c r="EG452" s="77"/>
      <c r="EH452" s="77"/>
      <c r="EI452" s="77"/>
      <c r="EJ452" s="77"/>
      <c r="EK452" s="77"/>
      <c r="EL452" s="77"/>
      <c r="EM452" s="77"/>
      <c r="EN452" s="77"/>
      <c r="EO452" s="77"/>
      <c r="EP452" s="77"/>
      <c r="EQ452" s="77"/>
      <c r="ER452" s="77"/>
      <c r="ES452" s="77"/>
      <c r="ET452" s="77"/>
      <c r="EU452" s="77"/>
      <c r="EV452" s="77"/>
      <c r="EW452" s="77"/>
      <c r="EX452" s="77"/>
      <c r="EY452" s="77"/>
      <c r="EZ452" s="77"/>
      <c r="FA452" s="77"/>
      <c r="FB452" s="77"/>
      <c r="FC452" s="77"/>
      <c r="FD452" s="77"/>
      <c r="FE452" s="77"/>
      <c r="FF452" s="77"/>
      <c r="FG452" s="77"/>
      <c r="FH452" s="77"/>
      <c r="FI452" s="77"/>
      <c r="FJ452" s="77"/>
      <c r="FK452" s="77"/>
      <c r="FL452" s="77"/>
      <c r="FM452" s="77"/>
      <c r="FN452" s="77"/>
      <c r="FO452" s="77"/>
      <c r="FP452" s="77"/>
      <c r="FQ452" s="77"/>
      <c r="FR452" s="77"/>
      <c r="FS452" s="77"/>
      <c r="FT452" s="77"/>
      <c r="FU452" s="77"/>
      <c r="FV452" s="77"/>
      <c r="FW452" s="77"/>
      <c r="FX452" s="77"/>
      <c r="FY452" s="77"/>
      <c r="FZ452" s="77"/>
      <c r="GA452" s="77"/>
      <c r="GB452" s="77"/>
      <c r="GC452" s="77"/>
      <c r="GD452" s="77"/>
      <c r="GE452" s="77"/>
      <c r="GF452" s="77"/>
      <c r="GG452" s="77"/>
      <c r="GH452" s="77"/>
      <c r="GI452" s="77"/>
      <c r="GJ452" s="77"/>
      <c r="GK452" s="77"/>
      <c r="GL452" s="77"/>
      <c r="GM452" s="77"/>
      <c r="GN452" s="77"/>
      <c r="GO452" s="77"/>
      <c r="GP452" s="77"/>
      <c r="GQ452" s="77"/>
      <c r="GR452" s="77"/>
      <c r="GS452" s="77"/>
      <c r="GT452" s="77"/>
      <c r="GU452" s="77"/>
      <c r="GV452" s="77"/>
      <c r="GW452" s="77"/>
      <c r="GX452" s="77"/>
      <c r="GY452" s="77"/>
      <c r="GZ452" s="77"/>
      <c r="HA452" s="77"/>
      <c r="HB452" s="77"/>
      <c r="HC452" s="77"/>
      <c r="HD452" s="77"/>
      <c r="HE452" s="77"/>
      <c r="HF452" s="77"/>
      <c r="HG452" s="77"/>
      <c r="HH452" s="77"/>
      <c r="HI452" s="77"/>
      <c r="HJ452" s="77"/>
      <c r="HK452" s="77"/>
      <c r="HL452" s="77"/>
      <c r="HM452" s="77"/>
      <c r="HN452" s="77"/>
      <c r="HO452" s="77"/>
      <c r="HP452" s="77"/>
      <c r="HQ452" s="77"/>
      <c r="HR452" s="77"/>
      <c r="HS452" s="77"/>
      <c r="HT452" s="77"/>
      <c r="HU452" s="77"/>
      <c r="HV452" s="77"/>
      <c r="HW452" s="77"/>
      <c r="HX452" s="77"/>
      <c r="HY452" s="77"/>
      <c r="HZ452" s="77"/>
      <c r="IA452" s="77"/>
      <c r="IB452" s="77"/>
      <c r="IC452" s="77"/>
      <c r="JY452" s="77"/>
      <c r="JZ452" s="77"/>
      <c r="KA452" s="77"/>
      <c r="KB452" s="77"/>
      <c r="KC452" s="77"/>
      <c r="KD452" s="77"/>
      <c r="KE452" s="77"/>
      <c r="KF452" s="77"/>
      <c r="KG452" s="77"/>
      <c r="KH452" s="77"/>
      <c r="KI452" s="77"/>
      <c r="KJ452" s="77"/>
      <c r="KK452" s="77"/>
      <c r="KL452" s="77"/>
      <c r="KM452" s="77"/>
      <c r="KN452" s="77"/>
      <c r="KO452" s="77"/>
      <c r="KP452" s="77"/>
      <c r="KQ452" s="77"/>
      <c r="KR452" s="77"/>
      <c r="KS452" s="77"/>
      <c r="KT452" s="77"/>
      <c r="KU452" s="77"/>
      <c r="KV452" s="77"/>
      <c r="KW452" s="77"/>
      <c r="KX452" s="77"/>
      <c r="KY452" s="77"/>
      <c r="KZ452" s="77"/>
      <c r="LA452" s="77"/>
      <c r="LB452" s="77"/>
      <c r="LC452" s="77"/>
      <c r="LD452" s="77"/>
      <c r="LE452" s="77"/>
      <c r="LF452" s="77"/>
      <c r="LG452" s="77"/>
      <c r="LH452" s="77"/>
      <c r="LI452" s="77"/>
      <c r="LJ452" s="77"/>
      <c r="LK452" s="77"/>
      <c r="LL452" s="77"/>
      <c r="LM452" s="77"/>
      <c r="LN452" s="77"/>
      <c r="LO452" s="77"/>
      <c r="LP452" s="77"/>
      <c r="LQ452" s="77"/>
      <c r="LR452" s="77"/>
      <c r="LS452" s="77"/>
      <c r="LT452" s="77"/>
      <c r="LU452" s="77"/>
      <c r="LV452" s="77"/>
    </row>
    <row r="453" spans="1:421" ht="18.600000000000001" customHeight="1" x14ac:dyDescent="0.25">
      <c r="A453" s="119" t="s">
        <v>39</v>
      </c>
      <c r="B453" s="27" t="s">
        <v>4072</v>
      </c>
      <c r="C453" s="27" t="s">
        <v>4073</v>
      </c>
      <c r="D453" s="72" t="str">
        <f>HYPERLINK("https://twitter.com/MFAEGYPT","https://twitter.com/MFAEGYPT")</f>
        <v>https://twitter.com/MFAEGYPT</v>
      </c>
      <c r="E453" s="72" t="str">
        <f>HYPERLINK("http://twiplomacy.com/info/africa/Egypt","http://twiplomacy.com/info/africa/Egypt")</f>
        <v>http://twiplomacy.com/info/africa/Egypt</v>
      </c>
      <c r="F453" s="10" t="s">
        <v>1</v>
      </c>
      <c r="G453" s="10" t="s">
        <v>34</v>
      </c>
      <c r="H453" s="10" t="s">
        <v>795</v>
      </c>
      <c r="I453" s="10" t="s">
        <v>782</v>
      </c>
      <c r="J453" s="27" t="s">
        <v>789</v>
      </c>
      <c r="K453" s="15" t="s">
        <v>777</v>
      </c>
      <c r="L453" s="10" t="s">
        <v>771</v>
      </c>
      <c r="M453" s="10" t="s">
        <v>770</v>
      </c>
      <c r="N453" s="30" t="s">
        <v>3134</v>
      </c>
      <c r="O453" s="27" t="s">
        <v>3171</v>
      </c>
      <c r="P453" s="80">
        <v>298</v>
      </c>
      <c r="Q453" s="80">
        <v>80</v>
      </c>
      <c r="R453" s="27" t="s">
        <v>2995</v>
      </c>
      <c r="S453" s="12" t="s">
        <v>3148</v>
      </c>
      <c r="T453" s="10" t="s">
        <v>771</v>
      </c>
      <c r="U453" s="10" t="s">
        <v>771</v>
      </c>
      <c r="V453" s="10" t="s">
        <v>771</v>
      </c>
      <c r="W453" s="10"/>
      <c r="X453" s="27" t="s">
        <v>39</v>
      </c>
      <c r="Y453" s="27" t="s">
        <v>4072</v>
      </c>
      <c r="Z453" s="80">
        <v>1027</v>
      </c>
      <c r="AA453" s="27">
        <v>79</v>
      </c>
      <c r="AB453" s="80">
        <v>12252</v>
      </c>
      <c r="AC453" s="27">
        <v>24</v>
      </c>
      <c r="AD453" s="27" t="s">
        <v>4074</v>
      </c>
      <c r="AE453" s="27">
        <v>2963731179</v>
      </c>
      <c r="AF453" s="27" t="s">
        <v>4073</v>
      </c>
      <c r="AG453" s="27" t="s">
        <v>857</v>
      </c>
      <c r="AH453" s="79">
        <v>2.13070539419087</v>
      </c>
      <c r="AI453" s="83">
        <v>2.13513513513514</v>
      </c>
      <c r="AJ453" s="80">
        <v>10.7545454545455</v>
      </c>
      <c r="AK453" s="80">
        <v>6.2101010101010097</v>
      </c>
      <c r="AL453" s="27">
        <v>22</v>
      </c>
      <c r="AM453" s="97">
        <f>SUM(AL453/Z453)</f>
        <v>2.1421616358325218E-2</v>
      </c>
      <c r="AN453" s="27" t="s">
        <v>39</v>
      </c>
      <c r="AO453" s="27">
        <v>24</v>
      </c>
      <c r="AP453" s="27">
        <v>19</v>
      </c>
      <c r="AQ453" s="27">
        <v>9</v>
      </c>
      <c r="AR453" s="27">
        <f>SUM(AO453:AQ453)</f>
        <v>52</v>
      </c>
      <c r="AS453" s="27" t="s">
        <v>5616</v>
      </c>
      <c r="AT453" s="27" t="s">
        <v>6319</v>
      </c>
      <c r="AU453" s="84" t="s">
        <v>4843</v>
      </c>
      <c r="AV453" s="77"/>
      <c r="AW453" s="77"/>
      <c r="AX453" s="77"/>
      <c r="AY453" s="77"/>
      <c r="AZ453" s="77"/>
      <c r="BA453" s="77"/>
      <c r="BB453" s="77"/>
      <c r="BC453" s="77"/>
      <c r="BD453" s="77"/>
      <c r="BE453" s="77"/>
      <c r="BF453" s="77"/>
      <c r="BG453" s="77"/>
      <c r="BH453" s="77"/>
      <c r="BI453" s="77"/>
      <c r="BJ453" s="77"/>
      <c r="BK453" s="77"/>
      <c r="BL453" s="77"/>
      <c r="BM453" s="77"/>
      <c r="BN453" s="77"/>
      <c r="BO453" s="77"/>
      <c r="BP453" s="77"/>
      <c r="BQ453" s="77"/>
      <c r="BR453" s="77"/>
      <c r="BS453" s="77"/>
      <c r="BT453" s="77"/>
      <c r="BU453" s="77"/>
      <c r="BV453" s="77"/>
      <c r="BW453" s="77"/>
      <c r="BX453" s="77"/>
      <c r="BY453" s="77"/>
      <c r="BZ453" s="77"/>
      <c r="CA453" s="77"/>
      <c r="CB453" s="77"/>
      <c r="CC453" s="77"/>
      <c r="CD453" s="77"/>
      <c r="CE453" s="77"/>
      <c r="CF453" s="77"/>
      <c r="CG453" s="77"/>
      <c r="CH453" s="77"/>
      <c r="CI453" s="77"/>
      <c r="CJ453" s="77"/>
      <c r="CK453" s="77"/>
      <c r="CL453" s="77"/>
      <c r="CM453" s="77"/>
      <c r="CN453" s="77"/>
      <c r="CO453" s="77"/>
      <c r="CP453" s="77"/>
      <c r="CQ453" s="77"/>
      <c r="CR453" s="77"/>
      <c r="CS453" s="77"/>
      <c r="CT453" s="77"/>
      <c r="CU453" s="77"/>
      <c r="CV453" s="77"/>
      <c r="CW453" s="77"/>
      <c r="CX453" s="77"/>
      <c r="CY453" s="77"/>
      <c r="CZ453" s="77"/>
      <c r="DA453" s="77"/>
      <c r="DB453" s="77"/>
      <c r="DC453" s="77"/>
      <c r="DD453" s="77"/>
      <c r="DE453" s="77"/>
      <c r="DF453" s="77"/>
      <c r="DG453" s="77"/>
      <c r="DH453" s="77"/>
      <c r="DI453" s="77"/>
      <c r="DJ453" s="77"/>
      <c r="DK453" s="77"/>
      <c r="DL453" s="77"/>
      <c r="DM453" s="77"/>
      <c r="DN453" s="77"/>
      <c r="DO453" s="77"/>
      <c r="DP453" s="77"/>
      <c r="DQ453" s="77"/>
      <c r="DR453" s="77"/>
      <c r="DS453" s="77"/>
      <c r="DT453" s="77"/>
      <c r="DU453" s="77"/>
      <c r="DV453" s="77"/>
      <c r="DW453" s="77"/>
      <c r="DX453" s="77"/>
      <c r="DY453" s="77"/>
      <c r="DZ453" s="77"/>
      <c r="EA453" s="77"/>
      <c r="EB453" s="77"/>
      <c r="EC453" s="77"/>
      <c r="ED453" s="77"/>
      <c r="EE453" s="77"/>
      <c r="EF453" s="77"/>
      <c r="EG453" s="77"/>
      <c r="EH453" s="77"/>
      <c r="EI453" s="77"/>
      <c r="EJ453" s="77"/>
      <c r="EK453" s="77"/>
      <c r="EL453" s="77"/>
      <c r="EM453" s="77"/>
      <c r="EN453" s="77"/>
      <c r="EO453" s="77"/>
      <c r="EP453" s="77"/>
      <c r="EQ453" s="16"/>
      <c r="ER453" s="77"/>
      <c r="ES453" s="77"/>
      <c r="ET453" s="77"/>
      <c r="EU453" s="77"/>
      <c r="EV453" s="77"/>
      <c r="EW453" s="77"/>
      <c r="EX453" s="77"/>
      <c r="EY453" s="77"/>
      <c r="EZ453" s="77"/>
      <c r="FA453" s="77"/>
      <c r="FB453" s="77"/>
      <c r="FC453" s="77"/>
      <c r="FD453" s="77"/>
      <c r="FE453" s="77"/>
      <c r="FF453" s="77"/>
      <c r="FG453" s="77"/>
      <c r="FH453" s="77"/>
      <c r="FI453" s="77"/>
      <c r="FJ453" s="77"/>
      <c r="FK453" s="77"/>
      <c r="FL453" s="77"/>
      <c r="FM453" s="77"/>
      <c r="FN453" s="77"/>
      <c r="FO453" s="77"/>
      <c r="FP453" s="77"/>
      <c r="FQ453" s="77"/>
      <c r="FR453" s="77"/>
      <c r="FS453" s="77"/>
      <c r="FT453" s="77"/>
      <c r="FU453" s="77"/>
      <c r="FV453" s="77"/>
      <c r="FW453" s="77"/>
      <c r="FX453" s="77"/>
      <c r="FY453" s="77"/>
      <c r="FZ453" s="77"/>
      <c r="GA453" s="77"/>
      <c r="GB453" s="77"/>
      <c r="GC453" s="77"/>
      <c r="GD453" s="77"/>
      <c r="GE453" s="77"/>
      <c r="GF453" s="77"/>
      <c r="GG453" s="77"/>
      <c r="GH453" s="77"/>
      <c r="GI453" s="77"/>
      <c r="GJ453" s="77"/>
      <c r="GK453" s="77"/>
      <c r="GL453" s="77"/>
      <c r="GM453" s="77"/>
      <c r="GN453" s="77"/>
      <c r="GO453" s="77"/>
      <c r="GP453" s="77"/>
      <c r="GQ453" s="77"/>
      <c r="GR453" s="77"/>
      <c r="GS453" s="77"/>
      <c r="GT453" s="77"/>
      <c r="GU453" s="77"/>
      <c r="GV453" s="77"/>
      <c r="GW453" s="77"/>
      <c r="GX453" s="77"/>
      <c r="GY453" s="77"/>
      <c r="GZ453" s="77"/>
      <c r="HA453" s="77"/>
      <c r="HB453" s="77"/>
      <c r="HC453" s="77"/>
      <c r="HD453" s="77"/>
      <c r="HE453" s="77"/>
      <c r="HF453" s="77"/>
      <c r="HG453" s="77"/>
      <c r="HH453" s="77"/>
      <c r="HI453" s="77"/>
      <c r="HJ453" s="77"/>
      <c r="HK453" s="77"/>
      <c r="HL453" s="16"/>
      <c r="HM453" s="16"/>
      <c r="HN453" s="16"/>
      <c r="HO453" s="16"/>
      <c r="HP453" s="16"/>
      <c r="HQ453" s="16"/>
      <c r="HR453" s="16"/>
      <c r="HS453" s="16"/>
      <c r="HT453" s="16"/>
      <c r="HU453" s="16"/>
      <c r="HV453" s="16"/>
      <c r="HW453" s="16"/>
      <c r="HX453" s="16"/>
      <c r="HY453" s="16"/>
      <c r="HZ453" s="16"/>
      <c r="IA453" s="16"/>
      <c r="IB453" s="16"/>
      <c r="IC453" s="16"/>
      <c r="ID453" s="77"/>
      <c r="IE453" s="77"/>
      <c r="KM453" s="77"/>
      <c r="KN453" s="77"/>
      <c r="KO453" s="77"/>
      <c r="KP453" s="77"/>
      <c r="KQ453" s="77"/>
      <c r="KR453" s="77"/>
      <c r="KS453" s="77"/>
      <c r="KT453" s="77"/>
      <c r="KU453" s="77"/>
      <c r="KV453" s="77"/>
      <c r="KW453" s="77"/>
      <c r="KX453" s="77"/>
      <c r="KY453" s="77"/>
      <c r="KZ453" s="77"/>
      <c r="LA453" s="77"/>
      <c r="LB453" s="77"/>
      <c r="LC453" s="77"/>
      <c r="LD453" s="77"/>
      <c r="LE453" s="77"/>
      <c r="LF453" s="77"/>
      <c r="LG453" s="77"/>
      <c r="LH453" s="77"/>
      <c r="LI453" s="77"/>
      <c r="LJ453" s="77"/>
      <c r="LK453" s="77"/>
      <c r="LL453" s="77"/>
      <c r="LM453" s="77"/>
      <c r="LN453" s="77"/>
      <c r="LO453" s="77"/>
      <c r="LP453" s="77"/>
      <c r="LQ453" s="77"/>
      <c r="LR453" s="77"/>
      <c r="LS453" s="77"/>
      <c r="LT453" s="77"/>
      <c r="LU453" s="77"/>
      <c r="LV453" s="77"/>
      <c r="MS453" s="77"/>
    </row>
    <row r="454" spans="1:421" ht="18.600000000000001" customHeight="1" x14ac:dyDescent="0.25">
      <c r="A454" s="119" t="s">
        <v>507</v>
      </c>
      <c r="B454" s="27" t="s">
        <v>2172</v>
      </c>
      <c r="C454" s="27" t="s">
        <v>2173</v>
      </c>
      <c r="D454" s="30" t="str">
        <f>HYPERLINK("https://twitter.com/predsednikrs","https://twitter.com/predsednikrs")</f>
        <v>https://twitter.com/predsednikrs</v>
      </c>
      <c r="E454" s="30" t="str">
        <f>HYPERLINK("http://twiplomacy.com/info/europe/Serbia","http://twiplomacy.com/info/europe/Serbia")</f>
        <v>http://twiplomacy.com/info/europe/Serbia</v>
      </c>
      <c r="F454" s="10" t="s">
        <v>332</v>
      </c>
      <c r="G454" s="10" t="s">
        <v>506</v>
      </c>
      <c r="H454" s="10" t="s">
        <v>772</v>
      </c>
      <c r="I454" s="10" t="s">
        <v>773</v>
      </c>
      <c r="J454" s="27" t="s">
        <v>789</v>
      </c>
      <c r="K454" s="15" t="s">
        <v>777</v>
      </c>
      <c r="L454" s="10" t="s">
        <v>771</v>
      </c>
      <c r="M454" s="10" t="s">
        <v>770</v>
      </c>
      <c r="N454" s="30" t="str">
        <f>HYPERLINK("https://twitter.com/predsednikrs/statuses/235338454488207361","https://twitter.com/predsednikrs/statuses/235338454488207361")</f>
        <v>https://twitter.com/predsednikrs/statuses/235338454488207361</v>
      </c>
      <c r="O454" s="27" t="s">
        <v>6029</v>
      </c>
      <c r="P454" s="80">
        <v>1598</v>
      </c>
      <c r="Q454" s="80">
        <v>1659</v>
      </c>
      <c r="R454" s="27" t="s">
        <v>2994</v>
      </c>
      <c r="S454" s="10" t="s">
        <v>2174</v>
      </c>
      <c r="T454" s="10" t="s">
        <v>771</v>
      </c>
      <c r="U454" s="10" t="s">
        <v>771</v>
      </c>
      <c r="V454" s="10" t="s">
        <v>771</v>
      </c>
      <c r="W454" s="10"/>
      <c r="X454" s="27" t="s">
        <v>507</v>
      </c>
      <c r="Y454" s="27" t="s">
        <v>2172</v>
      </c>
      <c r="Z454" s="80">
        <v>1027</v>
      </c>
      <c r="AA454" s="27">
        <v>176</v>
      </c>
      <c r="AB454" s="80">
        <v>39693</v>
      </c>
      <c r="AC454" s="27">
        <v>154</v>
      </c>
      <c r="AD454" s="27" t="s">
        <v>4296</v>
      </c>
      <c r="AE454" s="27">
        <v>589069254</v>
      </c>
      <c r="AF454" s="27" t="s">
        <v>2173</v>
      </c>
      <c r="AG454" s="27" t="s">
        <v>2175</v>
      </c>
      <c r="AH454" s="79">
        <v>0.71369006254343303</v>
      </c>
      <c r="AI454" s="83">
        <v>0.75849335302806498</v>
      </c>
      <c r="AJ454" s="80">
        <v>50.816056910569102</v>
      </c>
      <c r="AK454" s="80">
        <v>66.084349593495901</v>
      </c>
      <c r="AL454" s="27">
        <v>29</v>
      </c>
      <c r="AM454" s="97">
        <f>SUM(AL454/Z454)</f>
        <v>2.8237585199610515E-2</v>
      </c>
      <c r="AN454" s="27" t="s">
        <v>507</v>
      </c>
      <c r="AO454" s="27">
        <v>12</v>
      </c>
      <c r="AP454" s="27">
        <v>12</v>
      </c>
      <c r="AQ454" s="27">
        <v>8</v>
      </c>
      <c r="AR454" s="27">
        <f>SUM(AO454:AQ454)</f>
        <v>32</v>
      </c>
      <c r="AS454" s="27" t="s">
        <v>5412</v>
      </c>
      <c r="AT454" s="27" t="s">
        <v>6827</v>
      </c>
      <c r="AU454" s="84" t="s">
        <v>4906</v>
      </c>
      <c r="AV454" s="77"/>
      <c r="AW454" s="77"/>
      <c r="AX454" s="77"/>
      <c r="AY454" s="77"/>
      <c r="AZ454" s="77"/>
      <c r="BA454" s="77"/>
      <c r="BB454" s="77"/>
      <c r="BC454" s="77"/>
      <c r="BD454" s="77"/>
      <c r="BE454" s="77"/>
      <c r="BF454" s="77"/>
      <c r="BG454" s="77"/>
      <c r="BH454" s="77"/>
      <c r="BI454" s="77"/>
      <c r="BJ454" s="77"/>
      <c r="BK454" s="77"/>
      <c r="BL454" s="77"/>
      <c r="BM454" s="77"/>
      <c r="BN454" s="77"/>
      <c r="BO454" s="77"/>
      <c r="BP454" s="77"/>
      <c r="BQ454" s="77"/>
      <c r="BR454" s="77"/>
      <c r="BS454" s="77"/>
      <c r="BT454" s="77"/>
      <c r="BU454" s="77"/>
      <c r="BV454" s="77"/>
      <c r="BW454" s="77"/>
      <c r="BX454" s="77"/>
      <c r="BY454" s="77"/>
      <c r="BZ454" s="77"/>
      <c r="CA454" s="77"/>
      <c r="CB454" s="77"/>
      <c r="CC454" s="77"/>
      <c r="CD454" s="77"/>
      <c r="CE454" s="77"/>
      <c r="CF454" s="77"/>
      <c r="CG454" s="77"/>
      <c r="CH454" s="77"/>
      <c r="CI454" s="77"/>
      <c r="CJ454" s="77"/>
      <c r="CK454" s="77"/>
      <c r="CL454" s="77"/>
      <c r="CM454" s="77"/>
      <c r="CN454" s="77"/>
      <c r="CO454" s="77"/>
      <c r="CP454" s="77"/>
      <c r="CQ454" s="77"/>
      <c r="CR454" s="77"/>
      <c r="CS454" s="77"/>
      <c r="CT454" s="77"/>
      <c r="CU454" s="77"/>
      <c r="CV454" s="77"/>
      <c r="CW454" s="77"/>
      <c r="CX454" s="77"/>
      <c r="CY454" s="77"/>
      <c r="CZ454" s="77"/>
      <c r="DA454" s="77"/>
      <c r="DB454" s="77"/>
      <c r="DC454" s="77"/>
      <c r="DD454" s="77"/>
      <c r="DE454" s="77"/>
      <c r="DF454" s="77"/>
      <c r="DG454" s="77"/>
      <c r="DH454" s="77"/>
      <c r="DI454" s="77"/>
      <c r="DJ454" s="77"/>
      <c r="DK454" s="77"/>
      <c r="DL454" s="77"/>
      <c r="DM454" s="77"/>
      <c r="DN454" s="77"/>
      <c r="DO454" s="77"/>
      <c r="DP454" s="77"/>
      <c r="DQ454" s="77"/>
      <c r="DR454" s="77"/>
      <c r="DS454" s="77"/>
      <c r="DT454" s="77"/>
      <c r="DU454" s="77"/>
      <c r="DV454" s="77"/>
      <c r="DW454" s="77"/>
      <c r="DX454" s="77"/>
      <c r="DY454" s="77"/>
      <c r="DZ454" s="77"/>
      <c r="EA454" s="77"/>
      <c r="EB454" s="77"/>
      <c r="EC454" s="77"/>
      <c r="ED454" s="77"/>
      <c r="EE454" s="77"/>
      <c r="EF454" s="77"/>
      <c r="EG454" s="77"/>
      <c r="EH454" s="77"/>
      <c r="EI454" s="77"/>
      <c r="EJ454" s="77"/>
      <c r="EK454" s="77"/>
      <c r="EL454" s="77"/>
      <c r="EM454" s="16"/>
      <c r="EN454" s="16"/>
      <c r="EO454" s="16"/>
      <c r="EP454" s="77"/>
      <c r="EQ454" s="77"/>
      <c r="GL454" s="77"/>
      <c r="GM454" s="77"/>
      <c r="GN454" s="77"/>
      <c r="GO454" s="77"/>
      <c r="GP454" s="77"/>
      <c r="GQ454" s="77"/>
      <c r="GR454" s="77"/>
      <c r="GS454" s="77"/>
      <c r="GT454" s="77"/>
      <c r="GU454" s="77"/>
      <c r="GV454" s="77"/>
      <c r="GW454" s="77"/>
      <c r="GX454" s="77"/>
      <c r="GY454" s="77"/>
      <c r="GZ454" s="77"/>
      <c r="HA454" s="77"/>
      <c r="HB454" s="77"/>
      <c r="HC454" s="77"/>
      <c r="HD454" s="77"/>
      <c r="HE454" s="77"/>
      <c r="HF454" s="77"/>
      <c r="HG454" s="77"/>
      <c r="HH454" s="77"/>
      <c r="HI454" s="77"/>
      <c r="HJ454" s="77"/>
      <c r="HK454" s="77"/>
      <c r="JY454" s="77"/>
      <c r="JZ454" s="77"/>
      <c r="KA454" s="77"/>
      <c r="KB454" s="77"/>
      <c r="KC454" s="77"/>
      <c r="KD454" s="77"/>
      <c r="KE454" s="77"/>
      <c r="KF454" s="77"/>
      <c r="KG454" s="77"/>
      <c r="KH454" s="77"/>
      <c r="KI454" s="77"/>
      <c r="KJ454" s="77"/>
      <c r="KK454" s="77"/>
      <c r="KL454" s="77"/>
      <c r="ND454" s="16"/>
    </row>
    <row r="455" spans="1:421" ht="18.600000000000001" customHeight="1" x14ac:dyDescent="0.25">
      <c r="A455" s="119" t="s">
        <v>406</v>
      </c>
      <c r="B455" s="27" t="s">
        <v>1924</v>
      </c>
      <c r="C455" s="27" t="s">
        <v>1925</v>
      </c>
      <c r="D455" s="30" t="str">
        <f>HYPERLINK("https://twitter.com/govgr","https://twitter.com/govgr")</f>
        <v>https://twitter.com/govgr</v>
      </c>
      <c r="E455" s="30" t="str">
        <f>HYPERLINK("http://twiplomacy.com/info/europe/Greece","http://twiplomacy.com/info/europe/Greece")</f>
        <v>http://twiplomacy.com/info/europe/Greece</v>
      </c>
      <c r="F455" s="10" t="s">
        <v>332</v>
      </c>
      <c r="G455" s="10" t="s">
        <v>405</v>
      </c>
      <c r="H455" s="10" t="s">
        <v>788</v>
      </c>
      <c r="I455" s="10" t="s">
        <v>782</v>
      </c>
      <c r="J455" s="27" t="s">
        <v>789</v>
      </c>
      <c r="K455" s="15" t="s">
        <v>1927</v>
      </c>
      <c r="L455" s="10" t="s">
        <v>771</v>
      </c>
      <c r="M455" s="10" t="s">
        <v>771</v>
      </c>
      <c r="N455" s="30" t="str">
        <f>HYPERLINK("https://twitter.com/govgr/statuses/28781425219","https://twitter.com/govgr/statuses/28781425219")</f>
        <v>https://twitter.com/govgr/statuses/28781425219</v>
      </c>
      <c r="O455" s="27" t="s">
        <v>5835</v>
      </c>
      <c r="P455" s="80">
        <v>31</v>
      </c>
      <c r="Q455" s="80">
        <v>2</v>
      </c>
      <c r="R455" s="27" t="s">
        <v>2995</v>
      </c>
      <c r="S455" s="10" t="s">
        <v>1928</v>
      </c>
      <c r="T455" s="10" t="s">
        <v>771</v>
      </c>
      <c r="U455" s="10" t="s">
        <v>771</v>
      </c>
      <c r="V455" s="10" t="s">
        <v>771</v>
      </c>
      <c r="W455" s="10"/>
      <c r="X455" s="27" t="s">
        <v>406</v>
      </c>
      <c r="Y455" s="27" t="s">
        <v>1924</v>
      </c>
      <c r="Z455" s="80">
        <v>1026</v>
      </c>
      <c r="AA455" s="27">
        <v>1518</v>
      </c>
      <c r="AB455" s="80">
        <v>17634</v>
      </c>
      <c r="AC455" s="27">
        <v>1</v>
      </c>
      <c r="AD455" s="27" t="s">
        <v>3764</v>
      </c>
      <c r="AE455" s="27">
        <v>207483074</v>
      </c>
      <c r="AF455" s="27" t="s">
        <v>1925</v>
      </c>
      <c r="AG455" s="27" t="s">
        <v>405</v>
      </c>
      <c r="AH455" s="79">
        <v>0.50892857142857095</v>
      </c>
      <c r="AI455" s="83">
        <v>1.7040133779264199</v>
      </c>
      <c r="AJ455" s="80">
        <v>1.55448717948718</v>
      </c>
      <c r="AK455" s="80">
        <v>0.33974358974358998</v>
      </c>
      <c r="AL455" s="27">
        <v>11</v>
      </c>
      <c r="AM455" s="97">
        <f>SUM(AL455/Z455)</f>
        <v>1.0721247563352826E-2</v>
      </c>
      <c r="AN455" s="27" t="s">
        <v>406</v>
      </c>
      <c r="AO455" s="27">
        <v>1</v>
      </c>
      <c r="AP455" s="27">
        <v>4</v>
      </c>
      <c r="AQ455" s="27">
        <v>1</v>
      </c>
      <c r="AR455" s="27">
        <f>SUM(AO455:AQ455)</f>
        <v>6</v>
      </c>
      <c r="AS455" s="27" t="s">
        <v>408</v>
      </c>
      <c r="AT455" s="27" t="s">
        <v>5155</v>
      </c>
      <c r="AU455" s="84" t="s">
        <v>1922</v>
      </c>
      <c r="AV455" s="77"/>
      <c r="AW455" s="77"/>
      <c r="AX455" s="77"/>
      <c r="AY455" s="77"/>
      <c r="AZ455" s="77"/>
      <c r="BA455" s="77"/>
      <c r="BB455" s="77"/>
      <c r="BC455" s="77"/>
      <c r="BD455" s="77"/>
      <c r="BE455" s="77"/>
      <c r="BF455" s="77"/>
      <c r="BG455" s="77"/>
      <c r="BH455" s="77"/>
      <c r="BI455" s="77"/>
      <c r="BJ455" s="77"/>
      <c r="BK455" s="77"/>
      <c r="BL455" s="77"/>
      <c r="BM455" s="77"/>
      <c r="BN455" s="77"/>
      <c r="BO455" s="77"/>
      <c r="BP455" s="77"/>
      <c r="BQ455" s="77"/>
      <c r="BR455" s="77"/>
      <c r="BS455" s="77"/>
      <c r="BT455" s="77"/>
      <c r="BU455" s="77"/>
      <c r="BV455" s="77"/>
      <c r="BW455" s="77"/>
      <c r="BX455" s="77"/>
      <c r="BY455" s="77"/>
      <c r="BZ455" s="77"/>
      <c r="CA455" s="77"/>
      <c r="CB455" s="77"/>
      <c r="CC455" s="77"/>
      <c r="CD455" s="77"/>
      <c r="CE455" s="77"/>
      <c r="CF455" s="77"/>
      <c r="CG455" s="77"/>
      <c r="CH455" s="77"/>
      <c r="CI455" s="77"/>
      <c r="CJ455" s="77"/>
      <c r="CK455" s="77"/>
      <c r="CL455" s="77"/>
      <c r="CM455" s="77"/>
      <c r="CN455" s="77"/>
      <c r="CO455" s="77"/>
      <c r="CP455" s="77"/>
      <c r="CQ455" s="77"/>
      <c r="CR455" s="77"/>
      <c r="CS455" s="77"/>
      <c r="CT455" s="77"/>
      <c r="CU455" s="77"/>
      <c r="CV455" s="77"/>
      <c r="CW455" s="77"/>
      <c r="EM455" s="77"/>
      <c r="EN455" s="77"/>
      <c r="EO455" s="77"/>
      <c r="EP455" s="77"/>
      <c r="EQ455" s="77"/>
      <c r="GL455" s="77"/>
      <c r="GM455" s="77"/>
      <c r="GN455" s="77"/>
      <c r="GO455" s="77"/>
      <c r="GP455" s="77"/>
      <c r="GQ455" s="77"/>
      <c r="GR455" s="77"/>
      <c r="GS455" s="77"/>
      <c r="GT455" s="77"/>
      <c r="GU455" s="77"/>
      <c r="GV455" s="77"/>
      <c r="GW455" s="77"/>
      <c r="GX455" s="77"/>
      <c r="GY455" s="77"/>
      <c r="GZ455" s="77"/>
      <c r="HA455" s="77"/>
      <c r="HB455" s="77"/>
      <c r="HC455" s="77"/>
      <c r="HD455" s="77"/>
      <c r="HE455" s="77"/>
      <c r="HF455" s="77"/>
      <c r="HG455" s="77"/>
      <c r="HH455" s="77"/>
      <c r="HI455" s="77"/>
      <c r="HJ455" s="77"/>
      <c r="HK455" s="77"/>
      <c r="HL455" s="77"/>
      <c r="HM455" s="77"/>
      <c r="HN455" s="77"/>
      <c r="HO455" s="77"/>
      <c r="HP455" s="77"/>
      <c r="HQ455" s="77"/>
      <c r="HR455" s="77"/>
      <c r="HS455" s="77"/>
      <c r="HT455" s="77"/>
      <c r="HU455" s="77"/>
      <c r="HV455" s="77"/>
      <c r="HW455" s="77"/>
      <c r="HX455" s="77"/>
      <c r="HY455" s="77"/>
      <c r="HZ455" s="77"/>
      <c r="IA455" s="77"/>
      <c r="IB455" s="77"/>
      <c r="IC455" s="77"/>
      <c r="ID455" s="77"/>
      <c r="IE455" s="77"/>
      <c r="IF455" s="77"/>
      <c r="IG455" s="77"/>
      <c r="IH455" s="77"/>
      <c r="II455" s="77"/>
      <c r="IJ455" s="77"/>
      <c r="IK455" s="77"/>
      <c r="IL455" s="77"/>
      <c r="IM455" s="77"/>
      <c r="IN455" s="77"/>
      <c r="IO455" s="77"/>
      <c r="IP455" s="77"/>
      <c r="IQ455" s="77"/>
      <c r="IR455" s="77"/>
      <c r="IS455" s="77"/>
      <c r="IT455" s="77"/>
      <c r="IU455" s="77"/>
      <c r="IV455" s="77"/>
      <c r="IW455" s="77"/>
      <c r="IX455" s="77"/>
      <c r="IY455" s="77"/>
      <c r="IZ455" s="77"/>
      <c r="JA455" s="77"/>
      <c r="JB455" s="77"/>
      <c r="JC455" s="77"/>
      <c r="JD455" s="77"/>
      <c r="JE455" s="77"/>
      <c r="JF455" s="77"/>
      <c r="JG455" s="77"/>
      <c r="JH455" s="77"/>
      <c r="JI455" s="77"/>
      <c r="JJ455" s="77"/>
      <c r="JK455" s="77"/>
      <c r="JL455" s="77"/>
      <c r="JM455" s="77"/>
      <c r="JN455" s="77"/>
      <c r="JO455" s="77"/>
      <c r="JP455" s="77"/>
      <c r="JQ455" s="77"/>
      <c r="JR455" s="77"/>
      <c r="JS455" s="77"/>
      <c r="JT455" s="77"/>
      <c r="JU455" s="77"/>
      <c r="JV455" s="77"/>
      <c r="JW455" s="77"/>
      <c r="JX455" s="77"/>
      <c r="JY455" s="77"/>
      <c r="JZ455" s="77"/>
      <c r="KA455" s="77"/>
      <c r="KB455" s="77"/>
      <c r="KC455" s="77"/>
      <c r="KD455" s="77"/>
      <c r="KE455" s="77"/>
      <c r="KF455" s="77"/>
      <c r="KG455" s="77"/>
      <c r="KH455" s="77"/>
      <c r="KI455" s="77"/>
      <c r="KJ455" s="77"/>
      <c r="KK455" s="77"/>
      <c r="KL455" s="77"/>
    </row>
    <row r="456" spans="1:421" ht="18.600000000000001" customHeight="1" x14ac:dyDescent="0.25">
      <c r="A456" s="119" t="s">
        <v>2036</v>
      </c>
      <c r="B456" s="27" t="s">
        <v>2037</v>
      </c>
      <c r="C456" s="27" t="s">
        <v>2038</v>
      </c>
      <c r="D456" s="30" t="str">
        <f>HYPERLINK("https://twitter.com/gouv_lu","https://twitter.com/gouv_lu")</f>
        <v>https://twitter.com/gouv_lu</v>
      </c>
      <c r="E456" s="30" t="str">
        <f>HYPERLINK("http://twiplomacy.com/info/europe/Luxembourg","http://twiplomacy.com/info/europe/Luxembourg")</f>
        <v>http://twiplomacy.com/info/europe/Luxembourg</v>
      </c>
      <c r="F456" s="10" t="s">
        <v>332</v>
      </c>
      <c r="G456" s="10" t="s">
        <v>445</v>
      </c>
      <c r="H456" s="10" t="s">
        <v>788</v>
      </c>
      <c r="I456" s="10" t="s">
        <v>782</v>
      </c>
      <c r="J456" s="27" t="s">
        <v>1716</v>
      </c>
      <c r="K456" s="15" t="s">
        <v>777</v>
      </c>
      <c r="L456" s="10" t="s">
        <v>771</v>
      </c>
      <c r="M456" s="10" t="s">
        <v>770</v>
      </c>
      <c r="N456" s="30" t="str">
        <f>HYPERLINK("https://twitter.com/gouv_lu/status/484346549548638209","https://twitter.com/gouv_lu/status/484346549548638209")</f>
        <v>https://twitter.com/gouv_lu/status/484346549548638209</v>
      </c>
      <c r="O456" s="27" t="s">
        <v>5820</v>
      </c>
      <c r="P456" s="80">
        <v>123</v>
      </c>
      <c r="Q456" s="80">
        <v>135</v>
      </c>
      <c r="R456" s="27" t="s">
        <v>2995</v>
      </c>
      <c r="S456" s="30" t="str">
        <f>HYPERLINK("https://twitter.com/gouv_lu/lists","https://twitter.com/gouv_lu/lists")</f>
        <v>https://twitter.com/gouv_lu/lists</v>
      </c>
      <c r="T456" s="10" t="s">
        <v>771</v>
      </c>
      <c r="U456" s="10" t="s">
        <v>771</v>
      </c>
      <c r="V456" s="10" t="s">
        <v>771</v>
      </c>
      <c r="W456" s="10"/>
      <c r="X456" s="27" t="s">
        <v>2036</v>
      </c>
      <c r="Y456" s="27" t="s">
        <v>2037</v>
      </c>
      <c r="Z456" s="80">
        <v>1017</v>
      </c>
      <c r="AA456" s="27">
        <v>156</v>
      </c>
      <c r="AB456" s="80">
        <v>3977</v>
      </c>
      <c r="AC456" s="27">
        <v>24</v>
      </c>
      <c r="AD456" s="27" t="s">
        <v>3734</v>
      </c>
      <c r="AE456" s="27">
        <v>2599948532</v>
      </c>
      <c r="AF456" s="27" t="s">
        <v>2038</v>
      </c>
      <c r="AG456" s="27" t="s">
        <v>445</v>
      </c>
      <c r="AH456" s="79">
        <v>1.51791044776119</v>
      </c>
      <c r="AI456" s="83">
        <v>1.5247376311844101</v>
      </c>
      <c r="AJ456" s="80">
        <v>2.0505747126436802</v>
      </c>
      <c r="AK456" s="80">
        <v>1.4781609195402301</v>
      </c>
      <c r="AL456" s="27">
        <v>8</v>
      </c>
      <c r="AM456" s="97">
        <f>SUM(AL456/Z456)</f>
        <v>7.8662733529990172E-3</v>
      </c>
      <c r="AN456" s="27" t="s">
        <v>2036</v>
      </c>
      <c r="AO456" s="27">
        <v>15</v>
      </c>
      <c r="AP456" s="27">
        <v>11</v>
      </c>
      <c r="AQ456" s="27">
        <v>4</v>
      </c>
      <c r="AR456" s="27">
        <f>SUM(AO456:AQ456)</f>
        <v>30</v>
      </c>
      <c r="AS456" s="27" t="s">
        <v>5139</v>
      </c>
      <c r="AT456" s="27" t="s">
        <v>6734</v>
      </c>
      <c r="AU456" s="84" t="s">
        <v>4733</v>
      </c>
      <c r="AV456" s="25"/>
      <c r="AW456" s="25"/>
      <c r="AX456" s="25"/>
      <c r="AY456" s="25"/>
      <c r="AZ456" s="25"/>
      <c r="BA456" s="25"/>
      <c r="BB456" s="25"/>
      <c r="BC456" s="25"/>
      <c r="BD456" s="25"/>
      <c r="BE456" s="25"/>
      <c r="BF456" s="25"/>
      <c r="BG456" s="25"/>
      <c r="BH456" s="25"/>
      <c r="BI456" s="25"/>
      <c r="BJ456" s="25"/>
      <c r="BK456" s="25"/>
      <c r="BL456" s="25"/>
      <c r="BM456" s="77"/>
      <c r="BN456" s="77"/>
      <c r="BO456" s="77"/>
      <c r="BP456" s="77"/>
      <c r="BQ456" s="77"/>
      <c r="BR456" s="77"/>
      <c r="BS456" s="77"/>
      <c r="BT456" s="77"/>
      <c r="BU456" s="77"/>
      <c r="BV456" s="77"/>
      <c r="BW456" s="77"/>
      <c r="BX456" s="77"/>
      <c r="BY456" s="77"/>
      <c r="BZ456" s="77"/>
      <c r="CA456" s="77"/>
      <c r="CB456" s="77"/>
      <c r="CC456" s="77"/>
      <c r="CD456" s="77"/>
      <c r="CE456" s="77"/>
      <c r="CF456" s="77"/>
      <c r="CG456" s="77"/>
      <c r="CH456" s="77"/>
      <c r="CI456" s="77"/>
      <c r="CJ456" s="77"/>
      <c r="CK456" s="77"/>
      <c r="CL456" s="77"/>
      <c r="CM456" s="77"/>
      <c r="CN456" s="77"/>
      <c r="CO456" s="77"/>
      <c r="CP456" s="77"/>
      <c r="CQ456" s="77"/>
      <c r="CR456" s="77"/>
      <c r="CS456" s="77"/>
      <c r="CT456" s="77"/>
      <c r="CU456" s="77"/>
      <c r="CV456" s="77"/>
      <c r="CW456" s="77"/>
      <c r="CX456" s="77"/>
      <c r="CY456" s="77"/>
      <c r="CZ456" s="77"/>
      <c r="DA456" s="77"/>
      <c r="DB456" s="77"/>
      <c r="DC456" s="77"/>
      <c r="DD456" s="77"/>
      <c r="DE456" s="77"/>
      <c r="DF456" s="77"/>
      <c r="DG456" s="77"/>
      <c r="DH456" s="77"/>
      <c r="DI456" s="77"/>
      <c r="DJ456" s="77"/>
      <c r="DK456" s="77"/>
      <c r="DL456" s="77"/>
      <c r="DM456" s="77"/>
      <c r="DN456" s="77"/>
      <c r="DO456" s="77"/>
      <c r="DP456" s="77"/>
      <c r="DQ456" s="77"/>
      <c r="DR456" s="77"/>
      <c r="DS456" s="77"/>
      <c r="DT456" s="77"/>
      <c r="DU456" s="77"/>
      <c r="DV456" s="77"/>
      <c r="DW456" s="77"/>
      <c r="DX456" s="77"/>
      <c r="DY456" s="77"/>
      <c r="DZ456" s="77"/>
      <c r="EA456" s="77"/>
      <c r="EB456" s="77"/>
      <c r="EC456" s="77"/>
      <c r="ED456" s="77"/>
      <c r="EE456" s="77"/>
      <c r="EF456" s="77"/>
      <c r="EG456" s="77"/>
      <c r="EH456" s="77"/>
      <c r="EI456" s="77"/>
      <c r="EJ456" s="77"/>
      <c r="EK456" s="77"/>
      <c r="EL456" s="77"/>
      <c r="EM456" s="77"/>
      <c r="EN456" s="77"/>
      <c r="EO456" s="77"/>
      <c r="EP456" s="77"/>
      <c r="EQ456" s="16"/>
      <c r="ER456" s="77"/>
      <c r="ES456" s="77"/>
      <c r="ET456" s="77"/>
      <c r="EU456" s="77"/>
      <c r="EV456" s="77"/>
      <c r="EW456" s="77"/>
      <c r="EX456" s="77"/>
      <c r="EY456" s="77"/>
      <c r="EZ456" s="77"/>
      <c r="FA456" s="77"/>
      <c r="FB456" s="77"/>
      <c r="FC456" s="77"/>
      <c r="FD456" s="77"/>
      <c r="FE456" s="77"/>
      <c r="FF456" s="77"/>
      <c r="FG456" s="77"/>
      <c r="FH456" s="77"/>
      <c r="FI456" s="77"/>
      <c r="FJ456" s="77"/>
      <c r="FK456" s="77"/>
      <c r="FL456" s="77"/>
      <c r="FM456" s="77"/>
      <c r="FN456" s="77"/>
      <c r="FO456" s="77"/>
      <c r="FP456" s="77"/>
      <c r="FQ456" s="77"/>
      <c r="FR456" s="77"/>
      <c r="FS456" s="77"/>
      <c r="FT456" s="77"/>
      <c r="FU456" s="77"/>
      <c r="FV456" s="77"/>
      <c r="FW456" s="77"/>
      <c r="FX456" s="77"/>
      <c r="FY456" s="77"/>
      <c r="FZ456" s="77"/>
      <c r="GA456" s="77"/>
      <c r="GB456" s="77"/>
      <c r="GC456" s="77"/>
      <c r="GD456" s="77"/>
      <c r="GE456" s="77"/>
      <c r="GF456" s="77"/>
      <c r="GG456" s="77"/>
      <c r="GH456" s="77"/>
      <c r="GI456" s="77"/>
      <c r="GJ456" s="77"/>
      <c r="GK456" s="77"/>
      <c r="GL456" s="77"/>
      <c r="GM456" s="77"/>
      <c r="GN456" s="77"/>
      <c r="GO456" s="77"/>
      <c r="GP456" s="77"/>
      <c r="GQ456" s="77"/>
      <c r="GR456" s="77"/>
      <c r="GS456" s="77"/>
      <c r="GT456" s="77"/>
      <c r="GU456" s="77"/>
      <c r="GV456" s="77"/>
      <c r="GW456" s="77"/>
      <c r="GX456" s="77"/>
      <c r="GY456" s="77"/>
      <c r="GZ456" s="77"/>
      <c r="HA456" s="77"/>
      <c r="HB456" s="77"/>
      <c r="HC456" s="77"/>
      <c r="HD456" s="77"/>
      <c r="HE456" s="77"/>
      <c r="HF456" s="77"/>
      <c r="HG456" s="77"/>
      <c r="HH456" s="77"/>
      <c r="HI456" s="77"/>
      <c r="HJ456" s="77"/>
      <c r="HK456" s="77"/>
      <c r="HL456" s="77"/>
      <c r="HM456" s="77"/>
      <c r="HN456" s="77"/>
      <c r="HO456" s="77"/>
      <c r="HP456" s="77"/>
      <c r="HQ456" s="77"/>
      <c r="HR456" s="77"/>
      <c r="HS456" s="77"/>
      <c r="HT456" s="77"/>
      <c r="HU456" s="77"/>
      <c r="HV456" s="77"/>
      <c r="HW456" s="77"/>
      <c r="HX456" s="77"/>
      <c r="HY456" s="77"/>
      <c r="HZ456" s="77"/>
      <c r="IA456" s="77"/>
      <c r="IB456" s="77"/>
      <c r="IC456" s="77"/>
      <c r="IF456" s="77"/>
      <c r="IG456" s="77"/>
      <c r="IH456" s="77"/>
      <c r="II456" s="77"/>
      <c r="IJ456" s="77"/>
      <c r="IK456" s="77"/>
      <c r="IL456" s="77"/>
      <c r="IM456" s="77"/>
      <c r="IN456" s="77"/>
      <c r="IO456" s="77"/>
      <c r="IP456" s="77"/>
      <c r="IQ456" s="77"/>
      <c r="IR456" s="77"/>
      <c r="IS456" s="77"/>
      <c r="IT456" s="77"/>
      <c r="IU456" s="77"/>
      <c r="IV456" s="77"/>
      <c r="IW456" s="77"/>
      <c r="IX456" s="77"/>
      <c r="IY456" s="77"/>
      <c r="IZ456" s="77"/>
      <c r="JA456" s="77"/>
      <c r="JB456" s="77"/>
      <c r="JC456" s="77"/>
      <c r="JD456" s="77"/>
      <c r="JE456" s="77"/>
      <c r="JF456" s="77"/>
      <c r="JG456" s="77"/>
      <c r="JH456" s="77"/>
      <c r="JI456" s="77"/>
      <c r="JJ456" s="77"/>
      <c r="JK456" s="77"/>
      <c r="JL456" s="77"/>
      <c r="JM456" s="77"/>
      <c r="JN456" s="77"/>
      <c r="JO456" s="77"/>
      <c r="JP456" s="77"/>
      <c r="JQ456" s="77"/>
      <c r="JR456" s="77"/>
      <c r="JS456" s="77"/>
      <c r="JT456" s="77"/>
      <c r="JU456" s="77"/>
      <c r="JV456" s="77"/>
      <c r="JW456" s="77"/>
      <c r="JX456" s="77"/>
      <c r="JY456" s="77"/>
      <c r="JZ456" s="77"/>
      <c r="KA456" s="77"/>
      <c r="KB456" s="77"/>
      <c r="KC456" s="77"/>
      <c r="KD456" s="77"/>
      <c r="KE456" s="77"/>
      <c r="KF456" s="77"/>
      <c r="KG456" s="77"/>
      <c r="KH456" s="77"/>
      <c r="KI456" s="77"/>
      <c r="KJ456" s="77"/>
      <c r="KK456" s="77"/>
      <c r="KL456" s="77"/>
    </row>
    <row r="457" spans="1:421" ht="18.600000000000001" customHeight="1" x14ac:dyDescent="0.25">
      <c r="A457" s="119" t="s">
        <v>691</v>
      </c>
      <c r="B457" s="27" t="s">
        <v>4069</v>
      </c>
      <c r="C457" s="27" t="s">
        <v>4070</v>
      </c>
      <c r="D457" s="33" t="s">
        <v>3019</v>
      </c>
      <c r="E457" s="34" t="s">
        <v>2732</v>
      </c>
      <c r="F457" s="42" t="s">
        <v>668</v>
      </c>
      <c r="G457" s="42" t="s">
        <v>687</v>
      </c>
      <c r="H457" s="42" t="s">
        <v>795</v>
      </c>
      <c r="I457" s="42" t="s">
        <v>782</v>
      </c>
      <c r="J457" s="27" t="s">
        <v>2226</v>
      </c>
      <c r="K457" s="42" t="s">
        <v>777</v>
      </c>
      <c r="L457" s="42" t="s">
        <v>771</v>
      </c>
      <c r="M457" s="42" t="s">
        <v>770</v>
      </c>
      <c r="N457" s="34" t="s">
        <v>2733</v>
      </c>
      <c r="O457" s="27" t="s">
        <v>3170</v>
      </c>
      <c r="P457" s="80">
        <v>81</v>
      </c>
      <c r="Q457" s="80">
        <v>36</v>
      </c>
      <c r="R457" s="27" t="s">
        <v>2995</v>
      </c>
      <c r="S457" s="101" t="s">
        <v>2734</v>
      </c>
      <c r="T457" s="14">
        <v>3</v>
      </c>
      <c r="U457" s="14" t="s">
        <v>771</v>
      </c>
      <c r="V457" s="19" t="s">
        <v>3065</v>
      </c>
      <c r="W457" s="42">
        <v>7</v>
      </c>
      <c r="X457" s="27" t="s">
        <v>691</v>
      </c>
      <c r="Y457" s="27" t="s">
        <v>4069</v>
      </c>
      <c r="Z457" s="80">
        <v>1016</v>
      </c>
      <c r="AA457" s="27">
        <v>404</v>
      </c>
      <c r="AB457" s="80">
        <v>643</v>
      </c>
      <c r="AC457" s="27">
        <v>3</v>
      </c>
      <c r="AD457" s="27" t="s">
        <v>4071</v>
      </c>
      <c r="AE457" s="27">
        <v>3218059552</v>
      </c>
      <c r="AF457" s="27" t="s">
        <v>4070</v>
      </c>
      <c r="AG457" s="27" t="s">
        <v>2725</v>
      </c>
      <c r="AH457" s="79">
        <v>2.7486486486486501</v>
      </c>
      <c r="AI457" s="83">
        <v>2.75609756097561</v>
      </c>
      <c r="AJ457" s="80">
        <v>1.4800910125142199</v>
      </c>
      <c r="AK457" s="80">
        <v>1.08987485779295</v>
      </c>
      <c r="AL457" s="27">
        <v>13</v>
      </c>
      <c r="AM457" s="97">
        <f>SUM(AL457/Z457)</f>
        <v>1.2795275590551181E-2</v>
      </c>
      <c r="AN457" s="27" t="s">
        <v>691</v>
      </c>
      <c r="AO457" s="27">
        <v>55</v>
      </c>
      <c r="AP457" s="27">
        <v>4</v>
      </c>
      <c r="AQ457" s="27">
        <v>20</v>
      </c>
      <c r="AR457" s="27">
        <f>SUM(AO457:AQ457)</f>
        <v>79</v>
      </c>
      <c r="AS457" s="27" t="s">
        <v>6233</v>
      </c>
      <c r="AT457" s="27" t="s">
        <v>6318</v>
      </c>
      <c r="AU457" s="84" t="s">
        <v>6172</v>
      </c>
      <c r="AV457" s="77"/>
      <c r="AW457" s="77"/>
      <c r="AX457" s="77"/>
      <c r="AY457" s="77"/>
      <c r="AZ457" s="77"/>
      <c r="BA457" s="77"/>
      <c r="BB457" s="77"/>
      <c r="BC457" s="77"/>
      <c r="BD457" s="77"/>
      <c r="BE457" s="77"/>
      <c r="BF457" s="77"/>
      <c r="BG457" s="77"/>
      <c r="BH457" s="77"/>
      <c r="BI457" s="77"/>
      <c r="BJ457" s="77"/>
      <c r="BK457" s="77"/>
      <c r="BL457" s="77"/>
      <c r="BM457" s="77"/>
      <c r="BN457" s="77"/>
      <c r="BO457" s="77"/>
      <c r="BP457" s="77"/>
      <c r="BQ457" s="77"/>
      <c r="BR457" s="77"/>
      <c r="BS457" s="77"/>
      <c r="BT457" s="77"/>
      <c r="BU457" s="77"/>
      <c r="BV457" s="77"/>
      <c r="BW457" s="77"/>
      <c r="BX457" s="77"/>
      <c r="BY457" s="77"/>
      <c r="BZ457" s="77"/>
      <c r="CA457" s="77"/>
      <c r="CB457" s="77"/>
      <c r="CC457" s="77"/>
      <c r="CD457" s="77"/>
      <c r="CE457" s="77"/>
      <c r="CF457" s="77"/>
      <c r="CG457" s="77"/>
      <c r="CH457" s="77"/>
      <c r="CI457" s="77"/>
      <c r="CJ457" s="77"/>
      <c r="CK457" s="77"/>
      <c r="CL457" s="77"/>
      <c r="CM457" s="77"/>
      <c r="CN457" s="77"/>
      <c r="CO457" s="77"/>
      <c r="CP457" s="77"/>
      <c r="CQ457" s="77"/>
      <c r="CR457" s="77"/>
      <c r="CS457" s="77"/>
      <c r="CT457" s="77"/>
      <c r="CU457" s="77"/>
      <c r="CV457" s="77"/>
      <c r="CW457" s="77"/>
      <c r="CX457" s="77"/>
      <c r="CY457" s="77"/>
      <c r="CZ457" s="77"/>
      <c r="DA457" s="77"/>
      <c r="DB457" s="77"/>
      <c r="DC457" s="77"/>
      <c r="DD457" s="77"/>
      <c r="DE457" s="77"/>
      <c r="DF457" s="77"/>
      <c r="DG457" s="77"/>
      <c r="DH457" s="77"/>
      <c r="DI457" s="77"/>
      <c r="DJ457" s="77"/>
      <c r="DK457" s="77"/>
      <c r="DL457" s="77"/>
      <c r="DM457" s="77"/>
      <c r="DN457" s="77"/>
      <c r="DO457" s="77"/>
      <c r="DP457" s="77"/>
      <c r="DQ457" s="77"/>
      <c r="DR457" s="77"/>
      <c r="DS457" s="77"/>
      <c r="DT457" s="77"/>
      <c r="DU457" s="77"/>
      <c r="DV457" s="77"/>
      <c r="DW457" s="77"/>
      <c r="DX457" s="77"/>
      <c r="DY457" s="77"/>
      <c r="DZ457" s="77"/>
      <c r="EA457" s="77"/>
      <c r="EB457" s="77"/>
      <c r="EC457" s="77"/>
      <c r="ED457" s="77"/>
      <c r="EE457" s="77"/>
      <c r="EF457" s="77"/>
      <c r="EG457" s="77"/>
      <c r="EH457" s="77"/>
      <c r="EI457" s="77"/>
      <c r="EJ457" s="77"/>
      <c r="EK457" s="77"/>
      <c r="EL457" s="77"/>
      <c r="EM457" s="77"/>
      <c r="EN457" s="77"/>
      <c r="EO457" s="77"/>
      <c r="EP457" s="77"/>
      <c r="EQ457" s="77"/>
      <c r="ER457" s="77"/>
      <c r="ES457" s="77"/>
      <c r="ET457" s="77"/>
      <c r="EU457" s="77"/>
      <c r="EV457" s="77"/>
      <c r="EW457" s="77"/>
      <c r="EX457" s="77"/>
      <c r="EY457" s="77"/>
      <c r="EZ457" s="77"/>
      <c r="FA457" s="77"/>
      <c r="FB457" s="77"/>
      <c r="FC457" s="77"/>
      <c r="FD457" s="77"/>
      <c r="FE457" s="77"/>
      <c r="FF457" s="77"/>
      <c r="FG457" s="77"/>
      <c r="FH457" s="77"/>
      <c r="FI457" s="77"/>
      <c r="FJ457" s="77"/>
      <c r="FK457" s="77"/>
      <c r="FL457" s="77"/>
      <c r="FM457" s="77"/>
      <c r="FN457" s="77"/>
      <c r="FO457" s="77"/>
      <c r="FP457" s="77"/>
      <c r="FQ457" s="77"/>
      <c r="FR457" s="77"/>
      <c r="FS457" s="77"/>
      <c r="FT457" s="77"/>
      <c r="FU457" s="77"/>
      <c r="FV457" s="77"/>
      <c r="FW457" s="77"/>
      <c r="FX457" s="77"/>
      <c r="FY457" s="77"/>
      <c r="FZ457" s="77"/>
      <c r="GA457" s="77"/>
      <c r="GB457" s="77"/>
      <c r="GC457" s="77"/>
      <c r="GD457" s="77"/>
      <c r="GE457" s="77"/>
      <c r="GF457" s="77"/>
      <c r="GG457" s="77"/>
      <c r="GH457" s="77"/>
      <c r="GI457" s="77"/>
      <c r="GJ457" s="77"/>
      <c r="GK457" s="77"/>
      <c r="GL457" s="77"/>
      <c r="GM457" s="77"/>
      <c r="GN457" s="77"/>
      <c r="GO457" s="77"/>
      <c r="GP457" s="77"/>
      <c r="GQ457" s="77"/>
      <c r="GR457" s="77"/>
      <c r="GS457" s="77"/>
      <c r="GT457" s="77"/>
      <c r="GU457" s="77"/>
      <c r="GV457" s="77"/>
      <c r="GW457" s="77"/>
      <c r="GX457" s="77"/>
      <c r="GY457" s="77"/>
      <c r="GZ457" s="77"/>
      <c r="HA457" s="77"/>
      <c r="HB457" s="77"/>
      <c r="HC457" s="77"/>
      <c r="HD457" s="77"/>
      <c r="HE457" s="77"/>
      <c r="HF457" s="77"/>
      <c r="HG457" s="77"/>
      <c r="HH457" s="77"/>
      <c r="HI457" s="77"/>
      <c r="HJ457" s="77"/>
      <c r="HK457" s="77"/>
      <c r="HL457" s="77"/>
      <c r="HM457" s="77"/>
      <c r="HN457" s="77"/>
      <c r="HO457" s="77"/>
      <c r="HP457" s="77"/>
      <c r="HQ457" s="77"/>
      <c r="HR457" s="77"/>
      <c r="HS457" s="77"/>
      <c r="HT457" s="77"/>
      <c r="HU457" s="77"/>
      <c r="HV457" s="77"/>
      <c r="HW457" s="77"/>
      <c r="HX457" s="77"/>
      <c r="HY457" s="77"/>
      <c r="HZ457" s="77"/>
      <c r="IA457" s="77"/>
      <c r="IB457" s="77"/>
      <c r="IC457" s="77"/>
      <c r="ID457" s="77"/>
      <c r="IE457" s="77"/>
      <c r="IF457" s="77"/>
      <c r="IG457" s="77"/>
      <c r="IH457" s="77"/>
      <c r="II457" s="77"/>
      <c r="IJ457" s="77"/>
      <c r="IK457" s="77"/>
      <c r="IL457" s="77"/>
      <c r="IM457" s="77"/>
      <c r="IN457" s="77"/>
      <c r="IO457" s="77"/>
      <c r="IP457" s="77"/>
      <c r="IQ457" s="77"/>
      <c r="IR457" s="77"/>
      <c r="IS457" s="77"/>
      <c r="IT457" s="77"/>
      <c r="IU457" s="77"/>
      <c r="IV457" s="77"/>
      <c r="IW457" s="77"/>
      <c r="IX457" s="77"/>
      <c r="IY457" s="77"/>
      <c r="IZ457" s="77"/>
      <c r="JA457" s="77"/>
      <c r="JB457" s="77"/>
      <c r="JC457" s="77"/>
      <c r="JD457" s="77"/>
      <c r="JE457" s="77"/>
      <c r="JF457" s="77"/>
      <c r="JG457" s="77"/>
      <c r="JH457" s="77"/>
      <c r="JI457" s="77"/>
      <c r="JJ457" s="77"/>
      <c r="JK457" s="77"/>
      <c r="JL457" s="77"/>
      <c r="JM457" s="77"/>
      <c r="JN457" s="77"/>
      <c r="JO457" s="77"/>
      <c r="JP457" s="77"/>
      <c r="JQ457" s="77"/>
      <c r="JR457" s="77"/>
      <c r="JS457" s="77"/>
      <c r="JT457" s="77"/>
      <c r="JU457" s="77"/>
      <c r="JV457" s="77"/>
      <c r="JW457" s="77"/>
      <c r="JX457" s="77"/>
      <c r="JY457" s="77"/>
      <c r="JZ457" s="77"/>
      <c r="KA457" s="77"/>
      <c r="KB457" s="77"/>
      <c r="KC457" s="77"/>
      <c r="KD457" s="77"/>
      <c r="KE457" s="77"/>
      <c r="KF457" s="77"/>
      <c r="KG457" s="77"/>
      <c r="KH457" s="77"/>
      <c r="KI457" s="77"/>
      <c r="KJ457" s="77"/>
      <c r="KK457" s="77"/>
      <c r="KL457" s="77"/>
      <c r="KM457" s="77"/>
      <c r="KN457" s="77"/>
      <c r="KO457" s="77"/>
      <c r="KP457" s="77"/>
      <c r="KQ457" s="77"/>
      <c r="KR457" s="77"/>
      <c r="KS457" s="77"/>
      <c r="KT457" s="77"/>
      <c r="KU457" s="77"/>
      <c r="KV457" s="77"/>
      <c r="KW457" s="77"/>
      <c r="KX457" s="77"/>
      <c r="KY457" s="77"/>
      <c r="KZ457" s="77"/>
      <c r="LA457" s="77"/>
      <c r="LB457" s="77"/>
      <c r="LC457" s="77"/>
      <c r="LD457" s="77"/>
      <c r="LE457" s="77"/>
      <c r="LF457" s="77"/>
      <c r="LG457" s="77"/>
      <c r="LH457" s="77"/>
      <c r="LI457" s="77"/>
      <c r="LJ457" s="77"/>
      <c r="LK457" s="77"/>
      <c r="LL457" s="77"/>
      <c r="LM457" s="77"/>
      <c r="LN457" s="77"/>
      <c r="LO457" s="77"/>
      <c r="LP457" s="77"/>
      <c r="LQ457" s="77"/>
      <c r="LR457" s="77"/>
      <c r="LS457" s="77"/>
      <c r="LT457" s="77"/>
      <c r="LU457" s="77"/>
      <c r="LV457" s="77"/>
      <c r="LW457" s="77"/>
      <c r="LX457" s="77"/>
      <c r="LY457" s="77"/>
      <c r="LZ457" s="77"/>
      <c r="MA457" s="77"/>
      <c r="MB457" s="77"/>
      <c r="MC457" s="77"/>
      <c r="MD457" s="77"/>
      <c r="ME457" s="77"/>
      <c r="MF457" s="77"/>
      <c r="MG457" s="77"/>
      <c r="MH457" s="77"/>
      <c r="MI457" s="77"/>
      <c r="MJ457" s="77"/>
      <c r="MK457" s="77"/>
      <c r="ML457" s="77"/>
      <c r="MM457" s="77"/>
      <c r="MN457" s="77"/>
      <c r="MO457" s="77"/>
      <c r="MP457" s="77"/>
      <c r="MQ457" s="77"/>
      <c r="MR457" s="77"/>
      <c r="MS457" s="77"/>
    </row>
    <row r="458" spans="1:421" ht="18.600000000000001" customHeight="1" x14ac:dyDescent="0.25">
      <c r="A458" s="119" t="s">
        <v>483</v>
      </c>
      <c r="B458" s="27" t="s">
        <v>2111</v>
      </c>
      <c r="C458" s="27" t="s">
        <v>2112</v>
      </c>
      <c r="D458" s="30" t="s">
        <v>2110</v>
      </c>
      <c r="E458" s="30" t="str">
        <f>HYPERLINK("http://twiplomacy.com/info/europe/Poland","http://twiplomacy.com/info/europe/Poland")</f>
        <v>http://twiplomacy.com/info/europe/Poland</v>
      </c>
      <c r="F458" s="10" t="s">
        <v>332</v>
      </c>
      <c r="G458" s="10" t="s">
        <v>480</v>
      </c>
      <c r="H458" s="10" t="s">
        <v>776</v>
      </c>
      <c r="I458" s="10" t="s">
        <v>773</v>
      </c>
      <c r="J458" s="27" t="s">
        <v>2115</v>
      </c>
      <c r="K458" s="15" t="s">
        <v>777</v>
      </c>
      <c r="L458" s="15"/>
      <c r="M458" s="10" t="s">
        <v>770</v>
      </c>
      <c r="N458" s="30" t="s">
        <v>3141</v>
      </c>
      <c r="O458" s="27" t="s">
        <v>3191</v>
      </c>
      <c r="P458" s="80">
        <v>508</v>
      </c>
      <c r="Q458" s="80">
        <v>2303</v>
      </c>
      <c r="R458" s="27" t="s">
        <v>2995</v>
      </c>
      <c r="S458" s="12" t="s">
        <v>3144</v>
      </c>
      <c r="T458" s="10" t="s">
        <v>771</v>
      </c>
      <c r="U458" s="10" t="s">
        <v>771</v>
      </c>
      <c r="V458" s="10" t="s">
        <v>771</v>
      </c>
      <c r="W458" s="10"/>
      <c r="X458" s="27" t="s">
        <v>483</v>
      </c>
      <c r="Y458" s="27" t="s">
        <v>2111</v>
      </c>
      <c r="Z458" s="80">
        <v>1005</v>
      </c>
      <c r="AA458" s="27">
        <v>390</v>
      </c>
      <c r="AB458" s="80">
        <v>119742</v>
      </c>
      <c r="AC458" s="27">
        <v>26</v>
      </c>
      <c r="AD458" s="27" t="s">
        <v>3506</v>
      </c>
      <c r="AE458" s="27">
        <v>76979225</v>
      </c>
      <c r="AF458" s="27" t="s">
        <v>2112</v>
      </c>
      <c r="AG458" s="27" t="s">
        <v>3507</v>
      </c>
      <c r="AH458" s="79">
        <v>0.417081260364842</v>
      </c>
      <c r="AI458" s="83">
        <v>0.43101970865466999</v>
      </c>
      <c r="AJ458" s="80">
        <v>22.6876971608833</v>
      </c>
      <c r="AK458" s="80">
        <v>71.392218717139897</v>
      </c>
      <c r="AL458" s="27">
        <v>189</v>
      </c>
      <c r="AM458" s="97">
        <f>SUM(AL458/Z458)</f>
        <v>0.18805970149253731</v>
      </c>
      <c r="AN458" s="27" t="s">
        <v>483</v>
      </c>
      <c r="AO458" s="27">
        <v>4</v>
      </c>
      <c r="AP458" s="27">
        <v>3</v>
      </c>
      <c r="AQ458" s="27">
        <v>4</v>
      </c>
      <c r="AR458" s="27">
        <f>SUM(AO458:AQ458)</f>
        <v>11</v>
      </c>
      <c r="AS458" s="27" t="s">
        <v>5036</v>
      </c>
      <c r="AT458" s="27" t="s">
        <v>6274</v>
      </c>
      <c r="AU458" s="84" t="s">
        <v>4658</v>
      </c>
      <c r="AV458" s="77"/>
      <c r="AW458" s="77"/>
      <c r="AX458" s="77"/>
      <c r="AY458" s="77"/>
      <c r="AZ458" s="77"/>
      <c r="BA458" s="77"/>
      <c r="BB458" s="77"/>
      <c r="BC458" s="77"/>
      <c r="BD458" s="77"/>
      <c r="BE458" s="77"/>
      <c r="BF458" s="77"/>
      <c r="BG458" s="77"/>
      <c r="BH458" s="77"/>
      <c r="BI458" s="77"/>
      <c r="BJ458" s="77"/>
      <c r="BK458" s="77"/>
      <c r="BL458" s="77"/>
      <c r="BM458" s="77"/>
      <c r="BN458" s="77"/>
      <c r="BO458" s="77"/>
      <c r="BP458" s="77"/>
      <c r="BQ458" s="16"/>
      <c r="BR458" s="16"/>
      <c r="BS458" s="16"/>
      <c r="BT458" s="16"/>
      <c r="BU458" s="16"/>
      <c r="BV458" s="16"/>
      <c r="BW458" s="16"/>
      <c r="BX458" s="16"/>
      <c r="BY458" s="16"/>
      <c r="BZ458" s="16"/>
      <c r="CA458" s="16"/>
      <c r="CB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6"/>
      <c r="EB458" s="16"/>
      <c r="EC458" s="16"/>
      <c r="ED458" s="16"/>
      <c r="EE458" s="16"/>
      <c r="EF458" s="16"/>
      <c r="EG458" s="16"/>
      <c r="EH458" s="16"/>
      <c r="EI458" s="16"/>
      <c r="EJ458" s="16"/>
      <c r="EK458" s="16"/>
      <c r="EL458" s="16"/>
      <c r="EM458" s="77"/>
      <c r="EN458" s="77"/>
      <c r="EO458" s="77"/>
      <c r="EP458" s="77"/>
      <c r="ER458" s="77"/>
      <c r="ES458" s="77"/>
      <c r="ET458" s="77"/>
      <c r="EU458" s="77"/>
      <c r="EV458" s="77"/>
      <c r="EW458" s="77"/>
      <c r="EX458" s="77"/>
      <c r="EY458" s="77"/>
      <c r="EZ458" s="77"/>
      <c r="FA458" s="77"/>
      <c r="FB458" s="77"/>
      <c r="FC458" s="77"/>
      <c r="FD458" s="77"/>
      <c r="FE458" s="77"/>
      <c r="FF458" s="77"/>
      <c r="FG458" s="77"/>
      <c r="FH458" s="77"/>
      <c r="FI458" s="77"/>
      <c r="FJ458" s="77"/>
      <c r="FK458" s="77"/>
      <c r="FL458" s="77"/>
      <c r="FM458" s="77"/>
      <c r="FN458" s="77"/>
      <c r="FO458" s="77"/>
      <c r="FP458" s="77"/>
      <c r="FQ458" s="77"/>
      <c r="FR458" s="77"/>
      <c r="FS458" s="77"/>
      <c r="FT458" s="77"/>
      <c r="FU458" s="77"/>
      <c r="FV458" s="77"/>
      <c r="FW458" s="77"/>
      <c r="FX458" s="77"/>
      <c r="FY458" s="77"/>
      <c r="FZ458" s="77"/>
      <c r="GA458" s="77"/>
      <c r="GB458" s="77"/>
      <c r="GC458" s="77"/>
      <c r="GD458" s="77"/>
      <c r="GE458" s="77"/>
      <c r="GF458" s="77"/>
      <c r="GG458" s="77"/>
      <c r="GH458" s="77"/>
      <c r="GI458" s="77"/>
      <c r="GJ458" s="77"/>
      <c r="GK458" s="77"/>
      <c r="GL458" s="77"/>
      <c r="GM458" s="77"/>
      <c r="GN458" s="77"/>
      <c r="GO458" s="77"/>
      <c r="GP458" s="77"/>
      <c r="GQ458" s="77"/>
      <c r="GR458" s="77"/>
      <c r="GS458" s="77"/>
      <c r="GT458" s="77"/>
      <c r="GU458" s="77"/>
      <c r="GV458" s="77"/>
      <c r="GW458" s="77"/>
      <c r="GX458" s="77"/>
      <c r="GY458" s="77"/>
      <c r="GZ458" s="77"/>
      <c r="HA458" s="77"/>
      <c r="HB458" s="77"/>
      <c r="HC458" s="77"/>
      <c r="HD458" s="77"/>
      <c r="HE458" s="77"/>
      <c r="HF458" s="77"/>
      <c r="HG458" s="77"/>
      <c r="HH458" s="77"/>
      <c r="HI458" s="77"/>
      <c r="HJ458" s="77"/>
      <c r="HK458" s="77"/>
      <c r="HL458" s="77"/>
      <c r="HM458" s="77"/>
      <c r="HN458" s="77"/>
      <c r="HO458" s="77"/>
      <c r="HP458" s="77"/>
      <c r="HQ458" s="77"/>
      <c r="HR458" s="77"/>
      <c r="HS458" s="77"/>
      <c r="HT458" s="77"/>
      <c r="HU458" s="77"/>
      <c r="HV458" s="77"/>
      <c r="HW458" s="77"/>
      <c r="HX458" s="77"/>
      <c r="HY458" s="77"/>
      <c r="HZ458" s="77"/>
      <c r="IA458" s="77"/>
      <c r="IB458" s="77"/>
      <c r="IC458" s="77"/>
      <c r="ID458" s="77"/>
      <c r="IE458" s="77"/>
      <c r="IF458" s="77"/>
      <c r="IG458" s="77"/>
      <c r="IH458" s="77"/>
      <c r="II458" s="77"/>
      <c r="IJ458" s="77"/>
      <c r="IK458" s="77"/>
      <c r="IL458" s="77"/>
      <c r="IM458" s="77"/>
      <c r="IN458" s="77"/>
      <c r="IO458" s="77"/>
      <c r="IP458" s="77"/>
      <c r="IQ458" s="77"/>
      <c r="IR458" s="77"/>
      <c r="IS458" s="77"/>
      <c r="IT458" s="77"/>
      <c r="IU458" s="77"/>
      <c r="IV458" s="77"/>
      <c r="IW458" s="77"/>
      <c r="IX458" s="77"/>
      <c r="IY458" s="77"/>
      <c r="IZ458" s="77"/>
      <c r="JA458" s="77"/>
      <c r="JB458" s="77"/>
      <c r="JC458" s="77"/>
      <c r="JD458" s="77"/>
      <c r="JE458" s="77"/>
      <c r="JF458" s="77"/>
      <c r="JG458" s="77"/>
      <c r="JH458" s="77"/>
      <c r="JI458" s="77"/>
      <c r="JJ458" s="77"/>
      <c r="JK458" s="77"/>
      <c r="JL458" s="77"/>
      <c r="JM458" s="77"/>
      <c r="JN458" s="77"/>
      <c r="JO458" s="77"/>
      <c r="JP458" s="77"/>
      <c r="JQ458" s="77"/>
      <c r="JR458" s="77"/>
      <c r="JS458" s="77"/>
      <c r="JT458" s="77"/>
      <c r="JU458" s="77"/>
      <c r="JV458" s="77"/>
      <c r="JW458" s="77"/>
      <c r="JX458" s="77"/>
      <c r="JY458" s="77"/>
      <c r="JZ458" s="77"/>
      <c r="KA458" s="77"/>
      <c r="KB458" s="77"/>
      <c r="KC458" s="77"/>
      <c r="KD458" s="77"/>
      <c r="KE458" s="77"/>
      <c r="KF458" s="77"/>
      <c r="KG458" s="77"/>
      <c r="KH458" s="77"/>
      <c r="KI458" s="77"/>
      <c r="KJ458" s="77"/>
      <c r="KK458" s="77"/>
      <c r="KL458" s="77"/>
      <c r="KM458" s="77"/>
      <c r="KN458" s="77"/>
      <c r="KO458" s="77"/>
      <c r="KP458" s="77"/>
      <c r="KQ458" s="77"/>
      <c r="KR458" s="77"/>
      <c r="KS458" s="77"/>
      <c r="KT458" s="77"/>
      <c r="KU458" s="77"/>
      <c r="KV458" s="77"/>
      <c r="KW458" s="77"/>
      <c r="KX458" s="77"/>
      <c r="KY458" s="77"/>
      <c r="KZ458" s="77"/>
      <c r="LA458" s="77"/>
      <c r="LB458" s="77"/>
      <c r="LC458" s="77"/>
      <c r="LD458" s="77"/>
      <c r="LE458" s="77"/>
      <c r="LF458" s="77"/>
      <c r="LG458" s="77"/>
      <c r="LH458" s="77"/>
      <c r="LI458" s="77"/>
      <c r="LJ458" s="77"/>
      <c r="LK458" s="77"/>
      <c r="LW458" s="77"/>
      <c r="LX458" s="77"/>
      <c r="LY458" s="16"/>
      <c r="LZ458" s="16"/>
      <c r="MA458" s="16"/>
      <c r="MB458" s="16"/>
      <c r="MC458" s="16"/>
      <c r="MD458" s="16"/>
      <c r="ME458" s="16"/>
      <c r="MF458" s="16"/>
      <c r="MG458" s="16"/>
      <c r="MH458" s="16"/>
      <c r="MI458" s="16"/>
      <c r="MJ458" s="16"/>
      <c r="MK458" s="16"/>
      <c r="ML458" s="16"/>
      <c r="MM458" s="16"/>
      <c r="MN458" s="16"/>
      <c r="MO458" s="16"/>
      <c r="MP458" s="16"/>
      <c r="MQ458" s="16"/>
      <c r="MR458" s="16"/>
      <c r="MS458" s="77"/>
    </row>
    <row r="459" spans="1:421" ht="18.600000000000001" customHeight="1" x14ac:dyDescent="0.25">
      <c r="A459" s="119" t="s">
        <v>709</v>
      </c>
      <c r="B459" s="27" t="s">
        <v>2949</v>
      </c>
      <c r="C459" s="27" t="s">
        <v>4123</v>
      </c>
      <c r="D459" s="33" t="s">
        <v>3030</v>
      </c>
      <c r="E459" s="34" t="s">
        <v>2774</v>
      </c>
      <c r="F459" s="42" t="s">
        <v>668</v>
      </c>
      <c r="G459" s="42" t="s">
        <v>706</v>
      </c>
      <c r="H459" s="42" t="s">
        <v>795</v>
      </c>
      <c r="I459" s="42" t="s">
        <v>782</v>
      </c>
      <c r="J459" s="27" t="s">
        <v>2226</v>
      </c>
      <c r="K459" s="42" t="s">
        <v>777</v>
      </c>
      <c r="L459" s="42" t="s">
        <v>771</v>
      </c>
      <c r="M459" s="42" t="s">
        <v>770</v>
      </c>
      <c r="N459" s="34" t="s">
        <v>2775</v>
      </c>
      <c r="O459" s="27" t="s">
        <v>5962</v>
      </c>
      <c r="P459" s="80">
        <v>21</v>
      </c>
      <c r="Q459" s="80">
        <v>11</v>
      </c>
      <c r="R459" s="27" t="s">
        <v>2995</v>
      </c>
      <c r="S459" s="101" t="s">
        <v>2776</v>
      </c>
      <c r="T459" s="14" t="s">
        <v>771</v>
      </c>
      <c r="U459" s="14" t="s">
        <v>771</v>
      </c>
      <c r="V459" s="14" t="s">
        <v>771</v>
      </c>
      <c r="W459" s="42"/>
      <c r="X459" s="27" t="s">
        <v>709</v>
      </c>
      <c r="Y459" s="27" t="s">
        <v>2949</v>
      </c>
      <c r="Z459" s="80">
        <v>1003</v>
      </c>
      <c r="AA459" s="27">
        <v>325</v>
      </c>
      <c r="AB459" s="80">
        <v>825</v>
      </c>
      <c r="AC459" s="27">
        <v>2</v>
      </c>
      <c r="AD459" s="27" t="s">
        <v>4124</v>
      </c>
      <c r="AE459" s="27">
        <v>3374964177</v>
      </c>
      <c r="AF459" s="27" t="s">
        <v>4123</v>
      </c>
      <c r="AG459" s="27" t="s">
        <v>2773</v>
      </c>
      <c r="AH459" s="79">
        <v>3.4232081911262799</v>
      </c>
      <c r="AI459" s="83">
        <v>4.3608695652173903</v>
      </c>
      <c r="AJ459" s="80">
        <v>0.29162462159434899</v>
      </c>
      <c r="AK459" s="80">
        <v>0.230070635721493</v>
      </c>
      <c r="AL459" s="27">
        <v>427</v>
      </c>
      <c r="AM459" s="97">
        <f>SUM(AL459/Z459)</f>
        <v>0.42572283150548357</v>
      </c>
      <c r="AN459" s="27" t="s">
        <v>709</v>
      </c>
      <c r="AO459" s="27">
        <v>1</v>
      </c>
      <c r="AP459" s="27">
        <v>15</v>
      </c>
      <c r="AQ459" s="27">
        <v>4</v>
      </c>
      <c r="AR459" s="27">
        <f>SUM(AO459:AQ459)</f>
        <v>20</v>
      </c>
      <c r="AS459" s="27" t="s">
        <v>699</v>
      </c>
      <c r="AT459" s="27" t="s">
        <v>5328</v>
      </c>
      <c r="AU459" s="84" t="s">
        <v>4858</v>
      </c>
      <c r="BM459" s="77"/>
      <c r="BQ459" s="77"/>
      <c r="BR459" s="77"/>
      <c r="BS459" s="77"/>
      <c r="BT459" s="77"/>
      <c r="BU459" s="77"/>
      <c r="BV459" s="77"/>
      <c r="BW459" s="77"/>
      <c r="BX459" s="77"/>
      <c r="BY459" s="77"/>
      <c r="BZ459" s="77"/>
      <c r="CA459" s="77"/>
      <c r="CB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c r="DS459" s="77"/>
      <c r="DT459" s="77"/>
      <c r="DU459" s="77"/>
      <c r="DV459" s="77"/>
      <c r="DW459" s="77"/>
      <c r="DX459" s="77"/>
      <c r="DY459" s="77"/>
      <c r="DZ459" s="77"/>
      <c r="EA459" s="77"/>
      <c r="EB459" s="77"/>
      <c r="EC459" s="77"/>
      <c r="ED459" s="77"/>
      <c r="EE459" s="77"/>
      <c r="EF459" s="77"/>
      <c r="EG459" s="77"/>
      <c r="EH459" s="77"/>
      <c r="EI459" s="77"/>
      <c r="EJ459" s="77"/>
      <c r="EK459" s="77"/>
      <c r="EL459" s="77"/>
      <c r="EM459" s="77"/>
      <c r="EN459" s="77"/>
      <c r="EO459" s="77"/>
      <c r="EP459" s="77"/>
      <c r="EQ459" s="77"/>
      <c r="HL459" s="77"/>
      <c r="HM459" s="77"/>
      <c r="HN459" s="77"/>
      <c r="HO459" s="77"/>
      <c r="HP459" s="77"/>
      <c r="HQ459" s="77"/>
      <c r="HR459" s="77"/>
      <c r="HS459" s="77"/>
      <c r="HT459" s="77"/>
      <c r="HU459" s="77"/>
      <c r="HV459" s="77"/>
      <c r="HW459" s="77"/>
      <c r="HX459" s="77"/>
      <c r="HY459" s="77"/>
      <c r="HZ459" s="77"/>
      <c r="IA459" s="77"/>
      <c r="IB459" s="77"/>
      <c r="IC459" s="77"/>
      <c r="ID459" s="77"/>
      <c r="IE459" s="77"/>
      <c r="JY459" s="77"/>
      <c r="JZ459" s="77"/>
      <c r="KA459" s="77"/>
      <c r="KB459" s="77"/>
      <c r="KC459" s="77"/>
      <c r="KD459" s="77"/>
      <c r="KE459" s="77"/>
      <c r="KF459" s="77"/>
      <c r="KG459" s="77"/>
      <c r="KH459" s="77"/>
      <c r="KI459" s="77"/>
      <c r="KJ459" s="77"/>
      <c r="KK459" s="77"/>
      <c r="KL459" s="77"/>
      <c r="LL459" s="77"/>
      <c r="LM459" s="77"/>
      <c r="LN459" s="77"/>
      <c r="LO459" s="77"/>
      <c r="LP459" s="77"/>
      <c r="LQ459" s="77"/>
      <c r="LR459" s="77"/>
      <c r="LS459" s="77"/>
      <c r="LT459" s="77"/>
      <c r="LU459" s="77"/>
      <c r="LV459" s="77"/>
      <c r="LW459" s="77"/>
      <c r="LX459" s="77"/>
      <c r="MS459" s="77"/>
    </row>
    <row r="460" spans="1:421" ht="18.600000000000001" customHeight="1" x14ac:dyDescent="0.25">
      <c r="A460" s="119" t="s">
        <v>492</v>
      </c>
      <c r="B460" s="27" t="s">
        <v>2127</v>
      </c>
      <c r="C460" s="27"/>
      <c r="D460" s="30" t="str">
        <f>HYPERLINK("https://twitter.com/KlausIohannis","https://twitter.com/KlausIohannis")</f>
        <v>https://twitter.com/KlausIohannis</v>
      </c>
      <c r="E460" s="30" t="str">
        <f>HYPERLINK("http://twiplomacy.com/info/europe/Romania","http://twiplomacy.com/info/europe/Romania")</f>
        <v>http://twiplomacy.com/info/europe/Romania</v>
      </c>
      <c r="F460" s="10" t="s">
        <v>332</v>
      </c>
      <c r="G460" s="10" t="s">
        <v>491</v>
      </c>
      <c r="H460" s="10" t="s">
        <v>772</v>
      </c>
      <c r="I460" s="10" t="s">
        <v>773</v>
      </c>
      <c r="J460" s="27" t="s">
        <v>789</v>
      </c>
      <c r="K460" s="10" t="s">
        <v>777</v>
      </c>
      <c r="L460" s="10" t="s">
        <v>771</v>
      </c>
      <c r="M460" s="10" t="s">
        <v>770</v>
      </c>
      <c r="N460" s="72" t="str">
        <f>HYPERLINK("https://twitter.com/KlausIohannis/status/506811288669155328","https://twitter.com/KlausIohannis/status/506811288669155328")</f>
        <v>https://twitter.com/KlausIohannis/status/506811288669155328</v>
      </c>
      <c r="O460" s="27" t="s">
        <v>2128</v>
      </c>
      <c r="P460" s="80">
        <v>74</v>
      </c>
      <c r="Q460" s="80">
        <v>117</v>
      </c>
      <c r="R460" s="27" t="s">
        <v>2995</v>
      </c>
      <c r="S460" s="30" t="str">
        <f>HYPERLINK("https://twitter.com/KlausIohannis/lists","https://twitter.com/KlausIohannis/lists")</f>
        <v>https://twitter.com/KlausIohannis/lists</v>
      </c>
      <c r="T460" s="10" t="s">
        <v>771</v>
      </c>
      <c r="U460" s="10" t="s">
        <v>771</v>
      </c>
      <c r="V460" s="10" t="s">
        <v>771</v>
      </c>
      <c r="W460" s="10"/>
      <c r="X460" s="27" t="s">
        <v>492</v>
      </c>
      <c r="Y460" s="27" t="s">
        <v>2127</v>
      </c>
      <c r="Z460" s="80">
        <v>999</v>
      </c>
      <c r="AA460" s="27">
        <v>60</v>
      </c>
      <c r="AB460" s="80">
        <v>15299</v>
      </c>
      <c r="AC460" s="27">
        <v>2</v>
      </c>
      <c r="AD460" s="27" t="s">
        <v>3941</v>
      </c>
      <c r="AE460" s="27">
        <v>2765824141</v>
      </c>
      <c r="AF460" s="27"/>
      <c r="AG460" s="27" t="s">
        <v>3942</v>
      </c>
      <c r="AH460" s="79">
        <v>1.6217532467532501</v>
      </c>
      <c r="AI460" s="83">
        <v>1.6457990115321299</v>
      </c>
      <c r="AJ460" s="80">
        <v>4.1681681681681697</v>
      </c>
      <c r="AK460" s="80">
        <v>9.2532532532532503</v>
      </c>
      <c r="AL460" s="27">
        <v>1</v>
      </c>
      <c r="AM460" s="97">
        <f>SUM(AL460/Z460)</f>
        <v>1.001001001001001E-3</v>
      </c>
      <c r="AN460" s="27" t="s">
        <v>492</v>
      </c>
      <c r="AO460" s="27">
        <v>1</v>
      </c>
      <c r="AP460" s="27">
        <v>10</v>
      </c>
      <c r="AQ460" s="27">
        <v>1</v>
      </c>
      <c r="AR460" s="27">
        <f>SUM(AO460:AQ460)</f>
        <v>12</v>
      </c>
      <c r="AS460" s="27" t="s">
        <v>1858</v>
      </c>
      <c r="AT460" s="27" t="s">
        <v>6767</v>
      </c>
      <c r="AU460" s="84" t="s">
        <v>726</v>
      </c>
      <c r="AV460" s="77"/>
      <c r="AW460" s="77"/>
      <c r="AX460" s="77"/>
      <c r="AY460" s="77"/>
      <c r="AZ460" s="77"/>
      <c r="BA460" s="77"/>
      <c r="BB460" s="77"/>
      <c r="BC460" s="77"/>
      <c r="BD460" s="77"/>
      <c r="BE460" s="77"/>
      <c r="BF460" s="77"/>
      <c r="BG460" s="77"/>
      <c r="BH460" s="77"/>
      <c r="BI460" s="77"/>
      <c r="BJ460" s="77"/>
      <c r="BK460" s="77"/>
      <c r="BL460" s="77"/>
      <c r="BM460" s="77"/>
      <c r="BN460" s="77"/>
      <c r="BO460" s="77"/>
      <c r="BP460" s="77"/>
      <c r="BQ460" s="16"/>
      <c r="BR460" s="16"/>
      <c r="BS460" s="16"/>
      <c r="BT460" s="16"/>
      <c r="BU460" s="16"/>
      <c r="BV460" s="16"/>
      <c r="BW460" s="16"/>
      <c r="BX460" s="16"/>
      <c r="BY460" s="16"/>
      <c r="BZ460" s="16"/>
      <c r="CA460" s="16"/>
      <c r="CB460" s="16"/>
      <c r="CC460" s="77"/>
      <c r="CD460" s="77"/>
      <c r="CE460" s="77"/>
      <c r="CF460" s="77"/>
      <c r="CG460" s="77"/>
      <c r="CH460" s="77"/>
      <c r="CI460" s="77"/>
      <c r="CJ460" s="77"/>
      <c r="CK460" s="77"/>
      <c r="CL460" s="77"/>
      <c r="CM460" s="77"/>
      <c r="CN460" s="77"/>
      <c r="CO460" s="77"/>
      <c r="CP460" s="77"/>
      <c r="CQ460" s="77"/>
      <c r="CR460" s="77"/>
      <c r="CS460" s="77"/>
      <c r="CT460" s="77"/>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c r="DS460" s="77"/>
      <c r="DT460" s="77"/>
      <c r="DU460" s="77"/>
      <c r="DV460" s="77"/>
      <c r="DW460" s="77"/>
      <c r="DX460" s="77"/>
      <c r="DY460" s="77"/>
      <c r="DZ460" s="77"/>
      <c r="EA460" s="77"/>
      <c r="EB460" s="77"/>
      <c r="EC460" s="77"/>
      <c r="ED460" s="77"/>
      <c r="EE460" s="77"/>
      <c r="EF460" s="77"/>
      <c r="EG460" s="77"/>
      <c r="EH460" s="77"/>
      <c r="EI460" s="77"/>
      <c r="EJ460" s="77"/>
      <c r="EK460" s="77"/>
      <c r="EL460" s="77"/>
      <c r="EM460" s="77"/>
      <c r="EN460" s="77"/>
      <c r="EO460" s="77"/>
      <c r="EP460" s="77"/>
      <c r="EQ460" s="77"/>
      <c r="IF460" s="77"/>
      <c r="IG460" s="77"/>
      <c r="IH460" s="77"/>
      <c r="II460" s="77"/>
      <c r="IJ460" s="77"/>
      <c r="IK460" s="77"/>
      <c r="IL460" s="77"/>
      <c r="IM460" s="77"/>
      <c r="IN460" s="77"/>
      <c r="IO460" s="77"/>
      <c r="IP460" s="77"/>
      <c r="IQ460" s="77"/>
      <c r="IR460" s="77"/>
      <c r="IS460" s="77"/>
      <c r="IT460" s="77"/>
      <c r="IU460" s="77"/>
      <c r="IV460" s="77"/>
      <c r="IW460" s="77"/>
      <c r="IX460" s="77"/>
      <c r="IY460" s="77"/>
      <c r="IZ460" s="77"/>
      <c r="JA460" s="77"/>
      <c r="JB460" s="77"/>
      <c r="JC460" s="77"/>
      <c r="JD460" s="77"/>
      <c r="JE460" s="77"/>
      <c r="JF460" s="77"/>
      <c r="JG460" s="77"/>
      <c r="JH460" s="77"/>
      <c r="JI460" s="77"/>
      <c r="JJ460" s="77"/>
      <c r="JK460" s="77"/>
      <c r="JL460" s="77"/>
      <c r="JM460" s="77"/>
      <c r="JN460" s="77"/>
      <c r="JO460" s="77"/>
      <c r="JP460" s="77"/>
      <c r="JQ460" s="77"/>
      <c r="JR460" s="77"/>
      <c r="JS460" s="77"/>
      <c r="JT460" s="77"/>
      <c r="JU460" s="77"/>
      <c r="JV460" s="77"/>
      <c r="JW460" s="77"/>
      <c r="JX460" s="77"/>
      <c r="JY460" s="77"/>
      <c r="JZ460" s="77"/>
      <c r="KA460" s="77"/>
      <c r="KB460" s="77"/>
      <c r="KC460" s="77"/>
      <c r="KD460" s="77"/>
      <c r="KE460" s="77"/>
      <c r="KF460" s="77"/>
      <c r="KG460" s="77"/>
      <c r="KH460" s="77"/>
      <c r="KI460" s="77"/>
      <c r="KJ460" s="77"/>
      <c r="KK460" s="77"/>
      <c r="KL460" s="77"/>
      <c r="LL460" s="77"/>
      <c r="LM460" s="77"/>
      <c r="LN460" s="77"/>
      <c r="LO460" s="77"/>
      <c r="LP460" s="77"/>
      <c r="LQ460" s="77"/>
      <c r="LR460" s="77"/>
      <c r="LS460" s="77"/>
      <c r="LT460" s="77"/>
      <c r="LU460" s="77"/>
      <c r="LV460" s="77"/>
      <c r="LW460" s="77"/>
      <c r="LX460" s="77"/>
      <c r="MT460" s="16"/>
      <c r="MU460" s="16"/>
      <c r="MV460" s="16"/>
      <c r="MW460" s="16"/>
      <c r="MX460" s="16"/>
      <c r="MY460" s="16"/>
      <c r="MZ460" s="16"/>
      <c r="NA460" s="16"/>
      <c r="NB460" s="16"/>
      <c r="NC460" s="16"/>
    </row>
    <row r="461" spans="1:421" s="59" customFormat="1" ht="18.600000000000001" customHeight="1" x14ac:dyDescent="0.25">
      <c r="A461" s="119" t="s">
        <v>735</v>
      </c>
      <c r="B461" s="27" t="s">
        <v>735</v>
      </c>
      <c r="C461" s="27" t="s">
        <v>2453</v>
      </c>
      <c r="D461" s="30" t="str">
        <f>HYPERLINK("https://twitter.com/Crcancilleria","https://twitter.com/Crcancilleria")</f>
        <v>https://twitter.com/Crcancilleria</v>
      </c>
      <c r="E461" s="30" t="s">
        <v>2445</v>
      </c>
      <c r="F461" s="10" t="s">
        <v>558</v>
      </c>
      <c r="G461" s="10" t="s">
        <v>574</v>
      </c>
      <c r="H461" s="10" t="s">
        <v>795</v>
      </c>
      <c r="I461" s="10" t="s">
        <v>782</v>
      </c>
      <c r="J461" s="27" t="s">
        <v>2226</v>
      </c>
      <c r="K461" s="15" t="s">
        <v>777</v>
      </c>
      <c r="L461" s="10" t="s">
        <v>771</v>
      </c>
      <c r="M461" s="10" t="s">
        <v>770</v>
      </c>
      <c r="N461" s="30" t="s">
        <v>2452</v>
      </c>
      <c r="O461" s="27" t="s">
        <v>5786</v>
      </c>
      <c r="P461" s="80">
        <v>27</v>
      </c>
      <c r="Q461" s="80">
        <v>3</v>
      </c>
      <c r="R461" s="27" t="s">
        <v>2995</v>
      </c>
      <c r="S461" s="30" t="str">
        <f>HYPERLINK("https://twitter.com/CRcancilleria/lists","https://twitter.com/CRcancilleria/lists")</f>
        <v>https://twitter.com/CRcancilleria/lists</v>
      </c>
      <c r="T461" s="10" t="s">
        <v>771</v>
      </c>
      <c r="U461" s="10" t="s">
        <v>771</v>
      </c>
      <c r="V461" s="10" t="s">
        <v>771</v>
      </c>
      <c r="W461" s="10"/>
      <c r="X461" s="27" t="s">
        <v>735</v>
      </c>
      <c r="Y461" s="27" t="s">
        <v>735</v>
      </c>
      <c r="Z461" s="80">
        <v>971</v>
      </c>
      <c r="AA461" s="27">
        <v>203</v>
      </c>
      <c r="AB461" s="80">
        <v>1606</v>
      </c>
      <c r="AC461" s="27">
        <v>116</v>
      </c>
      <c r="AD461" s="27" t="s">
        <v>3593</v>
      </c>
      <c r="AE461" s="27">
        <v>2851561095</v>
      </c>
      <c r="AF461" s="27" t="s">
        <v>2453</v>
      </c>
      <c r="AG461" s="27" t="s">
        <v>6379</v>
      </c>
      <c r="AH461" s="79">
        <v>1.7654545454545501</v>
      </c>
      <c r="AI461" s="83">
        <v>1.77513711151737</v>
      </c>
      <c r="AJ461" s="80">
        <v>1.05664739884393</v>
      </c>
      <c r="AK461" s="80">
        <v>1.14797687861272</v>
      </c>
      <c r="AL461" s="27">
        <v>19</v>
      </c>
      <c r="AM461" s="97">
        <f>SUM(AL461/Z461)</f>
        <v>1.9567456230690009E-2</v>
      </c>
      <c r="AN461" s="27" t="s">
        <v>735</v>
      </c>
      <c r="AO461" s="27">
        <v>13</v>
      </c>
      <c r="AP461" s="27">
        <v>19</v>
      </c>
      <c r="AQ461" s="27">
        <v>11</v>
      </c>
      <c r="AR461" s="27">
        <f>SUM(AO461:AQ461)</f>
        <v>43</v>
      </c>
      <c r="AS461" s="27" t="s">
        <v>6547</v>
      </c>
      <c r="AT461" s="27" t="s">
        <v>6692</v>
      </c>
      <c r="AU461" s="84" t="s">
        <v>4685</v>
      </c>
      <c r="BN461" s="77"/>
      <c r="BO461" s="77"/>
      <c r="BP461" s="77"/>
      <c r="CC461" s="77"/>
      <c r="CD461" s="77"/>
      <c r="CE461" s="77"/>
      <c r="CF461" s="77"/>
      <c r="CG461" s="77"/>
      <c r="CH461" s="77"/>
      <c r="CI461" s="77"/>
      <c r="CJ461" s="77"/>
      <c r="CK461" s="77"/>
      <c r="CL461" s="77"/>
      <c r="CM461" s="77"/>
      <c r="CN461" s="77"/>
      <c r="CO461" s="77"/>
      <c r="CP461" s="77"/>
      <c r="CQ461" s="77"/>
      <c r="CR461" s="77"/>
      <c r="CS461" s="77"/>
      <c r="CT461" s="77"/>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c r="DS461" s="77"/>
      <c r="DT461" s="77"/>
      <c r="DU461" s="77"/>
      <c r="DV461" s="77"/>
      <c r="DW461" s="77"/>
      <c r="DX461" s="77"/>
      <c r="DY461" s="77"/>
      <c r="DZ461" s="77"/>
      <c r="EA461" s="77"/>
      <c r="EB461" s="77"/>
      <c r="EC461" s="77"/>
      <c r="ED461" s="77"/>
      <c r="EE461" s="77"/>
      <c r="EF461" s="77"/>
      <c r="EG461" s="77"/>
      <c r="EH461" s="77"/>
      <c r="EI461" s="77"/>
      <c r="EJ461" s="77"/>
      <c r="EK461" s="77"/>
      <c r="EL461" s="77"/>
      <c r="EM461" s="77"/>
      <c r="EN461" s="77"/>
      <c r="EO461" s="77"/>
      <c r="EP461" s="77"/>
      <c r="EQ461" s="77"/>
      <c r="ER461" s="77"/>
      <c r="ES461" s="77"/>
      <c r="ET461" s="77"/>
      <c r="EU461" s="77"/>
      <c r="EV461" s="77"/>
      <c r="EW461" s="77"/>
      <c r="EX461" s="77"/>
      <c r="EY461" s="77"/>
      <c r="EZ461" s="77"/>
      <c r="FA461" s="77"/>
      <c r="FB461" s="77"/>
      <c r="FC461" s="77"/>
      <c r="FD461" s="77"/>
      <c r="FE461" s="77"/>
      <c r="FF461" s="77"/>
      <c r="FG461" s="77"/>
      <c r="FH461" s="77"/>
      <c r="FI461" s="77"/>
      <c r="FJ461" s="77"/>
      <c r="FK461" s="77"/>
      <c r="FL461" s="77"/>
      <c r="FM461" s="77"/>
      <c r="FN461" s="77"/>
      <c r="FO461" s="77"/>
      <c r="FP461" s="77"/>
      <c r="FQ461" s="77"/>
      <c r="FR461" s="77"/>
      <c r="FS461" s="77"/>
      <c r="FT461" s="77"/>
      <c r="FU461" s="77"/>
      <c r="FV461" s="77"/>
      <c r="FW461" s="77"/>
      <c r="FX461" s="77"/>
      <c r="FY461" s="77"/>
      <c r="FZ461" s="77"/>
      <c r="GA461" s="77"/>
      <c r="GB461" s="77"/>
      <c r="GC461" s="77"/>
      <c r="GD461" s="77"/>
      <c r="GE461" s="77"/>
      <c r="GF461" s="77"/>
      <c r="GG461" s="77"/>
      <c r="GH461" s="77"/>
      <c r="GI461" s="77"/>
      <c r="GJ461" s="77"/>
      <c r="GK461" s="77"/>
      <c r="GL461" s="77"/>
      <c r="GM461" s="77"/>
      <c r="GN461" s="77"/>
      <c r="GO461" s="77"/>
      <c r="GP461" s="77"/>
      <c r="GQ461" s="77"/>
      <c r="GR461" s="77"/>
      <c r="GS461" s="77"/>
      <c r="GT461" s="77"/>
      <c r="GU461" s="77"/>
      <c r="GV461" s="77"/>
      <c r="GW461" s="77"/>
      <c r="GX461" s="77"/>
      <c r="GY461" s="77"/>
      <c r="GZ461" s="77"/>
      <c r="HA461" s="77"/>
      <c r="HB461" s="77"/>
      <c r="HC461" s="77"/>
      <c r="HD461" s="77"/>
      <c r="HE461" s="77"/>
      <c r="HF461" s="77"/>
      <c r="HG461" s="77"/>
      <c r="HH461" s="77"/>
      <c r="HI461" s="77"/>
      <c r="HJ461" s="77"/>
      <c r="HK461" s="77"/>
      <c r="HL461" s="77"/>
      <c r="HM461" s="77"/>
      <c r="HN461" s="77"/>
      <c r="HO461" s="77"/>
      <c r="HP461" s="77"/>
      <c r="HQ461" s="77"/>
      <c r="HR461" s="77"/>
      <c r="HS461" s="77"/>
      <c r="HT461" s="77"/>
      <c r="HU461" s="77"/>
      <c r="HV461" s="77"/>
      <c r="HW461" s="77"/>
      <c r="HX461" s="77"/>
      <c r="HY461" s="77"/>
      <c r="HZ461" s="77"/>
      <c r="IA461" s="77"/>
      <c r="IB461" s="77"/>
      <c r="IC461" s="77"/>
      <c r="ID461" s="77"/>
      <c r="IE461" s="77"/>
      <c r="KM461" s="77"/>
      <c r="KN461" s="77"/>
      <c r="KO461" s="77"/>
      <c r="KP461" s="77"/>
      <c r="KQ461" s="77"/>
      <c r="KR461" s="77"/>
      <c r="KS461" s="77"/>
      <c r="KT461" s="77"/>
      <c r="KU461" s="77"/>
      <c r="KV461" s="77"/>
      <c r="KW461" s="77"/>
      <c r="KX461" s="77"/>
      <c r="KY461" s="77"/>
      <c r="KZ461" s="77"/>
      <c r="LA461" s="77"/>
      <c r="LB461" s="77"/>
      <c r="LC461" s="77"/>
      <c r="LD461" s="77"/>
      <c r="LE461" s="77"/>
      <c r="LF461" s="77"/>
      <c r="LG461" s="77"/>
      <c r="LH461" s="77"/>
      <c r="LI461" s="77"/>
      <c r="LJ461" s="77"/>
      <c r="LK461" s="77"/>
      <c r="LY461" s="77"/>
      <c r="LZ461" s="77"/>
      <c r="MA461" s="77"/>
      <c r="MB461" s="77"/>
      <c r="MC461" s="77"/>
      <c r="MD461" s="77"/>
      <c r="ME461" s="77"/>
      <c r="MF461" s="77"/>
      <c r="MG461" s="77"/>
      <c r="MH461" s="77"/>
      <c r="MI461" s="77"/>
      <c r="MJ461" s="77"/>
      <c r="MK461" s="77"/>
      <c r="ML461" s="77"/>
      <c r="MM461" s="77"/>
      <c r="MN461" s="77"/>
      <c r="MO461" s="77"/>
      <c r="MP461" s="77"/>
      <c r="MQ461" s="77"/>
      <c r="MR461" s="77"/>
    </row>
    <row r="462" spans="1:421" ht="18.600000000000001" customHeight="1" x14ac:dyDescent="0.25">
      <c r="A462" s="119" t="s">
        <v>517</v>
      </c>
      <c r="B462" s="27" t="s">
        <v>2203</v>
      </c>
      <c r="C462" s="27" t="s">
        <v>2204</v>
      </c>
      <c r="D462" s="30" t="str">
        <f>HYPERLINK("https://twitter.com/SlovakiaMFA","https://twitter.com/SlovakiaMFA")</f>
        <v>https://twitter.com/SlovakiaMFA</v>
      </c>
      <c r="E462" s="30" t="str">
        <f>HYPERLINK("http://twiplomacy.com/info/europe/Slovakia","http://twiplomacy.com/info/europe/Slovakia")</f>
        <v>http://twiplomacy.com/info/europe/Slovakia</v>
      </c>
      <c r="F462" s="10" t="s">
        <v>332</v>
      </c>
      <c r="G462" s="10" t="s">
        <v>514</v>
      </c>
      <c r="H462" s="10" t="s">
        <v>795</v>
      </c>
      <c r="I462" s="10" t="s">
        <v>782</v>
      </c>
      <c r="J462" s="27" t="s">
        <v>789</v>
      </c>
      <c r="K462" s="15" t="s">
        <v>777</v>
      </c>
      <c r="L462" s="10" t="s">
        <v>771</v>
      </c>
      <c r="M462" s="10" t="s">
        <v>771</v>
      </c>
      <c r="N462" s="30" t="str">
        <f>HYPERLINK("https://twitter.com/SlovakiaMFA/statuses/342986218872651776","https://twitter.com/SlovakiaMFA/statuses/342986218872651776")</f>
        <v>https://twitter.com/SlovakiaMFA/statuses/342986218872651776</v>
      </c>
      <c r="O462" s="27" t="s">
        <v>6094</v>
      </c>
      <c r="P462" s="80">
        <v>80</v>
      </c>
      <c r="Q462" s="80">
        <v>29</v>
      </c>
      <c r="R462" s="27" t="s">
        <v>2994</v>
      </c>
      <c r="S462" s="10" t="s">
        <v>2205</v>
      </c>
      <c r="T462" s="10" t="s">
        <v>771</v>
      </c>
      <c r="U462" s="10" t="s">
        <v>771</v>
      </c>
      <c r="V462" s="10" t="s">
        <v>771</v>
      </c>
      <c r="W462" s="10"/>
      <c r="X462" s="27" t="s">
        <v>517</v>
      </c>
      <c r="Y462" s="27" t="s">
        <v>2203</v>
      </c>
      <c r="Z462" s="80">
        <v>969</v>
      </c>
      <c r="AA462" s="27">
        <v>124</v>
      </c>
      <c r="AB462" s="80">
        <v>5086</v>
      </c>
      <c r="AC462" s="27">
        <v>29</v>
      </c>
      <c r="AD462" s="27" t="s">
        <v>4478</v>
      </c>
      <c r="AE462" s="27">
        <v>1489970233</v>
      </c>
      <c r="AF462" s="27" t="s">
        <v>2204</v>
      </c>
      <c r="AG462" s="27" t="s">
        <v>2200</v>
      </c>
      <c r="AH462" s="79">
        <v>0.91415094339622605</v>
      </c>
      <c r="AI462" s="83">
        <v>0.91398865784499095</v>
      </c>
      <c r="AJ462" s="80">
        <v>2.2240740740740699</v>
      </c>
      <c r="AK462" s="80">
        <v>1.4037037037036999</v>
      </c>
      <c r="AL462" s="27">
        <v>85</v>
      </c>
      <c r="AM462" s="97">
        <f>SUM(AL462/Z462)</f>
        <v>8.771929824561403E-2</v>
      </c>
      <c r="AN462" s="27" t="s">
        <v>517</v>
      </c>
      <c r="AO462" s="27">
        <v>20</v>
      </c>
      <c r="AP462" s="27">
        <v>49</v>
      </c>
      <c r="AQ462" s="27">
        <v>40</v>
      </c>
      <c r="AR462" s="27">
        <f>SUM(AO462:AQ462)</f>
        <v>109</v>
      </c>
      <c r="AS462" s="27" t="s">
        <v>6627</v>
      </c>
      <c r="AT462" s="27" t="s">
        <v>6344</v>
      </c>
      <c r="AU462" s="84" t="s">
        <v>4954</v>
      </c>
      <c r="AV462" s="77"/>
      <c r="AW462" s="77"/>
      <c r="AX462" s="77"/>
      <c r="AY462" s="77"/>
      <c r="AZ462" s="77"/>
      <c r="BA462" s="77"/>
      <c r="BB462" s="77"/>
      <c r="BC462" s="77"/>
      <c r="BD462" s="77"/>
      <c r="BE462" s="77"/>
      <c r="BF462" s="77"/>
      <c r="BG462" s="77"/>
      <c r="BH462" s="77"/>
      <c r="BI462" s="77"/>
      <c r="BJ462" s="77"/>
      <c r="BK462" s="77"/>
      <c r="BL462" s="77"/>
      <c r="BM462" s="77"/>
      <c r="BN462" s="77"/>
      <c r="BO462" s="77"/>
      <c r="BP462" s="77"/>
      <c r="BQ462" s="77"/>
      <c r="BR462" s="77"/>
      <c r="BS462" s="77"/>
      <c r="BT462" s="77"/>
      <c r="BU462" s="77"/>
      <c r="BV462" s="77"/>
      <c r="BW462" s="77"/>
      <c r="BX462" s="77"/>
      <c r="BY462" s="77"/>
      <c r="BZ462" s="77"/>
      <c r="CA462" s="77"/>
      <c r="CB462" s="77"/>
      <c r="CC462" s="77"/>
      <c r="CD462" s="77"/>
      <c r="CE462" s="77"/>
      <c r="CF462" s="77"/>
      <c r="CG462" s="77"/>
      <c r="CH462" s="77"/>
      <c r="CI462" s="77"/>
      <c r="CJ462" s="77"/>
      <c r="CK462" s="77"/>
      <c r="CL462" s="77"/>
      <c r="CM462" s="77"/>
      <c r="CN462" s="77"/>
      <c r="CO462" s="77"/>
      <c r="CP462" s="77"/>
      <c r="CQ462" s="77"/>
      <c r="CR462" s="77"/>
      <c r="CS462" s="77"/>
      <c r="CT462" s="77"/>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c r="DS462" s="77"/>
      <c r="DT462" s="77"/>
      <c r="DU462" s="77"/>
      <c r="DV462" s="77"/>
      <c r="DW462" s="77"/>
      <c r="DX462" s="77"/>
      <c r="DY462" s="77"/>
      <c r="DZ462" s="77"/>
      <c r="EA462" s="77"/>
      <c r="EB462" s="77"/>
      <c r="EC462" s="77"/>
      <c r="ED462" s="77"/>
      <c r="EE462" s="77"/>
      <c r="EF462" s="77"/>
      <c r="EG462" s="77"/>
      <c r="EH462" s="77"/>
      <c r="EI462" s="77"/>
      <c r="EJ462" s="77"/>
      <c r="EK462" s="77"/>
      <c r="EL462" s="77"/>
      <c r="EM462" s="77"/>
      <c r="EN462" s="77"/>
      <c r="EO462" s="77"/>
      <c r="EP462" s="77"/>
      <c r="EQ462" s="77"/>
      <c r="ER462" s="77"/>
      <c r="ES462" s="77"/>
      <c r="ET462" s="77"/>
      <c r="EU462" s="77"/>
      <c r="EV462" s="77"/>
      <c r="EW462" s="77"/>
      <c r="EX462" s="77"/>
      <c r="EY462" s="77"/>
      <c r="EZ462" s="77"/>
      <c r="FA462" s="77"/>
      <c r="FB462" s="77"/>
      <c r="FC462" s="77"/>
      <c r="FD462" s="77"/>
      <c r="FE462" s="77"/>
      <c r="FF462" s="77"/>
      <c r="FG462" s="77"/>
      <c r="FH462" s="77"/>
      <c r="FI462" s="77"/>
      <c r="FJ462" s="77"/>
      <c r="FK462" s="77"/>
      <c r="FL462" s="77"/>
      <c r="FM462" s="77"/>
      <c r="FN462" s="77"/>
      <c r="FO462" s="77"/>
      <c r="FP462" s="77"/>
      <c r="FQ462" s="77"/>
      <c r="FR462" s="77"/>
      <c r="FS462" s="77"/>
      <c r="FT462" s="77"/>
      <c r="FU462" s="77"/>
      <c r="FV462" s="77"/>
      <c r="FW462" s="77"/>
      <c r="FX462" s="77"/>
      <c r="FY462" s="77"/>
      <c r="FZ462" s="77"/>
      <c r="GA462" s="77"/>
      <c r="GB462" s="77"/>
      <c r="GC462" s="77"/>
      <c r="GD462" s="77"/>
      <c r="GE462" s="77"/>
      <c r="GF462" s="77"/>
      <c r="GG462" s="77"/>
      <c r="GH462" s="77"/>
      <c r="GI462" s="77"/>
      <c r="GJ462" s="77"/>
      <c r="GK462" s="77"/>
      <c r="GL462" s="77"/>
      <c r="GM462" s="77"/>
      <c r="GN462" s="77"/>
      <c r="GO462" s="77"/>
      <c r="GP462" s="77"/>
      <c r="GQ462" s="77"/>
      <c r="GR462" s="77"/>
      <c r="GS462" s="77"/>
      <c r="GT462" s="77"/>
      <c r="GU462" s="77"/>
      <c r="GV462" s="77"/>
      <c r="GW462" s="77"/>
      <c r="GX462" s="77"/>
      <c r="GY462" s="77"/>
      <c r="GZ462" s="77"/>
      <c r="HA462" s="77"/>
      <c r="HB462" s="77"/>
      <c r="HC462" s="77"/>
      <c r="HD462" s="77"/>
      <c r="HE462" s="77"/>
      <c r="HF462" s="77"/>
      <c r="HG462" s="77"/>
      <c r="HH462" s="77"/>
      <c r="HI462" s="77"/>
      <c r="HJ462" s="77"/>
      <c r="HK462" s="77"/>
      <c r="HL462" s="77"/>
      <c r="HM462" s="77"/>
      <c r="HN462" s="77"/>
      <c r="HO462" s="77"/>
      <c r="HP462" s="77"/>
      <c r="HQ462" s="77"/>
      <c r="HR462" s="77"/>
      <c r="HS462" s="77"/>
      <c r="HT462" s="77"/>
      <c r="HU462" s="77"/>
      <c r="HV462" s="77"/>
      <c r="HW462" s="77"/>
      <c r="HX462" s="77"/>
      <c r="HY462" s="77"/>
      <c r="HZ462" s="77"/>
      <c r="IA462" s="77"/>
      <c r="IB462" s="77"/>
      <c r="IC462" s="77"/>
      <c r="ID462" s="77"/>
      <c r="IE462" s="77"/>
      <c r="JY462" s="77"/>
      <c r="JZ462" s="77"/>
      <c r="KA462" s="77"/>
      <c r="KB462" s="77"/>
      <c r="KC462" s="77"/>
      <c r="KD462" s="77"/>
      <c r="KE462" s="77"/>
      <c r="KF462" s="77"/>
      <c r="KG462" s="77"/>
      <c r="KH462" s="77"/>
      <c r="KI462" s="77"/>
      <c r="KJ462" s="77"/>
      <c r="KK462" s="77"/>
      <c r="KL462" s="77"/>
      <c r="LW462" s="77"/>
      <c r="LX462" s="77"/>
      <c r="NE462" s="77"/>
      <c r="NF462" s="77"/>
      <c r="NG462" s="77"/>
      <c r="NH462" s="77"/>
      <c r="NI462" s="77"/>
      <c r="NJ462" s="77"/>
      <c r="NK462" s="77"/>
      <c r="NL462" s="77"/>
      <c r="NM462" s="77"/>
      <c r="NN462" s="77"/>
      <c r="NO462" s="77"/>
      <c r="NP462" s="77"/>
      <c r="NQ462" s="77"/>
      <c r="NR462" s="77"/>
      <c r="NS462" s="77"/>
      <c r="NT462" s="77"/>
      <c r="NU462" s="77"/>
      <c r="NV462" s="77"/>
      <c r="NW462" s="77"/>
      <c r="NX462" s="77"/>
      <c r="NY462" s="77"/>
      <c r="NZ462" s="77"/>
      <c r="OA462" s="77"/>
      <c r="OB462" s="77"/>
      <c r="OC462" s="77"/>
      <c r="OD462" s="77"/>
      <c r="OE462" s="77"/>
      <c r="OF462" s="77"/>
      <c r="OG462" s="77"/>
      <c r="OH462" s="77"/>
      <c r="OI462" s="77"/>
      <c r="OJ462" s="77"/>
      <c r="OK462" s="77"/>
      <c r="OL462" s="77"/>
      <c r="OM462" s="77"/>
      <c r="ON462" s="77"/>
      <c r="OO462" s="77"/>
      <c r="OP462" s="77"/>
      <c r="OQ462" s="77"/>
      <c r="OR462" s="77"/>
      <c r="OS462" s="77"/>
      <c r="OT462" s="77"/>
      <c r="OU462" s="77"/>
      <c r="OV462" s="77"/>
      <c r="OW462" s="77"/>
      <c r="OX462" s="77"/>
      <c r="OY462" s="77"/>
      <c r="OZ462" s="77"/>
      <c r="PA462" s="77"/>
      <c r="PB462" s="77"/>
      <c r="PC462" s="77"/>
      <c r="PD462" s="77"/>
      <c r="PE462" s="77"/>
    </row>
    <row r="463" spans="1:421" ht="18.600000000000001" customHeight="1" x14ac:dyDescent="0.25">
      <c r="A463" s="119" t="s">
        <v>199</v>
      </c>
      <c r="B463" s="27" t="s">
        <v>1316</v>
      </c>
      <c r="C463" s="27" t="s">
        <v>1317</v>
      </c>
      <c r="D463" s="30" t="str">
        <f>HYPERLINK("https://twitter.com/Khamenei_ar","https://twitter.com/Khamenei_ar")</f>
        <v>https://twitter.com/Khamenei_ar</v>
      </c>
      <c r="E463" s="30" t="str">
        <f>HYPERLINK("http://twiplomacy.com/info/asia/Iran","http://twiplomacy.com/info/asia/Iran")</f>
        <v>http://twiplomacy.com/info/asia/Iran</v>
      </c>
      <c r="F463" s="10" t="s">
        <v>154</v>
      </c>
      <c r="G463" s="10" t="s">
        <v>194</v>
      </c>
      <c r="H463" s="10" t="s">
        <v>1313</v>
      </c>
      <c r="I463" s="10" t="s">
        <v>773</v>
      </c>
      <c r="J463" s="27" t="s">
        <v>789</v>
      </c>
      <c r="K463" s="15" t="s">
        <v>777</v>
      </c>
      <c r="L463" s="10" t="s">
        <v>771</v>
      </c>
      <c r="M463" s="10" t="s">
        <v>770</v>
      </c>
      <c r="N463" s="30" t="str">
        <f>HYPERLINK("https://twitter.com/Khamenei_ar/status/447394828486070272","https://twitter.com/Khamenei_ar/status/447394828486070272")</f>
        <v>https://twitter.com/Khamenei_ar/status/447394828486070272</v>
      </c>
      <c r="O463" s="27" t="s">
        <v>5899</v>
      </c>
      <c r="P463" s="80">
        <v>311</v>
      </c>
      <c r="Q463" s="80">
        <v>54</v>
      </c>
      <c r="R463" s="27" t="s">
        <v>2995</v>
      </c>
      <c r="S463" s="30" t="str">
        <f>HYPERLINK("https://twitter.com/Khamenei_ar/lists","https://twitter.com/Khamenei_ar/lists")</f>
        <v>https://twitter.com/Khamenei_ar/lists</v>
      </c>
      <c r="T463" s="10" t="s">
        <v>771</v>
      </c>
      <c r="U463" s="10" t="s">
        <v>771</v>
      </c>
      <c r="V463" s="10" t="s">
        <v>771</v>
      </c>
      <c r="W463" s="10"/>
      <c r="X463" s="27" t="s">
        <v>199</v>
      </c>
      <c r="Y463" s="27" t="s">
        <v>1316</v>
      </c>
      <c r="Z463" s="80">
        <v>968</v>
      </c>
      <c r="AA463" s="27">
        <v>5</v>
      </c>
      <c r="AB463" s="80">
        <v>19545</v>
      </c>
      <c r="AC463" s="27">
        <v>0</v>
      </c>
      <c r="AD463" s="27" t="s">
        <v>3933</v>
      </c>
      <c r="AE463" s="27">
        <v>2247047317</v>
      </c>
      <c r="AF463" s="27" t="s">
        <v>1317</v>
      </c>
      <c r="AG463" s="27" t="s">
        <v>1318</v>
      </c>
      <c r="AH463" s="79">
        <v>1.1150747986191001</v>
      </c>
      <c r="AI463" s="83">
        <v>1.25518134715026</v>
      </c>
      <c r="AJ463" s="80">
        <v>19.629782833505701</v>
      </c>
      <c r="AK463" s="80">
        <v>26.927611168562599</v>
      </c>
      <c r="AL463" s="27">
        <v>2</v>
      </c>
      <c r="AM463" s="97">
        <f>SUM(AL463/Z463)</f>
        <v>2.0661157024793389E-3</v>
      </c>
      <c r="AN463" s="27" t="s">
        <v>199</v>
      </c>
      <c r="AO463" s="27">
        <v>0</v>
      </c>
      <c r="AP463" s="27">
        <v>0</v>
      </c>
      <c r="AQ463" s="27">
        <v>3</v>
      </c>
      <c r="AR463" s="27">
        <f>SUM(AO463:AQ463)</f>
        <v>3</v>
      </c>
      <c r="AS463" s="27"/>
      <c r="AT463" s="27"/>
      <c r="AU463" s="84" t="s">
        <v>4794</v>
      </c>
      <c r="AV463" s="77"/>
      <c r="AW463" s="77"/>
      <c r="AX463" s="77"/>
      <c r="AY463" s="77"/>
      <c r="AZ463" s="77"/>
      <c r="BA463" s="77"/>
      <c r="BB463" s="77"/>
      <c r="BC463" s="77"/>
      <c r="BD463" s="77"/>
      <c r="BE463" s="77"/>
      <c r="BF463" s="77"/>
      <c r="BG463" s="77"/>
      <c r="BH463" s="77"/>
      <c r="BI463" s="77"/>
      <c r="BJ463" s="77"/>
      <c r="BK463" s="77"/>
      <c r="BL463" s="77"/>
      <c r="BM463" s="77"/>
      <c r="BN463" s="77"/>
      <c r="BO463" s="77"/>
      <c r="BP463" s="77"/>
      <c r="CC463" s="16"/>
      <c r="CD463" s="16"/>
      <c r="CE463" s="16"/>
      <c r="CF463" s="16"/>
      <c r="CG463" s="16"/>
      <c r="CH463" s="16"/>
      <c r="CI463" s="16"/>
      <c r="CJ463" s="16"/>
      <c r="CK463" s="77"/>
      <c r="CL463" s="77"/>
      <c r="CM463" s="77"/>
      <c r="CN463" s="77"/>
      <c r="CO463" s="77"/>
      <c r="CP463" s="77"/>
      <c r="CQ463" s="77"/>
      <c r="CR463" s="77"/>
      <c r="CS463" s="77"/>
      <c r="CT463" s="77"/>
      <c r="CU463" s="77"/>
      <c r="CV463" s="77"/>
      <c r="CW463" s="77"/>
      <c r="CX463" s="77"/>
      <c r="CY463" s="77"/>
      <c r="CZ463" s="77"/>
      <c r="DA463" s="77"/>
      <c r="DB463" s="77"/>
      <c r="DC463" s="77"/>
      <c r="DD463" s="77"/>
      <c r="DE463" s="77"/>
      <c r="DF463" s="77"/>
      <c r="DG463" s="77"/>
      <c r="DH463" s="77"/>
      <c r="DI463" s="77"/>
      <c r="DJ463" s="77"/>
      <c r="DK463" s="77"/>
      <c r="DL463" s="77"/>
      <c r="DM463" s="77"/>
      <c r="DN463" s="77"/>
      <c r="DO463" s="77"/>
      <c r="DP463" s="77"/>
      <c r="DQ463" s="77"/>
      <c r="DR463" s="77"/>
      <c r="DS463" s="77"/>
      <c r="DT463" s="77"/>
      <c r="DU463" s="77"/>
      <c r="DV463" s="77"/>
      <c r="DW463" s="77"/>
      <c r="DX463" s="77"/>
      <c r="DY463" s="77"/>
      <c r="DZ463" s="77"/>
      <c r="EA463" s="77"/>
      <c r="EB463" s="77"/>
      <c r="EC463" s="77"/>
      <c r="ED463" s="77"/>
      <c r="EE463" s="77"/>
      <c r="EF463" s="77"/>
      <c r="EG463" s="77"/>
      <c r="EH463" s="77"/>
      <c r="EI463" s="77"/>
      <c r="EJ463" s="77"/>
      <c r="EK463" s="77"/>
      <c r="EL463" s="77"/>
      <c r="EM463" s="77"/>
      <c r="EN463" s="77"/>
      <c r="EO463" s="77"/>
      <c r="EP463" s="77"/>
      <c r="ER463" s="77"/>
      <c r="ES463" s="77"/>
      <c r="ET463" s="77"/>
      <c r="EU463" s="77"/>
      <c r="EV463" s="77"/>
      <c r="EW463" s="77"/>
      <c r="EX463" s="77"/>
      <c r="EY463" s="77"/>
      <c r="EZ463" s="77"/>
      <c r="FA463" s="77"/>
      <c r="FB463" s="77"/>
      <c r="FC463" s="77"/>
      <c r="FD463" s="77"/>
      <c r="FE463" s="77"/>
      <c r="FF463" s="77"/>
      <c r="FG463" s="77"/>
      <c r="FH463" s="77"/>
      <c r="FI463" s="77"/>
      <c r="FJ463" s="77"/>
      <c r="FK463" s="77"/>
      <c r="FL463" s="77"/>
      <c r="FM463" s="77"/>
      <c r="FN463" s="77"/>
      <c r="FO463" s="77"/>
      <c r="FP463" s="77"/>
      <c r="FQ463" s="77"/>
      <c r="FR463" s="77"/>
      <c r="FS463" s="77"/>
      <c r="FT463" s="77"/>
      <c r="FU463" s="77"/>
      <c r="FV463" s="77"/>
      <c r="FW463" s="77"/>
      <c r="FX463" s="77"/>
      <c r="FY463" s="77"/>
      <c r="FZ463" s="77"/>
      <c r="GA463" s="77"/>
      <c r="GB463" s="77"/>
      <c r="GC463" s="77"/>
      <c r="GD463" s="77"/>
      <c r="GE463" s="77"/>
      <c r="GF463" s="77"/>
      <c r="GG463" s="77"/>
      <c r="GH463" s="77"/>
      <c r="GI463" s="77"/>
      <c r="GJ463" s="77"/>
      <c r="GK463" s="77"/>
      <c r="GL463" s="77"/>
      <c r="GM463" s="77"/>
      <c r="GN463" s="77"/>
      <c r="GO463" s="77"/>
      <c r="GP463" s="77"/>
      <c r="GQ463" s="77"/>
      <c r="GR463" s="77"/>
      <c r="GS463" s="77"/>
      <c r="GT463" s="77"/>
      <c r="GU463" s="77"/>
      <c r="GV463" s="77"/>
      <c r="GW463" s="77"/>
      <c r="GX463" s="77"/>
      <c r="GY463" s="77"/>
      <c r="GZ463" s="77"/>
      <c r="HA463" s="77"/>
      <c r="HB463" s="77"/>
      <c r="HC463" s="77"/>
      <c r="HD463" s="77"/>
      <c r="HE463" s="77"/>
      <c r="HF463" s="77"/>
      <c r="HG463" s="77"/>
      <c r="HH463" s="77"/>
      <c r="HI463" s="77"/>
      <c r="HJ463" s="77"/>
      <c r="HK463" s="77"/>
      <c r="HL463" s="77"/>
      <c r="HM463" s="77"/>
      <c r="HN463" s="77"/>
      <c r="HO463" s="77"/>
      <c r="HP463" s="77"/>
      <c r="HQ463" s="77"/>
      <c r="HR463" s="77"/>
      <c r="HS463" s="77"/>
      <c r="HT463" s="77"/>
      <c r="HU463" s="77"/>
      <c r="HV463" s="77"/>
      <c r="HW463" s="77"/>
      <c r="HX463" s="77"/>
      <c r="HY463" s="77"/>
      <c r="HZ463" s="77"/>
      <c r="IA463" s="77"/>
      <c r="IB463" s="77"/>
      <c r="IC463" s="77"/>
      <c r="JY463" s="77"/>
      <c r="JZ463" s="77"/>
      <c r="KA463" s="77"/>
      <c r="KB463" s="77"/>
      <c r="KC463" s="77"/>
      <c r="KD463" s="77"/>
      <c r="KE463" s="77"/>
      <c r="KF463" s="77"/>
      <c r="KG463" s="77"/>
      <c r="KH463" s="77"/>
      <c r="KI463" s="77"/>
      <c r="KJ463" s="77"/>
      <c r="KK463" s="77"/>
      <c r="KL463" s="77"/>
      <c r="KM463" s="77"/>
      <c r="KN463" s="77"/>
      <c r="KO463" s="77"/>
      <c r="KP463" s="77"/>
      <c r="KQ463" s="77"/>
      <c r="KR463" s="77"/>
      <c r="KS463" s="77"/>
      <c r="KT463" s="77"/>
      <c r="KU463" s="77"/>
      <c r="KV463" s="77"/>
      <c r="KW463" s="77"/>
      <c r="KX463" s="77"/>
      <c r="KY463" s="77"/>
      <c r="KZ463" s="77"/>
      <c r="LA463" s="77"/>
      <c r="LB463" s="77"/>
      <c r="LC463" s="77"/>
      <c r="LD463" s="77"/>
      <c r="LE463" s="77"/>
      <c r="LF463" s="77"/>
      <c r="LG463" s="77"/>
      <c r="LH463" s="77"/>
      <c r="LI463" s="77"/>
      <c r="LJ463" s="77"/>
      <c r="LK463" s="77"/>
      <c r="LL463" s="16"/>
      <c r="LM463" s="16"/>
      <c r="LN463" s="16"/>
      <c r="LO463" s="16"/>
      <c r="LP463" s="16"/>
      <c r="LQ463" s="16"/>
      <c r="LR463" s="16"/>
      <c r="LS463" s="16"/>
      <c r="LT463" s="16"/>
      <c r="LU463" s="16"/>
      <c r="LV463" s="16"/>
      <c r="LW463" s="16"/>
      <c r="LX463" s="16"/>
      <c r="NE463" s="16"/>
      <c r="NF463" s="16"/>
      <c r="NG463" s="16"/>
      <c r="NH463" s="16"/>
      <c r="NI463" s="16"/>
      <c r="NJ463" s="16"/>
      <c r="NK463" s="16"/>
      <c r="NL463" s="16"/>
      <c r="NM463" s="16"/>
      <c r="NN463" s="16"/>
      <c r="NO463" s="16"/>
      <c r="NP463" s="16"/>
      <c r="NQ463" s="16"/>
      <c r="NR463" s="16"/>
      <c r="NS463" s="16"/>
      <c r="NT463" s="16"/>
      <c r="NU463" s="16"/>
      <c r="NV463" s="16"/>
      <c r="NW463" s="16"/>
      <c r="NX463" s="16"/>
      <c r="NY463" s="16"/>
      <c r="NZ463" s="16"/>
      <c r="OA463" s="16"/>
      <c r="OB463" s="16"/>
      <c r="OC463" s="16"/>
      <c r="OD463" s="16"/>
      <c r="OE463" s="16"/>
      <c r="OF463" s="16"/>
      <c r="OG463" s="16"/>
      <c r="OH463" s="16"/>
      <c r="OI463" s="16"/>
      <c r="OJ463" s="16"/>
      <c r="OK463" s="16"/>
      <c r="OL463" s="16"/>
      <c r="OM463" s="16"/>
      <c r="ON463" s="16"/>
      <c r="OO463" s="16"/>
      <c r="OP463" s="16"/>
      <c r="OQ463" s="16"/>
      <c r="OR463" s="16"/>
      <c r="OS463" s="16"/>
      <c r="OT463" s="16"/>
      <c r="OU463" s="16"/>
      <c r="OV463" s="16"/>
      <c r="OW463" s="16"/>
      <c r="OX463" s="16"/>
      <c r="OY463" s="16"/>
      <c r="OZ463" s="16"/>
      <c r="PA463" s="16"/>
      <c r="PB463" s="16"/>
      <c r="PC463" s="16"/>
      <c r="PD463" s="16"/>
      <c r="PE463" s="16"/>
    </row>
    <row r="464" spans="1:421" ht="18.600000000000001" customHeight="1" x14ac:dyDescent="0.25">
      <c r="A464" s="119" t="s">
        <v>694</v>
      </c>
      <c r="B464" s="27" t="s">
        <v>4170</v>
      </c>
      <c r="C464" s="27" t="s">
        <v>2740</v>
      </c>
      <c r="D464" s="34" t="s">
        <v>2739</v>
      </c>
      <c r="E464" s="34" t="s">
        <v>2735</v>
      </c>
      <c r="F464" s="38" t="s">
        <v>668</v>
      </c>
      <c r="G464" s="38" t="s">
        <v>692</v>
      </c>
      <c r="H464" s="38" t="s">
        <v>781</v>
      </c>
      <c r="I464" s="38" t="s">
        <v>782</v>
      </c>
      <c r="J464" s="27" t="s">
        <v>789</v>
      </c>
      <c r="K464" s="15" t="s">
        <v>777</v>
      </c>
      <c r="L464" s="15" t="s">
        <v>771</v>
      </c>
      <c r="M464" s="10" t="s">
        <v>770</v>
      </c>
      <c r="N464" s="48" t="s">
        <v>2741</v>
      </c>
      <c r="O464" s="27" t="s">
        <v>3175</v>
      </c>
      <c r="P464" s="80">
        <v>17</v>
      </c>
      <c r="Q464" s="80">
        <v>10</v>
      </c>
      <c r="R464" s="27" t="s">
        <v>2995</v>
      </c>
      <c r="S464" s="19" t="s">
        <v>2742</v>
      </c>
      <c r="T464" s="10" t="s">
        <v>771</v>
      </c>
      <c r="U464" s="10" t="s">
        <v>771</v>
      </c>
      <c r="V464" s="10" t="s">
        <v>771</v>
      </c>
      <c r="W464" s="38"/>
      <c r="X464" s="27" t="s">
        <v>694</v>
      </c>
      <c r="Y464" s="27" t="s">
        <v>4170</v>
      </c>
      <c r="Z464" s="80">
        <v>957</v>
      </c>
      <c r="AA464" s="27">
        <v>19</v>
      </c>
      <c r="AB464" s="80">
        <v>196</v>
      </c>
      <c r="AC464" s="27">
        <v>0</v>
      </c>
      <c r="AD464" s="27" t="s">
        <v>4171</v>
      </c>
      <c r="AE464" s="27">
        <v>3321221956</v>
      </c>
      <c r="AF464" s="27" t="s">
        <v>2740</v>
      </c>
      <c r="AG464" s="27" t="s">
        <v>692</v>
      </c>
      <c r="AH464" s="79">
        <v>2.9446153846153802</v>
      </c>
      <c r="AI464" s="83">
        <v>2.9537037037037002</v>
      </c>
      <c r="AJ464" s="80">
        <v>4.2887029288702902E-2</v>
      </c>
      <c r="AK464" s="80">
        <v>5.23012552301255E-2</v>
      </c>
      <c r="AL464" s="13">
        <v>0</v>
      </c>
      <c r="AM464" s="97">
        <f>SUM(AL464/Z464)</f>
        <v>0</v>
      </c>
      <c r="AN464" s="27" t="s">
        <v>694</v>
      </c>
      <c r="AO464" s="27">
        <v>3</v>
      </c>
      <c r="AP464" s="27">
        <v>1</v>
      </c>
      <c r="AQ464" s="27">
        <v>0</v>
      </c>
      <c r="AR464" s="27">
        <f>SUM(AO464:AQ464)</f>
        <v>4</v>
      </c>
      <c r="AS464" s="27" t="s">
        <v>5350</v>
      </c>
      <c r="AT464" s="27" t="s">
        <v>705</v>
      </c>
      <c r="AU464" s="84"/>
      <c r="BQ464" s="77"/>
      <c r="BR464" s="77"/>
      <c r="BS464" s="77"/>
      <c r="BT464" s="77"/>
      <c r="BU464" s="77"/>
      <c r="BV464" s="77"/>
      <c r="BW464" s="77"/>
      <c r="BX464" s="77"/>
      <c r="BY464" s="77"/>
      <c r="BZ464" s="77"/>
      <c r="CA464" s="77"/>
      <c r="CB464" s="77"/>
      <c r="CC464" s="77"/>
      <c r="CD464" s="77"/>
      <c r="CE464" s="77"/>
      <c r="CF464" s="77"/>
      <c r="CG464" s="77"/>
      <c r="CH464" s="77"/>
      <c r="CI464" s="77"/>
      <c r="CJ464" s="77"/>
      <c r="CK464" s="77"/>
      <c r="CL464" s="77"/>
      <c r="CM464" s="77"/>
      <c r="CN464" s="77"/>
      <c r="CO464" s="77"/>
      <c r="CP464" s="77"/>
      <c r="CQ464" s="77"/>
      <c r="CR464" s="77"/>
      <c r="CS464" s="77"/>
      <c r="CT464" s="77"/>
      <c r="CU464" s="77"/>
      <c r="CV464" s="77"/>
      <c r="CW464" s="77"/>
      <c r="CX464" s="77"/>
      <c r="CY464" s="77"/>
      <c r="CZ464" s="77"/>
      <c r="DA464" s="77"/>
      <c r="DB464" s="77"/>
      <c r="DC464" s="77"/>
      <c r="DD464" s="77"/>
      <c r="DE464" s="77"/>
      <c r="DF464" s="77"/>
      <c r="DG464" s="77"/>
      <c r="DH464" s="77"/>
      <c r="DI464" s="77"/>
      <c r="DJ464" s="77"/>
      <c r="DK464" s="77"/>
      <c r="DL464" s="77"/>
      <c r="DM464" s="77"/>
      <c r="DN464" s="77"/>
      <c r="DO464" s="77"/>
      <c r="DP464" s="77"/>
      <c r="DQ464" s="77"/>
      <c r="DR464" s="77"/>
      <c r="DS464" s="77"/>
      <c r="DT464" s="77"/>
      <c r="DU464" s="77"/>
      <c r="DV464" s="77"/>
      <c r="DW464" s="77"/>
      <c r="DX464" s="77"/>
      <c r="DY464" s="77"/>
      <c r="DZ464" s="77"/>
      <c r="EA464" s="77"/>
      <c r="EB464" s="77"/>
      <c r="EC464" s="77"/>
      <c r="ED464" s="77"/>
      <c r="EE464" s="77"/>
      <c r="EF464" s="77"/>
      <c r="EG464" s="77"/>
      <c r="EH464" s="77"/>
      <c r="EI464" s="77"/>
      <c r="EJ464" s="77"/>
      <c r="EK464" s="77"/>
      <c r="EL464" s="77"/>
      <c r="EM464" s="16"/>
      <c r="EN464" s="16"/>
      <c r="EO464" s="16"/>
      <c r="EP464" s="77"/>
      <c r="EQ464" s="77"/>
      <c r="GL464" s="16"/>
      <c r="GM464" s="16"/>
      <c r="GN464" s="16"/>
      <c r="GO464" s="16"/>
      <c r="GP464" s="16"/>
      <c r="GQ464" s="16"/>
      <c r="GR464" s="16"/>
      <c r="GS464" s="16"/>
      <c r="GT464" s="16"/>
      <c r="GU464" s="16"/>
      <c r="GV464" s="16"/>
      <c r="GW464" s="16"/>
      <c r="GX464" s="16"/>
      <c r="GY464" s="16"/>
      <c r="GZ464" s="16"/>
      <c r="HA464" s="16"/>
      <c r="HB464" s="16"/>
      <c r="HC464" s="16"/>
      <c r="HD464" s="16"/>
      <c r="HE464" s="16"/>
      <c r="HF464" s="16"/>
      <c r="HG464" s="16"/>
      <c r="HH464" s="16"/>
      <c r="HI464" s="16"/>
      <c r="HJ464" s="16"/>
      <c r="HK464" s="16"/>
      <c r="ID464" s="77"/>
      <c r="IE464" s="77"/>
      <c r="IF464" s="77"/>
      <c r="IG464" s="77"/>
      <c r="IH464" s="77"/>
      <c r="II464" s="77"/>
      <c r="IJ464" s="77"/>
      <c r="IK464" s="77"/>
      <c r="IL464" s="77"/>
      <c r="IM464" s="77"/>
      <c r="IN464" s="77"/>
      <c r="IO464" s="77"/>
      <c r="IP464" s="77"/>
      <c r="IQ464" s="77"/>
      <c r="IR464" s="77"/>
      <c r="IS464" s="77"/>
      <c r="IT464" s="77"/>
      <c r="IU464" s="77"/>
      <c r="IV464" s="77"/>
      <c r="IW464" s="77"/>
      <c r="IX464" s="77"/>
      <c r="IY464" s="77"/>
      <c r="IZ464" s="77"/>
      <c r="JA464" s="77"/>
      <c r="JB464" s="77"/>
      <c r="JC464" s="77"/>
      <c r="JD464" s="77"/>
      <c r="JE464" s="77"/>
      <c r="JF464" s="77"/>
      <c r="JG464" s="77"/>
      <c r="JH464" s="77"/>
      <c r="JI464" s="77"/>
      <c r="JJ464" s="77"/>
      <c r="JK464" s="77"/>
      <c r="JL464" s="77"/>
      <c r="JM464" s="77"/>
      <c r="JN464" s="77"/>
      <c r="JO464" s="77"/>
      <c r="JP464" s="77"/>
      <c r="JQ464" s="77"/>
      <c r="JR464" s="77"/>
      <c r="JS464" s="77"/>
      <c r="JT464" s="77"/>
      <c r="JU464" s="77"/>
      <c r="JV464" s="77"/>
      <c r="JW464" s="77"/>
      <c r="JX464" s="77"/>
      <c r="KM464" s="77"/>
      <c r="KN464" s="77"/>
      <c r="KO464" s="77"/>
      <c r="KP464" s="77"/>
      <c r="KQ464" s="77"/>
      <c r="KR464" s="77"/>
      <c r="KS464" s="77"/>
      <c r="KT464" s="77"/>
      <c r="KU464" s="77"/>
      <c r="KV464" s="77"/>
      <c r="KW464" s="77"/>
      <c r="KX464" s="77"/>
      <c r="KY464" s="77"/>
      <c r="KZ464" s="77"/>
      <c r="LA464" s="77"/>
      <c r="LB464" s="77"/>
      <c r="LC464" s="77"/>
      <c r="LD464" s="77"/>
      <c r="LE464" s="77"/>
      <c r="LF464" s="77"/>
      <c r="LG464" s="77"/>
      <c r="LH464" s="77"/>
      <c r="LI464" s="77"/>
      <c r="LJ464" s="77"/>
      <c r="LK464" s="77"/>
      <c r="LL464" s="77"/>
      <c r="LM464" s="77"/>
      <c r="LN464" s="77"/>
      <c r="LO464" s="77"/>
      <c r="LP464" s="77"/>
      <c r="LQ464" s="77"/>
      <c r="LR464" s="77"/>
      <c r="LS464" s="77"/>
      <c r="LT464" s="77"/>
      <c r="LU464" s="77"/>
      <c r="LV464" s="77"/>
      <c r="MS464" s="77"/>
      <c r="MT464" s="77"/>
      <c r="MU464" s="77"/>
      <c r="MV464" s="77"/>
      <c r="MW464" s="77"/>
      <c r="MX464" s="77"/>
      <c r="MY464" s="77"/>
      <c r="MZ464" s="77"/>
      <c r="NA464" s="77"/>
      <c r="NB464" s="77"/>
      <c r="NC464" s="77"/>
    </row>
    <row r="465" spans="1:368" ht="18.600000000000001" customHeight="1" x14ac:dyDescent="0.25">
      <c r="A465" s="119" t="s">
        <v>51</v>
      </c>
      <c r="B465" s="27" t="s">
        <v>899</v>
      </c>
      <c r="C465" s="27" t="s">
        <v>900</v>
      </c>
      <c r="D465" s="72" t="str">
        <f>HYPERLINK("https://twitter.com/PresidencyGhana","https://twitter.com/PresidencyGhana")</f>
        <v>https://twitter.com/PresidencyGhana</v>
      </c>
      <c r="E465" s="72" t="str">
        <f>HYPERLINK("http://twiplomacy.com/info/africa/Ghana","http://twiplomacy.com/info/africa/Ghana")</f>
        <v>http://twiplomacy.com/info/africa/Ghana</v>
      </c>
      <c r="F465" s="10" t="s">
        <v>1</v>
      </c>
      <c r="G465" s="10" t="s">
        <v>49</v>
      </c>
      <c r="H465" s="10" t="s">
        <v>781</v>
      </c>
      <c r="I465" s="10" t="s">
        <v>782</v>
      </c>
      <c r="J465" s="27" t="s">
        <v>789</v>
      </c>
      <c r="K465" s="15" t="s">
        <v>901</v>
      </c>
      <c r="L465" s="10" t="s">
        <v>771</v>
      </c>
      <c r="M465" s="10" t="s">
        <v>770</v>
      </c>
      <c r="N465" s="30" t="str">
        <f>HYPERLINK("https://twitter.com/PresidencyGhana/statuses/15831470958444544","https://twitter.com/PresidencyGhana/statuses/15831470958444544")</f>
        <v>https://twitter.com/PresidencyGhana/statuses/15831470958444544</v>
      </c>
      <c r="O465" s="27" t="s">
        <v>902</v>
      </c>
      <c r="P465" s="80">
        <v>39</v>
      </c>
      <c r="Q465" s="80">
        <v>3</v>
      </c>
      <c r="R465" s="27" t="s">
        <v>2995</v>
      </c>
      <c r="S465" s="10" t="s">
        <v>903</v>
      </c>
      <c r="T465" s="10" t="s">
        <v>771</v>
      </c>
      <c r="U465" s="10" t="s">
        <v>771</v>
      </c>
      <c r="V465" s="10" t="s">
        <v>771</v>
      </c>
      <c r="W465" s="10"/>
      <c r="X465" s="27" t="s">
        <v>51</v>
      </c>
      <c r="Y465" s="27" t="s">
        <v>899</v>
      </c>
      <c r="Z465" s="80">
        <v>952</v>
      </c>
      <c r="AA465" s="27">
        <v>17</v>
      </c>
      <c r="AB465" s="80">
        <v>27646</v>
      </c>
      <c r="AC465" s="27">
        <v>1</v>
      </c>
      <c r="AD465" s="27" t="s">
        <v>4344</v>
      </c>
      <c r="AE465" s="27">
        <v>227729078</v>
      </c>
      <c r="AF465" s="27" t="s">
        <v>900</v>
      </c>
      <c r="AG465" s="27" t="s">
        <v>49</v>
      </c>
      <c r="AH465" s="79">
        <v>0.48497198166072297</v>
      </c>
      <c r="AI465" s="83">
        <v>0.87661141804788201</v>
      </c>
      <c r="AJ465" s="80">
        <v>2.6130389064143</v>
      </c>
      <c r="AK465" s="80">
        <v>0.44164037854889598</v>
      </c>
      <c r="AL465" s="27">
        <v>7</v>
      </c>
      <c r="AM465" s="97">
        <f>SUM(AL465/Z465)</f>
        <v>7.3529411764705881E-3</v>
      </c>
      <c r="AN465" s="27" t="s">
        <v>51</v>
      </c>
      <c r="AO465" s="27">
        <v>4</v>
      </c>
      <c r="AP465" s="27">
        <v>16</v>
      </c>
      <c r="AQ465" s="27">
        <v>1</v>
      </c>
      <c r="AR465" s="27">
        <f>SUM(AO465:AQ465)</f>
        <v>21</v>
      </c>
      <c r="AS465" s="27" t="s">
        <v>5432</v>
      </c>
      <c r="AT465" s="27" t="s">
        <v>5433</v>
      </c>
      <c r="AU465" s="84" t="s">
        <v>465</v>
      </c>
      <c r="AV465" s="77"/>
      <c r="AW465" s="77"/>
      <c r="AX465" s="77"/>
      <c r="AY465" s="77"/>
      <c r="AZ465" s="77"/>
      <c r="BA465" s="77"/>
      <c r="BB465" s="77"/>
      <c r="BC465" s="77"/>
      <c r="BD465" s="77"/>
      <c r="BE465" s="77"/>
      <c r="BF465" s="77"/>
      <c r="BG465" s="77"/>
      <c r="BH465" s="77"/>
      <c r="BI465" s="77"/>
      <c r="BJ465" s="77"/>
      <c r="BK465" s="77"/>
      <c r="BL465" s="77"/>
      <c r="BM465" s="77"/>
      <c r="BN465" s="77"/>
      <c r="BO465" s="77"/>
      <c r="BP465" s="77"/>
      <c r="BQ465" s="77"/>
      <c r="BR465" s="77"/>
      <c r="BS465" s="77"/>
      <c r="BT465" s="77"/>
      <c r="BU465" s="77"/>
      <c r="BV465" s="77"/>
      <c r="BW465" s="77"/>
      <c r="BX465" s="77"/>
      <c r="BY465" s="77"/>
      <c r="BZ465" s="77"/>
      <c r="CA465" s="77"/>
      <c r="CB465" s="77"/>
      <c r="CC465" s="77"/>
      <c r="CD465" s="77"/>
      <c r="CE465" s="77"/>
      <c r="CF465" s="77"/>
      <c r="CG465" s="77"/>
      <c r="CH465" s="77"/>
      <c r="CI465" s="77"/>
      <c r="CJ465" s="77"/>
      <c r="EM465" s="77"/>
      <c r="EN465" s="77"/>
      <c r="EO465" s="77"/>
      <c r="EP465" s="77"/>
      <c r="EQ465" s="77"/>
      <c r="ER465" s="77"/>
      <c r="ES465" s="77"/>
      <c r="ET465" s="77"/>
      <c r="EU465" s="77"/>
      <c r="EV465" s="77"/>
      <c r="EW465" s="77"/>
      <c r="EX465" s="77"/>
      <c r="EY465" s="77"/>
      <c r="EZ465" s="77"/>
      <c r="FA465" s="77"/>
      <c r="FB465" s="77"/>
      <c r="FC465" s="77"/>
      <c r="FD465" s="77"/>
      <c r="FE465" s="77"/>
      <c r="FF465" s="77"/>
      <c r="FG465" s="77"/>
      <c r="FH465" s="77"/>
      <c r="FI465" s="77"/>
      <c r="FJ465" s="77"/>
      <c r="FK465" s="77"/>
      <c r="FL465" s="77"/>
      <c r="FM465" s="77"/>
      <c r="FN465" s="77"/>
      <c r="FO465" s="77"/>
      <c r="FP465" s="77"/>
      <c r="FQ465" s="77"/>
      <c r="FR465" s="77"/>
      <c r="FS465" s="77"/>
      <c r="FT465" s="77"/>
      <c r="FU465" s="77"/>
      <c r="FV465" s="77"/>
      <c r="FW465" s="77"/>
      <c r="FX465" s="77"/>
      <c r="FY465" s="77"/>
      <c r="FZ465" s="77"/>
      <c r="GA465" s="77"/>
      <c r="GB465" s="77"/>
      <c r="GC465" s="77"/>
      <c r="GD465" s="77"/>
      <c r="GE465" s="77"/>
      <c r="GF465" s="77"/>
      <c r="GG465" s="77"/>
      <c r="GH465" s="77"/>
      <c r="GI465" s="77"/>
      <c r="GJ465" s="77"/>
      <c r="GK465" s="77"/>
      <c r="ID465" s="77"/>
      <c r="IE465" s="77"/>
      <c r="IF465" s="77"/>
      <c r="IG465" s="77"/>
      <c r="IH465" s="77"/>
      <c r="II465" s="77"/>
      <c r="IJ465" s="77"/>
      <c r="IK465" s="77"/>
      <c r="IL465" s="77"/>
      <c r="IM465" s="77"/>
      <c r="IN465" s="77"/>
      <c r="IO465" s="77"/>
      <c r="IP465" s="77"/>
      <c r="IQ465" s="77"/>
      <c r="IR465" s="77"/>
      <c r="IS465" s="77"/>
      <c r="IT465" s="77"/>
      <c r="IU465" s="77"/>
      <c r="IV465" s="77"/>
      <c r="IW465" s="77"/>
      <c r="IX465" s="77"/>
      <c r="IY465" s="77"/>
      <c r="IZ465" s="77"/>
      <c r="JA465" s="77"/>
      <c r="JB465" s="77"/>
      <c r="JC465" s="77"/>
      <c r="JD465" s="77"/>
      <c r="JE465" s="77"/>
      <c r="JF465" s="77"/>
      <c r="JG465" s="77"/>
      <c r="JH465" s="77"/>
      <c r="JI465" s="77"/>
      <c r="JJ465" s="77"/>
      <c r="JK465" s="77"/>
      <c r="JL465" s="77"/>
      <c r="JM465" s="77"/>
      <c r="JN465" s="77"/>
      <c r="JO465" s="77"/>
      <c r="JP465" s="77"/>
      <c r="JQ465" s="77"/>
      <c r="JR465" s="77"/>
      <c r="JS465" s="77"/>
      <c r="JT465" s="77"/>
      <c r="JU465" s="77"/>
      <c r="JV465" s="77"/>
      <c r="JW465" s="77"/>
      <c r="JX465" s="77"/>
      <c r="JY465" s="77"/>
      <c r="JZ465" s="77"/>
      <c r="KA465" s="77"/>
      <c r="KB465" s="77"/>
      <c r="KC465" s="77"/>
      <c r="KD465" s="77"/>
      <c r="KE465" s="77"/>
      <c r="KF465" s="77"/>
      <c r="KG465" s="77"/>
      <c r="KH465" s="77"/>
      <c r="KI465" s="77"/>
      <c r="KJ465" s="77"/>
      <c r="KK465" s="77"/>
      <c r="KL465" s="77"/>
      <c r="LY465" s="77"/>
      <c r="LZ465" s="77"/>
      <c r="MA465" s="77"/>
      <c r="MB465" s="77"/>
      <c r="MC465" s="77"/>
      <c r="MD465" s="77"/>
      <c r="ME465" s="77"/>
      <c r="MF465" s="77"/>
      <c r="MG465" s="77"/>
      <c r="MH465" s="77"/>
      <c r="MI465" s="77"/>
      <c r="MJ465" s="77"/>
      <c r="MK465" s="77"/>
      <c r="ML465" s="77"/>
      <c r="MM465" s="77"/>
      <c r="MN465" s="77"/>
      <c r="MO465" s="77"/>
      <c r="MP465" s="77"/>
      <c r="MQ465" s="77"/>
      <c r="MR465" s="77"/>
    </row>
    <row r="466" spans="1:368" ht="18.600000000000001" customHeight="1" x14ac:dyDescent="0.25">
      <c r="A466" s="119" t="s">
        <v>471</v>
      </c>
      <c r="B466" s="27" t="s">
        <v>471</v>
      </c>
      <c r="C466" s="27"/>
      <c r="D466" s="30" t="str">
        <f>HYPERLINK("https://twitter.com/Regering","https://twitter.com/Regering")</f>
        <v>https://twitter.com/Regering</v>
      </c>
      <c r="E466" s="30" t="str">
        <f>HYPERLINK("http://twiplomacy.com/info/europe/Netherlands","http://twiplomacy.com/info/europe/Netherlands")</f>
        <v>http://twiplomacy.com/info/europe/Netherlands</v>
      </c>
      <c r="F466" s="14" t="s">
        <v>332</v>
      </c>
      <c r="G466" s="14" t="s">
        <v>467</v>
      </c>
      <c r="H466" s="14" t="s">
        <v>788</v>
      </c>
      <c r="I466" s="14" t="s">
        <v>782</v>
      </c>
      <c r="J466" s="27" t="s">
        <v>789</v>
      </c>
      <c r="K466" s="14" t="s">
        <v>2941</v>
      </c>
      <c r="L466" s="14" t="s">
        <v>771</v>
      </c>
      <c r="M466" s="14" t="s">
        <v>771</v>
      </c>
      <c r="N466" s="100" t="str">
        <f>HYPERLINK("https://twitter.com/Regering/statuses/867859246","https://twitter.com/Regering/statuses/867859246")</f>
        <v>https://twitter.com/Regering/statuses/867859246</v>
      </c>
      <c r="O466" s="27" t="s">
        <v>2942</v>
      </c>
      <c r="P466" s="80">
        <v>12</v>
      </c>
      <c r="Q466" s="80">
        <v>2</v>
      </c>
      <c r="R466" s="27" t="s">
        <v>2995</v>
      </c>
      <c r="S466" s="10" t="s">
        <v>2943</v>
      </c>
      <c r="T466" s="10" t="s">
        <v>771</v>
      </c>
      <c r="U466" s="10" t="s">
        <v>771</v>
      </c>
      <c r="V466" s="10" t="s">
        <v>771</v>
      </c>
      <c r="W466" s="73"/>
      <c r="X466" s="27" t="s">
        <v>471</v>
      </c>
      <c r="Y466" s="27" t="s">
        <v>471</v>
      </c>
      <c r="Z466" s="80">
        <v>952</v>
      </c>
      <c r="AA466" s="27">
        <v>34</v>
      </c>
      <c r="AB466" s="80">
        <v>3817</v>
      </c>
      <c r="AC466" s="27">
        <v>0</v>
      </c>
      <c r="AD466" s="27" t="s">
        <v>4408</v>
      </c>
      <c r="AE466" s="27">
        <v>15595166</v>
      </c>
      <c r="AF466" s="27"/>
      <c r="AG466" s="27"/>
      <c r="AH466" s="79">
        <v>0.33544749823819597</v>
      </c>
      <c r="AI466" s="83">
        <v>1.1709717097171</v>
      </c>
      <c r="AJ466" s="80">
        <v>0.217436974789916</v>
      </c>
      <c r="AK466" s="80">
        <v>3.5714285714285698E-2</v>
      </c>
      <c r="AL466" s="27">
        <v>2</v>
      </c>
      <c r="AM466" s="97">
        <f>SUM(AL466/Z466)</f>
        <v>2.1008403361344537E-3</v>
      </c>
      <c r="AN466" s="27" t="s">
        <v>471</v>
      </c>
      <c r="AO466" s="27">
        <v>0</v>
      </c>
      <c r="AP466" s="27">
        <v>2</v>
      </c>
      <c r="AQ466" s="27">
        <v>0</v>
      </c>
      <c r="AR466" s="27">
        <f>SUM(AO466:AQ466)</f>
        <v>2</v>
      </c>
      <c r="AS466" s="27"/>
      <c r="AT466" s="27" t="s">
        <v>5055</v>
      </c>
      <c r="AU466" s="84"/>
      <c r="AV466" s="71"/>
      <c r="AW466" s="71"/>
      <c r="AX466" s="71"/>
      <c r="AY466" s="71"/>
      <c r="AZ466" s="71"/>
      <c r="BA466" s="71"/>
      <c r="BB466" s="71"/>
      <c r="BC466" s="71"/>
      <c r="BD466" s="71"/>
      <c r="BE466" s="71"/>
      <c r="BF466" s="71"/>
      <c r="BG466" s="71"/>
      <c r="BH466" s="71"/>
      <c r="BI466" s="71"/>
      <c r="BJ466" s="71"/>
      <c r="BK466" s="71"/>
      <c r="BL466" s="71"/>
      <c r="BM466" s="71"/>
      <c r="BN466" s="77"/>
      <c r="BO466" s="77"/>
      <c r="BP466" s="77"/>
      <c r="BQ466" s="77"/>
      <c r="BR466" s="77"/>
      <c r="BS466" s="77"/>
      <c r="BT466" s="77"/>
      <c r="BU466" s="77"/>
      <c r="BV466" s="77"/>
      <c r="BW466" s="77"/>
      <c r="BX466" s="77"/>
      <c r="BY466" s="77"/>
      <c r="BZ466" s="77"/>
      <c r="CA466" s="77"/>
      <c r="CB466" s="77"/>
      <c r="CC466" s="77"/>
      <c r="CD466" s="77"/>
      <c r="CE466" s="77"/>
      <c r="CF466" s="77"/>
      <c r="CG466" s="77"/>
      <c r="CH466" s="77"/>
      <c r="CI466" s="77"/>
      <c r="CJ466" s="77"/>
      <c r="CK466" s="77"/>
      <c r="CL466" s="77"/>
      <c r="CM466" s="77"/>
      <c r="CN466" s="77"/>
      <c r="CO466" s="77"/>
      <c r="CP466" s="77"/>
      <c r="CQ466" s="77"/>
      <c r="CR466" s="77"/>
      <c r="CS466" s="77"/>
      <c r="CT466" s="77"/>
      <c r="CU466" s="77"/>
      <c r="CV466" s="77"/>
      <c r="CW466" s="77"/>
      <c r="CX466" s="77"/>
      <c r="CY466" s="77"/>
      <c r="CZ466" s="77"/>
      <c r="DA466" s="77"/>
      <c r="DB466" s="77"/>
      <c r="DC466" s="77"/>
      <c r="DD466" s="77"/>
      <c r="DE466" s="77"/>
      <c r="DF466" s="77"/>
      <c r="DG466" s="77"/>
      <c r="DH466" s="77"/>
      <c r="DI466" s="77"/>
      <c r="DJ466" s="77"/>
      <c r="DK466" s="77"/>
      <c r="DL466" s="77"/>
      <c r="DM466" s="77"/>
      <c r="DN466" s="77"/>
      <c r="DO466" s="77"/>
      <c r="DP466" s="77"/>
      <c r="DQ466" s="77"/>
      <c r="DR466" s="77"/>
      <c r="DS466" s="77"/>
      <c r="DT466" s="77"/>
      <c r="DU466" s="77"/>
      <c r="DV466" s="77"/>
      <c r="DW466" s="77"/>
      <c r="DX466" s="77"/>
      <c r="DY466" s="77"/>
      <c r="DZ466" s="77"/>
      <c r="EA466" s="77"/>
      <c r="EB466" s="77"/>
      <c r="EC466" s="77"/>
      <c r="ED466" s="77"/>
      <c r="EE466" s="77"/>
      <c r="EF466" s="77"/>
      <c r="EG466" s="77"/>
      <c r="EH466" s="77"/>
      <c r="EI466" s="77"/>
      <c r="EJ466" s="77"/>
      <c r="EK466" s="77"/>
      <c r="EL466" s="77"/>
      <c r="EM466" s="77"/>
      <c r="EN466" s="77"/>
      <c r="EO466" s="77"/>
      <c r="EQ466" s="77"/>
      <c r="ER466" s="77"/>
      <c r="ES466" s="77"/>
      <c r="ET466" s="77"/>
      <c r="EU466" s="77"/>
      <c r="EV466" s="77"/>
      <c r="EW466" s="77"/>
      <c r="EX466" s="77"/>
      <c r="EY466" s="77"/>
      <c r="EZ466" s="77"/>
      <c r="FA466" s="77"/>
      <c r="FB466" s="77"/>
      <c r="FC466" s="77"/>
      <c r="FD466" s="77"/>
      <c r="FE466" s="77"/>
      <c r="FF466" s="77"/>
      <c r="FG466" s="77"/>
      <c r="FH466" s="77"/>
      <c r="FI466" s="77"/>
      <c r="FJ466" s="77"/>
      <c r="FK466" s="77"/>
      <c r="FL466" s="77"/>
      <c r="FM466" s="77"/>
      <c r="FN466" s="77"/>
      <c r="FO466" s="77"/>
      <c r="FP466" s="77"/>
      <c r="FQ466" s="77"/>
      <c r="FR466" s="77"/>
      <c r="FS466" s="77"/>
      <c r="FT466" s="77"/>
      <c r="FU466" s="77"/>
      <c r="FV466" s="77"/>
      <c r="FW466" s="77"/>
      <c r="FX466" s="77"/>
      <c r="FY466" s="77"/>
      <c r="FZ466" s="77"/>
      <c r="GA466" s="77"/>
      <c r="GB466" s="77"/>
      <c r="GC466" s="77"/>
      <c r="GD466" s="77"/>
      <c r="GE466" s="77"/>
      <c r="GF466" s="77"/>
      <c r="GG466" s="77"/>
      <c r="GH466" s="77"/>
      <c r="GI466" s="77"/>
      <c r="GJ466" s="77"/>
      <c r="GK466" s="77"/>
      <c r="GL466" s="77"/>
      <c r="GM466" s="77"/>
      <c r="GN466" s="77"/>
      <c r="GO466" s="77"/>
      <c r="GP466" s="77"/>
      <c r="GQ466" s="77"/>
      <c r="GR466" s="77"/>
      <c r="GS466" s="77"/>
      <c r="GT466" s="77"/>
      <c r="GU466" s="77"/>
      <c r="GV466" s="77"/>
      <c r="GW466" s="77"/>
      <c r="GX466" s="77"/>
      <c r="GY466" s="77"/>
      <c r="GZ466" s="77"/>
      <c r="HA466" s="77"/>
      <c r="HB466" s="77"/>
      <c r="HC466" s="77"/>
      <c r="HD466" s="77"/>
      <c r="HE466" s="77"/>
      <c r="HF466" s="77"/>
      <c r="HG466" s="77"/>
      <c r="HH466" s="77"/>
      <c r="HI466" s="77"/>
      <c r="HJ466" s="77"/>
      <c r="HK466" s="77"/>
      <c r="HL466" s="77"/>
      <c r="HM466" s="77"/>
      <c r="HN466" s="77"/>
      <c r="HO466" s="77"/>
      <c r="HP466" s="77"/>
      <c r="HQ466" s="77"/>
      <c r="HR466" s="77"/>
      <c r="HS466" s="77"/>
      <c r="HT466" s="77"/>
      <c r="HU466" s="77"/>
      <c r="HV466" s="77"/>
      <c r="HW466" s="77"/>
      <c r="HX466" s="77"/>
      <c r="HY466" s="77"/>
      <c r="HZ466" s="77"/>
      <c r="IA466" s="77"/>
      <c r="IB466" s="77"/>
      <c r="IC466" s="77"/>
      <c r="ID466" s="77"/>
      <c r="IE466" s="77"/>
      <c r="JY466" s="77"/>
      <c r="JZ466" s="77"/>
      <c r="KA466" s="77"/>
      <c r="KB466" s="77"/>
      <c r="KC466" s="77"/>
      <c r="KD466" s="77"/>
      <c r="KE466" s="77"/>
      <c r="KF466" s="77"/>
      <c r="KG466" s="77"/>
      <c r="KH466" s="77"/>
      <c r="KI466" s="77"/>
      <c r="KJ466" s="77"/>
      <c r="KK466" s="77"/>
      <c r="KL466" s="77"/>
      <c r="KM466" s="77"/>
      <c r="KN466" s="77"/>
      <c r="KO466" s="77"/>
      <c r="KP466" s="77"/>
      <c r="KQ466" s="77"/>
      <c r="KR466" s="77"/>
      <c r="KS466" s="77"/>
      <c r="KT466" s="77"/>
      <c r="KU466" s="77"/>
      <c r="KV466" s="77"/>
      <c r="KW466" s="77"/>
      <c r="KX466" s="77"/>
      <c r="KY466" s="77"/>
      <c r="KZ466" s="77"/>
      <c r="LA466" s="77"/>
      <c r="LB466" s="77"/>
      <c r="LC466" s="77"/>
      <c r="LD466" s="77"/>
      <c r="LE466" s="77"/>
      <c r="LF466" s="77"/>
      <c r="LG466" s="77"/>
      <c r="LH466" s="77"/>
      <c r="LI466" s="77"/>
      <c r="LJ466" s="77"/>
      <c r="LK466" s="77"/>
      <c r="LY466" s="16"/>
      <c r="LZ466" s="16"/>
      <c r="MA466" s="16"/>
      <c r="MB466" s="16"/>
      <c r="MC466" s="16"/>
      <c r="MD466" s="16"/>
      <c r="ME466" s="16"/>
      <c r="MF466" s="16"/>
      <c r="MG466" s="16"/>
      <c r="MH466" s="16"/>
      <c r="MI466" s="16"/>
      <c r="MJ466" s="16"/>
      <c r="MK466" s="16"/>
      <c r="ML466" s="16"/>
      <c r="MM466" s="16"/>
      <c r="MN466" s="16"/>
      <c r="MO466" s="16"/>
      <c r="MP466" s="16"/>
      <c r="MQ466" s="16"/>
      <c r="MR466" s="16"/>
      <c r="MT466" s="77"/>
      <c r="MU466" s="77"/>
      <c r="MV466" s="77"/>
      <c r="MW466" s="77"/>
      <c r="MX466" s="77"/>
      <c r="MY466" s="77"/>
      <c r="MZ466" s="77"/>
      <c r="NA466" s="77"/>
      <c r="NB466" s="77"/>
      <c r="NC466" s="77"/>
    </row>
    <row r="467" spans="1:368" s="37" customFormat="1" ht="18.600000000000001" customHeight="1" x14ac:dyDescent="0.25">
      <c r="A467" s="119" t="s">
        <v>83</v>
      </c>
      <c r="B467" s="27" t="s">
        <v>987</v>
      </c>
      <c r="C467" s="27" t="s">
        <v>988</v>
      </c>
      <c r="D467" s="30" t="str">
        <f>HYPERLINK("https://twitter.com/GouvMali","https://twitter.com/GouvMali")</f>
        <v>https://twitter.com/GouvMali</v>
      </c>
      <c r="E467" s="30" t="s">
        <v>989</v>
      </c>
      <c r="F467" s="20" t="s">
        <v>1</v>
      </c>
      <c r="G467" s="10" t="s">
        <v>80</v>
      </c>
      <c r="H467" s="10" t="s">
        <v>788</v>
      </c>
      <c r="I467" s="10" t="s">
        <v>782</v>
      </c>
      <c r="J467" s="27" t="s">
        <v>779</v>
      </c>
      <c r="K467" s="10" t="s">
        <v>777</v>
      </c>
      <c r="L467" s="10" t="s">
        <v>771</v>
      </c>
      <c r="M467" s="10" t="s">
        <v>770</v>
      </c>
      <c r="N467" s="30" t="str">
        <f>HYPERLINK("https://twitter.com/GouvMali/status/486808698141294592","https://twitter.com/GouvMali/status/486808698141294592")</f>
        <v>https://twitter.com/GouvMali/status/486808698141294592</v>
      </c>
      <c r="O467" s="27" t="s">
        <v>5824</v>
      </c>
      <c r="P467" s="80">
        <v>22</v>
      </c>
      <c r="Q467" s="80">
        <v>8</v>
      </c>
      <c r="R467" s="27" t="s">
        <v>2995</v>
      </c>
      <c r="S467" s="30" t="str">
        <f>HYPERLINK("https://twitter.com/GouvMali/lists","https://twitter.com/GouvMali/lists")</f>
        <v>https://twitter.com/GouvMali/lists</v>
      </c>
      <c r="T467" s="10" t="s">
        <v>771</v>
      </c>
      <c r="U467" s="10" t="s">
        <v>771</v>
      </c>
      <c r="V467" s="10" t="s">
        <v>771</v>
      </c>
      <c r="W467" s="10"/>
      <c r="X467" s="27" t="s">
        <v>83</v>
      </c>
      <c r="Y467" s="27" t="s">
        <v>987</v>
      </c>
      <c r="Z467" s="80">
        <v>940</v>
      </c>
      <c r="AA467" s="27">
        <v>32</v>
      </c>
      <c r="AB467" s="80">
        <v>4995</v>
      </c>
      <c r="AC467" s="27">
        <v>0</v>
      </c>
      <c r="AD467" s="27" t="s">
        <v>3745</v>
      </c>
      <c r="AE467" s="27">
        <v>2205190843</v>
      </c>
      <c r="AF467" s="27" t="s">
        <v>988</v>
      </c>
      <c r="AG467" s="27"/>
      <c r="AH467" s="79">
        <v>1.0514541387024601</v>
      </c>
      <c r="AI467" s="83">
        <v>1.4264036418816399</v>
      </c>
      <c r="AJ467" s="80">
        <v>0.68404255319148899</v>
      </c>
      <c r="AK467" s="80">
        <v>0.50744680851063795</v>
      </c>
      <c r="AL467" s="13">
        <v>0</v>
      </c>
      <c r="AM467" s="97">
        <f>SUM(AL467/Z467)</f>
        <v>0</v>
      </c>
      <c r="AN467" s="27" t="s">
        <v>83</v>
      </c>
      <c r="AO467" s="27">
        <v>1</v>
      </c>
      <c r="AP467" s="27">
        <v>4</v>
      </c>
      <c r="AQ467" s="27">
        <v>0</v>
      </c>
      <c r="AR467" s="27">
        <f>SUM(AO467:AQ467)</f>
        <v>5</v>
      </c>
      <c r="AS467" s="27" t="s">
        <v>400</v>
      </c>
      <c r="AT467" s="27" t="s">
        <v>6736</v>
      </c>
      <c r="AU467" s="84"/>
      <c r="AV467" s="77"/>
      <c r="AW467" s="77"/>
      <c r="AX467" s="77"/>
      <c r="AY467" s="77"/>
      <c r="AZ467" s="77"/>
      <c r="BA467" s="77"/>
      <c r="BB467" s="77"/>
      <c r="BC467" s="77"/>
      <c r="BD467" s="77"/>
      <c r="BE467" s="77"/>
      <c r="BF467" s="77"/>
      <c r="BG467" s="77"/>
      <c r="BH467" s="77"/>
      <c r="BI467" s="77"/>
      <c r="BJ467" s="77"/>
      <c r="BK467" s="77"/>
      <c r="BL467" s="77"/>
      <c r="BM467" s="77"/>
      <c r="BN467" s="77"/>
      <c r="BO467" s="77"/>
      <c r="BP467" s="77"/>
      <c r="BQ467" s="77"/>
      <c r="BR467" s="77"/>
      <c r="BS467" s="77"/>
      <c r="BT467" s="77"/>
      <c r="BU467" s="77"/>
      <c r="BV467" s="77"/>
      <c r="BW467" s="77"/>
      <c r="BX467" s="77"/>
      <c r="BY467" s="77"/>
      <c r="BZ467" s="77"/>
      <c r="CA467" s="77"/>
      <c r="CB467" s="77"/>
      <c r="EM467" s="77"/>
      <c r="EN467" s="77"/>
      <c r="EO467" s="77"/>
      <c r="EP467" s="77"/>
      <c r="ER467" s="77"/>
      <c r="ES467" s="77"/>
      <c r="ET467" s="77"/>
      <c r="EU467" s="77"/>
      <c r="EV467" s="77"/>
      <c r="EW467" s="77"/>
      <c r="EX467" s="77"/>
      <c r="EY467" s="77"/>
      <c r="EZ467" s="77"/>
      <c r="FA467" s="77"/>
      <c r="FB467" s="77"/>
      <c r="FC467" s="77"/>
      <c r="FD467" s="77"/>
      <c r="FE467" s="77"/>
      <c r="FF467" s="77"/>
      <c r="FG467" s="77"/>
      <c r="FH467" s="77"/>
      <c r="FI467" s="77"/>
      <c r="FJ467" s="77"/>
      <c r="FK467" s="77"/>
      <c r="FL467" s="77"/>
      <c r="FM467" s="77"/>
      <c r="FN467" s="77"/>
      <c r="FO467" s="77"/>
      <c r="FP467" s="77"/>
      <c r="FQ467" s="77"/>
      <c r="FR467" s="77"/>
      <c r="FS467" s="77"/>
      <c r="FT467" s="77"/>
      <c r="FU467" s="77"/>
      <c r="FV467" s="77"/>
      <c r="FW467" s="77"/>
      <c r="FX467" s="77"/>
      <c r="FY467" s="77"/>
      <c r="FZ467" s="77"/>
      <c r="GA467" s="77"/>
      <c r="GB467" s="77"/>
      <c r="GC467" s="77"/>
      <c r="GD467" s="77"/>
      <c r="GE467" s="77"/>
      <c r="GF467" s="77"/>
      <c r="GG467" s="77"/>
      <c r="GH467" s="77"/>
      <c r="GI467" s="77"/>
      <c r="GJ467" s="77"/>
      <c r="GK467" s="77"/>
      <c r="GL467" s="77"/>
      <c r="GM467" s="77"/>
      <c r="GN467" s="77"/>
      <c r="GO467" s="77"/>
      <c r="GP467" s="77"/>
      <c r="GQ467" s="77"/>
      <c r="GR467" s="77"/>
      <c r="GS467" s="77"/>
      <c r="GT467" s="77"/>
      <c r="GU467" s="77"/>
      <c r="GV467" s="77"/>
      <c r="GW467" s="77"/>
      <c r="GX467" s="77"/>
      <c r="GY467" s="77"/>
      <c r="GZ467" s="77"/>
      <c r="HA467" s="77"/>
      <c r="HB467" s="77"/>
      <c r="HC467" s="77"/>
      <c r="HD467" s="77"/>
      <c r="HE467" s="77"/>
      <c r="HF467" s="77"/>
      <c r="HG467" s="77"/>
      <c r="HH467" s="77"/>
      <c r="HI467" s="77"/>
      <c r="HJ467" s="77"/>
      <c r="HK467" s="77"/>
      <c r="HL467" s="77"/>
      <c r="HM467" s="77"/>
      <c r="HN467" s="77"/>
      <c r="HO467" s="77"/>
      <c r="HP467" s="77"/>
      <c r="HQ467" s="77"/>
      <c r="HR467" s="77"/>
      <c r="HS467" s="77"/>
      <c r="HT467" s="77"/>
      <c r="HU467" s="77"/>
      <c r="HV467" s="77"/>
      <c r="HW467" s="77"/>
      <c r="HX467" s="77"/>
      <c r="HY467" s="77"/>
      <c r="HZ467" s="77"/>
      <c r="IA467" s="77"/>
      <c r="IB467" s="77"/>
      <c r="IC467" s="77"/>
      <c r="ID467" s="77"/>
      <c r="IE467" s="77"/>
      <c r="IF467" s="77"/>
      <c r="IG467" s="77"/>
      <c r="IH467" s="77"/>
      <c r="II467" s="77"/>
      <c r="IJ467" s="77"/>
      <c r="IK467" s="77"/>
      <c r="IL467" s="77"/>
      <c r="IM467" s="77"/>
      <c r="IN467" s="77"/>
      <c r="IO467" s="77"/>
      <c r="IP467" s="77"/>
      <c r="IQ467" s="77"/>
      <c r="IR467" s="77"/>
      <c r="IS467" s="77"/>
      <c r="IT467" s="77"/>
      <c r="IU467" s="77"/>
      <c r="IV467" s="77"/>
      <c r="IW467" s="77"/>
      <c r="IX467" s="77"/>
      <c r="IY467" s="77"/>
      <c r="IZ467" s="77"/>
      <c r="JA467" s="77"/>
      <c r="JB467" s="77"/>
      <c r="JC467" s="77"/>
      <c r="JD467" s="77"/>
      <c r="JE467" s="77"/>
      <c r="JF467" s="77"/>
      <c r="JG467" s="77"/>
      <c r="JH467" s="77"/>
      <c r="JI467" s="77"/>
      <c r="JJ467" s="77"/>
      <c r="JK467" s="77"/>
      <c r="JL467" s="77"/>
      <c r="JM467" s="77"/>
      <c r="JN467" s="77"/>
      <c r="JO467" s="77"/>
      <c r="JP467" s="77"/>
      <c r="JQ467" s="77"/>
      <c r="JR467" s="77"/>
      <c r="JS467" s="77"/>
      <c r="JT467" s="77"/>
      <c r="JU467" s="77"/>
      <c r="JV467" s="77"/>
      <c r="JW467" s="77"/>
      <c r="JX467" s="77"/>
      <c r="JY467" s="77"/>
      <c r="JZ467" s="77"/>
      <c r="KA467" s="77"/>
      <c r="KB467" s="77"/>
      <c r="KC467" s="77"/>
      <c r="KD467" s="77"/>
      <c r="KE467" s="77"/>
      <c r="KF467" s="77"/>
      <c r="KG467" s="77"/>
      <c r="KH467" s="77"/>
      <c r="KI467" s="77"/>
      <c r="KJ467" s="77"/>
      <c r="KK467" s="77"/>
      <c r="KL467" s="77"/>
      <c r="KM467" s="77"/>
      <c r="KN467" s="77"/>
      <c r="KO467" s="77"/>
      <c r="KP467" s="77"/>
      <c r="KQ467" s="77"/>
      <c r="KR467" s="77"/>
      <c r="KS467" s="77"/>
      <c r="KT467" s="77"/>
      <c r="KU467" s="77"/>
      <c r="KV467" s="77"/>
      <c r="KW467" s="77"/>
      <c r="KX467" s="77"/>
      <c r="KY467" s="77"/>
      <c r="KZ467" s="77"/>
      <c r="LA467" s="77"/>
      <c r="LB467" s="77"/>
      <c r="LC467" s="77"/>
      <c r="LD467" s="77"/>
      <c r="LE467" s="77"/>
      <c r="LF467" s="77"/>
      <c r="LG467" s="77"/>
      <c r="LH467" s="77"/>
      <c r="LI467" s="77"/>
      <c r="LJ467" s="77"/>
      <c r="LK467" s="77"/>
      <c r="ND467" s="77"/>
    </row>
    <row r="468" spans="1:368" ht="18.600000000000001" customHeight="1" x14ac:dyDescent="0.25">
      <c r="A468" s="119" t="s">
        <v>456</v>
      </c>
      <c r="B468" s="27" t="s">
        <v>2051</v>
      </c>
      <c r="C468" s="27" t="s">
        <v>4313</v>
      </c>
      <c r="D468" s="30" t="str">
        <f>HYPERLINK("https://twitter.com/presedinte_md","https://twitter.com/presedinte_md")</f>
        <v>https://twitter.com/presedinte_md</v>
      </c>
      <c r="E468" s="30" t="str">
        <f>HYPERLINK("http://twiplomacy.com/info/europe/Moldova","http://twiplomacy.com/info/europe/Moldova")</f>
        <v>http://twiplomacy.com/info/europe/Moldova</v>
      </c>
      <c r="F468" s="10" t="s">
        <v>332</v>
      </c>
      <c r="G468" s="10" t="s">
        <v>454</v>
      </c>
      <c r="H468" s="10" t="s">
        <v>781</v>
      </c>
      <c r="I468" s="10" t="s">
        <v>782</v>
      </c>
      <c r="J468" s="27" t="s">
        <v>2059</v>
      </c>
      <c r="K468" s="15" t="s">
        <v>777</v>
      </c>
      <c r="L468" s="10" t="s">
        <v>771</v>
      </c>
      <c r="M468" s="10" t="s">
        <v>771</v>
      </c>
      <c r="N468" s="30" t="str">
        <f>HYPERLINK("https://twitter.com/presedinte_md/statuses/342179312084078593","https://twitter.com/presedinte_md/statuses/342179312084078593")</f>
        <v>https://twitter.com/presedinte_md/statuses/342179312084078593</v>
      </c>
      <c r="O468" s="27" t="s">
        <v>2056</v>
      </c>
      <c r="P468" s="80">
        <v>5</v>
      </c>
      <c r="Q468" s="80">
        <v>1</v>
      </c>
      <c r="R468" s="27" t="s">
        <v>2995</v>
      </c>
      <c r="S468" s="10" t="s">
        <v>2057</v>
      </c>
      <c r="T468" s="10" t="s">
        <v>771</v>
      </c>
      <c r="U468" s="10" t="s">
        <v>771</v>
      </c>
      <c r="V468" s="10" t="s">
        <v>771</v>
      </c>
      <c r="W468" s="10"/>
      <c r="X468" s="27" t="s">
        <v>456</v>
      </c>
      <c r="Y468" s="27" t="s">
        <v>2051</v>
      </c>
      <c r="Z468" s="80">
        <v>926</v>
      </c>
      <c r="AA468" s="27">
        <v>8</v>
      </c>
      <c r="AB468" s="80">
        <v>397</v>
      </c>
      <c r="AC468" s="27">
        <v>2</v>
      </c>
      <c r="AD468" s="27" t="s">
        <v>4314</v>
      </c>
      <c r="AE468" s="27">
        <v>1472196571</v>
      </c>
      <c r="AF468" s="27" t="s">
        <v>4313</v>
      </c>
      <c r="AG468" s="27" t="s">
        <v>2058</v>
      </c>
      <c r="AH468" s="79">
        <v>0.86785379568884702</v>
      </c>
      <c r="AI468" s="83">
        <v>0.87358490566037705</v>
      </c>
      <c r="AJ468" s="80">
        <v>0.119047619047619</v>
      </c>
      <c r="AK468" s="80">
        <v>0.111471861471861</v>
      </c>
      <c r="AL468" s="27">
        <v>1</v>
      </c>
      <c r="AM468" s="97">
        <f>SUM(AL468/Z468)</f>
        <v>1.0799136069114472E-3</v>
      </c>
      <c r="AN468" s="27" t="s">
        <v>456</v>
      </c>
      <c r="AO468" s="27">
        <v>2</v>
      </c>
      <c r="AP468" s="27">
        <v>3</v>
      </c>
      <c r="AQ468" s="27">
        <v>0</v>
      </c>
      <c r="AR468" s="27">
        <f>SUM(AO468:AQ468)</f>
        <v>5</v>
      </c>
      <c r="AS468" s="27" t="s">
        <v>5419</v>
      </c>
      <c r="AT468" s="27" t="s">
        <v>5420</v>
      </c>
      <c r="AU468" s="84"/>
      <c r="AV468" s="77"/>
      <c r="AW468" s="77"/>
      <c r="AX468" s="77"/>
      <c r="AY468" s="77"/>
      <c r="AZ468" s="77"/>
      <c r="BA468" s="77"/>
      <c r="BB468" s="77"/>
      <c r="BC468" s="77"/>
      <c r="BD468" s="77"/>
      <c r="BE468" s="77"/>
      <c r="BF468" s="77"/>
      <c r="BG468" s="77"/>
      <c r="BH468" s="77"/>
      <c r="BI468" s="77"/>
      <c r="BJ468" s="77"/>
      <c r="BK468" s="77"/>
      <c r="BL468" s="77"/>
      <c r="BM468" s="77"/>
      <c r="BN468" s="77"/>
      <c r="BO468" s="77"/>
      <c r="BP468" s="77"/>
      <c r="BQ468" s="77"/>
      <c r="BR468" s="77"/>
      <c r="BS468" s="77"/>
      <c r="BT468" s="77"/>
      <c r="BU468" s="77"/>
      <c r="BV468" s="77"/>
      <c r="BW468" s="77"/>
      <c r="BX468" s="77"/>
      <c r="BY468" s="77"/>
      <c r="BZ468" s="77"/>
      <c r="CA468" s="77"/>
      <c r="CB468" s="77"/>
      <c r="CC468" s="77"/>
      <c r="CD468" s="77"/>
      <c r="CE468" s="77"/>
      <c r="CF468" s="77"/>
      <c r="CG468" s="77"/>
      <c r="CH468" s="77"/>
      <c r="CI468" s="77"/>
      <c r="CJ468" s="77"/>
      <c r="CK468" s="77"/>
      <c r="CL468" s="77"/>
      <c r="CM468" s="77"/>
      <c r="CN468" s="77"/>
      <c r="CO468" s="77"/>
      <c r="CP468" s="77"/>
      <c r="CQ468" s="77"/>
      <c r="CR468" s="77"/>
      <c r="CS468" s="77"/>
      <c r="CT468" s="77"/>
      <c r="CU468" s="77"/>
      <c r="CV468" s="77"/>
      <c r="CW468" s="77"/>
      <c r="EM468" s="77"/>
      <c r="EN468" s="77"/>
      <c r="EO468" s="77"/>
      <c r="EP468" s="77"/>
      <c r="GL468" s="77"/>
      <c r="GM468" s="77"/>
      <c r="GN468" s="77"/>
      <c r="GO468" s="77"/>
      <c r="GP468" s="77"/>
      <c r="GQ468" s="77"/>
      <c r="GR468" s="77"/>
      <c r="GS468" s="77"/>
      <c r="GT468" s="77"/>
      <c r="GU468" s="77"/>
      <c r="GV468" s="77"/>
      <c r="GW468" s="77"/>
      <c r="GX468" s="77"/>
      <c r="GY468" s="77"/>
      <c r="GZ468" s="77"/>
      <c r="HA468" s="77"/>
      <c r="HB468" s="77"/>
      <c r="HC468" s="77"/>
      <c r="HD468" s="77"/>
      <c r="HE468" s="77"/>
      <c r="HF468" s="77"/>
      <c r="HG468" s="77"/>
      <c r="HH468" s="77"/>
      <c r="HI468" s="77"/>
      <c r="HJ468" s="77"/>
      <c r="HK468" s="77"/>
      <c r="HL468" s="77"/>
      <c r="HM468" s="77"/>
      <c r="HN468" s="77"/>
      <c r="HO468" s="77"/>
      <c r="HP468" s="77"/>
      <c r="HQ468" s="77"/>
      <c r="HR468" s="77"/>
      <c r="HS468" s="77"/>
      <c r="HT468" s="77"/>
      <c r="HU468" s="77"/>
      <c r="HV468" s="77"/>
      <c r="HW468" s="77"/>
      <c r="HX468" s="77"/>
      <c r="HY468" s="77"/>
      <c r="HZ468" s="77"/>
      <c r="IA468" s="77"/>
      <c r="IB468" s="77"/>
      <c r="IC468" s="77"/>
      <c r="IF468" s="77"/>
      <c r="IG468" s="77"/>
      <c r="IH468" s="77"/>
      <c r="II468" s="77"/>
      <c r="IJ468" s="77"/>
      <c r="IK468" s="77"/>
      <c r="IL468" s="77"/>
      <c r="IM468" s="77"/>
      <c r="IN468" s="77"/>
      <c r="IO468" s="77"/>
      <c r="IP468" s="77"/>
      <c r="IQ468" s="77"/>
      <c r="IR468" s="77"/>
      <c r="IS468" s="77"/>
      <c r="IT468" s="77"/>
      <c r="IU468" s="77"/>
      <c r="IV468" s="77"/>
      <c r="IW468" s="77"/>
      <c r="IX468" s="77"/>
      <c r="IY468" s="77"/>
      <c r="IZ468" s="77"/>
      <c r="JA468" s="77"/>
      <c r="JB468" s="77"/>
      <c r="JC468" s="77"/>
      <c r="JD468" s="77"/>
      <c r="JE468" s="77"/>
      <c r="JF468" s="77"/>
      <c r="JG468" s="77"/>
      <c r="JH468" s="77"/>
      <c r="JI468" s="77"/>
      <c r="JJ468" s="77"/>
      <c r="JK468" s="77"/>
      <c r="JL468" s="77"/>
      <c r="JM468" s="77"/>
      <c r="JN468" s="77"/>
      <c r="JO468" s="77"/>
      <c r="JP468" s="77"/>
      <c r="JQ468" s="77"/>
      <c r="JR468" s="77"/>
      <c r="JS468" s="77"/>
      <c r="JT468" s="77"/>
      <c r="JU468" s="77"/>
      <c r="JV468" s="77"/>
      <c r="JW468" s="77"/>
      <c r="JX468" s="77"/>
      <c r="LL468" s="77"/>
      <c r="LM468" s="77"/>
      <c r="LN468" s="77"/>
      <c r="LO468" s="77"/>
      <c r="LP468" s="77"/>
      <c r="LQ468" s="77"/>
      <c r="LR468" s="77"/>
      <c r="LS468" s="77"/>
      <c r="LT468" s="77"/>
      <c r="LU468" s="77"/>
      <c r="LV468" s="77"/>
      <c r="LY468" s="77"/>
      <c r="LZ468" s="77"/>
      <c r="MA468" s="77"/>
      <c r="MB468" s="77"/>
      <c r="MC468" s="77"/>
      <c r="MD468" s="77"/>
      <c r="ME468" s="77"/>
      <c r="MF468" s="77"/>
      <c r="MG468" s="77"/>
      <c r="MH468" s="77"/>
      <c r="MI468" s="77"/>
      <c r="MJ468" s="77"/>
      <c r="MK468" s="77"/>
      <c r="ML468" s="77"/>
      <c r="MM468" s="77"/>
      <c r="MN468" s="77"/>
      <c r="MO468" s="77"/>
      <c r="MP468" s="77"/>
      <c r="MQ468" s="77"/>
      <c r="MR468" s="77"/>
      <c r="ND468" s="16"/>
    </row>
    <row r="469" spans="1:368" ht="18.600000000000001" customHeight="1" x14ac:dyDescent="0.25">
      <c r="A469" s="119" t="s">
        <v>3275</v>
      </c>
      <c r="B469" s="27" t="s">
        <v>3645</v>
      </c>
      <c r="C469" s="27" t="s">
        <v>3646</v>
      </c>
      <c r="D469" s="30" t="s">
        <v>3274</v>
      </c>
      <c r="E469" s="30" t="str">
        <f>HYPERLINK("http://twiplomacy.com/info/europe/France","http://twiplomacy.com/info/europe/France")</f>
        <v>http://twiplomacy.com/info/europe/France</v>
      </c>
      <c r="F469" s="10" t="s">
        <v>332</v>
      </c>
      <c r="G469" s="10" t="s">
        <v>395</v>
      </c>
      <c r="H469" s="10" t="s">
        <v>781</v>
      </c>
      <c r="I469" s="10" t="s">
        <v>782</v>
      </c>
      <c r="J469" s="27" t="s">
        <v>779</v>
      </c>
      <c r="K469" s="15" t="s">
        <v>777</v>
      </c>
      <c r="L469" s="10" t="s">
        <v>771</v>
      </c>
      <c r="M469" s="10" t="s">
        <v>770</v>
      </c>
      <c r="N469" s="30" t="s">
        <v>3291</v>
      </c>
      <c r="O469" s="27" t="s">
        <v>3296</v>
      </c>
      <c r="P469" s="80">
        <v>390</v>
      </c>
      <c r="Q469" s="80">
        <v>319</v>
      </c>
      <c r="R469" s="27" t="s">
        <v>2994</v>
      </c>
      <c r="S469" s="12" t="s">
        <v>3285</v>
      </c>
      <c r="T469" s="10" t="s">
        <v>771</v>
      </c>
      <c r="U469" s="10" t="s">
        <v>771</v>
      </c>
      <c r="V469" s="10" t="s">
        <v>771</v>
      </c>
      <c r="W469" s="10"/>
      <c r="X469" s="27" t="s">
        <v>3275</v>
      </c>
      <c r="Y469" s="27" t="s">
        <v>3645</v>
      </c>
      <c r="Z469" s="80">
        <v>925</v>
      </c>
      <c r="AA469" s="27">
        <v>925</v>
      </c>
      <c r="AB469" s="80">
        <v>33233</v>
      </c>
      <c r="AC469" s="27">
        <v>23</v>
      </c>
      <c r="AD469" s="27" t="s">
        <v>3647</v>
      </c>
      <c r="AE469" s="27">
        <v>1464243415</v>
      </c>
      <c r="AF469" s="27" t="s">
        <v>3646</v>
      </c>
      <c r="AG469" s="27"/>
      <c r="AH469" s="79">
        <v>0.86448598130841103</v>
      </c>
      <c r="AI469" s="83">
        <v>2.3132832080200498</v>
      </c>
      <c r="AJ469" s="80">
        <v>30.100628930817599</v>
      </c>
      <c r="AK469" s="80">
        <v>20.4968553459119</v>
      </c>
      <c r="AL469" s="27">
        <v>96</v>
      </c>
      <c r="AM469" s="97">
        <f>SUM(AL469/Z469)</f>
        <v>0.10378378378378378</v>
      </c>
      <c r="AN469" s="27" t="s">
        <v>3275</v>
      </c>
      <c r="AO469" s="27">
        <v>2</v>
      </c>
      <c r="AP469" s="27">
        <v>6</v>
      </c>
      <c r="AQ469" s="27">
        <v>5</v>
      </c>
      <c r="AR469" s="27">
        <f>SUM(AO469:AQ469)</f>
        <v>13</v>
      </c>
      <c r="AS469" s="27" t="s">
        <v>5103</v>
      </c>
      <c r="AT469" s="27" t="s">
        <v>6708</v>
      </c>
      <c r="AU469" s="84" t="s">
        <v>4707</v>
      </c>
      <c r="AV469" s="71"/>
      <c r="AW469" s="71"/>
      <c r="AX469" s="71"/>
      <c r="AY469" s="71"/>
      <c r="AZ469" s="71"/>
      <c r="BA469" s="71"/>
      <c r="BB469" s="71"/>
      <c r="BC469" s="71"/>
      <c r="BD469" s="71"/>
      <c r="BE469" s="71"/>
      <c r="BF469" s="71"/>
      <c r="BG469" s="71"/>
      <c r="BH469" s="71"/>
      <c r="BI469" s="71"/>
      <c r="BJ469" s="71"/>
      <c r="BK469" s="71"/>
      <c r="BL469" s="71"/>
      <c r="BM469" s="71"/>
      <c r="BN469" s="77"/>
      <c r="BO469" s="77"/>
      <c r="BP469" s="77"/>
      <c r="BQ469" s="77"/>
      <c r="BR469" s="77"/>
      <c r="BS469" s="77"/>
      <c r="BT469" s="77"/>
      <c r="BU469" s="77"/>
      <c r="BV469" s="77"/>
      <c r="BW469" s="77"/>
      <c r="BX469" s="77"/>
      <c r="BY469" s="77"/>
      <c r="BZ469" s="77"/>
      <c r="CA469" s="77"/>
      <c r="CB469" s="77"/>
      <c r="CC469" s="77"/>
      <c r="CD469" s="77"/>
      <c r="CE469" s="77"/>
      <c r="CF469" s="77"/>
      <c r="CG469" s="77"/>
      <c r="CH469" s="77"/>
      <c r="CI469" s="77"/>
      <c r="CJ469" s="77"/>
      <c r="CK469" s="77"/>
      <c r="CL469" s="77"/>
      <c r="CM469" s="77"/>
      <c r="CN469" s="77"/>
      <c r="CO469" s="77"/>
      <c r="CP469" s="77"/>
      <c r="CQ469" s="77"/>
      <c r="CR469" s="77"/>
      <c r="CS469" s="77"/>
      <c r="CT469" s="77"/>
      <c r="CU469" s="77"/>
      <c r="CV469" s="77"/>
      <c r="CW469" s="77"/>
      <c r="CX469" s="77"/>
      <c r="CY469" s="77"/>
      <c r="CZ469" s="77"/>
      <c r="DA469" s="77"/>
      <c r="DB469" s="77"/>
      <c r="DC469" s="77"/>
      <c r="DD469" s="77"/>
      <c r="DE469" s="77"/>
      <c r="DF469" s="77"/>
      <c r="DG469" s="77"/>
      <c r="DH469" s="77"/>
      <c r="DI469" s="77"/>
      <c r="DJ469" s="77"/>
      <c r="DK469" s="77"/>
      <c r="DL469" s="77"/>
      <c r="DM469" s="77"/>
      <c r="DN469" s="77"/>
      <c r="DO469" s="77"/>
      <c r="DP469" s="77"/>
      <c r="DQ469" s="77"/>
      <c r="DR469" s="77"/>
      <c r="DS469" s="77"/>
      <c r="DT469" s="77"/>
      <c r="DU469" s="77"/>
      <c r="DV469" s="77"/>
      <c r="DW469" s="77"/>
      <c r="DX469" s="77"/>
      <c r="DY469" s="77"/>
      <c r="DZ469" s="77"/>
      <c r="EA469" s="77"/>
      <c r="EB469" s="77"/>
      <c r="EC469" s="77"/>
      <c r="ED469" s="77"/>
      <c r="EE469" s="77"/>
      <c r="EF469" s="77"/>
      <c r="EG469" s="77"/>
      <c r="EH469" s="77"/>
      <c r="EI469" s="77"/>
      <c r="EJ469" s="77"/>
      <c r="EK469" s="77"/>
      <c r="EL469" s="77"/>
      <c r="EM469" s="77"/>
      <c r="EN469" s="77"/>
      <c r="EO469" s="77"/>
      <c r="EQ469" s="77"/>
      <c r="ER469" s="77"/>
      <c r="ES469" s="77"/>
      <c r="ET469" s="77"/>
      <c r="EU469" s="77"/>
      <c r="EV469" s="77"/>
      <c r="EW469" s="77"/>
      <c r="EX469" s="77"/>
      <c r="EY469" s="77"/>
      <c r="EZ469" s="77"/>
      <c r="FA469" s="77"/>
      <c r="FB469" s="77"/>
      <c r="FC469" s="77"/>
      <c r="FD469" s="77"/>
      <c r="FE469" s="77"/>
      <c r="FF469" s="77"/>
      <c r="FG469" s="77"/>
      <c r="FH469" s="77"/>
      <c r="FI469" s="77"/>
      <c r="FJ469" s="77"/>
      <c r="FK469" s="77"/>
      <c r="FL469" s="77"/>
      <c r="FM469" s="77"/>
      <c r="FN469" s="77"/>
      <c r="FO469" s="77"/>
      <c r="FP469" s="77"/>
      <c r="FQ469" s="77"/>
      <c r="FR469" s="77"/>
      <c r="FS469" s="77"/>
      <c r="FT469" s="77"/>
      <c r="FU469" s="77"/>
      <c r="FV469" s="77"/>
      <c r="FW469" s="77"/>
      <c r="FX469" s="77"/>
      <c r="FY469" s="77"/>
      <c r="FZ469" s="77"/>
      <c r="GA469" s="77"/>
      <c r="GB469" s="77"/>
      <c r="GC469" s="77"/>
      <c r="GD469" s="77"/>
      <c r="GE469" s="77"/>
      <c r="GF469" s="77"/>
      <c r="GG469" s="77"/>
      <c r="GH469" s="77"/>
      <c r="GI469" s="77"/>
      <c r="GJ469" s="77"/>
      <c r="GK469" s="77"/>
      <c r="GL469" s="77"/>
      <c r="GM469" s="77"/>
      <c r="GN469" s="77"/>
      <c r="GO469" s="77"/>
      <c r="GP469" s="77"/>
      <c r="GQ469" s="77"/>
      <c r="GR469" s="77"/>
      <c r="GS469" s="77"/>
      <c r="GT469" s="77"/>
      <c r="GU469" s="77"/>
      <c r="GV469" s="77"/>
      <c r="GW469" s="77"/>
      <c r="GX469" s="77"/>
      <c r="GY469" s="77"/>
      <c r="GZ469" s="77"/>
      <c r="HA469" s="77"/>
      <c r="HB469" s="77"/>
      <c r="HC469" s="77"/>
      <c r="HD469" s="77"/>
      <c r="HE469" s="77"/>
      <c r="HF469" s="77"/>
      <c r="HG469" s="77"/>
      <c r="HH469" s="77"/>
      <c r="HI469" s="77"/>
      <c r="HJ469" s="77"/>
      <c r="HK469" s="77"/>
      <c r="HL469" s="77"/>
      <c r="HM469" s="77"/>
      <c r="HN469" s="77"/>
      <c r="HO469" s="77"/>
      <c r="HP469" s="77"/>
      <c r="HQ469" s="77"/>
      <c r="HR469" s="77"/>
      <c r="HS469" s="77"/>
      <c r="HT469" s="77"/>
      <c r="HU469" s="77"/>
      <c r="HV469" s="77"/>
      <c r="HW469" s="77"/>
      <c r="HX469" s="77"/>
      <c r="HY469" s="77"/>
      <c r="HZ469" s="77"/>
      <c r="IA469" s="77"/>
      <c r="IB469" s="77"/>
      <c r="IC469" s="77"/>
      <c r="ID469" s="77"/>
      <c r="IE469" s="77"/>
      <c r="IF469" s="77"/>
      <c r="IG469" s="77"/>
      <c r="IH469" s="77"/>
      <c r="II469" s="77"/>
      <c r="IJ469" s="77"/>
      <c r="IK469" s="77"/>
      <c r="IL469" s="77"/>
      <c r="IM469" s="77"/>
      <c r="IN469" s="77"/>
      <c r="IO469" s="77"/>
      <c r="IP469" s="77"/>
      <c r="IQ469" s="77"/>
      <c r="IR469" s="77"/>
      <c r="IS469" s="77"/>
      <c r="IT469" s="77"/>
      <c r="IU469" s="77"/>
      <c r="IV469" s="77"/>
      <c r="IW469" s="77"/>
      <c r="IX469" s="77"/>
      <c r="IY469" s="77"/>
      <c r="IZ469" s="77"/>
      <c r="JA469" s="77"/>
      <c r="JB469" s="77"/>
      <c r="JC469" s="77"/>
      <c r="JD469" s="77"/>
      <c r="JE469" s="77"/>
      <c r="JF469" s="77"/>
      <c r="JG469" s="77"/>
      <c r="JH469" s="77"/>
      <c r="JI469" s="77"/>
      <c r="JJ469" s="77"/>
      <c r="JK469" s="77"/>
      <c r="JL469" s="77"/>
      <c r="JM469" s="77"/>
      <c r="JN469" s="77"/>
      <c r="JO469" s="77"/>
      <c r="JP469" s="77"/>
      <c r="JQ469" s="77"/>
      <c r="JR469" s="77"/>
      <c r="JS469" s="77"/>
      <c r="JT469" s="77"/>
      <c r="JU469" s="77"/>
      <c r="JV469" s="77"/>
      <c r="JW469" s="77"/>
      <c r="JX469" s="77"/>
      <c r="KM469" s="77"/>
      <c r="KN469" s="77"/>
      <c r="KO469" s="77"/>
      <c r="KP469" s="77"/>
      <c r="KQ469" s="77"/>
      <c r="KR469" s="77"/>
      <c r="KS469" s="77"/>
      <c r="KT469" s="77"/>
      <c r="KU469" s="77"/>
      <c r="KV469" s="77"/>
      <c r="KW469" s="77"/>
      <c r="KX469" s="77"/>
      <c r="KY469" s="77"/>
      <c r="KZ469" s="77"/>
      <c r="LA469" s="77"/>
      <c r="LB469" s="77"/>
      <c r="LC469" s="77"/>
      <c r="LD469" s="77"/>
      <c r="LE469" s="77"/>
      <c r="LF469" s="77"/>
      <c r="LG469" s="77"/>
      <c r="LH469" s="77"/>
      <c r="LI469" s="77"/>
      <c r="LJ469" s="77"/>
      <c r="LK469" s="77"/>
      <c r="MS469" s="77"/>
    </row>
    <row r="470" spans="1:368" ht="18.600000000000001" customHeight="1" x14ac:dyDescent="0.25">
      <c r="A470" s="119" t="s">
        <v>637</v>
      </c>
      <c r="B470" s="27" t="s">
        <v>2568</v>
      </c>
      <c r="C470" s="27" t="s">
        <v>2569</v>
      </c>
      <c r="D470" s="30" t="str">
        <f>HYPERLINK("https://twitter.com/Cabinet","https://twitter.com/Cabinet")</f>
        <v>https://twitter.com/Cabinet</v>
      </c>
      <c r="E470" s="30" t="str">
        <f>HYPERLINK("http://twiplomacy.com/info/north-america/United-States","http://twiplomacy.com/info/north-america/United-States")</f>
        <v>http://twiplomacy.com/info/north-america/United-States</v>
      </c>
      <c r="F470" s="10" t="s">
        <v>558</v>
      </c>
      <c r="G470" s="10" t="s">
        <v>633</v>
      </c>
      <c r="H470" s="10" t="s">
        <v>788</v>
      </c>
      <c r="I470" s="10" t="s">
        <v>782</v>
      </c>
      <c r="J470" s="27" t="s">
        <v>789</v>
      </c>
      <c r="K470" s="15" t="s">
        <v>777</v>
      </c>
      <c r="L470" s="10" t="s">
        <v>771</v>
      </c>
      <c r="M470" s="10" t="s">
        <v>770</v>
      </c>
      <c r="N470" s="30" t="str">
        <f>HYPERLINK("https://twitter.com/Cabinet/statuses/378166701130403840","https://twitter.com/Cabinet/statuses/378166701130403840")</f>
        <v>https://twitter.com/Cabinet/statuses/378166701130403840</v>
      </c>
      <c r="O470" s="30" t="str">
        <f>HYPERLINK("https://twitter.com/Cabinet/statuses/403593640519274497","https://twitter.com/Cabinet/statuses/403593640519274497")</f>
        <v>https://twitter.com/Cabinet/statuses/403593640519274497</v>
      </c>
      <c r="P470" s="46">
        <v>315</v>
      </c>
      <c r="Q470" s="46">
        <v>222</v>
      </c>
      <c r="R470" s="27" t="s">
        <v>2994</v>
      </c>
      <c r="S470" s="10" t="s">
        <v>2570</v>
      </c>
      <c r="T470" s="10" t="s">
        <v>771</v>
      </c>
      <c r="U470" s="10" t="s">
        <v>771</v>
      </c>
      <c r="V470" s="10" t="s">
        <v>771</v>
      </c>
      <c r="W470" s="10"/>
      <c r="X470" s="27" t="s">
        <v>637</v>
      </c>
      <c r="Y470" s="27" t="s">
        <v>2568</v>
      </c>
      <c r="Z470" s="80">
        <v>919</v>
      </c>
      <c r="AA470" s="27">
        <v>106</v>
      </c>
      <c r="AB470" s="80">
        <v>19697</v>
      </c>
      <c r="AC470" s="27">
        <v>26</v>
      </c>
      <c r="AD470" s="27" t="s">
        <v>3542</v>
      </c>
      <c r="AE470" s="27">
        <v>1854981890</v>
      </c>
      <c r="AF470" s="27" t="s">
        <v>2569</v>
      </c>
      <c r="AG470" s="27" t="s">
        <v>2571</v>
      </c>
      <c r="AH470" s="79">
        <v>0.95331950207468896</v>
      </c>
      <c r="AI470" s="83">
        <v>0.95824634655532404</v>
      </c>
      <c r="AJ470" s="80">
        <v>9.4131736526946099</v>
      </c>
      <c r="AK470" s="80">
        <v>6.1197604790419202</v>
      </c>
      <c r="AL470" s="27">
        <v>20</v>
      </c>
      <c r="AM470" s="97">
        <f>SUM(AL470/Z470)</f>
        <v>2.176278563656148E-2</v>
      </c>
      <c r="AN470" s="27" t="s">
        <v>637</v>
      </c>
      <c r="AO470" s="27">
        <v>0</v>
      </c>
      <c r="AP470" s="27">
        <v>7</v>
      </c>
      <c r="AQ470" s="27">
        <v>4</v>
      </c>
      <c r="AR470" s="27">
        <f>SUM(AO470:AQ470)</f>
        <v>11</v>
      </c>
      <c r="AS470" s="27"/>
      <c r="AT470" s="27" t="s">
        <v>5054</v>
      </c>
      <c r="AU470" s="84" t="s">
        <v>4671</v>
      </c>
      <c r="AV470" s="77"/>
      <c r="AW470" s="77"/>
      <c r="AX470" s="77"/>
      <c r="AY470" s="77"/>
      <c r="AZ470" s="77"/>
      <c r="BA470" s="77"/>
      <c r="BB470" s="77"/>
      <c r="BC470" s="77"/>
      <c r="BD470" s="77"/>
      <c r="BE470" s="77"/>
      <c r="BF470" s="77"/>
      <c r="BG470" s="77"/>
      <c r="BH470" s="77"/>
      <c r="BI470" s="77"/>
      <c r="BJ470" s="77"/>
      <c r="BK470" s="77"/>
      <c r="BL470" s="77"/>
      <c r="BM470" s="77"/>
      <c r="BN470" s="77"/>
      <c r="BO470" s="77"/>
      <c r="BP470" s="77"/>
      <c r="BQ470" s="77"/>
      <c r="BR470" s="77"/>
      <c r="BS470" s="77"/>
      <c r="BT470" s="77"/>
      <c r="BU470" s="77"/>
      <c r="BV470" s="77"/>
      <c r="BW470" s="77"/>
      <c r="BX470" s="77"/>
      <c r="BY470" s="77"/>
      <c r="BZ470" s="77"/>
      <c r="CA470" s="77"/>
      <c r="CB470" s="77"/>
      <c r="CX470" s="77"/>
      <c r="CY470" s="77"/>
      <c r="CZ470" s="77"/>
      <c r="DA470" s="77"/>
      <c r="DB470" s="77"/>
      <c r="DC470" s="77"/>
      <c r="DD470" s="77"/>
      <c r="DE470" s="77"/>
      <c r="DF470" s="77"/>
      <c r="DG470" s="77"/>
      <c r="DH470" s="77"/>
      <c r="DI470" s="77"/>
      <c r="DJ470" s="77"/>
      <c r="DK470" s="77"/>
      <c r="DL470" s="77"/>
      <c r="DM470" s="77"/>
      <c r="DN470" s="77"/>
      <c r="DO470" s="77"/>
      <c r="DP470" s="77"/>
      <c r="DQ470" s="77"/>
      <c r="DR470" s="77"/>
      <c r="DS470" s="77"/>
      <c r="DT470" s="77"/>
      <c r="DU470" s="77"/>
      <c r="DV470" s="77"/>
      <c r="DW470" s="77"/>
      <c r="DX470" s="77"/>
      <c r="DY470" s="77"/>
      <c r="DZ470" s="77"/>
      <c r="EA470" s="77"/>
      <c r="EB470" s="77"/>
      <c r="EC470" s="77"/>
      <c r="ED470" s="77"/>
      <c r="EE470" s="77"/>
      <c r="EF470" s="77"/>
      <c r="EG470" s="77"/>
      <c r="EH470" s="77"/>
      <c r="EI470" s="77"/>
      <c r="EJ470" s="77"/>
      <c r="EK470" s="77"/>
      <c r="EL470" s="77"/>
      <c r="EM470" s="77"/>
      <c r="EN470" s="77"/>
      <c r="EO470" s="77"/>
      <c r="EQ470" s="77"/>
      <c r="ER470" s="77"/>
      <c r="ES470" s="77"/>
      <c r="ET470" s="77"/>
      <c r="EU470" s="77"/>
      <c r="EV470" s="77"/>
      <c r="EW470" s="77"/>
      <c r="EX470" s="77"/>
      <c r="EY470" s="77"/>
      <c r="EZ470" s="77"/>
      <c r="FA470" s="77"/>
      <c r="FB470" s="77"/>
      <c r="FC470" s="77"/>
      <c r="FD470" s="77"/>
      <c r="FE470" s="77"/>
      <c r="FF470" s="77"/>
      <c r="FG470" s="77"/>
      <c r="FH470" s="77"/>
      <c r="FI470" s="77"/>
      <c r="FJ470" s="77"/>
      <c r="FK470" s="77"/>
      <c r="FL470" s="77"/>
      <c r="FM470" s="77"/>
      <c r="FN470" s="77"/>
      <c r="FO470" s="77"/>
      <c r="FP470" s="77"/>
      <c r="FQ470" s="77"/>
      <c r="FR470" s="77"/>
      <c r="FS470" s="77"/>
      <c r="FT470" s="77"/>
      <c r="FU470" s="77"/>
      <c r="FV470" s="77"/>
      <c r="FW470" s="77"/>
      <c r="FX470" s="77"/>
      <c r="FY470" s="77"/>
      <c r="FZ470" s="77"/>
      <c r="GA470" s="77"/>
      <c r="GB470" s="77"/>
      <c r="GC470" s="77"/>
      <c r="GD470" s="77"/>
      <c r="GE470" s="77"/>
      <c r="GF470" s="77"/>
      <c r="GG470" s="77"/>
      <c r="GH470" s="77"/>
      <c r="GI470" s="77"/>
      <c r="GJ470" s="77"/>
      <c r="GK470" s="77"/>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77"/>
      <c r="HM470" s="77"/>
      <c r="HN470" s="77"/>
      <c r="HO470" s="77"/>
      <c r="HP470" s="77"/>
      <c r="HQ470" s="77"/>
      <c r="HR470" s="77"/>
      <c r="HS470" s="77"/>
      <c r="HT470" s="77"/>
      <c r="HU470" s="77"/>
      <c r="HV470" s="77"/>
      <c r="HW470" s="77"/>
      <c r="HX470" s="77"/>
      <c r="HY470" s="77"/>
      <c r="HZ470" s="77"/>
      <c r="IA470" s="77"/>
      <c r="IB470" s="77"/>
      <c r="IC470" s="77"/>
      <c r="ID470" s="77"/>
      <c r="IE470" s="77"/>
      <c r="JY470" s="77"/>
      <c r="JZ470" s="77"/>
      <c r="KA470" s="77"/>
      <c r="KB470" s="77"/>
      <c r="KC470" s="77"/>
      <c r="KD470" s="77"/>
      <c r="KE470" s="77"/>
      <c r="KF470" s="77"/>
      <c r="KG470" s="77"/>
      <c r="KH470" s="77"/>
      <c r="KI470" s="77"/>
      <c r="KJ470" s="77"/>
      <c r="KK470" s="77"/>
      <c r="KL470" s="77"/>
      <c r="KM470" s="77"/>
      <c r="KN470" s="77"/>
      <c r="KO470" s="77"/>
      <c r="KP470" s="77"/>
      <c r="KQ470" s="77"/>
      <c r="KR470" s="77"/>
      <c r="KS470" s="77"/>
      <c r="KT470" s="77"/>
      <c r="KU470" s="77"/>
      <c r="KV470" s="77"/>
      <c r="KW470" s="77"/>
      <c r="KX470" s="77"/>
      <c r="KY470" s="77"/>
      <c r="KZ470" s="77"/>
      <c r="LA470" s="77"/>
      <c r="LB470" s="77"/>
      <c r="LC470" s="77"/>
      <c r="LD470" s="77"/>
      <c r="LE470" s="77"/>
      <c r="LF470" s="77"/>
      <c r="LG470" s="77"/>
      <c r="LH470" s="77"/>
      <c r="LI470" s="77"/>
      <c r="LJ470" s="77"/>
      <c r="LK470" s="77"/>
      <c r="LL470" s="77"/>
      <c r="LM470" s="77"/>
      <c r="LN470" s="77"/>
      <c r="LO470" s="77"/>
      <c r="LP470" s="77"/>
      <c r="LQ470" s="77"/>
      <c r="LR470" s="77"/>
      <c r="LS470" s="77"/>
      <c r="LT470" s="77"/>
      <c r="LU470" s="77"/>
      <c r="LV470" s="77"/>
      <c r="LW470" s="77"/>
      <c r="LX470" s="77"/>
    </row>
    <row r="471" spans="1:368" ht="18.600000000000001" customHeight="1" x14ac:dyDescent="0.25">
      <c r="A471" s="119" t="s">
        <v>1258</v>
      </c>
      <c r="B471" s="27" t="s">
        <v>1259</v>
      </c>
      <c r="C471" s="27"/>
      <c r="D471" s="30" t="str">
        <f>HYPERLINK("https://twitter.com/GOV_BN","https://twitter.com/GOV_BN")</f>
        <v>https://twitter.com/GOV_BN</v>
      </c>
      <c r="E471" s="30" t="str">
        <f>HYPERLINK("http://twiplomacy.com/info/asia/Brunei","http://twiplomacy.com/info/asia/Brunei")</f>
        <v>http://twiplomacy.com/info/asia/Brunei</v>
      </c>
      <c r="F471" s="10" t="s">
        <v>154</v>
      </c>
      <c r="G471" s="10" t="s">
        <v>1256</v>
      </c>
      <c r="H471" s="10" t="s">
        <v>788</v>
      </c>
      <c r="I471" s="10" t="s">
        <v>782</v>
      </c>
      <c r="J471" s="27" t="s">
        <v>789</v>
      </c>
      <c r="K471" s="15" t="s">
        <v>777</v>
      </c>
      <c r="L471" s="10" t="s">
        <v>771</v>
      </c>
      <c r="M471" s="10" t="s">
        <v>771</v>
      </c>
      <c r="N471" s="30" t="str">
        <f>HYPERLINK("https://twitter.com/GOV_BN/status/506732639340871681","https://twitter.com/GOV_BN/status/506732639340871681")</f>
        <v>https://twitter.com/GOV_BN/status/506732639340871681</v>
      </c>
      <c r="O471" s="27" t="s">
        <v>5826</v>
      </c>
      <c r="P471" s="80">
        <v>7</v>
      </c>
      <c r="Q471" s="80">
        <v>0</v>
      </c>
      <c r="R471" s="27" t="s">
        <v>2995</v>
      </c>
      <c r="S471" s="30" t="str">
        <f>HYPERLINK("https://twitter.com/GOV_BN/lists","https://twitter.com/GOV_BN/lists")</f>
        <v>https://twitter.com/GOV_BN/lists</v>
      </c>
      <c r="T471" s="10" t="s">
        <v>771</v>
      </c>
      <c r="U471" s="10" t="s">
        <v>771</v>
      </c>
      <c r="V471" s="10" t="s">
        <v>771</v>
      </c>
      <c r="W471" s="10"/>
      <c r="X471" s="27" t="s">
        <v>1258</v>
      </c>
      <c r="Y471" s="27" t="s">
        <v>1259</v>
      </c>
      <c r="Z471" s="80">
        <v>915</v>
      </c>
      <c r="AA471" s="27">
        <v>58</v>
      </c>
      <c r="AB471" s="80">
        <v>336</v>
      </c>
      <c r="AC471" s="27">
        <v>0</v>
      </c>
      <c r="AD471" s="27" t="s">
        <v>3747</v>
      </c>
      <c r="AE471" s="27">
        <v>2775937621</v>
      </c>
      <c r="AF471" s="27"/>
      <c r="AG471" s="27" t="s">
        <v>173</v>
      </c>
      <c r="AH471" s="79">
        <v>1.49265905383361</v>
      </c>
      <c r="AI471" s="83">
        <v>1.5074135090609599</v>
      </c>
      <c r="AJ471" s="80">
        <v>0.11111111111111099</v>
      </c>
      <c r="AK471" s="80">
        <v>6.5292096219931303E-2</v>
      </c>
      <c r="AL471" s="27">
        <v>2</v>
      </c>
      <c r="AM471" s="97">
        <f>SUM(AL471/Z471)</f>
        <v>2.185792349726776E-3</v>
      </c>
      <c r="AN471" s="27" t="s">
        <v>1258</v>
      </c>
      <c r="AO471" s="27">
        <v>0</v>
      </c>
      <c r="AP471" s="27">
        <v>0</v>
      </c>
      <c r="AQ471" s="27">
        <v>1</v>
      </c>
      <c r="AR471" s="27">
        <f>SUM(AO471:AQ471)</f>
        <v>1</v>
      </c>
      <c r="AS471" s="27"/>
      <c r="AT471" s="27"/>
      <c r="AU471" s="84" t="s">
        <v>174</v>
      </c>
      <c r="AV471" s="77"/>
      <c r="AW471" s="77"/>
      <c r="AX471" s="77"/>
      <c r="AY471" s="77"/>
      <c r="AZ471" s="77"/>
      <c r="BA471" s="77"/>
      <c r="BB471" s="77"/>
      <c r="BC471" s="77"/>
      <c r="BD471" s="77"/>
      <c r="BE471" s="77"/>
      <c r="BF471" s="77"/>
      <c r="BG471" s="77"/>
      <c r="BH471" s="77"/>
      <c r="BI471" s="77"/>
      <c r="BJ471" s="77"/>
      <c r="BK471" s="77"/>
      <c r="BL471" s="77"/>
      <c r="BM471" s="77"/>
      <c r="BN471" s="77"/>
      <c r="BO471" s="77"/>
      <c r="BP471" s="77"/>
      <c r="BQ471" s="77"/>
      <c r="BR471" s="77"/>
      <c r="BS471" s="77"/>
      <c r="BT471" s="77"/>
      <c r="BU471" s="77"/>
      <c r="BV471" s="77"/>
      <c r="BW471" s="77"/>
      <c r="BX471" s="77"/>
      <c r="BY471" s="77"/>
      <c r="BZ471" s="77"/>
      <c r="CA471" s="77"/>
      <c r="CB471" s="77"/>
      <c r="CC471" s="77"/>
      <c r="CD471" s="77"/>
      <c r="CE471" s="77"/>
      <c r="CF471" s="77"/>
      <c r="CG471" s="77"/>
      <c r="CH471" s="77"/>
      <c r="CI471" s="77"/>
      <c r="CJ471" s="77"/>
      <c r="CK471" s="77"/>
      <c r="CL471" s="77"/>
      <c r="CM471" s="77"/>
      <c r="CN471" s="77"/>
      <c r="CO471" s="77"/>
      <c r="CP471" s="77"/>
      <c r="CQ471" s="77"/>
      <c r="CR471" s="77"/>
      <c r="CS471" s="77"/>
      <c r="CT471" s="77"/>
      <c r="CU471" s="77"/>
      <c r="CV471" s="77"/>
      <c r="CW471" s="77"/>
      <c r="CX471" s="77"/>
      <c r="CY471" s="77"/>
      <c r="CZ471" s="77"/>
      <c r="DA471" s="77"/>
      <c r="DB471" s="77"/>
      <c r="DC471" s="77"/>
      <c r="DD471" s="77"/>
      <c r="DE471" s="77"/>
      <c r="DF471" s="77"/>
      <c r="DG471" s="77"/>
      <c r="DH471" s="77"/>
      <c r="DI471" s="77"/>
      <c r="DJ471" s="77"/>
      <c r="DK471" s="77"/>
      <c r="DL471" s="77"/>
      <c r="DM471" s="77"/>
      <c r="DN471" s="77"/>
      <c r="DO471" s="77"/>
      <c r="DP471" s="77"/>
      <c r="DQ471" s="77"/>
      <c r="DR471" s="77"/>
      <c r="DS471" s="77"/>
      <c r="DT471" s="77"/>
      <c r="DU471" s="77"/>
      <c r="DV471" s="77"/>
      <c r="DW471" s="77"/>
      <c r="DX471" s="77"/>
      <c r="DY471" s="77"/>
      <c r="DZ471" s="77"/>
      <c r="EA471" s="77"/>
      <c r="EB471" s="77"/>
      <c r="EC471" s="77"/>
      <c r="ED471" s="77"/>
      <c r="EE471" s="77"/>
      <c r="EF471" s="77"/>
      <c r="EG471" s="77"/>
      <c r="EH471" s="77"/>
      <c r="EI471" s="77"/>
      <c r="EJ471" s="77"/>
      <c r="EK471" s="77"/>
      <c r="EL471" s="77"/>
      <c r="EP471" s="77"/>
      <c r="EQ471" s="16"/>
      <c r="ER471" s="77"/>
      <c r="ES471" s="77"/>
      <c r="ET471" s="77"/>
      <c r="EU471" s="77"/>
      <c r="EV471" s="77"/>
      <c r="EW471" s="77"/>
      <c r="EX471" s="77"/>
      <c r="EY471" s="77"/>
      <c r="EZ471" s="77"/>
      <c r="FA471" s="77"/>
      <c r="FB471" s="77"/>
      <c r="FC471" s="77"/>
      <c r="FD471" s="77"/>
      <c r="FE471" s="77"/>
      <c r="FF471" s="77"/>
      <c r="FG471" s="77"/>
      <c r="FH471" s="77"/>
      <c r="FI471" s="77"/>
      <c r="FJ471" s="77"/>
      <c r="FK471" s="77"/>
      <c r="FL471" s="77"/>
      <c r="FM471" s="77"/>
      <c r="FN471" s="77"/>
      <c r="FO471" s="77"/>
      <c r="FP471" s="77"/>
      <c r="FQ471" s="77"/>
      <c r="FR471" s="77"/>
      <c r="FS471" s="77"/>
      <c r="FT471" s="77"/>
      <c r="FU471" s="77"/>
      <c r="FV471" s="77"/>
      <c r="FW471" s="77"/>
      <c r="FX471" s="77"/>
      <c r="FY471" s="77"/>
      <c r="FZ471" s="77"/>
      <c r="GA471" s="77"/>
      <c r="GB471" s="77"/>
      <c r="GC471" s="77"/>
      <c r="GD471" s="77"/>
      <c r="GE471" s="77"/>
      <c r="GF471" s="77"/>
      <c r="GG471" s="77"/>
      <c r="GH471" s="77"/>
      <c r="GI471" s="77"/>
      <c r="GJ471" s="77"/>
      <c r="GK471" s="77"/>
      <c r="GL471" s="77"/>
      <c r="GM471" s="77"/>
      <c r="GN471" s="77"/>
      <c r="GO471" s="77"/>
      <c r="GP471" s="77"/>
      <c r="GQ471" s="77"/>
      <c r="GR471" s="77"/>
      <c r="GS471" s="77"/>
      <c r="GT471" s="77"/>
      <c r="GU471" s="77"/>
      <c r="GV471" s="77"/>
      <c r="GW471" s="77"/>
      <c r="GX471" s="77"/>
      <c r="GY471" s="77"/>
      <c r="GZ471" s="77"/>
      <c r="HA471" s="77"/>
      <c r="HB471" s="77"/>
      <c r="HC471" s="77"/>
      <c r="HD471" s="77"/>
      <c r="HE471" s="77"/>
      <c r="HF471" s="77"/>
      <c r="HG471" s="77"/>
      <c r="HH471" s="77"/>
      <c r="HI471" s="77"/>
      <c r="HJ471" s="77"/>
      <c r="HK471" s="77"/>
      <c r="HL471" s="77"/>
      <c r="HM471" s="77"/>
      <c r="HN471" s="77"/>
      <c r="HO471" s="77"/>
      <c r="HP471" s="77"/>
      <c r="HQ471" s="77"/>
      <c r="HR471" s="77"/>
      <c r="HS471" s="77"/>
      <c r="HT471" s="77"/>
      <c r="HU471" s="77"/>
      <c r="HV471" s="77"/>
      <c r="HW471" s="77"/>
      <c r="HX471" s="77"/>
      <c r="HY471" s="77"/>
      <c r="HZ471" s="77"/>
      <c r="IA471" s="77"/>
      <c r="IB471" s="77"/>
      <c r="IC471" s="77"/>
      <c r="ID471" s="77"/>
      <c r="IE471" s="77"/>
      <c r="JY471" s="77"/>
      <c r="JZ471" s="77"/>
      <c r="KA471" s="77"/>
      <c r="KB471" s="77"/>
      <c r="KC471" s="77"/>
      <c r="KD471" s="77"/>
      <c r="KE471" s="77"/>
      <c r="KF471" s="77"/>
      <c r="KG471" s="77"/>
      <c r="KH471" s="77"/>
      <c r="KI471" s="77"/>
      <c r="KJ471" s="77"/>
      <c r="KK471" s="77"/>
      <c r="KL471" s="77"/>
      <c r="KM471" s="77"/>
      <c r="KN471" s="77"/>
      <c r="KO471" s="77"/>
      <c r="KP471" s="77"/>
      <c r="KQ471" s="77"/>
      <c r="KR471" s="77"/>
      <c r="KS471" s="77"/>
      <c r="KT471" s="77"/>
      <c r="KU471" s="77"/>
      <c r="KV471" s="77"/>
      <c r="KW471" s="77"/>
      <c r="KX471" s="77"/>
      <c r="KY471" s="77"/>
      <c r="KZ471" s="77"/>
      <c r="LA471" s="77"/>
      <c r="LB471" s="77"/>
      <c r="LC471" s="77"/>
      <c r="LD471" s="77"/>
      <c r="LE471" s="77"/>
      <c r="LF471" s="77"/>
      <c r="LG471" s="77"/>
      <c r="LH471" s="77"/>
      <c r="LI471" s="77"/>
      <c r="LJ471" s="77"/>
      <c r="LK471" s="77"/>
      <c r="LY471" s="77"/>
      <c r="LZ471" s="77"/>
      <c r="MA471" s="77"/>
      <c r="MB471" s="77"/>
      <c r="MC471" s="77"/>
      <c r="MD471" s="77"/>
      <c r="ME471" s="77"/>
      <c r="MF471" s="77"/>
      <c r="MG471" s="77"/>
      <c r="MH471" s="77"/>
      <c r="MI471" s="77"/>
      <c r="MJ471" s="77"/>
      <c r="MK471" s="77"/>
      <c r="ML471" s="77"/>
      <c r="MM471" s="77"/>
      <c r="MN471" s="77"/>
      <c r="MO471" s="77"/>
      <c r="MP471" s="77"/>
      <c r="MQ471" s="77"/>
      <c r="MR471" s="77"/>
    </row>
    <row r="472" spans="1:368" ht="18.600000000000001" customHeight="1" x14ac:dyDescent="0.25">
      <c r="A472" s="119" t="s">
        <v>552</v>
      </c>
      <c r="B472" s="27" t="s">
        <v>2350</v>
      </c>
      <c r="C472" s="27" t="s">
        <v>4246</v>
      </c>
      <c r="D472" s="30" t="str">
        <f>HYPERLINK("https://twitter.com/PHammondMP","https://twitter.com/PHammondMP")</f>
        <v>https://twitter.com/PHammondMP</v>
      </c>
      <c r="E472" s="30" t="str">
        <f>HYPERLINK("http://twiplomacy.com/info/europe/United-Kingdom","http://twiplomacy.com/info/europe/United-Kingdom")</f>
        <v>http://twiplomacy.com/info/europe/United-Kingdom</v>
      </c>
      <c r="F472" s="10" t="s">
        <v>332</v>
      </c>
      <c r="G472" s="10" t="s">
        <v>549</v>
      </c>
      <c r="H472" s="10" t="s">
        <v>860</v>
      </c>
      <c r="I472" s="10" t="s">
        <v>773</v>
      </c>
      <c r="J472" s="27" t="s">
        <v>789</v>
      </c>
      <c r="K472" s="15" t="s">
        <v>777</v>
      </c>
      <c r="L472" s="10" t="s">
        <v>771</v>
      </c>
      <c r="M472" s="10" t="s">
        <v>770</v>
      </c>
      <c r="N472" s="30" t="str">
        <f>HYPERLINK("https://twitter.com/PHammondMP/status/514022843441770496","https://twitter.com/PHammondMP/status/514022843441770496")</f>
        <v>https://twitter.com/PHammondMP/status/514022843441770496</v>
      </c>
      <c r="O472" s="27" t="s">
        <v>6009</v>
      </c>
      <c r="P472" s="80">
        <v>551</v>
      </c>
      <c r="Q472" s="80">
        <v>541</v>
      </c>
      <c r="R472" s="27" t="s">
        <v>2994</v>
      </c>
      <c r="S472" s="30" t="str">
        <f>HYPERLINK("https://twitter.com/PHammondMP/lists","https://twitter.com/PHammondMP/lists")</f>
        <v>https://twitter.com/PHammondMP/lists</v>
      </c>
      <c r="T472" s="10" t="s">
        <v>771</v>
      </c>
      <c r="U472" s="10" t="s">
        <v>771</v>
      </c>
      <c r="V472" s="10" t="s">
        <v>771</v>
      </c>
      <c r="W472" s="10"/>
      <c r="X472" s="27" t="s">
        <v>552</v>
      </c>
      <c r="Y472" s="27" t="s">
        <v>2350</v>
      </c>
      <c r="Z472" s="80">
        <v>904</v>
      </c>
      <c r="AA472" s="27">
        <v>806</v>
      </c>
      <c r="AB472" s="80">
        <v>35903</v>
      </c>
      <c r="AC472" s="27">
        <v>5</v>
      </c>
      <c r="AD472" s="27" t="s">
        <v>4247</v>
      </c>
      <c r="AE472" s="27">
        <v>2653613168</v>
      </c>
      <c r="AF472" s="27" t="s">
        <v>4246</v>
      </c>
      <c r="AG472" s="27" t="s">
        <v>890</v>
      </c>
      <c r="AH472" s="79">
        <v>1.38015267175573</v>
      </c>
      <c r="AI472" s="83">
        <v>1.5400340715502601</v>
      </c>
      <c r="AJ472" s="80">
        <v>58.284552845528502</v>
      </c>
      <c r="AK472" s="80">
        <v>38.6817653890825</v>
      </c>
      <c r="AL472" s="27">
        <v>3</v>
      </c>
      <c r="AM472" s="97">
        <f>SUM(AL472/Z472)</f>
        <v>3.3185840707964601E-3</v>
      </c>
      <c r="AN472" s="27" t="s">
        <v>552</v>
      </c>
      <c r="AO472" s="27">
        <v>174</v>
      </c>
      <c r="AP472" s="27">
        <v>48</v>
      </c>
      <c r="AQ472" s="27">
        <v>64</v>
      </c>
      <c r="AR472" s="27">
        <f>SUM(AO472:AQ472)</f>
        <v>286</v>
      </c>
      <c r="AS472" s="27" t="s">
        <v>6606</v>
      </c>
      <c r="AT472" s="27" t="s">
        <v>6328</v>
      </c>
      <c r="AU472" s="84" t="s">
        <v>6525</v>
      </c>
      <c r="AV472" s="77"/>
      <c r="AW472" s="77"/>
      <c r="AX472" s="77"/>
      <c r="AY472" s="77"/>
      <c r="AZ472" s="77"/>
      <c r="BA472" s="77"/>
      <c r="BB472" s="77"/>
      <c r="BC472" s="77"/>
      <c r="BD472" s="77"/>
      <c r="BE472" s="77"/>
      <c r="BF472" s="77"/>
      <c r="BG472" s="77"/>
      <c r="BH472" s="77"/>
      <c r="BI472" s="77"/>
      <c r="BJ472" s="77"/>
      <c r="BK472" s="77"/>
      <c r="BL472" s="77"/>
      <c r="BM472" s="77"/>
      <c r="BN472" s="77"/>
      <c r="BO472" s="77"/>
      <c r="BP472" s="77"/>
      <c r="BQ472" s="77"/>
      <c r="BR472" s="77"/>
      <c r="BS472" s="77"/>
      <c r="BT472" s="77"/>
      <c r="BU472" s="77"/>
      <c r="BV472" s="77"/>
      <c r="BW472" s="77"/>
      <c r="BX472" s="77"/>
      <c r="BY472" s="77"/>
      <c r="BZ472" s="77"/>
      <c r="CA472" s="77"/>
      <c r="CB472" s="77"/>
      <c r="CC472" s="77"/>
      <c r="CD472" s="77"/>
      <c r="CE472" s="77"/>
      <c r="CF472" s="77"/>
      <c r="CG472" s="77"/>
      <c r="CH472" s="77"/>
      <c r="CI472" s="77"/>
      <c r="CJ472" s="77"/>
      <c r="CK472" s="77"/>
      <c r="CL472" s="77"/>
      <c r="CM472" s="77"/>
      <c r="CN472" s="77"/>
      <c r="CO472" s="77"/>
      <c r="CP472" s="77"/>
      <c r="CQ472" s="77"/>
      <c r="CR472" s="77"/>
      <c r="CS472" s="77"/>
      <c r="CT472" s="77"/>
      <c r="CU472" s="77"/>
      <c r="CV472" s="77"/>
      <c r="CW472" s="77"/>
      <c r="CX472" s="77"/>
      <c r="CY472" s="77"/>
      <c r="CZ472" s="77"/>
      <c r="DA472" s="77"/>
      <c r="DB472" s="77"/>
      <c r="DC472" s="77"/>
      <c r="DD472" s="77"/>
      <c r="DE472" s="77"/>
      <c r="DF472" s="77"/>
      <c r="DG472" s="77"/>
      <c r="DH472" s="77"/>
      <c r="DI472" s="77"/>
      <c r="DJ472" s="77"/>
      <c r="DK472" s="77"/>
      <c r="DL472" s="77"/>
      <c r="DM472" s="77"/>
      <c r="DN472" s="77"/>
      <c r="DO472" s="77"/>
      <c r="DP472" s="77"/>
      <c r="DQ472" s="77"/>
      <c r="DR472" s="77"/>
      <c r="DS472" s="77"/>
      <c r="DT472" s="77"/>
      <c r="DU472" s="77"/>
      <c r="DV472" s="77"/>
      <c r="DW472" s="77"/>
      <c r="DX472" s="77"/>
      <c r="DY472" s="77"/>
      <c r="DZ472" s="77"/>
      <c r="EA472" s="77"/>
      <c r="EB472" s="77"/>
      <c r="EC472" s="77"/>
      <c r="ED472" s="77"/>
      <c r="EE472" s="77"/>
      <c r="EF472" s="77"/>
      <c r="EG472" s="77"/>
      <c r="EH472" s="77"/>
      <c r="EI472" s="77"/>
      <c r="EJ472" s="77"/>
      <c r="EK472" s="77"/>
      <c r="EL472" s="77"/>
      <c r="EM472" s="77"/>
      <c r="EN472" s="77"/>
      <c r="EO472" s="77"/>
      <c r="EP472" s="77"/>
      <c r="EQ472" s="77"/>
      <c r="ER472" s="77"/>
      <c r="ES472" s="77"/>
      <c r="ET472" s="77"/>
      <c r="EU472" s="77"/>
      <c r="EV472" s="77"/>
      <c r="EW472" s="77"/>
      <c r="EX472" s="77"/>
      <c r="EY472" s="77"/>
      <c r="EZ472" s="77"/>
      <c r="FA472" s="77"/>
      <c r="FB472" s="77"/>
      <c r="FC472" s="77"/>
      <c r="FD472" s="77"/>
      <c r="FE472" s="77"/>
      <c r="FF472" s="77"/>
      <c r="FG472" s="77"/>
      <c r="FH472" s="77"/>
      <c r="FI472" s="77"/>
      <c r="FJ472" s="77"/>
      <c r="FK472" s="77"/>
      <c r="FL472" s="77"/>
      <c r="FM472" s="77"/>
      <c r="FN472" s="77"/>
      <c r="FO472" s="77"/>
      <c r="FP472" s="77"/>
      <c r="FQ472" s="77"/>
      <c r="FR472" s="77"/>
      <c r="FS472" s="77"/>
      <c r="FT472" s="77"/>
      <c r="FU472" s="77"/>
      <c r="FV472" s="77"/>
      <c r="FW472" s="77"/>
      <c r="FX472" s="77"/>
      <c r="FY472" s="77"/>
      <c r="FZ472" s="77"/>
      <c r="GA472" s="77"/>
      <c r="GB472" s="77"/>
      <c r="GC472" s="77"/>
      <c r="GD472" s="77"/>
      <c r="GE472" s="77"/>
      <c r="GF472" s="77"/>
      <c r="GG472" s="77"/>
      <c r="GH472" s="77"/>
      <c r="GI472" s="77"/>
      <c r="GJ472" s="77"/>
      <c r="GK472" s="77"/>
      <c r="GL472" s="77"/>
      <c r="GM472" s="77"/>
      <c r="GN472" s="77"/>
      <c r="GO472" s="77"/>
      <c r="GP472" s="77"/>
      <c r="GQ472" s="77"/>
      <c r="GR472" s="77"/>
      <c r="GS472" s="77"/>
      <c r="GT472" s="77"/>
      <c r="GU472" s="77"/>
      <c r="GV472" s="77"/>
      <c r="GW472" s="77"/>
      <c r="GX472" s="77"/>
      <c r="GY472" s="77"/>
      <c r="GZ472" s="77"/>
      <c r="HA472" s="77"/>
      <c r="HB472" s="77"/>
      <c r="HC472" s="77"/>
      <c r="HD472" s="77"/>
      <c r="HE472" s="77"/>
      <c r="HF472" s="77"/>
      <c r="HG472" s="77"/>
      <c r="HH472" s="77"/>
      <c r="HI472" s="77"/>
      <c r="HJ472" s="77"/>
      <c r="HK472" s="77"/>
      <c r="HL472" s="77"/>
      <c r="HM472" s="77"/>
      <c r="HN472" s="77"/>
      <c r="HO472" s="77"/>
      <c r="HP472" s="77"/>
      <c r="HQ472" s="77"/>
      <c r="HR472" s="77"/>
      <c r="HS472" s="77"/>
      <c r="HT472" s="77"/>
      <c r="HU472" s="77"/>
      <c r="HV472" s="77"/>
      <c r="HW472" s="77"/>
      <c r="HX472" s="77"/>
      <c r="HY472" s="77"/>
      <c r="HZ472" s="77"/>
      <c r="IA472" s="77"/>
      <c r="IB472" s="77"/>
      <c r="IC472" s="77"/>
      <c r="ID472" s="77"/>
      <c r="IE472" s="77"/>
      <c r="JY472" s="77"/>
      <c r="JZ472" s="77"/>
      <c r="KA472" s="77"/>
      <c r="KB472" s="77"/>
      <c r="KC472" s="77"/>
      <c r="KD472" s="77"/>
      <c r="KE472" s="77"/>
      <c r="KF472" s="77"/>
      <c r="KG472" s="77"/>
      <c r="KH472" s="77"/>
      <c r="KI472" s="77"/>
      <c r="KJ472" s="77"/>
      <c r="KK472" s="77"/>
      <c r="KL472" s="77"/>
      <c r="KM472" s="77"/>
      <c r="KN472" s="77"/>
      <c r="KO472" s="77"/>
      <c r="KP472" s="77"/>
      <c r="KQ472" s="77"/>
      <c r="KR472" s="77"/>
      <c r="KS472" s="77"/>
      <c r="KT472" s="77"/>
      <c r="KU472" s="77"/>
      <c r="KV472" s="77"/>
      <c r="KW472" s="77"/>
      <c r="KX472" s="77"/>
      <c r="KY472" s="77"/>
      <c r="KZ472" s="77"/>
      <c r="LA472" s="77"/>
      <c r="LB472" s="77"/>
      <c r="LC472" s="77"/>
      <c r="LD472" s="77"/>
      <c r="LE472" s="77"/>
      <c r="LF472" s="77"/>
      <c r="LG472" s="77"/>
      <c r="LH472" s="77"/>
      <c r="LI472" s="77"/>
      <c r="LJ472" s="77"/>
      <c r="LK472" s="77"/>
      <c r="LL472" s="77"/>
      <c r="LM472" s="77"/>
      <c r="LN472" s="77"/>
      <c r="LO472" s="77"/>
      <c r="LP472" s="77"/>
      <c r="LQ472" s="77"/>
      <c r="LR472" s="77"/>
      <c r="LS472" s="77"/>
      <c r="LT472" s="77"/>
      <c r="LU472" s="77"/>
      <c r="LV472" s="77"/>
      <c r="LW472" s="77"/>
      <c r="LX472" s="77"/>
      <c r="LY472" s="77"/>
      <c r="LZ472" s="77"/>
      <c r="MA472" s="77"/>
      <c r="MB472" s="77"/>
      <c r="MC472" s="77"/>
      <c r="MD472" s="77"/>
      <c r="ME472" s="77"/>
      <c r="MF472" s="77"/>
      <c r="MG472" s="77"/>
      <c r="MH472" s="77"/>
      <c r="MI472" s="77"/>
      <c r="MJ472" s="77"/>
      <c r="MK472" s="77"/>
      <c r="ML472" s="77"/>
      <c r="MM472" s="77"/>
      <c r="MN472" s="77"/>
      <c r="MO472" s="77"/>
      <c r="MP472" s="77"/>
      <c r="MQ472" s="77"/>
      <c r="MR472" s="77"/>
      <c r="MS472" s="77"/>
    </row>
    <row r="473" spans="1:368" ht="18.600000000000001" customHeight="1" x14ac:dyDescent="0.25">
      <c r="A473" s="119" t="s">
        <v>442</v>
      </c>
      <c r="B473" s="27" t="s">
        <v>2014</v>
      </c>
      <c r="C473" s="27" t="s">
        <v>2015</v>
      </c>
      <c r="D473" s="30" t="str">
        <f>HYPERLINK("https://twitter.com/Vyriausybe","https://twitter.com/Vyriausybe")</f>
        <v>https://twitter.com/Vyriausybe</v>
      </c>
      <c r="E473" s="30" t="str">
        <f>HYPERLINK("http://twiplomacy.com/info/europe/Lithuania","http://twiplomacy.com/info/europe/Lithuania")</f>
        <v>http://twiplomacy.com/info/europe/Lithuania</v>
      </c>
      <c r="F473" s="10" t="s">
        <v>332</v>
      </c>
      <c r="G473" s="10" t="s">
        <v>439</v>
      </c>
      <c r="H473" s="10" t="s">
        <v>788</v>
      </c>
      <c r="I473" s="10" t="s">
        <v>782</v>
      </c>
      <c r="J473" s="27" t="s">
        <v>789</v>
      </c>
      <c r="K473" s="15" t="s">
        <v>777</v>
      </c>
      <c r="L473" s="10" t="s">
        <v>771</v>
      </c>
      <c r="M473" s="10" t="s">
        <v>771</v>
      </c>
      <c r="N473" s="30" t="str">
        <f>HYPERLINK("https://twitter.com/Vyriausybe/statuses/1858687951","https://twitter.com/Vyriausybe/statuses/1858687951")</f>
        <v>https://twitter.com/Vyriausybe/statuses/1858687951</v>
      </c>
      <c r="O473" s="27" t="s">
        <v>2016</v>
      </c>
      <c r="P473" s="80">
        <v>7</v>
      </c>
      <c r="Q473" s="80">
        <v>2</v>
      </c>
      <c r="R473" s="27" t="s">
        <v>2995</v>
      </c>
      <c r="S473" s="10" t="s">
        <v>2017</v>
      </c>
      <c r="T473" s="10" t="s">
        <v>771</v>
      </c>
      <c r="U473" s="10" t="s">
        <v>771</v>
      </c>
      <c r="V473" s="10" t="s">
        <v>771</v>
      </c>
      <c r="W473" s="10"/>
      <c r="X473" s="27" t="s">
        <v>442</v>
      </c>
      <c r="Y473" s="27" t="s">
        <v>2014</v>
      </c>
      <c r="Z473" s="80">
        <v>898</v>
      </c>
      <c r="AA473" s="27">
        <v>70</v>
      </c>
      <c r="AB473" s="80">
        <v>4660</v>
      </c>
      <c r="AC473" s="27">
        <v>0</v>
      </c>
      <c r="AD473" s="27" t="s">
        <v>4598</v>
      </c>
      <c r="AE473" s="27">
        <v>41348717</v>
      </c>
      <c r="AF473" s="27" t="s">
        <v>2015</v>
      </c>
      <c r="AG473" s="27" t="s">
        <v>2018</v>
      </c>
      <c r="AH473" s="79">
        <v>0.3536825521859</v>
      </c>
      <c r="AI473" s="83">
        <v>0.35905637744902003</v>
      </c>
      <c r="AJ473" s="80">
        <v>0.19302325581395299</v>
      </c>
      <c r="AK473" s="80">
        <v>0.116279069767442</v>
      </c>
      <c r="AL473" s="96">
        <v>10</v>
      </c>
      <c r="AM473" s="97">
        <f>SUM(AL473/Z473)</f>
        <v>1.1135857461024499E-2</v>
      </c>
      <c r="AN473" s="27" t="s">
        <v>442</v>
      </c>
      <c r="AO473" s="27">
        <v>6</v>
      </c>
      <c r="AP473" s="27">
        <v>10</v>
      </c>
      <c r="AQ473" s="27">
        <v>6</v>
      </c>
      <c r="AR473" s="27">
        <f>SUM(AO473:AQ473)</f>
        <v>22</v>
      </c>
      <c r="AS473" s="27" t="s">
        <v>5563</v>
      </c>
      <c r="AT473" s="27" t="s">
        <v>6874</v>
      </c>
      <c r="AU473" s="84" t="s">
        <v>4992</v>
      </c>
      <c r="AV473" s="77"/>
      <c r="AW473" s="77"/>
      <c r="AX473" s="77"/>
      <c r="AY473" s="77"/>
      <c r="AZ473" s="77"/>
      <c r="BA473" s="77"/>
      <c r="BB473" s="77"/>
      <c r="BC473" s="77"/>
      <c r="BD473" s="77"/>
      <c r="BE473" s="77"/>
      <c r="BF473" s="77"/>
      <c r="BG473" s="77"/>
      <c r="BH473" s="77"/>
      <c r="BI473" s="77"/>
      <c r="BJ473" s="77"/>
      <c r="BK473" s="77"/>
      <c r="BL473" s="77"/>
      <c r="BM473" s="77"/>
      <c r="BN473" s="77"/>
      <c r="BO473" s="77"/>
      <c r="BP473" s="77"/>
      <c r="BQ473" s="77"/>
      <c r="BR473" s="77"/>
      <c r="BS473" s="77"/>
      <c r="BT473" s="77"/>
      <c r="BU473" s="77"/>
      <c r="BV473" s="77"/>
      <c r="BW473" s="77"/>
      <c r="BX473" s="77"/>
      <c r="BY473" s="77"/>
      <c r="BZ473" s="77"/>
      <c r="CA473" s="77"/>
      <c r="CB473" s="77"/>
      <c r="CC473" s="77"/>
      <c r="CD473" s="77"/>
      <c r="CE473" s="77"/>
      <c r="CF473" s="77"/>
      <c r="CG473" s="77"/>
      <c r="CH473" s="77"/>
      <c r="CI473" s="77"/>
      <c r="CJ473" s="77"/>
      <c r="CK473" s="77"/>
      <c r="CL473" s="77"/>
      <c r="CM473" s="77"/>
      <c r="CN473" s="77"/>
      <c r="CO473" s="77"/>
      <c r="CP473" s="77"/>
      <c r="CQ473" s="77"/>
      <c r="CR473" s="77"/>
      <c r="CS473" s="77"/>
      <c r="CT473" s="77"/>
      <c r="CU473" s="77"/>
      <c r="CV473" s="77"/>
      <c r="CW473" s="77"/>
      <c r="CX473" s="77"/>
      <c r="CY473" s="77"/>
      <c r="CZ473" s="77"/>
      <c r="DA473" s="77"/>
      <c r="DB473" s="77"/>
      <c r="DC473" s="77"/>
      <c r="DD473" s="77"/>
      <c r="DE473" s="77"/>
      <c r="DF473" s="77"/>
      <c r="DG473" s="77"/>
      <c r="DH473" s="77"/>
      <c r="DI473" s="77"/>
      <c r="DJ473" s="77"/>
      <c r="DK473" s="77"/>
      <c r="DL473" s="77"/>
      <c r="DM473" s="77"/>
      <c r="DN473" s="77"/>
      <c r="DO473" s="77"/>
      <c r="DP473" s="77"/>
      <c r="DQ473" s="77"/>
      <c r="DR473" s="77"/>
      <c r="DS473" s="77"/>
      <c r="DT473" s="77"/>
      <c r="DU473" s="77"/>
      <c r="DV473" s="77"/>
      <c r="DW473" s="77"/>
      <c r="DX473" s="77"/>
      <c r="DY473" s="77"/>
      <c r="DZ473" s="77"/>
      <c r="EA473" s="77"/>
      <c r="EB473" s="77"/>
      <c r="EC473" s="77"/>
      <c r="ED473" s="77"/>
      <c r="EE473" s="77"/>
      <c r="EF473" s="77"/>
      <c r="EG473" s="77"/>
      <c r="EH473" s="77"/>
      <c r="EI473" s="77"/>
      <c r="EJ473" s="77"/>
      <c r="EK473" s="77"/>
      <c r="EL473" s="77"/>
      <c r="EM473" s="77"/>
      <c r="EN473" s="77"/>
      <c r="EO473" s="77"/>
      <c r="EP473" s="77"/>
      <c r="EQ473" s="77"/>
      <c r="ER473" s="16"/>
      <c r="ES473" s="16"/>
      <c r="ET473" s="16"/>
      <c r="EU473" s="16"/>
      <c r="EV473" s="16"/>
      <c r="EW473" s="16"/>
      <c r="EX473" s="16"/>
      <c r="EY473" s="16"/>
      <c r="EZ473" s="16"/>
      <c r="FA473" s="16"/>
      <c r="FB473" s="16"/>
      <c r="FC473" s="16"/>
      <c r="FD473" s="16"/>
      <c r="FE473" s="16"/>
      <c r="FF473" s="16"/>
      <c r="FG473" s="16"/>
      <c r="FH473" s="16"/>
      <c r="FI473" s="16"/>
      <c r="FJ473" s="16"/>
      <c r="FK473" s="16"/>
      <c r="FL473" s="16"/>
      <c r="FM473" s="16"/>
      <c r="FN473" s="16"/>
      <c r="FO473" s="16"/>
      <c r="FP473" s="16"/>
      <c r="FQ473" s="16"/>
      <c r="FR473" s="16"/>
      <c r="FS473" s="16"/>
      <c r="FT473" s="16"/>
      <c r="FU473" s="16"/>
      <c r="FV473" s="16"/>
      <c r="FW473" s="16"/>
      <c r="FX473" s="16"/>
      <c r="FY473" s="16"/>
      <c r="FZ473" s="16"/>
      <c r="GA473" s="16"/>
      <c r="GB473" s="16"/>
      <c r="GC473" s="16"/>
      <c r="GD473" s="16"/>
      <c r="GE473" s="16"/>
      <c r="GF473" s="16"/>
      <c r="GG473" s="16"/>
      <c r="GH473" s="16"/>
      <c r="GI473" s="16"/>
      <c r="GJ473" s="16"/>
      <c r="GK473" s="16"/>
      <c r="GL473" s="77"/>
      <c r="GM473" s="77"/>
      <c r="GN473" s="77"/>
      <c r="GO473" s="77"/>
      <c r="GP473" s="77"/>
      <c r="GQ473" s="77"/>
      <c r="GR473" s="77"/>
      <c r="GS473" s="77"/>
      <c r="GT473" s="77"/>
      <c r="GU473" s="77"/>
      <c r="GV473" s="77"/>
      <c r="GW473" s="77"/>
      <c r="GX473" s="77"/>
      <c r="GY473" s="77"/>
      <c r="GZ473" s="77"/>
      <c r="HA473" s="77"/>
      <c r="HB473" s="77"/>
      <c r="HC473" s="77"/>
      <c r="HD473" s="77"/>
      <c r="HE473" s="77"/>
      <c r="HF473" s="77"/>
      <c r="HG473" s="77"/>
      <c r="HH473" s="77"/>
      <c r="HI473" s="77"/>
      <c r="HJ473" s="77"/>
      <c r="HK473" s="77"/>
      <c r="HL473" s="77"/>
      <c r="HM473" s="77"/>
      <c r="HN473" s="77"/>
      <c r="HO473" s="77"/>
      <c r="HP473" s="77"/>
      <c r="HQ473" s="77"/>
      <c r="HR473" s="77"/>
      <c r="HS473" s="77"/>
      <c r="HT473" s="77"/>
      <c r="HU473" s="77"/>
      <c r="HV473" s="77"/>
      <c r="HW473" s="77"/>
      <c r="HX473" s="77"/>
      <c r="HY473" s="77"/>
      <c r="HZ473" s="77"/>
      <c r="IA473" s="77"/>
      <c r="IB473" s="77"/>
      <c r="IC473" s="77"/>
      <c r="ID473" s="77"/>
      <c r="IE473" s="77"/>
      <c r="IF473" s="77"/>
      <c r="IG473" s="77"/>
      <c r="IH473" s="77"/>
      <c r="II473" s="77"/>
      <c r="IJ473" s="77"/>
      <c r="IK473" s="77"/>
      <c r="IL473" s="77"/>
      <c r="IM473" s="77"/>
      <c r="IN473" s="77"/>
      <c r="IO473" s="77"/>
      <c r="IP473" s="77"/>
      <c r="IQ473" s="77"/>
      <c r="IR473" s="77"/>
      <c r="IS473" s="77"/>
      <c r="IT473" s="77"/>
      <c r="IU473" s="77"/>
      <c r="IV473" s="77"/>
      <c r="IW473" s="77"/>
      <c r="IX473" s="77"/>
      <c r="IY473" s="77"/>
      <c r="IZ473" s="77"/>
      <c r="JA473" s="77"/>
      <c r="JB473" s="77"/>
      <c r="JC473" s="77"/>
      <c r="JD473" s="77"/>
      <c r="JE473" s="77"/>
      <c r="JF473" s="77"/>
      <c r="JG473" s="77"/>
      <c r="JH473" s="77"/>
      <c r="JI473" s="77"/>
      <c r="JJ473" s="77"/>
      <c r="JK473" s="77"/>
      <c r="JL473" s="77"/>
      <c r="JM473" s="77"/>
      <c r="JN473" s="77"/>
      <c r="JO473" s="77"/>
      <c r="JP473" s="77"/>
      <c r="JQ473" s="77"/>
      <c r="JR473" s="77"/>
      <c r="JS473" s="77"/>
      <c r="JT473" s="77"/>
      <c r="JU473" s="77"/>
      <c r="JV473" s="77"/>
      <c r="JW473" s="77"/>
      <c r="JX473" s="77"/>
      <c r="JY473" s="77"/>
      <c r="JZ473" s="77"/>
      <c r="KA473" s="77"/>
      <c r="KB473" s="77"/>
      <c r="KC473" s="77"/>
      <c r="KD473" s="77"/>
      <c r="KE473" s="77"/>
      <c r="KF473" s="77"/>
      <c r="KG473" s="77"/>
      <c r="KH473" s="77"/>
      <c r="KI473" s="77"/>
      <c r="KJ473" s="77"/>
      <c r="KK473" s="77"/>
      <c r="KL473" s="77"/>
      <c r="LL473" s="77"/>
      <c r="LM473" s="77"/>
      <c r="LN473" s="77"/>
      <c r="LO473" s="77"/>
      <c r="LP473" s="77"/>
      <c r="LQ473" s="77"/>
      <c r="LR473" s="77"/>
      <c r="LS473" s="77"/>
      <c r="LT473" s="77"/>
      <c r="LU473" s="77"/>
      <c r="LV473" s="77"/>
      <c r="LW473" s="77"/>
      <c r="LX473" s="77"/>
      <c r="LY473" s="77"/>
      <c r="LZ473" s="77"/>
      <c r="MA473" s="77"/>
      <c r="MB473" s="77"/>
      <c r="MC473" s="77"/>
      <c r="MD473" s="77"/>
      <c r="ME473" s="77"/>
      <c r="MF473" s="77"/>
      <c r="MG473" s="77"/>
      <c r="MH473" s="77"/>
      <c r="MI473" s="77"/>
      <c r="MJ473" s="77"/>
      <c r="MK473" s="77"/>
      <c r="ML473" s="77"/>
      <c r="MM473" s="77"/>
      <c r="MN473" s="77"/>
      <c r="MO473" s="77"/>
      <c r="MP473" s="77"/>
      <c r="MQ473" s="77"/>
      <c r="MR473" s="77"/>
      <c r="MS473" s="77"/>
    </row>
    <row r="474" spans="1:368" ht="18.600000000000001" customHeight="1" x14ac:dyDescent="0.25">
      <c r="A474" s="119" t="s">
        <v>204</v>
      </c>
      <c r="B474" s="27" t="s">
        <v>3840</v>
      </c>
      <c r="C474" s="27" t="s">
        <v>3841</v>
      </c>
      <c r="D474" s="34" t="s">
        <v>1340</v>
      </c>
      <c r="E474" s="34" t="s">
        <v>1339</v>
      </c>
      <c r="F474" s="38" t="s">
        <v>154</v>
      </c>
      <c r="G474" s="38" t="s">
        <v>201</v>
      </c>
      <c r="H474" s="38" t="s">
        <v>788</v>
      </c>
      <c r="I474" s="38" t="s">
        <v>782</v>
      </c>
      <c r="J474" s="27" t="s">
        <v>789</v>
      </c>
      <c r="K474" s="15" t="s">
        <v>777</v>
      </c>
      <c r="L474" s="10" t="s">
        <v>771</v>
      </c>
      <c r="M474" s="10" t="s">
        <v>770</v>
      </c>
      <c r="N474" s="34" t="s">
        <v>1341</v>
      </c>
      <c r="O474" s="27" t="s">
        <v>3176</v>
      </c>
      <c r="P474" s="80">
        <v>352</v>
      </c>
      <c r="Q474" s="80">
        <v>126</v>
      </c>
      <c r="R474" s="27" t="s">
        <v>2994</v>
      </c>
      <c r="S474" s="34" t="s">
        <v>1342</v>
      </c>
      <c r="T474" s="10" t="s">
        <v>771</v>
      </c>
      <c r="U474" s="10" t="s">
        <v>771</v>
      </c>
      <c r="V474" s="10" t="s">
        <v>771</v>
      </c>
      <c r="W474" s="38"/>
      <c r="X474" s="27" t="s">
        <v>204</v>
      </c>
      <c r="Y474" s="27" t="s">
        <v>3840</v>
      </c>
      <c r="Z474" s="80">
        <v>890</v>
      </c>
      <c r="AA474" s="27">
        <v>2</v>
      </c>
      <c r="AB474" s="80">
        <v>1893</v>
      </c>
      <c r="AC474" s="27">
        <v>8</v>
      </c>
      <c r="AD474" s="27" t="s">
        <v>3842</v>
      </c>
      <c r="AE474" s="27">
        <v>2977168754</v>
      </c>
      <c r="AF474" s="27" t="s">
        <v>3841</v>
      </c>
      <c r="AG474" s="27" t="s">
        <v>201</v>
      </c>
      <c r="AH474" s="79">
        <v>1.8697478991596601</v>
      </c>
      <c r="AI474" s="83">
        <v>3.7872340425531901</v>
      </c>
      <c r="AJ474" s="80">
        <v>2.3744019138755998</v>
      </c>
      <c r="AK474" s="80">
        <v>2.5299043062201001</v>
      </c>
      <c r="AL474" s="27">
        <v>25</v>
      </c>
      <c r="AM474" s="97">
        <f>SUM(AL474/Z474)</f>
        <v>2.8089887640449437E-2</v>
      </c>
      <c r="AN474" s="27" t="s">
        <v>204</v>
      </c>
      <c r="AO474" s="27">
        <v>1</v>
      </c>
      <c r="AP474" s="27">
        <v>1</v>
      </c>
      <c r="AQ474" s="27">
        <v>0</v>
      </c>
      <c r="AR474" s="27">
        <f>SUM(AO474:AQ474)</f>
        <v>2</v>
      </c>
      <c r="AS474" s="27" t="s">
        <v>203</v>
      </c>
      <c r="AT474" s="27" t="s">
        <v>705</v>
      </c>
      <c r="AU474" s="84"/>
      <c r="AV474" s="77"/>
      <c r="AW474" s="77"/>
      <c r="AX474" s="77"/>
      <c r="AY474" s="77"/>
      <c r="AZ474" s="77"/>
      <c r="BA474" s="77"/>
      <c r="BB474" s="77"/>
      <c r="BC474" s="77"/>
      <c r="BD474" s="77"/>
      <c r="BE474" s="77"/>
      <c r="BF474" s="77"/>
      <c r="BG474" s="77"/>
      <c r="BH474" s="77"/>
      <c r="BI474" s="77"/>
      <c r="BJ474" s="77"/>
      <c r="BK474" s="77"/>
      <c r="BL474" s="77"/>
      <c r="BM474" s="77"/>
      <c r="BN474" s="77"/>
      <c r="BO474" s="77"/>
      <c r="BP474" s="77"/>
      <c r="BQ474" s="77"/>
      <c r="BR474" s="77"/>
      <c r="BS474" s="77"/>
      <c r="BT474" s="77"/>
      <c r="BU474" s="77"/>
      <c r="BV474" s="77"/>
      <c r="BW474" s="77"/>
      <c r="BX474" s="77"/>
      <c r="BY474" s="77"/>
      <c r="BZ474" s="77"/>
      <c r="CA474" s="77"/>
      <c r="CB474" s="77"/>
      <c r="CC474" s="77"/>
      <c r="CD474" s="77"/>
      <c r="CE474" s="77"/>
      <c r="CF474" s="77"/>
      <c r="CG474" s="77"/>
      <c r="CH474" s="77"/>
      <c r="CI474" s="77"/>
      <c r="CJ474" s="77"/>
      <c r="CK474" s="77"/>
      <c r="CL474" s="77"/>
      <c r="CM474" s="77"/>
      <c r="CN474" s="77"/>
      <c r="CO474" s="77"/>
      <c r="CP474" s="77"/>
      <c r="CQ474" s="77"/>
      <c r="CR474" s="77"/>
      <c r="CS474" s="77"/>
      <c r="CT474" s="77"/>
      <c r="CU474" s="77"/>
      <c r="CV474" s="77"/>
      <c r="CW474" s="77"/>
      <c r="CX474" s="77"/>
      <c r="CY474" s="77"/>
      <c r="CZ474" s="77"/>
      <c r="DA474" s="77"/>
      <c r="DB474" s="77"/>
      <c r="DC474" s="77"/>
      <c r="DD474" s="77"/>
      <c r="DE474" s="77"/>
      <c r="DF474" s="77"/>
      <c r="DG474" s="77"/>
      <c r="DH474" s="77"/>
      <c r="DI474" s="77"/>
      <c r="DJ474" s="77"/>
      <c r="DK474" s="77"/>
      <c r="DL474" s="77"/>
      <c r="DM474" s="77"/>
      <c r="DN474" s="77"/>
      <c r="DO474" s="77"/>
      <c r="DP474" s="77"/>
      <c r="DQ474" s="77"/>
      <c r="DR474" s="77"/>
      <c r="DS474" s="77"/>
      <c r="DT474" s="77"/>
      <c r="DU474" s="77"/>
      <c r="DV474" s="77"/>
      <c r="DW474" s="77"/>
      <c r="DX474" s="77"/>
      <c r="DY474" s="77"/>
      <c r="DZ474" s="77"/>
      <c r="EA474" s="77"/>
      <c r="EB474" s="77"/>
      <c r="EC474" s="77"/>
      <c r="ED474" s="77"/>
      <c r="EE474" s="77"/>
      <c r="EF474" s="77"/>
      <c r="EG474" s="77"/>
      <c r="EH474" s="77"/>
      <c r="EI474" s="77"/>
      <c r="EJ474" s="77"/>
      <c r="EK474" s="77"/>
      <c r="EL474" s="77"/>
      <c r="EM474" s="77"/>
      <c r="EN474" s="77"/>
      <c r="EO474" s="77"/>
      <c r="EP474" s="77"/>
      <c r="EQ474" s="77"/>
      <c r="HL474" s="77"/>
      <c r="HM474" s="77"/>
      <c r="HN474" s="77"/>
      <c r="HO474" s="77"/>
      <c r="HP474" s="77"/>
      <c r="HQ474" s="77"/>
      <c r="HR474" s="77"/>
      <c r="HS474" s="77"/>
      <c r="HT474" s="77"/>
      <c r="HU474" s="77"/>
      <c r="HV474" s="77"/>
      <c r="HW474" s="77"/>
      <c r="HX474" s="77"/>
      <c r="HY474" s="77"/>
      <c r="HZ474" s="77"/>
      <c r="IA474" s="77"/>
      <c r="IB474" s="77"/>
      <c r="IC474" s="77"/>
      <c r="ID474" s="77"/>
      <c r="IE474" s="77"/>
      <c r="IF474" s="77"/>
      <c r="IG474" s="77"/>
      <c r="IH474" s="77"/>
      <c r="II474" s="77"/>
      <c r="IJ474" s="77"/>
      <c r="IK474" s="77"/>
      <c r="IL474" s="77"/>
      <c r="IM474" s="77"/>
      <c r="IN474" s="77"/>
      <c r="IO474" s="77"/>
      <c r="IP474" s="77"/>
      <c r="IQ474" s="77"/>
      <c r="IR474" s="77"/>
      <c r="IS474" s="77"/>
      <c r="IT474" s="77"/>
      <c r="IU474" s="77"/>
      <c r="IV474" s="77"/>
      <c r="IW474" s="77"/>
      <c r="IX474" s="77"/>
      <c r="IY474" s="77"/>
      <c r="IZ474" s="77"/>
      <c r="JA474" s="77"/>
      <c r="JB474" s="77"/>
      <c r="JC474" s="77"/>
      <c r="JD474" s="77"/>
      <c r="JE474" s="77"/>
      <c r="JF474" s="77"/>
      <c r="JG474" s="77"/>
      <c r="JH474" s="77"/>
      <c r="JI474" s="77"/>
      <c r="JJ474" s="77"/>
      <c r="JK474" s="77"/>
      <c r="JL474" s="77"/>
      <c r="JM474" s="77"/>
      <c r="JN474" s="77"/>
      <c r="JO474" s="77"/>
      <c r="JP474" s="77"/>
      <c r="JQ474" s="77"/>
      <c r="JR474" s="77"/>
      <c r="JS474" s="77"/>
      <c r="JT474" s="77"/>
      <c r="JU474" s="77"/>
      <c r="JV474" s="77"/>
      <c r="JW474" s="77"/>
      <c r="JX474" s="77"/>
      <c r="JY474" s="77"/>
      <c r="JZ474" s="77"/>
      <c r="KA474" s="77"/>
      <c r="KB474" s="77"/>
      <c r="KC474" s="77"/>
      <c r="KD474" s="77"/>
      <c r="KE474" s="77"/>
      <c r="KF474" s="77"/>
      <c r="KG474" s="77"/>
      <c r="KH474" s="77"/>
      <c r="KI474" s="77"/>
      <c r="KJ474" s="77"/>
      <c r="KK474" s="77"/>
      <c r="KL474" s="77"/>
      <c r="KM474" s="16"/>
      <c r="KN474" s="16"/>
      <c r="KO474" s="16"/>
      <c r="KP474" s="16"/>
      <c r="KQ474" s="16"/>
      <c r="KR474" s="16"/>
      <c r="KS474" s="16"/>
      <c r="KT474" s="16"/>
      <c r="KU474" s="16"/>
      <c r="KV474" s="16"/>
      <c r="KW474" s="16"/>
      <c r="KX474" s="16"/>
      <c r="KY474" s="16"/>
      <c r="KZ474" s="16"/>
      <c r="LA474" s="16"/>
      <c r="LB474" s="16"/>
      <c r="LC474" s="16"/>
      <c r="LD474" s="16"/>
      <c r="LE474" s="16"/>
      <c r="LF474" s="16"/>
      <c r="LG474" s="16"/>
      <c r="LH474" s="16"/>
      <c r="LI474" s="16"/>
      <c r="LJ474" s="16"/>
      <c r="LK474" s="16"/>
      <c r="MS474" s="77"/>
      <c r="ND474" s="77"/>
    </row>
    <row r="475" spans="1:368" ht="18.600000000000001" customHeight="1" x14ac:dyDescent="0.25">
      <c r="A475" s="119" t="s">
        <v>132</v>
      </c>
      <c r="B475" s="27" t="s">
        <v>1119</v>
      </c>
      <c r="C475" s="27" t="s">
        <v>4406</v>
      </c>
      <c r="D475" s="30" t="str">
        <f>HYPERLINK("https://twitter.com/rdussey","https://twitter.com/rdussey")</f>
        <v>https://twitter.com/rdussey</v>
      </c>
      <c r="E475" s="30" t="str">
        <f>HYPERLINK("http://twiplomacy.com/info/africa/Togo","http://twiplomacy.com/info/africa/Togo")</f>
        <v>http://twiplomacy.com/info/africa/Togo</v>
      </c>
      <c r="F475" s="20" t="s">
        <v>1</v>
      </c>
      <c r="G475" s="10" t="s">
        <v>129</v>
      </c>
      <c r="H475" s="10" t="s">
        <v>860</v>
      </c>
      <c r="I475" s="10" t="s">
        <v>773</v>
      </c>
      <c r="J475" s="27" t="s">
        <v>779</v>
      </c>
      <c r="K475" s="10" t="s">
        <v>777</v>
      </c>
      <c r="L475" s="10" t="s">
        <v>771</v>
      </c>
      <c r="M475" s="10" t="s">
        <v>771</v>
      </c>
      <c r="N475" s="30" t="str">
        <f>HYPERLINK("https://twitter.com/rdussey/status/302876610477047808","https://twitter.com/rdussey/status/302876610477047808")</f>
        <v>https://twitter.com/rdussey/status/302876610477047808</v>
      </c>
      <c r="O475" s="27" t="s">
        <v>6065</v>
      </c>
      <c r="P475" s="80">
        <v>15</v>
      </c>
      <c r="Q475" s="80">
        <v>4</v>
      </c>
      <c r="R475" s="27" t="s">
        <v>2995</v>
      </c>
      <c r="S475" s="30" t="str">
        <f>HYPERLINK("https://twitter.com/rdussey/lists","https://twitter.com/rdussey/lists")</f>
        <v>https://twitter.com/rdussey/lists</v>
      </c>
      <c r="T475" s="10" t="s">
        <v>771</v>
      </c>
      <c r="U475" s="10" t="s">
        <v>771</v>
      </c>
      <c r="V475" s="10" t="s">
        <v>771</v>
      </c>
      <c r="W475" s="10"/>
      <c r="X475" s="27" t="s">
        <v>132</v>
      </c>
      <c r="Y475" s="27" t="s">
        <v>1119</v>
      </c>
      <c r="Z475" s="80">
        <v>848</v>
      </c>
      <c r="AA475" s="27">
        <v>103</v>
      </c>
      <c r="AB475" s="80">
        <v>849</v>
      </c>
      <c r="AC475" s="27">
        <v>9</v>
      </c>
      <c r="AD475" s="27" t="s">
        <v>4407</v>
      </c>
      <c r="AE475" s="27">
        <v>1186901184</v>
      </c>
      <c r="AF475" s="27" t="s">
        <v>4406</v>
      </c>
      <c r="AG475" s="27" t="s">
        <v>129</v>
      </c>
      <c r="AH475" s="79">
        <v>0.72416737830913702</v>
      </c>
      <c r="AI475" s="83">
        <v>0.72393162393162402</v>
      </c>
      <c r="AJ475" s="80">
        <v>0.66362252663622501</v>
      </c>
      <c r="AK475" s="80">
        <v>0.36529680365296802</v>
      </c>
      <c r="AL475" s="27">
        <v>29</v>
      </c>
      <c r="AM475" s="97">
        <f>SUM(AL475/Z475)</f>
        <v>3.4198113207547169E-2</v>
      </c>
      <c r="AN475" s="27" t="s">
        <v>132</v>
      </c>
      <c r="AO475" s="27">
        <v>6</v>
      </c>
      <c r="AP475" s="27">
        <v>4</v>
      </c>
      <c r="AQ475" s="27">
        <v>3</v>
      </c>
      <c r="AR475" s="27">
        <f>SUM(AO475:AQ475)</f>
        <v>13</v>
      </c>
      <c r="AS475" s="27" t="s">
        <v>6253</v>
      </c>
      <c r="AT475" s="27" t="s">
        <v>5461</v>
      </c>
      <c r="AU475" s="84" t="s">
        <v>4934</v>
      </c>
      <c r="AV475" s="77"/>
      <c r="AW475" s="77"/>
      <c r="AX475" s="77"/>
      <c r="AY475" s="77"/>
      <c r="AZ475" s="77"/>
      <c r="BA475" s="77"/>
      <c r="BB475" s="77"/>
      <c r="BC475" s="77"/>
      <c r="BD475" s="77"/>
      <c r="BE475" s="77"/>
      <c r="BF475" s="77"/>
      <c r="BG475" s="77"/>
      <c r="BH475" s="77"/>
      <c r="BI475" s="77"/>
      <c r="BJ475" s="77"/>
      <c r="BK475" s="77"/>
      <c r="BL475" s="77"/>
      <c r="BM475" s="77"/>
      <c r="BN475" s="77"/>
      <c r="BO475" s="77"/>
      <c r="BP475" s="77"/>
      <c r="BQ475" s="77"/>
      <c r="BR475" s="77"/>
      <c r="BS475" s="77"/>
      <c r="BT475" s="77"/>
      <c r="BU475" s="77"/>
      <c r="BV475" s="77"/>
      <c r="BW475" s="77"/>
      <c r="BX475" s="77"/>
      <c r="BY475" s="77"/>
      <c r="BZ475" s="77"/>
      <c r="CA475" s="77"/>
      <c r="CB475" s="77"/>
      <c r="CC475" s="77"/>
      <c r="CD475" s="77"/>
      <c r="CE475" s="77"/>
      <c r="CF475" s="77"/>
      <c r="CG475" s="77"/>
      <c r="CH475" s="77"/>
      <c r="CI475" s="77"/>
      <c r="CJ475" s="77"/>
      <c r="CK475" s="77"/>
      <c r="CL475" s="77"/>
      <c r="CM475" s="77"/>
      <c r="CN475" s="77"/>
      <c r="CO475" s="77"/>
      <c r="CP475" s="77"/>
      <c r="CQ475" s="77"/>
      <c r="CR475" s="77"/>
      <c r="CS475" s="77"/>
      <c r="CT475" s="77"/>
      <c r="CU475" s="77"/>
      <c r="CV475" s="77"/>
      <c r="CW475" s="77"/>
      <c r="EM475" s="77"/>
      <c r="EN475" s="77"/>
      <c r="EO475" s="77"/>
      <c r="EQ475" s="77"/>
      <c r="ER475" s="77"/>
      <c r="ES475" s="77"/>
      <c r="ET475" s="77"/>
      <c r="EU475" s="77"/>
      <c r="EV475" s="77"/>
      <c r="EW475" s="77"/>
      <c r="EX475" s="77"/>
      <c r="EY475" s="77"/>
      <c r="EZ475" s="77"/>
      <c r="FA475" s="77"/>
      <c r="FB475" s="77"/>
      <c r="FC475" s="77"/>
      <c r="FD475" s="77"/>
      <c r="FE475" s="77"/>
      <c r="FF475" s="77"/>
      <c r="FG475" s="77"/>
      <c r="FH475" s="77"/>
      <c r="FI475" s="77"/>
      <c r="FJ475" s="77"/>
      <c r="FK475" s="77"/>
      <c r="FL475" s="77"/>
      <c r="FM475" s="77"/>
      <c r="FN475" s="77"/>
      <c r="FO475" s="77"/>
      <c r="FP475" s="77"/>
      <c r="FQ475" s="77"/>
      <c r="FR475" s="77"/>
      <c r="FS475" s="77"/>
      <c r="FT475" s="77"/>
      <c r="FU475" s="77"/>
      <c r="FV475" s="77"/>
      <c r="FW475" s="77"/>
      <c r="FX475" s="77"/>
      <c r="FY475" s="77"/>
      <c r="FZ475" s="77"/>
      <c r="GA475" s="77"/>
      <c r="GB475" s="77"/>
      <c r="GC475" s="77"/>
      <c r="GD475" s="77"/>
      <c r="GE475" s="77"/>
      <c r="GF475" s="77"/>
      <c r="GG475" s="77"/>
      <c r="GH475" s="77"/>
      <c r="GI475" s="77"/>
      <c r="GJ475" s="77"/>
      <c r="GK475" s="77"/>
      <c r="HL475" s="77"/>
      <c r="HM475" s="77"/>
      <c r="HN475" s="77"/>
      <c r="HO475" s="77"/>
      <c r="HP475" s="77"/>
      <c r="HQ475" s="77"/>
      <c r="HR475" s="77"/>
      <c r="HS475" s="77"/>
      <c r="HT475" s="77"/>
      <c r="HU475" s="77"/>
      <c r="HV475" s="77"/>
      <c r="HW475" s="77"/>
      <c r="HX475" s="77"/>
      <c r="HY475" s="77"/>
      <c r="HZ475" s="77"/>
      <c r="IA475" s="77"/>
      <c r="IB475" s="77"/>
      <c r="IC475" s="77"/>
      <c r="IF475" s="77"/>
      <c r="IG475" s="77"/>
      <c r="IH475" s="77"/>
      <c r="II475" s="77"/>
      <c r="IJ475" s="77"/>
      <c r="IK475" s="77"/>
      <c r="IL475" s="77"/>
      <c r="IM475" s="77"/>
      <c r="IN475" s="77"/>
      <c r="IO475" s="77"/>
      <c r="IP475" s="77"/>
      <c r="IQ475" s="77"/>
      <c r="IR475" s="77"/>
      <c r="IS475" s="77"/>
      <c r="IT475" s="77"/>
      <c r="IU475" s="77"/>
      <c r="IV475" s="77"/>
      <c r="IW475" s="77"/>
      <c r="IX475" s="77"/>
      <c r="IY475" s="77"/>
      <c r="IZ475" s="77"/>
      <c r="JA475" s="77"/>
      <c r="JB475" s="77"/>
      <c r="JC475" s="77"/>
      <c r="JD475" s="77"/>
      <c r="JE475" s="77"/>
      <c r="JF475" s="77"/>
      <c r="JG475" s="77"/>
      <c r="JH475" s="77"/>
      <c r="JI475" s="77"/>
      <c r="JJ475" s="77"/>
      <c r="JK475" s="77"/>
      <c r="JL475" s="77"/>
      <c r="JM475" s="77"/>
      <c r="JN475" s="77"/>
      <c r="JO475" s="77"/>
      <c r="JP475" s="77"/>
      <c r="JQ475" s="77"/>
      <c r="JR475" s="77"/>
      <c r="JS475" s="77"/>
      <c r="JT475" s="77"/>
      <c r="JU475" s="77"/>
      <c r="JV475" s="77"/>
      <c r="JW475" s="77"/>
      <c r="JX475" s="77"/>
      <c r="LL475" s="77"/>
      <c r="LM475" s="77"/>
      <c r="LN475" s="77"/>
      <c r="LO475" s="77"/>
      <c r="LP475" s="77"/>
      <c r="LQ475" s="77"/>
      <c r="LR475" s="77"/>
      <c r="LS475" s="77"/>
      <c r="LT475" s="77"/>
      <c r="LU475" s="77"/>
      <c r="LV475" s="77"/>
      <c r="MS475" s="77"/>
    </row>
    <row r="476" spans="1:368" ht="18.600000000000001" customHeight="1" x14ac:dyDescent="0.25">
      <c r="A476" s="119" t="s">
        <v>2662</v>
      </c>
      <c r="B476" s="27" t="s">
        <v>2663</v>
      </c>
      <c r="C476" s="27" t="s">
        <v>4454</v>
      </c>
      <c r="D476" s="30" t="str">
        <f>HYPERLINK("https://twitter.com/samoagovt","https://twitter.com/samoagovt")</f>
        <v>https://twitter.com/samoagovt</v>
      </c>
      <c r="E476" s="30" t="str">
        <f>HYPERLINK("http://twiplomacy.com/info/oceania/Samoa","http://twiplomacy.com/info/oceania/Samoa")</f>
        <v>http://twiplomacy.com/info/oceania/Samoa</v>
      </c>
      <c r="F476" s="10" t="s">
        <v>643</v>
      </c>
      <c r="G476" s="10" t="s">
        <v>661</v>
      </c>
      <c r="H476" s="10" t="s">
        <v>788</v>
      </c>
      <c r="I476" s="10" t="s">
        <v>782</v>
      </c>
      <c r="J476" s="27" t="s">
        <v>789</v>
      </c>
      <c r="K476" s="15" t="s">
        <v>777</v>
      </c>
      <c r="L476" s="10" t="s">
        <v>771</v>
      </c>
      <c r="M476" s="10" t="s">
        <v>771</v>
      </c>
      <c r="N476" s="30" t="str">
        <f>HYPERLINK("https://twitter.com/samoagovt/statuses/280491025766699008","https://twitter.com/samoagovt/statuses/280491025766699008")</f>
        <v>https://twitter.com/samoagovt/statuses/280491025766699008</v>
      </c>
      <c r="O476" s="27" t="s">
        <v>6083</v>
      </c>
      <c r="P476" s="80">
        <v>15</v>
      </c>
      <c r="Q476" s="80">
        <v>0</v>
      </c>
      <c r="R476" s="27" t="s">
        <v>2995</v>
      </c>
      <c r="S476" s="10" t="s">
        <v>2667</v>
      </c>
      <c r="T476" s="10" t="s">
        <v>771</v>
      </c>
      <c r="U476" s="10" t="s">
        <v>771</v>
      </c>
      <c r="V476" s="10" t="s">
        <v>771</v>
      </c>
      <c r="W476" s="10"/>
      <c r="X476" s="27" t="s">
        <v>2662</v>
      </c>
      <c r="Y476" s="27" t="s">
        <v>2663</v>
      </c>
      <c r="Z476" s="80">
        <v>848</v>
      </c>
      <c r="AA476" s="27">
        <v>246</v>
      </c>
      <c r="AB476" s="80">
        <v>1318</v>
      </c>
      <c r="AC476" s="27">
        <v>161</v>
      </c>
      <c r="AD476" s="27" t="s">
        <v>4455</v>
      </c>
      <c r="AE476" s="27">
        <v>1016451774</v>
      </c>
      <c r="AF476" s="27" t="s">
        <v>4454</v>
      </c>
      <c r="AG476" s="27" t="s">
        <v>6450</v>
      </c>
      <c r="AH476" s="79">
        <v>0.68831168831168799</v>
      </c>
      <c r="AI476" s="83">
        <v>0.68673718470301104</v>
      </c>
      <c r="AJ476" s="80">
        <v>0.97557471264367801</v>
      </c>
      <c r="AK476" s="80">
        <v>1.17672413793103</v>
      </c>
      <c r="AL476" s="27">
        <v>29</v>
      </c>
      <c r="AM476" s="97">
        <f>SUM(AL476/Z476)</f>
        <v>3.4198113207547169E-2</v>
      </c>
      <c r="AN476" s="27" t="s">
        <v>2662</v>
      </c>
      <c r="AO476" s="27">
        <v>21</v>
      </c>
      <c r="AP476" s="27">
        <v>6</v>
      </c>
      <c r="AQ476" s="27">
        <v>4</v>
      </c>
      <c r="AR476" s="27">
        <f>SUM(AO476:AQ476)</f>
        <v>31</v>
      </c>
      <c r="AS476" s="27" t="s">
        <v>6257</v>
      </c>
      <c r="AT476" s="27" t="s">
        <v>6853</v>
      </c>
      <c r="AU476" s="84" t="s">
        <v>4946</v>
      </c>
      <c r="BN476" s="77"/>
      <c r="BO476" s="77"/>
      <c r="BP476" s="77"/>
      <c r="BQ476" s="77"/>
      <c r="BR476" s="77"/>
      <c r="BS476" s="77"/>
      <c r="BT476" s="77"/>
      <c r="BU476" s="77"/>
      <c r="BV476" s="77"/>
      <c r="BW476" s="77"/>
      <c r="BX476" s="77"/>
      <c r="BY476" s="77"/>
      <c r="BZ476" s="77"/>
      <c r="CA476" s="77"/>
      <c r="CB476" s="77"/>
      <c r="CC476" s="77"/>
      <c r="CD476" s="77"/>
      <c r="CE476" s="77"/>
      <c r="CF476" s="77"/>
      <c r="CG476" s="77"/>
      <c r="CH476" s="77"/>
      <c r="CI476" s="77"/>
      <c r="CJ476" s="77"/>
      <c r="CX476" s="77"/>
      <c r="CY476" s="77"/>
      <c r="CZ476" s="77"/>
      <c r="DA476" s="77"/>
      <c r="DB476" s="77"/>
      <c r="DC476" s="77"/>
      <c r="DD476" s="77"/>
      <c r="DE476" s="77"/>
      <c r="DF476" s="77"/>
      <c r="DG476" s="77"/>
      <c r="DH476" s="77"/>
      <c r="DI476" s="77"/>
      <c r="DJ476" s="77"/>
      <c r="DK476" s="77"/>
      <c r="DL476" s="77"/>
      <c r="DM476" s="77"/>
      <c r="DN476" s="77"/>
      <c r="DO476" s="77"/>
      <c r="DP476" s="77"/>
      <c r="DQ476" s="77"/>
      <c r="DR476" s="77"/>
      <c r="DS476" s="77"/>
      <c r="DT476" s="77"/>
      <c r="DU476" s="77"/>
      <c r="DV476" s="77"/>
      <c r="DW476" s="77"/>
      <c r="DX476" s="77"/>
      <c r="DY476" s="77"/>
      <c r="DZ476" s="77"/>
      <c r="EA476" s="77"/>
      <c r="EB476" s="77"/>
      <c r="EC476" s="77"/>
      <c r="ED476" s="77"/>
      <c r="EE476" s="77"/>
      <c r="EF476" s="77"/>
      <c r="EG476" s="77"/>
      <c r="EH476" s="77"/>
      <c r="EI476" s="77"/>
      <c r="EJ476" s="77"/>
      <c r="EK476" s="77"/>
      <c r="EL476" s="77"/>
      <c r="EP476" s="77"/>
      <c r="GL476" s="77"/>
      <c r="GM476" s="77"/>
      <c r="GN476" s="77"/>
      <c r="GO476" s="77"/>
      <c r="GP476" s="77"/>
      <c r="GQ476" s="77"/>
      <c r="GR476" s="77"/>
      <c r="GS476" s="77"/>
      <c r="GT476" s="77"/>
      <c r="GU476" s="77"/>
      <c r="GV476" s="77"/>
      <c r="GW476" s="77"/>
      <c r="GX476" s="77"/>
      <c r="GY476" s="77"/>
      <c r="GZ476" s="77"/>
      <c r="HA476" s="77"/>
      <c r="HB476" s="77"/>
      <c r="HC476" s="77"/>
      <c r="HD476" s="77"/>
      <c r="HE476" s="77"/>
      <c r="HF476" s="77"/>
      <c r="HG476" s="77"/>
      <c r="HH476" s="77"/>
      <c r="HI476" s="77"/>
      <c r="HJ476" s="77"/>
      <c r="HK476" s="77"/>
      <c r="HL476" s="77"/>
      <c r="HM476" s="77"/>
      <c r="HN476" s="77"/>
      <c r="HO476" s="77"/>
      <c r="HP476" s="77"/>
      <c r="HQ476" s="77"/>
      <c r="HR476" s="77"/>
      <c r="HS476" s="77"/>
      <c r="HT476" s="77"/>
      <c r="HU476" s="77"/>
      <c r="HV476" s="77"/>
      <c r="HW476" s="77"/>
      <c r="HX476" s="77"/>
      <c r="HY476" s="77"/>
      <c r="HZ476" s="77"/>
      <c r="IA476" s="77"/>
      <c r="IB476" s="77"/>
      <c r="IC476" s="77"/>
      <c r="ID476" s="77"/>
      <c r="IE476" s="77"/>
      <c r="IF476" s="77"/>
      <c r="IG476" s="77"/>
      <c r="IH476" s="77"/>
      <c r="II476" s="77"/>
      <c r="IJ476" s="77"/>
      <c r="IK476" s="77"/>
      <c r="IL476" s="77"/>
      <c r="IM476" s="77"/>
      <c r="IN476" s="77"/>
      <c r="IO476" s="77"/>
      <c r="IP476" s="77"/>
      <c r="IQ476" s="77"/>
      <c r="IR476" s="77"/>
      <c r="IS476" s="77"/>
      <c r="IT476" s="77"/>
      <c r="IU476" s="77"/>
      <c r="IV476" s="77"/>
      <c r="IW476" s="77"/>
      <c r="IX476" s="77"/>
      <c r="IY476" s="77"/>
      <c r="IZ476" s="77"/>
      <c r="JA476" s="77"/>
      <c r="JB476" s="77"/>
      <c r="JC476" s="77"/>
      <c r="JD476" s="77"/>
      <c r="JE476" s="77"/>
      <c r="JF476" s="77"/>
      <c r="JG476" s="77"/>
      <c r="JH476" s="77"/>
      <c r="JI476" s="77"/>
      <c r="JJ476" s="77"/>
      <c r="JK476" s="77"/>
      <c r="JL476" s="77"/>
      <c r="JM476" s="77"/>
      <c r="JN476" s="77"/>
      <c r="JO476" s="77"/>
      <c r="JP476" s="77"/>
      <c r="JQ476" s="77"/>
      <c r="JR476" s="77"/>
      <c r="JS476" s="77"/>
      <c r="JT476" s="77"/>
      <c r="JU476" s="77"/>
      <c r="JV476" s="77"/>
      <c r="JW476" s="77"/>
      <c r="JX476" s="77"/>
      <c r="JY476" s="77"/>
      <c r="JZ476" s="77"/>
      <c r="KA476" s="77"/>
      <c r="KB476" s="77"/>
      <c r="KC476" s="77"/>
      <c r="KD476" s="77"/>
      <c r="KE476" s="77"/>
      <c r="KF476" s="77"/>
      <c r="KG476" s="77"/>
      <c r="KH476" s="77"/>
      <c r="KI476" s="77"/>
      <c r="KJ476" s="77"/>
      <c r="KK476" s="77"/>
      <c r="KL476" s="77"/>
      <c r="KM476" s="77"/>
      <c r="KN476" s="77"/>
      <c r="KO476" s="77"/>
      <c r="KP476" s="77"/>
      <c r="KQ476" s="77"/>
      <c r="KR476" s="77"/>
      <c r="KS476" s="77"/>
      <c r="KT476" s="77"/>
      <c r="KU476" s="77"/>
      <c r="KV476" s="77"/>
      <c r="KW476" s="77"/>
      <c r="KX476" s="77"/>
      <c r="KY476" s="77"/>
      <c r="KZ476" s="77"/>
      <c r="LA476" s="77"/>
      <c r="LB476" s="77"/>
      <c r="LC476" s="77"/>
      <c r="LD476" s="77"/>
      <c r="LE476" s="77"/>
      <c r="LF476" s="77"/>
      <c r="LG476" s="77"/>
      <c r="LH476" s="77"/>
      <c r="LI476" s="77"/>
      <c r="LJ476" s="77"/>
      <c r="LK476" s="77"/>
      <c r="LL476" s="77"/>
      <c r="LM476" s="77"/>
      <c r="LN476" s="77"/>
      <c r="LO476" s="77"/>
      <c r="LP476" s="77"/>
      <c r="LQ476" s="77"/>
      <c r="LR476" s="77"/>
      <c r="LS476" s="77"/>
      <c r="LT476" s="77"/>
      <c r="LU476" s="77"/>
      <c r="LV476" s="77"/>
      <c r="MS476" s="77"/>
    </row>
    <row r="477" spans="1:368" ht="18.600000000000001" customHeight="1" x14ac:dyDescent="0.25">
      <c r="A477" s="119" t="s">
        <v>496</v>
      </c>
      <c r="B477" s="27" t="s">
        <v>4438</v>
      </c>
      <c r="C477" s="27" t="s">
        <v>4439</v>
      </c>
      <c r="D477" s="33" t="s">
        <v>3018</v>
      </c>
      <c r="E477" s="34" t="s">
        <v>2153</v>
      </c>
      <c r="F477" s="42" t="s">
        <v>332</v>
      </c>
      <c r="G477" s="42" t="s">
        <v>496</v>
      </c>
      <c r="H477" s="42" t="s">
        <v>795</v>
      </c>
      <c r="I477" s="42" t="s">
        <v>782</v>
      </c>
      <c r="J477" s="27" t="s">
        <v>789</v>
      </c>
      <c r="K477" s="15" t="s">
        <v>777</v>
      </c>
      <c r="L477" s="10" t="s">
        <v>771</v>
      </c>
      <c r="M477" s="42" t="s">
        <v>770</v>
      </c>
      <c r="N477" s="34" t="s">
        <v>2154</v>
      </c>
      <c r="O477" s="27" t="s">
        <v>3201</v>
      </c>
      <c r="P477" s="80">
        <v>624</v>
      </c>
      <c r="Q477" s="80">
        <v>738</v>
      </c>
      <c r="R477" s="27" t="s">
        <v>2994</v>
      </c>
      <c r="S477" s="86" t="s">
        <v>2155</v>
      </c>
      <c r="T477" s="14">
        <v>1</v>
      </c>
      <c r="U477" s="14" t="s">
        <v>771</v>
      </c>
      <c r="V477" s="42" t="s">
        <v>771</v>
      </c>
      <c r="W477" s="42"/>
      <c r="X477" s="27" t="s">
        <v>496</v>
      </c>
      <c r="Y477" s="27" t="s">
        <v>4438</v>
      </c>
      <c r="Z477" s="80">
        <v>836</v>
      </c>
      <c r="AA477" s="27">
        <v>169</v>
      </c>
      <c r="AB477" s="80">
        <v>76975</v>
      </c>
      <c r="AC477" s="27">
        <v>47</v>
      </c>
      <c r="AD477" s="27" t="s">
        <v>4440</v>
      </c>
      <c r="AE477" s="27">
        <v>2874959663</v>
      </c>
      <c r="AF477" s="27" t="s">
        <v>4439</v>
      </c>
      <c r="AG477" s="27" t="s">
        <v>4441</v>
      </c>
      <c r="AH477" s="79">
        <v>1.5597014925373101</v>
      </c>
      <c r="AI477" s="83">
        <v>1.5996168582375501</v>
      </c>
      <c r="AJ477" s="80">
        <v>19.738515901060101</v>
      </c>
      <c r="AK477" s="80">
        <v>19.973498233215501</v>
      </c>
      <c r="AL477" s="27">
        <v>1</v>
      </c>
      <c r="AM477" s="97">
        <f>SUM(AL477/Z477)</f>
        <v>1.1961722488038277E-3</v>
      </c>
      <c r="AN477" s="27" t="s">
        <v>496</v>
      </c>
      <c r="AO477" s="27">
        <v>0</v>
      </c>
      <c r="AP477" s="27">
        <v>9</v>
      </c>
      <c r="AQ477" s="27">
        <v>1</v>
      </c>
      <c r="AR477" s="27">
        <f>SUM(AO477:AQ477)</f>
        <v>10</v>
      </c>
      <c r="AS477" s="27"/>
      <c r="AT477" s="27" t="s">
        <v>6340</v>
      </c>
      <c r="AU477" s="84" t="s">
        <v>505</v>
      </c>
      <c r="AV477" s="77"/>
      <c r="AW477" s="77"/>
      <c r="AX477" s="77"/>
      <c r="AY477" s="77"/>
      <c r="AZ477" s="77"/>
      <c r="BA477" s="77"/>
      <c r="BB477" s="77"/>
      <c r="BC477" s="77"/>
      <c r="BD477" s="77"/>
      <c r="BE477" s="77"/>
      <c r="BF477" s="77"/>
      <c r="BG477" s="77"/>
      <c r="BH477" s="77"/>
      <c r="BI477" s="77"/>
      <c r="BJ477" s="77"/>
      <c r="BK477" s="77"/>
      <c r="BL477" s="77"/>
      <c r="BM477" s="77"/>
      <c r="BN477" s="77"/>
      <c r="BO477" s="77"/>
      <c r="BP477" s="77"/>
      <c r="BQ477" s="71"/>
      <c r="BR477" s="71"/>
      <c r="BS477" s="71"/>
      <c r="BT477" s="71"/>
      <c r="BU477" s="71"/>
      <c r="BV477" s="71"/>
      <c r="BW477" s="71"/>
      <c r="BX477" s="71"/>
      <c r="BY477" s="71"/>
      <c r="BZ477" s="71"/>
      <c r="CA477" s="71"/>
      <c r="CB477" s="71"/>
      <c r="CC477" s="77"/>
      <c r="CD477" s="77"/>
      <c r="CE477" s="77"/>
      <c r="CF477" s="77"/>
      <c r="CG477" s="77"/>
      <c r="CH477" s="77"/>
      <c r="CI477" s="77"/>
      <c r="CJ477" s="77"/>
      <c r="CK477" s="77"/>
      <c r="CL477" s="77"/>
      <c r="CM477" s="77"/>
      <c r="CN477" s="77"/>
      <c r="CO477" s="77"/>
      <c r="CP477" s="77"/>
      <c r="CQ477" s="77"/>
      <c r="CR477" s="77"/>
      <c r="CS477" s="77"/>
      <c r="CT477" s="77"/>
      <c r="CU477" s="77"/>
      <c r="CV477" s="77"/>
      <c r="CW477" s="77"/>
      <c r="CX477" s="77"/>
      <c r="CY477" s="77"/>
      <c r="CZ477" s="77"/>
      <c r="DA477" s="77"/>
      <c r="DB477" s="77"/>
      <c r="DC477" s="77"/>
      <c r="DD477" s="77"/>
      <c r="DE477" s="77"/>
      <c r="DF477" s="77"/>
      <c r="DG477" s="77"/>
      <c r="DH477" s="77"/>
      <c r="DI477" s="77"/>
      <c r="DJ477" s="77"/>
      <c r="DK477" s="77"/>
      <c r="DL477" s="77"/>
      <c r="DM477" s="77"/>
      <c r="DN477" s="77"/>
      <c r="DO477" s="77"/>
      <c r="DP477" s="77"/>
      <c r="DQ477" s="77"/>
      <c r="DR477" s="77"/>
      <c r="DS477" s="77"/>
      <c r="DT477" s="77"/>
      <c r="DU477" s="77"/>
      <c r="DV477" s="77"/>
      <c r="DW477" s="77"/>
      <c r="DX477" s="77"/>
      <c r="DY477" s="77"/>
      <c r="DZ477" s="77"/>
      <c r="EA477" s="77"/>
      <c r="EB477" s="77"/>
      <c r="EC477" s="77"/>
      <c r="ED477" s="77"/>
      <c r="EE477" s="77"/>
      <c r="EF477" s="77"/>
      <c r="EG477" s="77"/>
      <c r="EH477" s="77"/>
      <c r="EI477" s="77"/>
      <c r="EJ477" s="77"/>
      <c r="EK477" s="77"/>
      <c r="EL477" s="77"/>
      <c r="EM477" s="77"/>
      <c r="EN477" s="77"/>
      <c r="EO477" s="77"/>
      <c r="EP477" s="77"/>
      <c r="EQ477" s="77"/>
      <c r="ER477" s="77"/>
      <c r="ES477" s="77"/>
      <c r="ET477" s="77"/>
      <c r="EU477" s="77"/>
      <c r="EV477" s="77"/>
      <c r="EW477" s="77"/>
      <c r="EX477" s="77"/>
      <c r="EY477" s="77"/>
      <c r="EZ477" s="77"/>
      <c r="FA477" s="77"/>
      <c r="FB477" s="77"/>
      <c r="FC477" s="77"/>
      <c r="FD477" s="77"/>
      <c r="FE477" s="77"/>
      <c r="FF477" s="77"/>
      <c r="FG477" s="77"/>
      <c r="FH477" s="77"/>
      <c r="FI477" s="77"/>
      <c r="FJ477" s="77"/>
      <c r="FK477" s="77"/>
      <c r="FL477" s="77"/>
      <c r="FM477" s="77"/>
      <c r="FN477" s="77"/>
      <c r="FO477" s="77"/>
      <c r="FP477" s="77"/>
      <c r="FQ477" s="77"/>
      <c r="FR477" s="77"/>
      <c r="FS477" s="77"/>
      <c r="FT477" s="77"/>
      <c r="FU477" s="77"/>
      <c r="FV477" s="77"/>
      <c r="FW477" s="77"/>
      <c r="FX477" s="77"/>
      <c r="FY477" s="77"/>
      <c r="FZ477" s="77"/>
      <c r="GA477" s="77"/>
      <c r="GB477" s="77"/>
      <c r="GC477" s="77"/>
      <c r="GD477" s="77"/>
      <c r="GE477" s="77"/>
      <c r="GF477" s="77"/>
      <c r="GG477" s="77"/>
      <c r="GH477" s="77"/>
      <c r="GI477" s="77"/>
      <c r="GJ477" s="77"/>
      <c r="GK477" s="77"/>
      <c r="GL477" s="77"/>
      <c r="GM477" s="77"/>
      <c r="GN477" s="77"/>
      <c r="GO477" s="77"/>
      <c r="GP477" s="77"/>
      <c r="GQ477" s="77"/>
      <c r="GR477" s="77"/>
      <c r="GS477" s="77"/>
      <c r="GT477" s="77"/>
      <c r="GU477" s="77"/>
      <c r="GV477" s="77"/>
      <c r="GW477" s="77"/>
      <c r="GX477" s="77"/>
      <c r="GY477" s="77"/>
      <c r="GZ477" s="77"/>
      <c r="HA477" s="77"/>
      <c r="HB477" s="77"/>
      <c r="HC477" s="77"/>
      <c r="HD477" s="77"/>
      <c r="HE477" s="77"/>
      <c r="HF477" s="77"/>
      <c r="HG477" s="77"/>
      <c r="HH477" s="77"/>
      <c r="HI477" s="77"/>
      <c r="HJ477" s="77"/>
      <c r="HK477" s="77"/>
      <c r="IF477" s="77"/>
      <c r="IG477" s="77"/>
      <c r="IH477" s="77"/>
      <c r="II477" s="77"/>
      <c r="IJ477" s="77"/>
      <c r="IK477" s="77"/>
      <c r="IL477" s="77"/>
      <c r="IM477" s="77"/>
      <c r="IN477" s="77"/>
      <c r="IO477" s="77"/>
      <c r="IP477" s="77"/>
      <c r="IQ477" s="77"/>
      <c r="IR477" s="77"/>
      <c r="IS477" s="77"/>
      <c r="IT477" s="77"/>
      <c r="IU477" s="77"/>
      <c r="IV477" s="77"/>
      <c r="IW477" s="77"/>
      <c r="IX477" s="77"/>
      <c r="IY477" s="77"/>
      <c r="IZ477" s="77"/>
      <c r="JA477" s="77"/>
      <c r="JB477" s="77"/>
      <c r="JC477" s="77"/>
      <c r="JD477" s="77"/>
      <c r="JE477" s="77"/>
      <c r="JF477" s="77"/>
      <c r="JG477" s="77"/>
      <c r="JH477" s="77"/>
      <c r="JI477" s="77"/>
      <c r="JJ477" s="77"/>
      <c r="JK477" s="77"/>
      <c r="JL477" s="77"/>
      <c r="JM477" s="77"/>
      <c r="JN477" s="77"/>
      <c r="JO477" s="77"/>
      <c r="JP477" s="77"/>
      <c r="JQ477" s="77"/>
      <c r="JR477" s="77"/>
      <c r="JS477" s="77"/>
      <c r="JT477" s="77"/>
      <c r="JU477" s="77"/>
      <c r="JV477" s="77"/>
      <c r="JW477" s="77"/>
      <c r="JX477" s="77"/>
      <c r="LL477" s="77"/>
      <c r="LM477" s="77"/>
      <c r="LN477" s="77"/>
      <c r="LO477" s="77"/>
      <c r="LP477" s="77"/>
      <c r="LQ477" s="77"/>
      <c r="LR477" s="77"/>
      <c r="LS477" s="77"/>
      <c r="LT477" s="77"/>
      <c r="LU477" s="77"/>
      <c r="LV477" s="77"/>
      <c r="LY477" s="16"/>
      <c r="LZ477" s="16"/>
      <c r="MA477" s="16"/>
      <c r="MB477" s="16"/>
      <c r="MC477" s="16"/>
      <c r="MD477" s="16"/>
      <c r="ME477" s="16"/>
      <c r="MF477" s="16"/>
      <c r="MG477" s="16"/>
      <c r="MH477" s="16"/>
      <c r="MI477" s="16"/>
      <c r="MJ477" s="16"/>
      <c r="MK477" s="16"/>
      <c r="ML477" s="16"/>
      <c r="MM477" s="16"/>
      <c r="MN477" s="16"/>
      <c r="MO477" s="16"/>
      <c r="MP477" s="16"/>
      <c r="MQ477" s="16"/>
      <c r="MR477" s="16"/>
    </row>
    <row r="478" spans="1:368" ht="18.600000000000001" customHeight="1" x14ac:dyDescent="0.25">
      <c r="A478" s="119" t="s">
        <v>5597</v>
      </c>
      <c r="B478" s="27" t="s">
        <v>1088</v>
      </c>
      <c r="C478" s="27" t="s">
        <v>5579</v>
      </c>
      <c r="D478" s="30" t="str">
        <f>HYPERLINK("https://twitter.com/mofasomalia","https://twitter.com/mofasomalia")</f>
        <v>https://twitter.com/mofasomalia</v>
      </c>
      <c r="E478" s="30" t="str">
        <f>HYPERLINK("http://twiplomacy.com/info/africa/Somalia","http://twiplomacy.com/info/africa/Somalia")</f>
        <v>http://twiplomacy.com/info/africa/Somalia</v>
      </c>
      <c r="F478" s="10" t="s">
        <v>1</v>
      </c>
      <c r="G478" s="10" t="s">
        <v>113</v>
      </c>
      <c r="H478" s="10" t="s">
        <v>795</v>
      </c>
      <c r="I478" s="10" t="s">
        <v>782</v>
      </c>
      <c r="J478" s="27" t="s">
        <v>789</v>
      </c>
      <c r="K478" s="10" t="s">
        <v>777</v>
      </c>
      <c r="L478" s="10" t="s">
        <v>771</v>
      </c>
      <c r="M478" s="10" t="s">
        <v>770</v>
      </c>
      <c r="N478" s="30" t="str">
        <f>HYPERLINK("https://twitter.com/mofasomalia/statuses/310197762677436419","https://twitter.com/mofasomalia/statuses/310197762677436419")</f>
        <v>https://twitter.com/mofasomalia/statuses/310197762677436419</v>
      </c>
      <c r="O478" s="27" t="s">
        <v>5975</v>
      </c>
      <c r="P478" s="80">
        <v>132</v>
      </c>
      <c r="Q478" s="80">
        <v>61</v>
      </c>
      <c r="R478" s="27" t="s">
        <v>2994</v>
      </c>
      <c r="S478" s="10" t="s">
        <v>1089</v>
      </c>
      <c r="T478" s="10" t="s">
        <v>771</v>
      </c>
      <c r="U478" s="10" t="s">
        <v>771</v>
      </c>
      <c r="V478" s="10" t="s">
        <v>771</v>
      </c>
      <c r="W478" s="10"/>
      <c r="X478" s="27" t="s">
        <v>5597</v>
      </c>
      <c r="Y478" s="27" t="s">
        <v>1088</v>
      </c>
      <c r="Z478" s="80">
        <v>835</v>
      </c>
      <c r="AA478" s="27">
        <v>13</v>
      </c>
      <c r="AB478" s="80">
        <v>7335</v>
      </c>
      <c r="AC478" s="27">
        <v>313</v>
      </c>
      <c r="AD478" s="27" t="s">
        <v>4159</v>
      </c>
      <c r="AE478" s="27">
        <v>1252987862</v>
      </c>
      <c r="AF478" s="27" t="s">
        <v>5579</v>
      </c>
      <c r="AG478" s="27" t="s">
        <v>1090</v>
      </c>
      <c r="AH478" s="79">
        <v>0.72608695652173905</v>
      </c>
      <c r="AI478" s="83">
        <v>0.72608695652173905</v>
      </c>
      <c r="AJ478" s="80">
        <v>4.68411867364747</v>
      </c>
      <c r="AK478" s="80">
        <v>3.3019197207678901</v>
      </c>
      <c r="AL478" s="27">
        <v>8</v>
      </c>
      <c r="AM478" s="97">
        <f>SUM(AL478/Z478)</f>
        <v>9.5808383233532933E-3</v>
      </c>
      <c r="AN478" s="27" t="s">
        <v>117</v>
      </c>
      <c r="AO478" s="27">
        <v>1</v>
      </c>
      <c r="AP478" s="27">
        <v>56</v>
      </c>
      <c r="AQ478" s="27">
        <v>2</v>
      </c>
      <c r="AR478" s="27">
        <f>SUM(AO478:AQ478)</f>
        <v>59</v>
      </c>
      <c r="AS478" s="27" t="s">
        <v>114</v>
      </c>
      <c r="AT478" s="27" t="s">
        <v>6323</v>
      </c>
      <c r="AU478" s="84" t="s">
        <v>4868</v>
      </c>
      <c r="AV478" s="77"/>
      <c r="AW478" s="77"/>
      <c r="AX478" s="77"/>
      <c r="AY478" s="77"/>
      <c r="AZ478" s="77"/>
      <c r="BA478" s="77"/>
      <c r="BB478" s="77"/>
      <c r="BC478" s="77"/>
      <c r="BD478" s="77"/>
      <c r="BE478" s="77"/>
      <c r="BF478" s="77"/>
      <c r="BG478" s="77"/>
      <c r="BH478" s="77"/>
      <c r="BI478" s="77"/>
      <c r="BJ478" s="77"/>
      <c r="BK478" s="77"/>
      <c r="BL478" s="77"/>
      <c r="BM478" s="77"/>
      <c r="BN478" s="77"/>
      <c r="BO478" s="77"/>
      <c r="BP478" s="77"/>
      <c r="CC478" s="77"/>
      <c r="CD478" s="77"/>
      <c r="CE478" s="77"/>
      <c r="CF478" s="77"/>
      <c r="CG478" s="77"/>
      <c r="CH478" s="77"/>
      <c r="CI478" s="77"/>
      <c r="CJ478" s="77"/>
      <c r="CK478" s="77"/>
      <c r="CL478" s="77"/>
      <c r="CM478" s="77"/>
      <c r="CN478" s="77"/>
      <c r="CO478" s="77"/>
      <c r="CP478" s="77"/>
      <c r="CQ478" s="77"/>
      <c r="CR478" s="77"/>
      <c r="CS478" s="77"/>
      <c r="CT478" s="77"/>
      <c r="CU478" s="77"/>
      <c r="CV478" s="77"/>
      <c r="CW478" s="77"/>
      <c r="CX478" s="77"/>
      <c r="CY478" s="77"/>
      <c r="CZ478" s="77"/>
      <c r="DA478" s="77"/>
      <c r="DB478" s="77"/>
      <c r="DC478" s="77"/>
      <c r="DD478" s="77"/>
      <c r="DE478" s="77"/>
      <c r="DF478" s="77"/>
      <c r="DG478" s="77"/>
      <c r="DH478" s="77"/>
      <c r="DI478" s="77"/>
      <c r="DJ478" s="77"/>
      <c r="DK478" s="77"/>
      <c r="DL478" s="77"/>
      <c r="DM478" s="77"/>
      <c r="DN478" s="77"/>
      <c r="DO478" s="77"/>
      <c r="DP478" s="77"/>
      <c r="DQ478" s="77"/>
      <c r="DR478" s="77"/>
      <c r="DS478" s="77"/>
      <c r="DT478" s="77"/>
      <c r="DU478" s="77"/>
      <c r="DV478" s="77"/>
      <c r="DW478" s="77"/>
      <c r="DX478" s="77"/>
      <c r="DY478" s="77"/>
      <c r="DZ478" s="77"/>
      <c r="EA478" s="77"/>
      <c r="EB478" s="77"/>
      <c r="EC478" s="77"/>
      <c r="ED478" s="77"/>
      <c r="EE478" s="77"/>
      <c r="EF478" s="77"/>
      <c r="EG478" s="77"/>
      <c r="EH478" s="77"/>
      <c r="EI478" s="77"/>
      <c r="EJ478" s="77"/>
      <c r="EK478" s="77"/>
      <c r="EL478" s="77"/>
      <c r="EP478" s="77"/>
      <c r="EQ478" s="77"/>
      <c r="ER478" s="77"/>
      <c r="ES478" s="77"/>
      <c r="ET478" s="77"/>
      <c r="EU478" s="77"/>
      <c r="EV478" s="77"/>
      <c r="EW478" s="77"/>
      <c r="EX478" s="77"/>
      <c r="EY478" s="77"/>
      <c r="EZ478" s="77"/>
      <c r="FA478" s="77"/>
      <c r="FB478" s="77"/>
      <c r="FC478" s="77"/>
      <c r="FD478" s="77"/>
      <c r="FE478" s="77"/>
      <c r="FF478" s="77"/>
      <c r="FG478" s="77"/>
      <c r="FH478" s="77"/>
      <c r="FI478" s="77"/>
      <c r="FJ478" s="77"/>
      <c r="FK478" s="77"/>
      <c r="FL478" s="77"/>
      <c r="FM478" s="77"/>
      <c r="FN478" s="77"/>
      <c r="FO478" s="77"/>
      <c r="FP478" s="77"/>
      <c r="FQ478" s="77"/>
      <c r="FR478" s="77"/>
      <c r="FS478" s="77"/>
      <c r="FT478" s="77"/>
      <c r="FU478" s="77"/>
      <c r="FV478" s="77"/>
      <c r="FW478" s="77"/>
      <c r="FX478" s="77"/>
      <c r="FY478" s="77"/>
      <c r="FZ478" s="77"/>
      <c r="GA478" s="77"/>
      <c r="GB478" s="77"/>
      <c r="GC478" s="77"/>
      <c r="GD478" s="77"/>
      <c r="GE478" s="77"/>
      <c r="GF478" s="77"/>
      <c r="GG478" s="77"/>
      <c r="GH478" s="77"/>
      <c r="GI478" s="77"/>
      <c r="GJ478" s="77"/>
      <c r="GK478" s="77"/>
      <c r="GL478" s="77"/>
      <c r="GM478" s="77"/>
      <c r="GN478" s="77"/>
      <c r="GO478" s="77"/>
      <c r="GP478" s="77"/>
      <c r="GQ478" s="77"/>
      <c r="GR478" s="77"/>
      <c r="GS478" s="77"/>
      <c r="GT478" s="77"/>
      <c r="GU478" s="77"/>
      <c r="GV478" s="77"/>
      <c r="GW478" s="77"/>
      <c r="GX478" s="77"/>
      <c r="GY478" s="77"/>
      <c r="GZ478" s="77"/>
      <c r="HA478" s="77"/>
      <c r="HB478" s="77"/>
      <c r="HC478" s="77"/>
      <c r="HD478" s="77"/>
      <c r="HE478" s="77"/>
      <c r="HF478" s="77"/>
      <c r="HG478" s="77"/>
      <c r="HH478" s="77"/>
      <c r="HI478" s="77"/>
      <c r="HJ478" s="77"/>
      <c r="HK478" s="77"/>
      <c r="ID478" s="16"/>
      <c r="IE478" s="16"/>
      <c r="LL478" s="77"/>
      <c r="LM478" s="77"/>
      <c r="LN478" s="77"/>
      <c r="LO478" s="77"/>
      <c r="LP478" s="77"/>
      <c r="LQ478" s="77"/>
      <c r="LR478" s="77"/>
      <c r="LS478" s="77"/>
      <c r="LT478" s="77"/>
      <c r="LU478" s="77"/>
      <c r="LV478" s="77"/>
      <c r="LW478" s="77"/>
      <c r="LX478" s="77"/>
      <c r="MS478" s="77"/>
      <c r="ND478" s="16"/>
    </row>
    <row r="479" spans="1:368" ht="18.600000000000001" customHeight="1" x14ac:dyDescent="0.25">
      <c r="A479" s="119" t="s">
        <v>373</v>
      </c>
      <c r="B479" s="27" t="s">
        <v>1808</v>
      </c>
      <c r="C479" s="27" t="s">
        <v>1809</v>
      </c>
      <c r="D479" s="30" t="str">
        <f>HYPERLINK("https://twitter.com/CzechMFA","https://twitter.com/CzechMFA")</f>
        <v>https://twitter.com/CzechMFA</v>
      </c>
      <c r="E479" s="30" t="str">
        <f>HYPERLINK("http://twiplomacy.com/info/europe/Czech-Republic","http://twiplomacy.com/info/europe/Czech-Republic")</f>
        <v>http://twiplomacy.com/info/europe/Czech-Republic</v>
      </c>
      <c r="F479" s="10" t="s">
        <v>332</v>
      </c>
      <c r="G479" s="10" t="s">
        <v>5647</v>
      </c>
      <c r="H479" s="10" t="s">
        <v>795</v>
      </c>
      <c r="I479" s="10" t="s">
        <v>782</v>
      </c>
      <c r="J479" s="27" t="s">
        <v>789</v>
      </c>
      <c r="K479" s="15" t="s">
        <v>777</v>
      </c>
      <c r="L479" s="10" t="s">
        <v>771</v>
      </c>
      <c r="M479" s="10" t="s">
        <v>770</v>
      </c>
      <c r="N479" s="30" t="str">
        <f>HYPERLINK("https://twitter.com/CzechMFA/status/504189820173041664","https://twitter.com/CzechMFA/status/504189820173041664")</f>
        <v>https://twitter.com/CzechMFA/status/504189820173041664</v>
      </c>
      <c r="O479" s="27" t="s">
        <v>5789</v>
      </c>
      <c r="P479" s="80">
        <v>30</v>
      </c>
      <c r="Q479" s="80">
        <v>12</v>
      </c>
      <c r="R479" s="27" t="s">
        <v>2995</v>
      </c>
      <c r="S479" s="30" t="str">
        <f>HYPERLINK("https://twitter.com/CzechMFA/lists","https://twitter.com/CzechMFA/lists")</f>
        <v>https://twitter.com/CzechMFA/lists</v>
      </c>
      <c r="T479" s="10" t="s">
        <v>771</v>
      </c>
      <c r="U479" s="10" t="s">
        <v>771</v>
      </c>
      <c r="V479" s="10" t="s">
        <v>771</v>
      </c>
      <c r="W479" s="10"/>
      <c r="X479" s="27" t="s">
        <v>373</v>
      </c>
      <c r="Y479" s="27" t="s">
        <v>1808</v>
      </c>
      <c r="Z479" s="80">
        <v>826</v>
      </c>
      <c r="AA479" s="27">
        <v>127</v>
      </c>
      <c r="AB479" s="80">
        <v>3583</v>
      </c>
      <c r="AC479" s="27">
        <v>64</v>
      </c>
      <c r="AD479" s="27" t="s">
        <v>3598</v>
      </c>
      <c r="AE479" s="27">
        <v>2752037400</v>
      </c>
      <c r="AF479" s="27" t="s">
        <v>1809</v>
      </c>
      <c r="AG479" s="27" t="s">
        <v>1801</v>
      </c>
      <c r="AH479" s="79">
        <v>1.3322580645161299</v>
      </c>
      <c r="AI479" s="83">
        <v>1.3630363036303601</v>
      </c>
      <c r="AJ479" s="80">
        <v>3.8649289099526101</v>
      </c>
      <c r="AK479" s="80">
        <v>2.3459715639810401</v>
      </c>
      <c r="AL479" s="27">
        <v>5</v>
      </c>
      <c r="AM479" s="97">
        <f>SUM(AL479/Z479)</f>
        <v>6.0532687651331718E-3</v>
      </c>
      <c r="AN479" s="27" t="s">
        <v>373</v>
      </c>
      <c r="AO479" s="27">
        <v>20</v>
      </c>
      <c r="AP479" s="27">
        <v>41</v>
      </c>
      <c r="AQ479" s="27">
        <v>38</v>
      </c>
      <c r="AR479" s="27">
        <f>SUM(AO479:AQ479)</f>
        <v>99</v>
      </c>
      <c r="AS479" s="27" t="s">
        <v>5074</v>
      </c>
      <c r="AT479" s="27" t="s">
        <v>5075</v>
      </c>
      <c r="AU479" s="84" t="s">
        <v>4687</v>
      </c>
      <c r="AV479" s="77"/>
      <c r="AW479" s="77"/>
      <c r="AX479" s="77"/>
      <c r="AY479" s="77"/>
      <c r="AZ479" s="77"/>
      <c r="BA479" s="77"/>
      <c r="BB479" s="77"/>
      <c r="BC479" s="77"/>
      <c r="BD479" s="77"/>
      <c r="BE479" s="77"/>
      <c r="BF479" s="77"/>
      <c r="BG479" s="77"/>
      <c r="BH479" s="77"/>
      <c r="BI479" s="77"/>
      <c r="BJ479" s="77"/>
      <c r="BK479" s="77"/>
      <c r="BL479" s="77"/>
      <c r="BM479" s="77"/>
      <c r="BN479" s="77"/>
      <c r="BO479" s="77"/>
      <c r="BP479" s="77"/>
      <c r="BQ479" s="77"/>
      <c r="BR479" s="77"/>
      <c r="BS479" s="77"/>
      <c r="BT479" s="77"/>
      <c r="BU479" s="77"/>
      <c r="BV479" s="77"/>
      <c r="BW479" s="77"/>
      <c r="BX479" s="77"/>
      <c r="BY479" s="77"/>
      <c r="BZ479" s="77"/>
      <c r="CA479" s="77"/>
      <c r="CB479" s="77"/>
      <c r="CC479" s="77"/>
      <c r="CD479" s="77"/>
      <c r="CE479" s="77"/>
      <c r="CF479" s="77"/>
      <c r="CG479" s="77"/>
      <c r="CH479" s="77"/>
      <c r="CI479" s="77"/>
      <c r="CJ479" s="77"/>
      <c r="CK479" s="77"/>
      <c r="CL479" s="77"/>
      <c r="CM479" s="77"/>
      <c r="CN479" s="77"/>
      <c r="CO479" s="77"/>
      <c r="CP479" s="77"/>
      <c r="CQ479" s="77"/>
      <c r="CR479" s="77"/>
      <c r="CS479" s="77"/>
      <c r="CT479" s="77"/>
      <c r="CU479" s="77"/>
      <c r="CV479" s="77"/>
      <c r="CW479" s="77"/>
      <c r="CX479" s="77"/>
      <c r="CY479" s="77"/>
      <c r="CZ479" s="77"/>
      <c r="DA479" s="77"/>
      <c r="DB479" s="77"/>
      <c r="DC479" s="77"/>
      <c r="DD479" s="77"/>
      <c r="DE479" s="77"/>
      <c r="DF479" s="77"/>
      <c r="DG479" s="77"/>
      <c r="DH479" s="77"/>
      <c r="DI479" s="77"/>
      <c r="DJ479" s="77"/>
      <c r="DK479" s="77"/>
      <c r="DL479" s="77"/>
      <c r="DM479" s="77"/>
      <c r="DN479" s="77"/>
      <c r="DO479" s="77"/>
      <c r="DP479" s="77"/>
      <c r="DQ479" s="77"/>
      <c r="DR479" s="77"/>
      <c r="DS479" s="77"/>
      <c r="DT479" s="77"/>
      <c r="DU479" s="77"/>
      <c r="DV479" s="77"/>
      <c r="DW479" s="77"/>
      <c r="DX479" s="77"/>
      <c r="DY479" s="77"/>
      <c r="DZ479" s="77"/>
      <c r="EA479" s="77"/>
      <c r="EB479" s="77"/>
      <c r="EC479" s="77"/>
      <c r="ED479" s="77"/>
      <c r="EE479" s="77"/>
      <c r="EF479" s="77"/>
      <c r="EG479" s="77"/>
      <c r="EH479" s="77"/>
      <c r="EI479" s="77"/>
      <c r="EJ479" s="77"/>
      <c r="EK479" s="77"/>
      <c r="EL479" s="77"/>
      <c r="EM479" s="77"/>
      <c r="EN479" s="77"/>
      <c r="EO479" s="77"/>
      <c r="EP479" s="77"/>
      <c r="EQ479" s="77"/>
      <c r="ER479" s="77"/>
      <c r="ES479" s="77"/>
      <c r="ET479" s="77"/>
      <c r="EU479" s="77"/>
      <c r="EV479" s="77"/>
      <c r="EW479" s="77"/>
      <c r="EX479" s="77"/>
      <c r="EY479" s="77"/>
      <c r="EZ479" s="77"/>
      <c r="FA479" s="77"/>
      <c r="FB479" s="77"/>
      <c r="FC479" s="77"/>
      <c r="FD479" s="77"/>
      <c r="FE479" s="77"/>
      <c r="FF479" s="77"/>
      <c r="FG479" s="77"/>
      <c r="FH479" s="77"/>
      <c r="FI479" s="77"/>
      <c r="FJ479" s="77"/>
      <c r="FK479" s="77"/>
      <c r="FL479" s="77"/>
      <c r="FM479" s="77"/>
      <c r="FN479" s="77"/>
      <c r="FO479" s="77"/>
      <c r="FP479" s="77"/>
      <c r="FQ479" s="77"/>
      <c r="FR479" s="77"/>
      <c r="FS479" s="77"/>
      <c r="FT479" s="77"/>
      <c r="FU479" s="77"/>
      <c r="FV479" s="77"/>
      <c r="FW479" s="77"/>
      <c r="FX479" s="77"/>
      <c r="FY479" s="77"/>
      <c r="FZ479" s="77"/>
      <c r="GA479" s="77"/>
      <c r="GB479" s="77"/>
      <c r="GC479" s="77"/>
      <c r="GD479" s="77"/>
      <c r="GE479" s="77"/>
      <c r="GF479" s="77"/>
      <c r="GG479" s="77"/>
      <c r="GH479" s="77"/>
      <c r="GI479" s="77"/>
      <c r="GJ479" s="77"/>
      <c r="GK479" s="77"/>
      <c r="GL479" s="77"/>
      <c r="GM479" s="77"/>
      <c r="GN479" s="77"/>
      <c r="GO479" s="77"/>
      <c r="GP479" s="77"/>
      <c r="GQ479" s="77"/>
      <c r="GR479" s="77"/>
      <c r="GS479" s="77"/>
      <c r="GT479" s="77"/>
      <c r="GU479" s="77"/>
      <c r="GV479" s="77"/>
      <c r="GW479" s="77"/>
      <c r="GX479" s="77"/>
      <c r="GY479" s="77"/>
      <c r="GZ479" s="77"/>
      <c r="HA479" s="77"/>
      <c r="HB479" s="77"/>
      <c r="HC479" s="77"/>
      <c r="HD479" s="77"/>
      <c r="HE479" s="77"/>
      <c r="HF479" s="77"/>
      <c r="HG479" s="77"/>
      <c r="HH479" s="77"/>
      <c r="HI479" s="77"/>
      <c r="HJ479" s="77"/>
      <c r="HK479" s="77"/>
      <c r="HL479" s="77"/>
      <c r="HM479" s="77"/>
      <c r="HN479" s="77"/>
      <c r="HO479" s="77"/>
      <c r="HP479" s="77"/>
      <c r="HQ479" s="77"/>
      <c r="HR479" s="77"/>
      <c r="HS479" s="77"/>
      <c r="HT479" s="77"/>
      <c r="HU479" s="77"/>
      <c r="HV479" s="77"/>
      <c r="HW479" s="77"/>
      <c r="HX479" s="77"/>
      <c r="HY479" s="77"/>
      <c r="HZ479" s="77"/>
      <c r="IA479" s="77"/>
      <c r="IB479" s="77"/>
      <c r="IC479" s="77"/>
      <c r="ID479" s="77"/>
      <c r="IE479" s="77"/>
      <c r="IF479" s="77"/>
      <c r="IG479" s="77"/>
      <c r="IH479" s="77"/>
      <c r="II479" s="77"/>
      <c r="IJ479" s="77"/>
      <c r="IK479" s="77"/>
      <c r="IL479" s="77"/>
      <c r="IM479" s="77"/>
      <c r="IN479" s="77"/>
      <c r="IO479" s="77"/>
      <c r="IP479" s="77"/>
      <c r="IQ479" s="77"/>
      <c r="IR479" s="77"/>
      <c r="IS479" s="77"/>
      <c r="IT479" s="77"/>
      <c r="IU479" s="77"/>
      <c r="IV479" s="77"/>
      <c r="IW479" s="77"/>
      <c r="IX479" s="77"/>
      <c r="IY479" s="77"/>
      <c r="IZ479" s="77"/>
      <c r="JA479" s="77"/>
      <c r="JB479" s="77"/>
      <c r="JC479" s="77"/>
      <c r="JD479" s="77"/>
      <c r="JE479" s="77"/>
      <c r="JF479" s="77"/>
      <c r="JG479" s="77"/>
      <c r="JH479" s="77"/>
      <c r="JI479" s="77"/>
      <c r="JJ479" s="77"/>
      <c r="JK479" s="77"/>
      <c r="JL479" s="77"/>
      <c r="JM479" s="77"/>
      <c r="JN479" s="77"/>
      <c r="JO479" s="77"/>
      <c r="JP479" s="77"/>
      <c r="JQ479" s="77"/>
      <c r="JR479" s="77"/>
      <c r="JS479" s="77"/>
      <c r="JT479" s="77"/>
      <c r="JU479" s="77"/>
      <c r="JV479" s="77"/>
      <c r="JW479" s="77"/>
      <c r="JX479" s="77"/>
      <c r="JY479" s="77"/>
      <c r="JZ479" s="77"/>
      <c r="KA479" s="77"/>
      <c r="KB479" s="77"/>
      <c r="KC479" s="77"/>
      <c r="KD479" s="77"/>
      <c r="KE479" s="77"/>
      <c r="KF479" s="77"/>
      <c r="KG479" s="77"/>
      <c r="KH479" s="77"/>
      <c r="KI479" s="77"/>
      <c r="KJ479" s="77"/>
      <c r="KK479" s="77"/>
      <c r="KL479" s="77"/>
      <c r="KM479" s="77"/>
      <c r="KN479" s="77"/>
      <c r="KO479" s="77"/>
      <c r="KP479" s="77"/>
      <c r="KQ479" s="77"/>
      <c r="KR479" s="77"/>
      <c r="KS479" s="77"/>
      <c r="KT479" s="77"/>
      <c r="KU479" s="77"/>
      <c r="KV479" s="77"/>
      <c r="KW479" s="77"/>
      <c r="KX479" s="77"/>
      <c r="KY479" s="77"/>
      <c r="KZ479" s="77"/>
      <c r="LA479" s="77"/>
      <c r="LB479" s="77"/>
      <c r="LC479" s="77"/>
      <c r="LD479" s="77"/>
      <c r="LE479" s="77"/>
      <c r="LF479" s="77"/>
      <c r="LG479" s="77"/>
      <c r="LH479" s="77"/>
      <c r="LI479" s="77"/>
      <c r="LJ479" s="77"/>
      <c r="LK479" s="77"/>
      <c r="LL479" s="77"/>
      <c r="LM479" s="77"/>
      <c r="LN479" s="77"/>
      <c r="LO479" s="77"/>
      <c r="LP479" s="77"/>
      <c r="LQ479" s="77"/>
      <c r="LR479" s="77"/>
      <c r="LS479" s="77"/>
      <c r="LT479" s="77"/>
      <c r="LU479" s="77"/>
      <c r="LV479" s="77"/>
      <c r="MS479" s="77"/>
    </row>
    <row r="480" spans="1:368" ht="18.600000000000001" customHeight="1" x14ac:dyDescent="0.25">
      <c r="A480" s="119" t="s">
        <v>608</v>
      </c>
      <c r="B480" s="27" t="s">
        <v>2500</v>
      </c>
      <c r="C480" s="27"/>
      <c r="D480" s="30" t="str">
        <f>HYPERLINK("https://twitter.com/ComunicadosHN","https://twitter.com/ComunicadosHN")</f>
        <v>https://twitter.com/ComunicadosHN</v>
      </c>
      <c r="E480" s="30" t="str">
        <f>HYPERLINK("http://twiplomacy.com/info/north-america/Honduras","http://twiplomacy.com/info/north-america/Honduras")</f>
        <v>http://twiplomacy.com/info/north-america/Honduras</v>
      </c>
      <c r="F480" s="10" t="s">
        <v>558</v>
      </c>
      <c r="G480" s="10" t="s">
        <v>603</v>
      </c>
      <c r="H480" s="10" t="s">
        <v>788</v>
      </c>
      <c r="I480" s="10" t="s">
        <v>782</v>
      </c>
      <c r="J480" s="27" t="s">
        <v>789</v>
      </c>
      <c r="K480" s="15" t="s">
        <v>2501</v>
      </c>
      <c r="L480" s="10" t="s">
        <v>771</v>
      </c>
      <c r="M480" s="10" t="s">
        <v>771</v>
      </c>
      <c r="N480" s="30" t="str">
        <f>HYPERLINK("https://twitter.com/ComunicadosHN/statuses/54954656006287360","https://twitter.com/ComunicadosHN/statuses/54954656006287360")</f>
        <v>https://twitter.com/ComunicadosHN/statuses/54954656006287360</v>
      </c>
      <c r="O480" s="27" t="s">
        <v>5784</v>
      </c>
      <c r="P480" s="80">
        <v>5</v>
      </c>
      <c r="Q480" s="80">
        <v>1</v>
      </c>
      <c r="R480" s="27" t="s">
        <v>2995</v>
      </c>
      <c r="S480" s="10" t="s">
        <v>2502</v>
      </c>
      <c r="T480" s="10" t="s">
        <v>771</v>
      </c>
      <c r="U480" s="10" t="s">
        <v>771</v>
      </c>
      <c r="V480" s="10" t="s">
        <v>771</v>
      </c>
      <c r="W480" s="10"/>
      <c r="X480" s="27" t="s">
        <v>608</v>
      </c>
      <c r="Y480" s="27" t="s">
        <v>2500</v>
      </c>
      <c r="Z480" s="80">
        <v>824</v>
      </c>
      <c r="AA480" s="27">
        <v>1</v>
      </c>
      <c r="AB480" s="80">
        <v>1825</v>
      </c>
      <c r="AC480" s="27">
        <v>0</v>
      </c>
      <c r="AD480" s="27" t="s">
        <v>3590</v>
      </c>
      <c r="AE480" s="27">
        <v>277030216</v>
      </c>
      <c r="AF480" s="27"/>
      <c r="AG480" s="27" t="s">
        <v>603</v>
      </c>
      <c r="AH480" s="79">
        <v>0.44420485175202201</v>
      </c>
      <c r="AI480" s="83">
        <v>0.51467832604622099</v>
      </c>
      <c r="AJ480" s="80">
        <v>0.101941747572816</v>
      </c>
      <c r="AK480" s="80">
        <v>1.45631067961165E-2</v>
      </c>
      <c r="AL480" s="27">
        <v>1</v>
      </c>
      <c r="AM480" s="97">
        <f>SUM(AL480/Z480)</f>
        <v>1.2135922330097086E-3</v>
      </c>
      <c r="AN480" s="27" t="s">
        <v>608</v>
      </c>
      <c r="AO480" s="27">
        <v>0</v>
      </c>
      <c r="AP480" s="27">
        <v>3</v>
      </c>
      <c r="AQ480" s="27">
        <v>0</v>
      </c>
      <c r="AR480" s="27">
        <f>SUM(AO480:AQ480)</f>
        <v>3</v>
      </c>
      <c r="AS480" s="27"/>
      <c r="AT480" s="27" t="s">
        <v>5047</v>
      </c>
      <c r="AU480" s="84"/>
      <c r="BQ480" s="77"/>
      <c r="BR480" s="77"/>
      <c r="BS480" s="77"/>
      <c r="BT480" s="77"/>
      <c r="BU480" s="77"/>
      <c r="BV480" s="77"/>
      <c r="BW480" s="77"/>
      <c r="BX480" s="77"/>
      <c r="BY480" s="77"/>
      <c r="BZ480" s="77"/>
      <c r="CA480" s="77"/>
      <c r="CB480" s="77"/>
      <c r="CC480" s="77"/>
      <c r="CD480" s="77"/>
      <c r="CE480" s="77"/>
      <c r="CF480" s="77"/>
      <c r="CG480" s="77"/>
      <c r="CH480" s="77"/>
      <c r="CI480" s="77"/>
      <c r="CJ480" s="77"/>
      <c r="CK480" s="77"/>
      <c r="CL480" s="77"/>
      <c r="CM480" s="77"/>
      <c r="CN480" s="77"/>
      <c r="CO480" s="77"/>
      <c r="CP480" s="77"/>
      <c r="CQ480" s="77"/>
      <c r="CR480" s="77"/>
      <c r="CS480" s="77"/>
      <c r="CT480" s="77"/>
      <c r="CU480" s="77"/>
      <c r="CV480" s="77"/>
      <c r="CW480" s="77"/>
      <c r="CX480" s="77"/>
      <c r="CY480" s="77"/>
      <c r="CZ480" s="77"/>
      <c r="DA480" s="77"/>
      <c r="DB480" s="77"/>
      <c r="DC480" s="77"/>
      <c r="DD480" s="77"/>
      <c r="DE480" s="77"/>
      <c r="DF480" s="77"/>
      <c r="DG480" s="77"/>
      <c r="DH480" s="77"/>
      <c r="DI480" s="77"/>
      <c r="DJ480" s="77"/>
      <c r="DK480" s="77"/>
      <c r="DL480" s="77"/>
      <c r="DM480" s="77"/>
      <c r="DN480" s="77"/>
      <c r="DO480" s="77"/>
      <c r="DP480" s="77"/>
      <c r="DQ480" s="77"/>
      <c r="DR480" s="77"/>
      <c r="DS480" s="77"/>
      <c r="DT480" s="77"/>
      <c r="DU480" s="77"/>
      <c r="DV480" s="77"/>
      <c r="DW480" s="77"/>
      <c r="DX480" s="77"/>
      <c r="DY480" s="77"/>
      <c r="DZ480" s="77"/>
      <c r="EA480" s="77"/>
      <c r="EB480" s="77"/>
      <c r="EC480" s="77"/>
      <c r="ED480" s="77"/>
      <c r="EE480" s="77"/>
      <c r="EF480" s="77"/>
      <c r="EG480" s="77"/>
      <c r="EH480" s="77"/>
      <c r="EI480" s="77"/>
      <c r="EJ480" s="77"/>
      <c r="EK480" s="77"/>
      <c r="EL480" s="77"/>
      <c r="EM480" s="77"/>
      <c r="EN480" s="77"/>
      <c r="EO480" s="77"/>
      <c r="EP480" s="77"/>
      <c r="EQ480" s="77"/>
      <c r="ER480" s="77"/>
      <c r="ES480" s="77"/>
      <c r="ET480" s="77"/>
      <c r="EU480" s="77"/>
      <c r="EV480" s="77"/>
      <c r="EW480" s="77"/>
      <c r="EX480" s="77"/>
      <c r="EY480" s="77"/>
      <c r="EZ480" s="77"/>
      <c r="FA480" s="77"/>
      <c r="FB480" s="77"/>
      <c r="FC480" s="77"/>
      <c r="FD480" s="77"/>
      <c r="FE480" s="77"/>
      <c r="FF480" s="77"/>
      <c r="FG480" s="77"/>
      <c r="FH480" s="77"/>
      <c r="FI480" s="77"/>
      <c r="FJ480" s="77"/>
      <c r="FK480" s="77"/>
      <c r="FL480" s="77"/>
      <c r="FM480" s="77"/>
      <c r="FN480" s="77"/>
      <c r="FO480" s="77"/>
      <c r="FP480" s="77"/>
      <c r="FQ480" s="77"/>
      <c r="FR480" s="77"/>
      <c r="FS480" s="77"/>
      <c r="FT480" s="77"/>
      <c r="FU480" s="77"/>
      <c r="FV480" s="77"/>
      <c r="FW480" s="77"/>
      <c r="FX480" s="77"/>
      <c r="FY480" s="77"/>
      <c r="FZ480" s="77"/>
      <c r="GA480" s="77"/>
      <c r="GB480" s="77"/>
      <c r="GC480" s="77"/>
      <c r="GD480" s="77"/>
      <c r="GE480" s="77"/>
      <c r="GF480" s="77"/>
      <c r="GG480" s="77"/>
      <c r="GH480" s="77"/>
      <c r="GI480" s="77"/>
      <c r="GJ480" s="77"/>
      <c r="GK480" s="77"/>
      <c r="HL480" s="77"/>
      <c r="HM480" s="77"/>
      <c r="HN480" s="77"/>
      <c r="HO480" s="77"/>
      <c r="HP480" s="77"/>
      <c r="HQ480" s="77"/>
      <c r="HR480" s="77"/>
      <c r="HS480" s="77"/>
      <c r="HT480" s="77"/>
      <c r="HU480" s="77"/>
      <c r="HV480" s="77"/>
      <c r="HW480" s="77"/>
      <c r="HX480" s="77"/>
      <c r="HY480" s="77"/>
      <c r="HZ480" s="77"/>
      <c r="IA480" s="77"/>
      <c r="IB480" s="77"/>
      <c r="IC480" s="77"/>
      <c r="ID480" s="77"/>
      <c r="IE480" s="77"/>
      <c r="IF480" s="77"/>
      <c r="IG480" s="77"/>
      <c r="IH480" s="77"/>
      <c r="II480" s="77"/>
      <c r="IJ480" s="77"/>
      <c r="IK480" s="77"/>
      <c r="IL480" s="77"/>
      <c r="IM480" s="77"/>
      <c r="IN480" s="77"/>
      <c r="IO480" s="77"/>
      <c r="IP480" s="77"/>
      <c r="IQ480" s="77"/>
      <c r="IR480" s="77"/>
      <c r="IS480" s="77"/>
      <c r="IT480" s="77"/>
      <c r="IU480" s="77"/>
      <c r="IV480" s="77"/>
      <c r="IW480" s="77"/>
      <c r="IX480" s="77"/>
      <c r="IY480" s="77"/>
      <c r="IZ480" s="77"/>
      <c r="JA480" s="77"/>
      <c r="JB480" s="77"/>
      <c r="JC480" s="77"/>
      <c r="JD480" s="77"/>
      <c r="JE480" s="77"/>
      <c r="JF480" s="77"/>
      <c r="JG480" s="77"/>
      <c r="JH480" s="77"/>
      <c r="JI480" s="77"/>
      <c r="JJ480" s="77"/>
      <c r="JK480" s="77"/>
      <c r="JL480" s="77"/>
      <c r="JM480" s="77"/>
      <c r="JN480" s="77"/>
      <c r="JO480" s="77"/>
      <c r="JP480" s="77"/>
      <c r="JQ480" s="77"/>
      <c r="JR480" s="77"/>
      <c r="JS480" s="77"/>
      <c r="JT480" s="77"/>
      <c r="JU480" s="77"/>
      <c r="JV480" s="77"/>
      <c r="JW480" s="77"/>
      <c r="JX480" s="77"/>
      <c r="ND480" s="77"/>
    </row>
    <row r="481" spans="1:367" ht="18.600000000000001" customHeight="1" x14ac:dyDescent="0.25">
      <c r="A481" s="119" t="s">
        <v>212</v>
      </c>
      <c r="B481" s="27" t="s">
        <v>1370</v>
      </c>
      <c r="C481" s="27"/>
      <c r="D481" s="30" t="str">
        <f>HYPERLINK("https://twitter.com/rubirivlin","https://twitter.com/rubirivlin")</f>
        <v>https://twitter.com/rubirivlin</v>
      </c>
      <c r="E481" s="30" t="str">
        <f>HYPERLINK("http://twiplomacy.com/info/asia/Israel","http://twiplomacy.com/info/asia/Israel")</f>
        <v>http://twiplomacy.com/info/asia/Israel</v>
      </c>
      <c r="F481" s="10" t="s">
        <v>154</v>
      </c>
      <c r="G481" s="10" t="s">
        <v>207</v>
      </c>
      <c r="H481" s="10" t="s">
        <v>772</v>
      </c>
      <c r="I481" s="10" t="s">
        <v>773</v>
      </c>
      <c r="J481" s="27" t="s">
        <v>1372</v>
      </c>
      <c r="K481" s="10" t="s">
        <v>777</v>
      </c>
      <c r="L481" s="10" t="s">
        <v>1114</v>
      </c>
      <c r="M481" s="10" t="s">
        <v>771</v>
      </c>
      <c r="N481" s="30" t="str">
        <f>HYPERLINK("https://twitter.com/rubirivlin/status/258476207287451648","https://twitter.com/rubirivlin/status/258476207287451648")</f>
        <v>https://twitter.com/rubirivlin/status/258476207287451648</v>
      </c>
      <c r="O481" s="27" t="s">
        <v>6075</v>
      </c>
      <c r="P481" s="80">
        <v>53</v>
      </c>
      <c r="Q481" s="80">
        <v>0</v>
      </c>
      <c r="R481" s="27" t="s">
        <v>2995</v>
      </c>
      <c r="S481" s="30" t="str">
        <f>HYPERLINK("https://twitter.com/rubirivlin/lists","https://twitter.com/rubirivlin/lists")</f>
        <v>https://twitter.com/rubirivlin/lists</v>
      </c>
      <c r="T481" s="10" t="s">
        <v>771</v>
      </c>
      <c r="U481" s="10">
        <v>1</v>
      </c>
      <c r="V481" s="10" t="s">
        <v>771</v>
      </c>
      <c r="W481" s="10"/>
      <c r="X481" s="27" t="s">
        <v>212</v>
      </c>
      <c r="Y481" s="27" t="s">
        <v>1370</v>
      </c>
      <c r="Z481" s="80">
        <v>821</v>
      </c>
      <c r="AA481" s="27">
        <v>126</v>
      </c>
      <c r="AB481" s="80">
        <v>14011</v>
      </c>
      <c r="AC481" s="27">
        <v>20</v>
      </c>
      <c r="AD481" s="27" t="s">
        <v>4434</v>
      </c>
      <c r="AE481" s="27">
        <v>886335560</v>
      </c>
      <c r="AF481" s="27"/>
      <c r="AG481" s="27" t="s">
        <v>1371</v>
      </c>
      <c r="AH481" s="79">
        <v>0.63495746326372804</v>
      </c>
      <c r="AI481" s="83">
        <v>0.63544891640866896</v>
      </c>
      <c r="AJ481" s="80">
        <v>1.5864197530864199</v>
      </c>
      <c r="AK481" s="80">
        <v>8.7506172839506196</v>
      </c>
      <c r="AL481" s="27">
        <v>40</v>
      </c>
      <c r="AM481" s="97">
        <f>SUM(AL481/Z481)</f>
        <v>4.8721071863580996E-2</v>
      </c>
      <c r="AN481" s="27" t="s">
        <v>212</v>
      </c>
      <c r="AO481" s="27">
        <v>1</v>
      </c>
      <c r="AP481" s="27">
        <v>2</v>
      </c>
      <c r="AQ481" s="27">
        <v>0</v>
      </c>
      <c r="AR481" s="27">
        <f>SUM(AO481:AQ481)</f>
        <v>3</v>
      </c>
      <c r="AS481" s="27" t="s">
        <v>209</v>
      </c>
      <c r="AT481" s="27" t="s">
        <v>5475</v>
      </c>
      <c r="AU481" s="84"/>
      <c r="BQ481" s="77"/>
      <c r="BR481" s="77"/>
      <c r="BS481" s="77"/>
      <c r="BT481" s="77"/>
      <c r="BU481" s="77"/>
      <c r="BV481" s="77"/>
      <c r="BW481" s="77"/>
      <c r="BX481" s="77"/>
      <c r="BY481" s="77"/>
      <c r="BZ481" s="77"/>
      <c r="CA481" s="77"/>
      <c r="CB481" s="77"/>
      <c r="CC481" s="77"/>
      <c r="CD481" s="77"/>
      <c r="CE481" s="77"/>
      <c r="CF481" s="77"/>
      <c r="CG481" s="77"/>
      <c r="CH481" s="77"/>
      <c r="CI481" s="77"/>
      <c r="CJ481" s="77"/>
      <c r="CK481" s="77"/>
      <c r="CL481" s="77"/>
      <c r="CM481" s="77"/>
      <c r="CN481" s="77"/>
      <c r="CO481" s="77"/>
      <c r="CP481" s="77"/>
      <c r="CQ481" s="77"/>
      <c r="CR481" s="77"/>
      <c r="CS481" s="77"/>
      <c r="CT481" s="77"/>
      <c r="CU481" s="77"/>
      <c r="CV481" s="77"/>
      <c r="CW481" s="77"/>
      <c r="CX481" s="77"/>
      <c r="CY481" s="77"/>
      <c r="CZ481" s="77"/>
      <c r="DA481" s="77"/>
      <c r="DB481" s="77"/>
      <c r="DC481" s="77"/>
      <c r="DD481" s="77"/>
      <c r="DE481" s="77"/>
      <c r="DF481" s="77"/>
      <c r="DG481" s="77"/>
      <c r="DH481" s="77"/>
      <c r="DI481" s="77"/>
      <c r="DJ481" s="77"/>
      <c r="DK481" s="77"/>
      <c r="DL481" s="77"/>
      <c r="DM481" s="77"/>
      <c r="DN481" s="77"/>
      <c r="DO481" s="77"/>
      <c r="DP481" s="77"/>
      <c r="DQ481" s="77"/>
      <c r="DR481" s="77"/>
      <c r="DS481" s="77"/>
      <c r="DT481" s="77"/>
      <c r="DU481" s="77"/>
      <c r="DV481" s="77"/>
      <c r="DW481" s="77"/>
      <c r="DX481" s="77"/>
      <c r="DY481" s="77"/>
      <c r="DZ481" s="77"/>
      <c r="EA481" s="77"/>
      <c r="EB481" s="77"/>
      <c r="EC481" s="77"/>
      <c r="ED481" s="77"/>
      <c r="EE481" s="77"/>
      <c r="EF481" s="77"/>
      <c r="EG481" s="77"/>
      <c r="EH481" s="77"/>
      <c r="EI481" s="77"/>
      <c r="EJ481" s="77"/>
      <c r="EK481" s="77"/>
      <c r="EL481" s="77"/>
      <c r="EM481" s="77"/>
      <c r="EN481" s="77"/>
      <c r="EO481" s="77"/>
      <c r="EQ481" s="77"/>
      <c r="ER481" s="77"/>
      <c r="ES481" s="77"/>
      <c r="ET481" s="77"/>
      <c r="EU481" s="77"/>
      <c r="EV481" s="77"/>
      <c r="EW481" s="77"/>
      <c r="EX481" s="77"/>
      <c r="EY481" s="77"/>
      <c r="EZ481" s="77"/>
      <c r="FA481" s="77"/>
      <c r="FB481" s="77"/>
      <c r="FC481" s="77"/>
      <c r="FD481" s="77"/>
      <c r="FE481" s="77"/>
      <c r="FF481" s="77"/>
      <c r="FG481" s="77"/>
      <c r="FH481" s="77"/>
      <c r="FI481" s="77"/>
      <c r="FJ481" s="77"/>
      <c r="FK481" s="77"/>
      <c r="FL481" s="77"/>
      <c r="FM481" s="77"/>
      <c r="FN481" s="77"/>
      <c r="FO481" s="77"/>
      <c r="FP481" s="77"/>
      <c r="FQ481" s="77"/>
      <c r="FR481" s="77"/>
      <c r="FS481" s="77"/>
      <c r="FT481" s="77"/>
      <c r="FU481" s="77"/>
      <c r="FV481" s="77"/>
      <c r="FW481" s="77"/>
      <c r="FX481" s="77"/>
      <c r="FY481" s="77"/>
      <c r="FZ481" s="77"/>
      <c r="GA481" s="77"/>
      <c r="GB481" s="77"/>
      <c r="GC481" s="77"/>
      <c r="GD481" s="77"/>
      <c r="GE481" s="77"/>
      <c r="GF481" s="77"/>
      <c r="GG481" s="77"/>
      <c r="GH481" s="77"/>
      <c r="GI481" s="77"/>
      <c r="GJ481" s="77"/>
      <c r="GK481" s="77"/>
      <c r="GL481" s="77"/>
      <c r="GM481" s="77"/>
      <c r="GN481" s="77"/>
      <c r="GO481" s="77"/>
      <c r="GP481" s="77"/>
      <c r="GQ481" s="77"/>
      <c r="GR481" s="77"/>
      <c r="GS481" s="77"/>
      <c r="GT481" s="77"/>
      <c r="GU481" s="77"/>
      <c r="GV481" s="77"/>
      <c r="GW481" s="77"/>
      <c r="GX481" s="77"/>
      <c r="GY481" s="77"/>
      <c r="GZ481" s="77"/>
      <c r="HA481" s="77"/>
      <c r="HB481" s="77"/>
      <c r="HC481" s="77"/>
      <c r="HD481" s="77"/>
      <c r="HE481" s="77"/>
      <c r="HF481" s="77"/>
      <c r="HG481" s="77"/>
      <c r="HH481" s="77"/>
      <c r="HI481" s="77"/>
      <c r="HJ481" s="77"/>
      <c r="HK481" s="77"/>
      <c r="HL481" s="77"/>
      <c r="HM481" s="77"/>
      <c r="HN481" s="77"/>
      <c r="HO481" s="77"/>
      <c r="HP481" s="77"/>
      <c r="HQ481" s="77"/>
      <c r="HR481" s="77"/>
      <c r="HS481" s="77"/>
      <c r="HT481" s="77"/>
      <c r="HU481" s="77"/>
      <c r="HV481" s="77"/>
      <c r="HW481" s="77"/>
      <c r="HX481" s="77"/>
      <c r="HY481" s="77"/>
      <c r="HZ481" s="77"/>
      <c r="IA481" s="77"/>
      <c r="IB481" s="77"/>
      <c r="IC481" s="77"/>
      <c r="ID481" s="77"/>
      <c r="IE481" s="77"/>
      <c r="IF481" s="77"/>
      <c r="IG481" s="77"/>
      <c r="IH481" s="77"/>
      <c r="II481" s="77"/>
      <c r="IJ481" s="77"/>
      <c r="IK481" s="77"/>
      <c r="IL481" s="77"/>
      <c r="IM481" s="77"/>
      <c r="IN481" s="77"/>
      <c r="IO481" s="77"/>
      <c r="IP481" s="77"/>
      <c r="IQ481" s="77"/>
      <c r="IR481" s="77"/>
      <c r="IS481" s="77"/>
      <c r="IT481" s="77"/>
      <c r="IU481" s="77"/>
      <c r="IV481" s="77"/>
      <c r="IW481" s="77"/>
      <c r="IX481" s="77"/>
      <c r="IY481" s="77"/>
      <c r="IZ481" s="77"/>
      <c r="JA481" s="77"/>
      <c r="JB481" s="77"/>
      <c r="JC481" s="77"/>
      <c r="JD481" s="77"/>
      <c r="JE481" s="77"/>
      <c r="JF481" s="77"/>
      <c r="JG481" s="77"/>
      <c r="JH481" s="77"/>
      <c r="JI481" s="77"/>
      <c r="JJ481" s="77"/>
      <c r="JK481" s="77"/>
      <c r="JL481" s="77"/>
      <c r="JM481" s="77"/>
      <c r="JN481" s="77"/>
      <c r="JO481" s="77"/>
      <c r="JP481" s="77"/>
      <c r="JQ481" s="77"/>
      <c r="JR481" s="77"/>
      <c r="JS481" s="77"/>
      <c r="JT481" s="77"/>
      <c r="JU481" s="77"/>
      <c r="JV481" s="77"/>
      <c r="JW481" s="77"/>
      <c r="JX481" s="77"/>
      <c r="JY481" s="77"/>
      <c r="JZ481" s="77"/>
      <c r="KA481" s="77"/>
      <c r="KB481" s="77"/>
      <c r="KC481" s="77"/>
      <c r="KD481" s="77"/>
      <c r="KE481" s="77"/>
      <c r="KF481" s="77"/>
      <c r="KG481" s="77"/>
      <c r="KH481" s="77"/>
      <c r="KI481" s="77"/>
      <c r="KJ481" s="77"/>
      <c r="KK481" s="77"/>
      <c r="KL481" s="77"/>
      <c r="KM481" s="77"/>
      <c r="KN481" s="77"/>
      <c r="KO481" s="77"/>
      <c r="KP481" s="77"/>
      <c r="KQ481" s="77"/>
      <c r="KR481" s="77"/>
      <c r="KS481" s="77"/>
      <c r="KT481" s="77"/>
      <c r="KU481" s="77"/>
      <c r="KV481" s="77"/>
      <c r="KW481" s="77"/>
      <c r="KX481" s="77"/>
      <c r="KY481" s="77"/>
      <c r="KZ481" s="77"/>
      <c r="LA481" s="77"/>
      <c r="LB481" s="77"/>
      <c r="LC481" s="77"/>
      <c r="LD481" s="77"/>
      <c r="LE481" s="77"/>
      <c r="LF481" s="77"/>
      <c r="LG481" s="77"/>
      <c r="LH481" s="77"/>
      <c r="LI481" s="77"/>
      <c r="LJ481" s="77"/>
      <c r="LK481" s="77"/>
      <c r="MT481" s="77"/>
      <c r="MU481" s="77"/>
      <c r="MV481" s="77"/>
      <c r="MW481" s="77"/>
      <c r="MX481" s="77"/>
      <c r="MY481" s="77"/>
      <c r="MZ481" s="77"/>
      <c r="NA481" s="77"/>
      <c r="NB481" s="77"/>
      <c r="NC481" s="77"/>
    </row>
    <row r="482" spans="1:367" ht="18.600000000000001" customHeight="1" x14ac:dyDescent="0.25">
      <c r="A482" s="119" t="s">
        <v>274</v>
      </c>
      <c r="B482" s="27" t="s">
        <v>1564</v>
      </c>
      <c r="C482" s="27" t="s">
        <v>1565</v>
      </c>
      <c r="D482" s="30" t="str">
        <f>HYPERLINK("https://twitter.com/dfaspokesperson","https://twitter.com/dfaspokesperson")</f>
        <v>https://twitter.com/dfaspokesperson</v>
      </c>
      <c r="E482" s="30" t="str">
        <f>HYPERLINK("http://twiplomacy.com/info/asia/Philippines","http://twiplomacy.com/info/asia/Philippines")</f>
        <v>http://twiplomacy.com/info/asia/Philippines</v>
      </c>
      <c r="F482" s="10" t="s">
        <v>154</v>
      </c>
      <c r="G482" s="10" t="s">
        <v>271</v>
      </c>
      <c r="H482" s="10" t="s">
        <v>795</v>
      </c>
      <c r="I482" s="10" t="s">
        <v>782</v>
      </c>
      <c r="J482" s="27" t="s">
        <v>789</v>
      </c>
      <c r="K482" s="15" t="s">
        <v>777</v>
      </c>
      <c r="L482" s="10" t="s">
        <v>771</v>
      </c>
      <c r="M482" s="10" t="s">
        <v>770</v>
      </c>
      <c r="N482" s="30" t="str">
        <f>HYPERLINK("https://twitter.com/dfaspokesperson/statuses/248716232650530817","https://twitter.com/dfaspokesperson/statuses/248716232650530817")</f>
        <v>https://twitter.com/dfaspokesperson/statuses/248716232650530817</v>
      </c>
      <c r="O482" s="27" t="s">
        <v>5796</v>
      </c>
      <c r="P482" s="80">
        <v>70</v>
      </c>
      <c r="Q482" s="80">
        <v>8</v>
      </c>
      <c r="R482" s="27" t="s">
        <v>2995</v>
      </c>
      <c r="S482" s="10" t="s">
        <v>1566</v>
      </c>
      <c r="T482" s="10" t="s">
        <v>771</v>
      </c>
      <c r="U482" s="10" t="s">
        <v>771</v>
      </c>
      <c r="V482" s="10" t="s">
        <v>771</v>
      </c>
      <c r="W482" s="10"/>
      <c r="X482" s="27" t="s">
        <v>274</v>
      </c>
      <c r="Y482" s="27" t="s">
        <v>1564</v>
      </c>
      <c r="Z482" s="80">
        <v>817</v>
      </c>
      <c r="AA482" s="27">
        <v>130</v>
      </c>
      <c r="AB482" s="80">
        <v>16892</v>
      </c>
      <c r="AC482" s="27">
        <v>6</v>
      </c>
      <c r="AD482" s="27" t="s">
        <v>3607</v>
      </c>
      <c r="AE482" s="27">
        <v>744162290</v>
      </c>
      <c r="AF482" s="27" t="s">
        <v>1565</v>
      </c>
      <c r="AG482" s="27"/>
      <c r="AH482" s="79">
        <v>0.59941305942773304</v>
      </c>
      <c r="AI482" s="83">
        <v>0.62034927866362899</v>
      </c>
      <c r="AJ482" s="80">
        <v>5.52297297297297</v>
      </c>
      <c r="AK482" s="80">
        <v>1.6256756756756801</v>
      </c>
      <c r="AL482" s="27">
        <v>74</v>
      </c>
      <c r="AM482" s="97">
        <f>SUM(AL482/Z482)</f>
        <v>9.057527539779682E-2</v>
      </c>
      <c r="AN482" s="27" t="s">
        <v>274</v>
      </c>
      <c r="AO482" s="27">
        <v>1</v>
      </c>
      <c r="AP482" s="27">
        <v>24</v>
      </c>
      <c r="AQ482" s="27">
        <v>2</v>
      </c>
      <c r="AR482" s="27">
        <f>SUM(AO482:AQ482)</f>
        <v>27</v>
      </c>
      <c r="AS482" s="27" t="s">
        <v>273</v>
      </c>
      <c r="AT482" s="27" t="s">
        <v>6699</v>
      </c>
      <c r="AU482" s="84" t="s">
        <v>6479</v>
      </c>
      <c r="AV482" s="77"/>
      <c r="AW482" s="77"/>
      <c r="AX482" s="77"/>
      <c r="AY482" s="77"/>
      <c r="AZ482" s="77"/>
      <c r="BA482" s="77"/>
      <c r="BB482" s="77"/>
      <c r="BC482" s="77"/>
      <c r="BD482" s="77"/>
      <c r="BE482" s="77"/>
      <c r="BF482" s="77"/>
      <c r="BG482" s="77"/>
      <c r="BH482" s="77"/>
      <c r="BI482" s="77"/>
      <c r="BJ482" s="77"/>
      <c r="BK482" s="77"/>
      <c r="BL482" s="77"/>
      <c r="BM482" s="77"/>
      <c r="BN482" s="77"/>
      <c r="BO482" s="77"/>
      <c r="BP482" s="77"/>
      <c r="BQ482" s="16"/>
      <c r="BR482" s="16"/>
      <c r="BS482" s="16"/>
      <c r="BT482" s="16"/>
      <c r="BU482" s="16"/>
      <c r="BV482" s="16"/>
      <c r="BW482" s="16"/>
      <c r="BX482" s="16"/>
      <c r="BY482" s="16"/>
      <c r="BZ482" s="16"/>
      <c r="CA482" s="16"/>
      <c r="CB482" s="16"/>
      <c r="CC482" s="77"/>
      <c r="CD482" s="77"/>
      <c r="CE482" s="77"/>
      <c r="CF482" s="77"/>
      <c r="CG482" s="77"/>
      <c r="CH482" s="77"/>
      <c r="CI482" s="77"/>
      <c r="CJ482" s="77"/>
      <c r="CX482" s="77"/>
      <c r="CY482" s="77"/>
      <c r="CZ482" s="77"/>
      <c r="DA482" s="77"/>
      <c r="DB482" s="77"/>
      <c r="DC482" s="77"/>
      <c r="DD482" s="77"/>
      <c r="DE482" s="77"/>
      <c r="DF482" s="77"/>
      <c r="DG482" s="77"/>
      <c r="DH482" s="77"/>
      <c r="DI482" s="77"/>
      <c r="DJ482" s="77"/>
      <c r="DK482" s="77"/>
      <c r="DL482" s="77"/>
      <c r="DM482" s="77"/>
      <c r="DN482" s="77"/>
      <c r="DO482" s="77"/>
      <c r="DP482" s="77"/>
      <c r="DQ482" s="77"/>
      <c r="DR482" s="77"/>
      <c r="DS482" s="77"/>
      <c r="DT482" s="77"/>
      <c r="DU482" s="77"/>
      <c r="DV482" s="77"/>
      <c r="DW482" s="77"/>
      <c r="DX482" s="77"/>
      <c r="DY482" s="77"/>
      <c r="DZ482" s="77"/>
      <c r="EA482" s="77"/>
      <c r="EB482" s="77"/>
      <c r="EC482" s="77"/>
      <c r="ED482" s="77"/>
      <c r="EE482" s="77"/>
      <c r="EF482" s="77"/>
      <c r="EG482" s="77"/>
      <c r="EH482" s="77"/>
      <c r="EI482" s="77"/>
      <c r="EJ482" s="77"/>
      <c r="EK482" s="77"/>
      <c r="EL482" s="77"/>
      <c r="EM482" s="77"/>
      <c r="EN482" s="77"/>
      <c r="EO482" s="77"/>
      <c r="EQ482" s="77"/>
      <c r="ER482" s="77"/>
      <c r="ES482" s="77"/>
      <c r="ET482" s="77"/>
      <c r="EU482" s="77"/>
      <c r="EV482" s="77"/>
      <c r="EW482" s="77"/>
      <c r="EX482" s="77"/>
      <c r="EY482" s="77"/>
      <c r="EZ482" s="77"/>
      <c r="FA482" s="77"/>
      <c r="FB482" s="77"/>
      <c r="FC482" s="77"/>
      <c r="FD482" s="77"/>
      <c r="FE482" s="77"/>
      <c r="FF482" s="77"/>
      <c r="FG482" s="77"/>
      <c r="FH482" s="77"/>
      <c r="FI482" s="77"/>
      <c r="FJ482" s="77"/>
      <c r="FK482" s="77"/>
      <c r="FL482" s="77"/>
      <c r="FM482" s="77"/>
      <c r="FN482" s="77"/>
      <c r="FO482" s="77"/>
      <c r="FP482" s="77"/>
      <c r="FQ482" s="77"/>
      <c r="FR482" s="77"/>
      <c r="FS482" s="77"/>
      <c r="FT482" s="77"/>
      <c r="FU482" s="77"/>
      <c r="FV482" s="77"/>
      <c r="FW482" s="77"/>
      <c r="FX482" s="77"/>
      <c r="FY482" s="77"/>
      <c r="FZ482" s="77"/>
      <c r="GA482" s="77"/>
      <c r="GB482" s="77"/>
      <c r="GC482" s="77"/>
      <c r="GD482" s="77"/>
      <c r="GE482" s="77"/>
      <c r="GF482" s="77"/>
      <c r="GG482" s="77"/>
      <c r="GH482" s="77"/>
      <c r="GI482" s="77"/>
      <c r="GJ482" s="77"/>
      <c r="GK482" s="77"/>
      <c r="HL482" s="77"/>
      <c r="HM482" s="77"/>
      <c r="HN482" s="77"/>
      <c r="HO482" s="77"/>
      <c r="HP482" s="77"/>
      <c r="HQ482" s="77"/>
      <c r="HR482" s="77"/>
      <c r="HS482" s="77"/>
      <c r="HT482" s="77"/>
      <c r="HU482" s="77"/>
      <c r="HV482" s="77"/>
      <c r="HW482" s="77"/>
      <c r="HX482" s="77"/>
      <c r="HY482" s="77"/>
      <c r="HZ482" s="77"/>
      <c r="IA482" s="77"/>
      <c r="IB482" s="77"/>
      <c r="IC482" s="77"/>
      <c r="ID482" s="77"/>
      <c r="IE482" s="77"/>
      <c r="IF482" s="77"/>
      <c r="IG482" s="77"/>
      <c r="IH482" s="77"/>
      <c r="II482" s="77"/>
      <c r="IJ482" s="77"/>
      <c r="IK482" s="77"/>
      <c r="IL482" s="77"/>
      <c r="IM482" s="77"/>
      <c r="IN482" s="77"/>
      <c r="IO482" s="77"/>
      <c r="IP482" s="77"/>
      <c r="IQ482" s="77"/>
      <c r="IR482" s="77"/>
      <c r="IS482" s="77"/>
      <c r="IT482" s="77"/>
      <c r="IU482" s="77"/>
      <c r="IV482" s="77"/>
      <c r="IW482" s="77"/>
      <c r="IX482" s="77"/>
      <c r="IY482" s="77"/>
      <c r="IZ482" s="77"/>
      <c r="JA482" s="77"/>
      <c r="JB482" s="77"/>
      <c r="JC482" s="77"/>
      <c r="JD482" s="77"/>
      <c r="JE482" s="77"/>
      <c r="JF482" s="77"/>
      <c r="JG482" s="77"/>
      <c r="JH482" s="77"/>
      <c r="JI482" s="77"/>
      <c r="JJ482" s="77"/>
      <c r="JK482" s="77"/>
      <c r="JL482" s="77"/>
      <c r="JM482" s="77"/>
      <c r="JN482" s="77"/>
      <c r="JO482" s="77"/>
      <c r="JP482" s="77"/>
      <c r="JQ482" s="77"/>
      <c r="JR482" s="77"/>
      <c r="JS482" s="77"/>
      <c r="JT482" s="77"/>
      <c r="JU482" s="77"/>
      <c r="JV482" s="77"/>
      <c r="JW482" s="77"/>
      <c r="JX482" s="77"/>
      <c r="LW482" s="77"/>
      <c r="LX482" s="77"/>
      <c r="MS482" s="77"/>
    </row>
    <row r="483" spans="1:367" ht="18.600000000000001" customHeight="1" x14ac:dyDescent="0.25">
      <c r="A483" s="119" t="s">
        <v>366</v>
      </c>
      <c r="B483" s="27" t="s">
        <v>1780</v>
      </c>
      <c r="C483" s="27" t="s">
        <v>1781</v>
      </c>
      <c r="D483" s="30" t="str">
        <f>HYPERLINK("https://twitter.com/Ikasoulides","https://twitter.com/IKasoulides")</f>
        <v>https://twitter.com/IKasoulides</v>
      </c>
      <c r="E483" s="30" t="str">
        <f>HYPERLINK("http://twiplomacy.com/info/europe/Cyprus","http://twiplomacy.com/info/europe/Cyprus")</f>
        <v>http://twiplomacy.com/info/europe/Cyprus</v>
      </c>
      <c r="F483" s="10" t="s">
        <v>332</v>
      </c>
      <c r="G483" s="10" t="s">
        <v>362</v>
      </c>
      <c r="H483" s="10" t="s">
        <v>860</v>
      </c>
      <c r="I483" s="10" t="s">
        <v>773</v>
      </c>
      <c r="J483" s="27" t="s">
        <v>789</v>
      </c>
      <c r="K483" s="15" t="s">
        <v>777</v>
      </c>
      <c r="L483" s="10" t="s">
        <v>771</v>
      </c>
      <c r="M483" s="10" t="s">
        <v>770</v>
      </c>
      <c r="N483" s="30" t="str">
        <f>HYPERLINK("https://twitter.com/IKasoulides/statuses/172650242108424192","https://twitter.com/IKasoulides/statuses/172650242108424192")</f>
        <v>https://twitter.com/IKasoulides/statuses/172650242108424192</v>
      </c>
      <c r="O483" s="27" t="s">
        <v>5871</v>
      </c>
      <c r="P483" s="80">
        <v>47</v>
      </c>
      <c r="Q483" s="80">
        <v>23</v>
      </c>
      <c r="R483" s="27" t="s">
        <v>2994</v>
      </c>
      <c r="S483" s="10" t="s">
        <v>1782</v>
      </c>
      <c r="T483" s="10" t="s">
        <v>771</v>
      </c>
      <c r="U483" s="10" t="s">
        <v>771</v>
      </c>
      <c r="V483" s="10" t="s">
        <v>771</v>
      </c>
      <c r="W483" s="10"/>
      <c r="X483" s="27" t="s">
        <v>366</v>
      </c>
      <c r="Y483" s="27" t="s">
        <v>1780</v>
      </c>
      <c r="Z483" s="80">
        <v>817</v>
      </c>
      <c r="AA483" s="27">
        <v>358</v>
      </c>
      <c r="AB483" s="80">
        <v>13999</v>
      </c>
      <c r="AC483" s="27">
        <v>496</v>
      </c>
      <c r="AD483" s="27" t="s">
        <v>3831</v>
      </c>
      <c r="AE483" s="27">
        <v>82059486</v>
      </c>
      <c r="AF483" s="27" t="s">
        <v>1781</v>
      </c>
      <c r="AG483" s="27" t="s">
        <v>1783</v>
      </c>
      <c r="AH483" s="79">
        <v>0.34141245298788098</v>
      </c>
      <c r="AI483" s="83">
        <v>0.53785385121790696</v>
      </c>
      <c r="AJ483" s="80">
        <v>4.3867735470941902</v>
      </c>
      <c r="AK483" s="80">
        <v>3.6072144288577199</v>
      </c>
      <c r="AL483" s="27">
        <v>31</v>
      </c>
      <c r="AM483" s="97">
        <f>SUM(AL483/Z483)</f>
        <v>3.7943696450428395E-2</v>
      </c>
      <c r="AN483" s="27" t="s">
        <v>366</v>
      </c>
      <c r="AO483" s="27">
        <v>40</v>
      </c>
      <c r="AP483" s="27">
        <v>22</v>
      </c>
      <c r="AQ483" s="27">
        <v>29</v>
      </c>
      <c r="AR483" s="27">
        <f>SUM(AO483:AQ483)</f>
        <v>91</v>
      </c>
      <c r="AS483" s="27" t="s">
        <v>5191</v>
      </c>
      <c r="AT483" s="27" t="s">
        <v>6749</v>
      </c>
      <c r="AU483" s="84" t="s">
        <v>4761</v>
      </c>
      <c r="AV483" s="77"/>
      <c r="AW483" s="77"/>
      <c r="AX483" s="77"/>
      <c r="AY483" s="77"/>
      <c r="AZ483" s="77"/>
      <c r="BA483" s="77"/>
      <c r="BB483" s="77"/>
      <c r="BC483" s="77"/>
      <c r="BD483" s="77"/>
      <c r="BE483" s="77"/>
      <c r="BF483" s="77"/>
      <c r="BG483" s="77"/>
      <c r="BH483" s="77"/>
      <c r="BI483" s="77"/>
      <c r="BJ483" s="77"/>
      <c r="BK483" s="77"/>
      <c r="BL483" s="77"/>
      <c r="BM483" s="77"/>
      <c r="BN483" s="77"/>
      <c r="BO483" s="77"/>
      <c r="BP483" s="77"/>
      <c r="BQ483" s="77"/>
      <c r="BR483" s="77"/>
      <c r="BS483" s="77"/>
      <c r="BT483" s="77"/>
      <c r="BU483" s="77"/>
      <c r="BV483" s="77"/>
      <c r="BW483" s="77"/>
      <c r="BX483" s="77"/>
      <c r="BY483" s="77"/>
      <c r="BZ483" s="77"/>
      <c r="CA483" s="77"/>
      <c r="CB483" s="77"/>
      <c r="CC483" s="77"/>
      <c r="CD483" s="77"/>
      <c r="CE483" s="77"/>
      <c r="CF483" s="77"/>
      <c r="CG483" s="77"/>
      <c r="CH483" s="77"/>
      <c r="CI483" s="77"/>
      <c r="CJ483" s="77"/>
      <c r="CK483" s="77"/>
      <c r="CL483" s="77"/>
      <c r="CM483" s="77"/>
      <c r="CN483" s="77"/>
      <c r="CO483" s="77"/>
      <c r="CP483" s="77"/>
      <c r="CQ483" s="77"/>
      <c r="CR483" s="77"/>
      <c r="CS483" s="77"/>
      <c r="CT483" s="77"/>
      <c r="CU483" s="77"/>
      <c r="CV483" s="77"/>
      <c r="CW483" s="77"/>
      <c r="EM483" s="77"/>
      <c r="EN483" s="77"/>
      <c r="EO483" s="77"/>
      <c r="EP483" s="16"/>
      <c r="EQ483" s="77"/>
      <c r="ER483" s="77"/>
      <c r="ES483" s="77"/>
      <c r="ET483" s="77"/>
      <c r="EU483" s="77"/>
      <c r="EV483" s="77"/>
      <c r="EW483" s="77"/>
      <c r="EX483" s="77"/>
      <c r="EY483" s="77"/>
      <c r="EZ483" s="77"/>
      <c r="FA483" s="77"/>
      <c r="FB483" s="77"/>
      <c r="FC483" s="77"/>
      <c r="FD483" s="77"/>
      <c r="FE483" s="77"/>
      <c r="FF483" s="77"/>
      <c r="FG483" s="77"/>
      <c r="FH483" s="77"/>
      <c r="FI483" s="77"/>
      <c r="FJ483" s="77"/>
      <c r="FK483" s="77"/>
      <c r="FL483" s="77"/>
      <c r="FM483" s="77"/>
      <c r="FN483" s="77"/>
      <c r="FO483" s="77"/>
      <c r="FP483" s="77"/>
      <c r="FQ483" s="77"/>
      <c r="FR483" s="77"/>
      <c r="FS483" s="77"/>
      <c r="FT483" s="77"/>
      <c r="FU483" s="77"/>
      <c r="FV483" s="77"/>
      <c r="FW483" s="77"/>
      <c r="FX483" s="77"/>
      <c r="FY483" s="77"/>
      <c r="FZ483" s="77"/>
      <c r="GA483" s="77"/>
      <c r="GB483" s="77"/>
      <c r="GC483" s="77"/>
      <c r="GD483" s="77"/>
      <c r="GE483" s="77"/>
      <c r="GF483" s="77"/>
      <c r="GG483" s="77"/>
      <c r="GH483" s="77"/>
      <c r="GI483" s="77"/>
      <c r="GJ483" s="77"/>
      <c r="GK483" s="77"/>
      <c r="GL483" s="77"/>
      <c r="GM483" s="77"/>
      <c r="GN483" s="77"/>
      <c r="GO483" s="77"/>
      <c r="GP483" s="77"/>
      <c r="GQ483" s="77"/>
      <c r="GR483" s="77"/>
      <c r="GS483" s="77"/>
      <c r="GT483" s="77"/>
      <c r="GU483" s="77"/>
      <c r="GV483" s="77"/>
      <c r="GW483" s="77"/>
      <c r="GX483" s="77"/>
      <c r="GY483" s="77"/>
      <c r="GZ483" s="77"/>
      <c r="HA483" s="77"/>
      <c r="HB483" s="77"/>
      <c r="HC483" s="77"/>
      <c r="HD483" s="77"/>
      <c r="HE483" s="77"/>
      <c r="HF483" s="77"/>
      <c r="HG483" s="77"/>
      <c r="HH483" s="77"/>
      <c r="HI483" s="77"/>
      <c r="HJ483" s="77"/>
      <c r="HK483" s="77"/>
      <c r="HL483" s="77"/>
      <c r="HM483" s="77"/>
      <c r="HN483" s="77"/>
      <c r="HO483" s="77"/>
      <c r="HP483" s="77"/>
      <c r="HQ483" s="77"/>
      <c r="HR483" s="77"/>
      <c r="HS483" s="77"/>
      <c r="HT483" s="77"/>
      <c r="HU483" s="77"/>
      <c r="HV483" s="77"/>
      <c r="HW483" s="77"/>
      <c r="HX483" s="77"/>
      <c r="HY483" s="77"/>
      <c r="HZ483" s="77"/>
      <c r="IA483" s="77"/>
      <c r="IB483" s="77"/>
      <c r="IC483" s="77"/>
      <c r="JY483" s="77"/>
      <c r="JZ483" s="77"/>
      <c r="KA483" s="77"/>
      <c r="KB483" s="77"/>
      <c r="KC483" s="77"/>
      <c r="KD483" s="77"/>
      <c r="KE483" s="77"/>
      <c r="KF483" s="77"/>
      <c r="KG483" s="77"/>
      <c r="KH483" s="77"/>
      <c r="KI483" s="77"/>
      <c r="KJ483" s="77"/>
      <c r="KK483" s="77"/>
      <c r="KL483" s="77"/>
      <c r="KM483" s="77"/>
      <c r="KN483" s="77"/>
      <c r="KO483" s="77"/>
      <c r="KP483" s="77"/>
      <c r="KQ483" s="77"/>
      <c r="KR483" s="77"/>
      <c r="KS483" s="77"/>
      <c r="KT483" s="77"/>
      <c r="KU483" s="77"/>
      <c r="KV483" s="77"/>
      <c r="KW483" s="77"/>
      <c r="KX483" s="77"/>
      <c r="KY483" s="77"/>
      <c r="KZ483" s="77"/>
      <c r="LA483" s="77"/>
      <c r="LB483" s="77"/>
      <c r="LC483" s="77"/>
      <c r="LD483" s="77"/>
      <c r="LE483" s="77"/>
      <c r="LF483" s="77"/>
      <c r="LG483" s="77"/>
      <c r="LH483" s="77"/>
      <c r="LI483" s="77"/>
      <c r="LJ483" s="77"/>
      <c r="LK483" s="77"/>
      <c r="LW483" s="77"/>
      <c r="LX483" s="77"/>
      <c r="LY483" s="77"/>
      <c r="LZ483" s="77"/>
      <c r="MA483" s="77"/>
      <c r="MB483" s="77"/>
      <c r="MC483" s="77"/>
      <c r="MD483" s="77"/>
      <c r="ME483" s="77"/>
      <c r="MF483" s="77"/>
      <c r="MG483" s="77"/>
      <c r="MH483" s="77"/>
      <c r="MI483" s="77"/>
      <c r="MJ483" s="77"/>
      <c r="MK483" s="77"/>
      <c r="ML483" s="77"/>
      <c r="MM483" s="77"/>
      <c r="MN483" s="77"/>
      <c r="MO483" s="77"/>
      <c r="MP483" s="77"/>
      <c r="MQ483" s="77"/>
      <c r="MR483" s="77"/>
    </row>
    <row r="484" spans="1:367" ht="18.600000000000001" customHeight="1" x14ac:dyDescent="0.25">
      <c r="A484" s="119" t="s">
        <v>720</v>
      </c>
      <c r="B484" s="27" t="s">
        <v>2352</v>
      </c>
      <c r="C484" s="27" t="s">
        <v>2353</v>
      </c>
      <c r="D484" s="30" t="str">
        <f>HYPERLINK("https://twitter.com/Pontifex","https://twitter.com/Pontifex")</f>
        <v>https://twitter.com/Pontifex</v>
      </c>
      <c r="E484" s="30" t="str">
        <f>HYPERLINK("http://twiplomacy.com/info/europe/Vatican","http://twiplomacy.com/info/europe/Vatican")</f>
        <v>http://twiplomacy.com/info/europe/Vatican</v>
      </c>
      <c r="F484" s="10" t="s">
        <v>332</v>
      </c>
      <c r="G484" s="10" t="s">
        <v>719</v>
      </c>
      <c r="H484" s="10" t="s">
        <v>1313</v>
      </c>
      <c r="I484" s="10" t="s">
        <v>773</v>
      </c>
      <c r="J484" s="27" t="s">
        <v>1852</v>
      </c>
      <c r="K484" s="15" t="s">
        <v>777</v>
      </c>
      <c r="L484" s="10" t="s">
        <v>771</v>
      </c>
      <c r="M484" s="10" t="s">
        <v>770</v>
      </c>
      <c r="N484" s="30" t="str">
        <f>HYPERLINK("https://twitter.com/Pontifex/statuses/313247631054864384","https://twitter.com/Pontifex/statuses/313247631054864384")</f>
        <v>https://twitter.com/Pontifex/statuses/313247631054864384</v>
      </c>
      <c r="O484" s="12" t="str">
        <f>HYPERLINK("https://twitter.com/Pontifex/statuses/555998421350223872","https://twitter.com/Pontifex/statuses/555998421350223872")</f>
        <v>https://twitter.com/Pontifex/statuses/555998421350223872</v>
      </c>
      <c r="P484" s="46">
        <v>75888</v>
      </c>
      <c r="Q484" s="46">
        <v>90408</v>
      </c>
      <c r="R484" s="27" t="s">
        <v>2994</v>
      </c>
      <c r="S484" s="10" t="s">
        <v>2354</v>
      </c>
      <c r="T484" s="10" t="s">
        <v>771</v>
      </c>
      <c r="U484" s="10" t="s">
        <v>771</v>
      </c>
      <c r="V484" s="10" t="s">
        <v>771</v>
      </c>
      <c r="W484" s="10"/>
      <c r="X484" s="27" t="s">
        <v>720</v>
      </c>
      <c r="Y484" s="27" t="s">
        <v>2352</v>
      </c>
      <c r="Z484" s="80">
        <v>815</v>
      </c>
      <c r="AA484" s="27">
        <v>8</v>
      </c>
      <c r="AB484" s="80">
        <v>9277823</v>
      </c>
      <c r="AC484" s="27">
        <v>0</v>
      </c>
      <c r="AD484" s="27" t="s">
        <v>4279</v>
      </c>
      <c r="AE484" s="27">
        <v>500704345</v>
      </c>
      <c r="AF484" s="27" t="s">
        <v>2353</v>
      </c>
      <c r="AG484" s="27" t="s">
        <v>2355</v>
      </c>
      <c r="AH484" s="79">
        <v>0.53267973856209105</v>
      </c>
      <c r="AI484" s="83">
        <v>0.71428571428571397</v>
      </c>
      <c r="AJ484" s="80">
        <v>7603.95582822086</v>
      </c>
      <c r="AK484" s="80">
        <v>10712.038036809799</v>
      </c>
      <c r="AL484" s="13">
        <v>0</v>
      </c>
      <c r="AM484" s="97">
        <f>SUM(AL484/Z484)</f>
        <v>0</v>
      </c>
      <c r="AN484" s="27" t="s">
        <v>720</v>
      </c>
      <c r="AO484" s="27">
        <v>0</v>
      </c>
      <c r="AP484" s="27">
        <v>94</v>
      </c>
      <c r="AQ484" s="27">
        <v>8</v>
      </c>
      <c r="AR484" s="27">
        <f>SUM(AO484:AQ484)</f>
        <v>102</v>
      </c>
      <c r="AS484" s="27"/>
      <c r="AT484" s="27" t="s">
        <v>6818</v>
      </c>
      <c r="AU484" s="84" t="s">
        <v>4895</v>
      </c>
      <c r="AV484" s="77"/>
      <c r="AW484" s="77"/>
      <c r="AX484" s="77"/>
      <c r="AY484" s="77"/>
      <c r="AZ484" s="77"/>
      <c r="BA484" s="77"/>
      <c r="BB484" s="77"/>
      <c r="BC484" s="77"/>
      <c r="BD484" s="77"/>
      <c r="BE484" s="77"/>
      <c r="BF484" s="77"/>
      <c r="BG484" s="77"/>
      <c r="BH484" s="77"/>
      <c r="BI484" s="77"/>
      <c r="BJ484" s="77"/>
      <c r="BK484" s="77"/>
      <c r="BL484" s="77"/>
      <c r="BM484" s="77"/>
      <c r="BN484" s="77"/>
      <c r="BO484" s="77"/>
      <c r="BP484" s="77"/>
      <c r="BQ484" s="77"/>
      <c r="BR484" s="77"/>
      <c r="BS484" s="77"/>
      <c r="BT484" s="77"/>
      <c r="BU484" s="77"/>
      <c r="BV484" s="77"/>
      <c r="BW484" s="77"/>
      <c r="BX484" s="77"/>
      <c r="BY484" s="77"/>
      <c r="BZ484" s="77"/>
      <c r="CA484" s="77"/>
      <c r="CB484" s="77"/>
      <c r="CX484" s="77"/>
      <c r="CY484" s="77"/>
      <c r="CZ484" s="77"/>
      <c r="DA484" s="77"/>
      <c r="DB484" s="77"/>
      <c r="DC484" s="77"/>
      <c r="DD484" s="77"/>
      <c r="DE484" s="77"/>
      <c r="DF484" s="77"/>
      <c r="DG484" s="77"/>
      <c r="DH484" s="77"/>
      <c r="DI484" s="77"/>
      <c r="DJ484" s="77"/>
      <c r="DK484" s="77"/>
      <c r="DL484" s="77"/>
      <c r="DM484" s="77"/>
      <c r="DN484" s="77"/>
      <c r="DO484" s="77"/>
      <c r="DP484" s="77"/>
      <c r="DQ484" s="77"/>
      <c r="DR484" s="77"/>
      <c r="DS484" s="77"/>
      <c r="DT484" s="77"/>
      <c r="DU484" s="77"/>
      <c r="DV484" s="77"/>
      <c r="DW484" s="77"/>
      <c r="DX484" s="77"/>
      <c r="DY484" s="77"/>
      <c r="DZ484" s="77"/>
      <c r="EA484" s="77"/>
      <c r="EB484" s="77"/>
      <c r="EC484" s="77"/>
      <c r="ED484" s="77"/>
      <c r="EE484" s="77"/>
      <c r="EF484" s="77"/>
      <c r="EG484" s="77"/>
      <c r="EH484" s="77"/>
      <c r="EI484" s="77"/>
      <c r="EJ484" s="77"/>
      <c r="EK484" s="77"/>
      <c r="EL484" s="77"/>
      <c r="EM484" s="77"/>
      <c r="EN484" s="77"/>
      <c r="EO484" s="77"/>
      <c r="EP484" s="77"/>
      <c r="EQ484" s="77"/>
      <c r="ER484" s="77"/>
      <c r="ES484" s="77"/>
      <c r="ET484" s="77"/>
      <c r="EU484" s="77"/>
      <c r="EV484" s="77"/>
      <c r="EW484" s="77"/>
      <c r="EX484" s="77"/>
      <c r="EY484" s="77"/>
      <c r="EZ484" s="77"/>
      <c r="FA484" s="77"/>
      <c r="FB484" s="77"/>
      <c r="FC484" s="77"/>
      <c r="FD484" s="77"/>
      <c r="FE484" s="77"/>
      <c r="FF484" s="77"/>
      <c r="FG484" s="77"/>
      <c r="FH484" s="77"/>
      <c r="FI484" s="77"/>
      <c r="FJ484" s="77"/>
      <c r="FK484" s="77"/>
      <c r="FL484" s="77"/>
      <c r="FM484" s="77"/>
      <c r="FN484" s="77"/>
      <c r="FO484" s="77"/>
      <c r="FP484" s="77"/>
      <c r="FQ484" s="77"/>
      <c r="FR484" s="77"/>
      <c r="FS484" s="77"/>
      <c r="FT484" s="77"/>
      <c r="FU484" s="77"/>
      <c r="FV484" s="77"/>
      <c r="FW484" s="77"/>
      <c r="FX484" s="77"/>
      <c r="FY484" s="77"/>
      <c r="FZ484" s="77"/>
      <c r="GA484" s="77"/>
      <c r="GB484" s="77"/>
      <c r="GC484" s="77"/>
      <c r="GD484" s="77"/>
      <c r="GE484" s="77"/>
      <c r="GF484" s="77"/>
      <c r="GG484" s="77"/>
      <c r="GH484" s="77"/>
      <c r="GI484" s="77"/>
      <c r="GJ484" s="77"/>
      <c r="GK484" s="77"/>
      <c r="GL484" s="77"/>
      <c r="GM484" s="77"/>
      <c r="GN484" s="77"/>
      <c r="GO484" s="77"/>
      <c r="GP484" s="77"/>
      <c r="GQ484" s="77"/>
      <c r="GR484" s="77"/>
      <c r="GS484" s="77"/>
      <c r="GT484" s="77"/>
      <c r="GU484" s="77"/>
      <c r="GV484" s="77"/>
      <c r="GW484" s="77"/>
      <c r="GX484" s="77"/>
      <c r="GY484" s="77"/>
      <c r="GZ484" s="77"/>
      <c r="HA484" s="77"/>
      <c r="HB484" s="77"/>
      <c r="HC484" s="77"/>
      <c r="HD484" s="77"/>
      <c r="HE484" s="77"/>
      <c r="HF484" s="77"/>
      <c r="HG484" s="77"/>
      <c r="HH484" s="77"/>
      <c r="HI484" s="77"/>
      <c r="HJ484" s="77"/>
      <c r="HK484" s="77"/>
      <c r="HL484" s="77"/>
      <c r="HM484" s="77"/>
      <c r="HN484" s="77"/>
      <c r="HO484" s="77"/>
      <c r="HP484" s="77"/>
      <c r="HQ484" s="77"/>
      <c r="HR484" s="77"/>
      <c r="HS484" s="77"/>
      <c r="HT484" s="77"/>
      <c r="HU484" s="77"/>
      <c r="HV484" s="77"/>
      <c r="HW484" s="77"/>
      <c r="HX484" s="77"/>
      <c r="HY484" s="77"/>
      <c r="HZ484" s="77"/>
      <c r="IA484" s="77"/>
      <c r="IB484" s="77"/>
      <c r="IC484" s="77"/>
      <c r="ID484" s="77"/>
      <c r="IE484" s="77"/>
      <c r="KM484" s="77"/>
      <c r="KN484" s="77"/>
      <c r="KO484" s="77"/>
      <c r="KP484" s="77"/>
      <c r="KQ484" s="77"/>
      <c r="KR484" s="77"/>
      <c r="KS484" s="77"/>
      <c r="KT484" s="77"/>
      <c r="KU484" s="77"/>
      <c r="KV484" s="77"/>
      <c r="KW484" s="77"/>
      <c r="KX484" s="77"/>
      <c r="KY484" s="77"/>
      <c r="KZ484" s="77"/>
      <c r="LA484" s="77"/>
      <c r="LB484" s="77"/>
      <c r="LC484" s="77"/>
      <c r="LD484" s="77"/>
      <c r="LE484" s="77"/>
      <c r="LF484" s="77"/>
      <c r="LG484" s="77"/>
      <c r="LH484" s="77"/>
      <c r="LI484" s="77"/>
      <c r="LJ484" s="77"/>
      <c r="LK484" s="77"/>
      <c r="LW484" s="77"/>
      <c r="LX484" s="77"/>
      <c r="LY484" s="77"/>
      <c r="LZ484" s="77"/>
      <c r="MA484" s="77"/>
      <c r="MB484" s="77"/>
      <c r="MC484" s="77"/>
      <c r="MD484" s="77"/>
      <c r="ME484" s="77"/>
      <c r="MF484" s="77"/>
      <c r="MG484" s="77"/>
      <c r="MH484" s="77"/>
      <c r="MI484" s="77"/>
      <c r="MJ484" s="77"/>
      <c r="MK484" s="77"/>
      <c r="ML484" s="77"/>
      <c r="MM484" s="77"/>
      <c r="MN484" s="77"/>
      <c r="MO484" s="77"/>
      <c r="MP484" s="77"/>
      <c r="MQ484" s="77"/>
      <c r="MR484" s="77"/>
    </row>
    <row r="485" spans="1:367" ht="18.600000000000001" customHeight="1" x14ac:dyDescent="0.25">
      <c r="A485" s="119" t="s">
        <v>273</v>
      </c>
      <c r="B485" s="27" t="s">
        <v>1561</v>
      </c>
      <c r="C485" s="27" t="s">
        <v>1562</v>
      </c>
      <c r="D485" s="30" t="str">
        <f>HYPERLINK("https://twitter.com/GovPH_PCOO","https://twitter.com/GovPH_PCOO")</f>
        <v>https://twitter.com/GovPH_PCOO</v>
      </c>
      <c r="E485" s="30" t="str">
        <f>HYPERLINK("http://twiplomacy.com/info/asia/Philippines","http://twiplomacy.com/info/asia/Philippines")</f>
        <v>http://twiplomacy.com/info/asia/Philippines</v>
      </c>
      <c r="F485" s="10" t="s">
        <v>154</v>
      </c>
      <c r="G485" s="10" t="s">
        <v>271</v>
      </c>
      <c r="H485" s="10" t="s">
        <v>788</v>
      </c>
      <c r="I485" s="10" t="s">
        <v>782</v>
      </c>
      <c r="J485" s="27" t="s">
        <v>789</v>
      </c>
      <c r="K485" s="15" t="s">
        <v>777</v>
      </c>
      <c r="L485" s="10" t="s">
        <v>771</v>
      </c>
      <c r="M485" s="10" t="s">
        <v>771</v>
      </c>
      <c r="N485" s="30" t="str">
        <f>HYPERLINK("https://twitter.com/GovPH_PCOO/statuses/22613700553","https://twitter.com/GovPH_PCOO/statuses/22613700553")</f>
        <v>https://twitter.com/GovPH_PCOO/statuses/22613700553</v>
      </c>
      <c r="O485" s="27" t="s">
        <v>5839</v>
      </c>
      <c r="P485" s="80">
        <v>142</v>
      </c>
      <c r="Q485" s="80">
        <v>8</v>
      </c>
      <c r="R485" s="27" t="s">
        <v>2995</v>
      </c>
      <c r="S485" s="10" t="s">
        <v>1563</v>
      </c>
      <c r="T485" s="10" t="s">
        <v>771</v>
      </c>
      <c r="U485" s="10" t="s">
        <v>771</v>
      </c>
      <c r="V485" s="10" t="s">
        <v>771</v>
      </c>
      <c r="W485" s="10"/>
      <c r="X485" s="27" t="s">
        <v>273</v>
      </c>
      <c r="Y485" s="27" t="s">
        <v>1561</v>
      </c>
      <c r="Z485" s="80">
        <v>813</v>
      </c>
      <c r="AA485" s="27">
        <v>3</v>
      </c>
      <c r="AB485" s="80">
        <v>20803</v>
      </c>
      <c r="AC485" s="27">
        <v>0</v>
      </c>
      <c r="AD485" s="27" t="s">
        <v>3769</v>
      </c>
      <c r="AE485" s="27">
        <v>172770197</v>
      </c>
      <c r="AF485" s="27" t="s">
        <v>1562</v>
      </c>
      <c r="AG485" s="27" t="s">
        <v>271</v>
      </c>
      <c r="AH485" s="79">
        <v>0.38659058487874498</v>
      </c>
      <c r="AI485" s="83">
        <v>0.397555012224939</v>
      </c>
      <c r="AJ485" s="80">
        <v>0.628536285362854</v>
      </c>
      <c r="AK485" s="80">
        <v>7.6260762607626098E-2</v>
      </c>
      <c r="AL485" s="13">
        <v>0</v>
      </c>
      <c r="AM485" s="97">
        <f>SUM(AL485/Z485)</f>
        <v>0</v>
      </c>
      <c r="AN485" s="27" t="s">
        <v>273</v>
      </c>
      <c r="AO485" s="27">
        <v>2</v>
      </c>
      <c r="AP485" s="27">
        <v>6</v>
      </c>
      <c r="AQ485" s="27">
        <v>0</v>
      </c>
      <c r="AR485" s="27">
        <f>SUM(AO485:AQ485)</f>
        <v>8</v>
      </c>
      <c r="AS485" s="27" t="s">
        <v>5158</v>
      </c>
      <c r="AT485" s="27" t="s">
        <v>5159</v>
      </c>
      <c r="AU485" s="84"/>
      <c r="AV485" s="77"/>
      <c r="AW485" s="77"/>
      <c r="AX485" s="77"/>
      <c r="AY485" s="77"/>
      <c r="AZ485" s="77"/>
      <c r="BA485" s="77"/>
      <c r="BB485" s="77"/>
      <c r="BC485" s="77"/>
      <c r="BD485" s="77"/>
      <c r="BE485" s="77"/>
      <c r="BF485" s="77"/>
      <c r="BG485" s="77"/>
      <c r="BH485" s="77"/>
      <c r="BI485" s="77"/>
      <c r="BJ485" s="77"/>
      <c r="BK485" s="77"/>
      <c r="BL485" s="77"/>
      <c r="BM485" s="77"/>
      <c r="BN485" s="77"/>
      <c r="BO485" s="77"/>
      <c r="BP485" s="77"/>
      <c r="BQ485" s="77"/>
      <c r="BR485" s="77"/>
      <c r="BS485" s="77"/>
      <c r="BT485" s="77"/>
      <c r="BU485" s="77"/>
      <c r="BV485" s="77"/>
      <c r="BW485" s="77"/>
      <c r="BX485" s="77"/>
      <c r="BY485" s="77"/>
      <c r="BZ485" s="77"/>
      <c r="CA485" s="77"/>
      <c r="CB485" s="77"/>
      <c r="CC485" s="77"/>
      <c r="CD485" s="77"/>
      <c r="CE485" s="77"/>
      <c r="CF485" s="77"/>
      <c r="CG485" s="77"/>
      <c r="CH485" s="77"/>
      <c r="CI485" s="77"/>
      <c r="CJ485" s="77"/>
      <c r="CK485" s="77"/>
      <c r="CL485" s="77"/>
      <c r="CM485" s="77"/>
      <c r="CN485" s="77"/>
      <c r="CO485" s="77"/>
      <c r="CP485" s="77"/>
      <c r="CQ485" s="77"/>
      <c r="CR485" s="77"/>
      <c r="CS485" s="77"/>
      <c r="CT485" s="77"/>
      <c r="CU485" s="77"/>
      <c r="CV485" s="77"/>
      <c r="CW485" s="77"/>
      <c r="CX485" s="77"/>
      <c r="CY485" s="77"/>
      <c r="CZ485" s="77"/>
      <c r="DA485" s="77"/>
      <c r="DB485" s="77"/>
      <c r="DC485" s="77"/>
      <c r="DD485" s="77"/>
      <c r="DE485" s="77"/>
      <c r="DF485" s="77"/>
      <c r="DG485" s="77"/>
      <c r="DH485" s="77"/>
      <c r="DI485" s="77"/>
      <c r="DJ485" s="77"/>
      <c r="DK485" s="77"/>
      <c r="DL485" s="77"/>
      <c r="DM485" s="77"/>
      <c r="DN485" s="77"/>
      <c r="DO485" s="77"/>
      <c r="DP485" s="77"/>
      <c r="DQ485" s="77"/>
      <c r="DR485" s="77"/>
      <c r="DS485" s="77"/>
      <c r="DT485" s="77"/>
      <c r="DU485" s="77"/>
      <c r="DV485" s="77"/>
      <c r="DW485" s="77"/>
      <c r="DX485" s="77"/>
      <c r="DY485" s="77"/>
      <c r="DZ485" s="77"/>
      <c r="EA485" s="77"/>
      <c r="EB485" s="77"/>
      <c r="EC485" s="77"/>
      <c r="ED485" s="77"/>
      <c r="EE485" s="77"/>
      <c r="EF485" s="77"/>
      <c r="EG485" s="77"/>
      <c r="EH485" s="77"/>
      <c r="EI485" s="77"/>
      <c r="EJ485" s="77"/>
      <c r="EK485" s="77"/>
      <c r="EL485" s="77"/>
      <c r="EP485" s="77"/>
      <c r="EQ485" s="77"/>
      <c r="ER485" s="77"/>
      <c r="ES485" s="77"/>
      <c r="ET485" s="77"/>
      <c r="EU485" s="77"/>
      <c r="EV485" s="77"/>
      <c r="EW485" s="77"/>
      <c r="EX485" s="77"/>
      <c r="EY485" s="77"/>
      <c r="EZ485" s="77"/>
      <c r="FA485" s="77"/>
      <c r="FB485" s="77"/>
      <c r="FC485" s="77"/>
      <c r="FD485" s="77"/>
      <c r="FE485" s="77"/>
      <c r="FF485" s="77"/>
      <c r="FG485" s="77"/>
      <c r="FH485" s="77"/>
      <c r="FI485" s="77"/>
      <c r="FJ485" s="77"/>
      <c r="FK485" s="77"/>
      <c r="FL485" s="77"/>
      <c r="FM485" s="77"/>
      <c r="FN485" s="77"/>
      <c r="FO485" s="77"/>
      <c r="FP485" s="77"/>
      <c r="FQ485" s="77"/>
      <c r="FR485" s="77"/>
      <c r="FS485" s="77"/>
      <c r="FT485" s="77"/>
      <c r="FU485" s="77"/>
      <c r="FV485" s="77"/>
      <c r="FW485" s="77"/>
      <c r="FX485" s="77"/>
      <c r="FY485" s="77"/>
      <c r="FZ485" s="77"/>
      <c r="GA485" s="77"/>
      <c r="GB485" s="77"/>
      <c r="GC485" s="77"/>
      <c r="GD485" s="77"/>
      <c r="GE485" s="77"/>
      <c r="GF485" s="77"/>
      <c r="GG485" s="77"/>
      <c r="GH485" s="77"/>
      <c r="GI485" s="77"/>
      <c r="GJ485" s="77"/>
      <c r="GK485" s="77"/>
      <c r="GL485" s="77"/>
      <c r="GM485" s="77"/>
      <c r="GN485" s="77"/>
      <c r="GO485" s="77"/>
      <c r="GP485" s="77"/>
      <c r="GQ485" s="77"/>
      <c r="GR485" s="77"/>
      <c r="GS485" s="77"/>
      <c r="GT485" s="77"/>
      <c r="GU485" s="77"/>
      <c r="GV485" s="77"/>
      <c r="GW485" s="77"/>
      <c r="GX485" s="77"/>
      <c r="GY485" s="77"/>
      <c r="GZ485" s="77"/>
      <c r="HA485" s="77"/>
      <c r="HB485" s="77"/>
      <c r="HC485" s="77"/>
      <c r="HD485" s="77"/>
      <c r="HE485" s="77"/>
      <c r="HF485" s="77"/>
      <c r="HG485" s="77"/>
      <c r="HH485" s="77"/>
      <c r="HI485" s="77"/>
      <c r="HJ485" s="77"/>
      <c r="HK485" s="77"/>
      <c r="HL485" s="77"/>
      <c r="HM485" s="77"/>
      <c r="HN485" s="77"/>
      <c r="HO485" s="77"/>
      <c r="HP485" s="77"/>
      <c r="HQ485" s="77"/>
      <c r="HR485" s="77"/>
      <c r="HS485" s="77"/>
      <c r="HT485" s="77"/>
      <c r="HU485" s="77"/>
      <c r="HV485" s="77"/>
      <c r="HW485" s="77"/>
      <c r="HX485" s="77"/>
      <c r="HY485" s="77"/>
      <c r="HZ485" s="77"/>
      <c r="IA485" s="77"/>
      <c r="IB485" s="77"/>
      <c r="IC485" s="77"/>
      <c r="IF485" s="77"/>
      <c r="IG485" s="77"/>
      <c r="IH485" s="77"/>
      <c r="II485" s="77"/>
      <c r="IJ485" s="77"/>
      <c r="IK485" s="77"/>
      <c r="IL485" s="77"/>
      <c r="IM485" s="77"/>
      <c r="IN485" s="77"/>
      <c r="IO485" s="77"/>
      <c r="IP485" s="77"/>
      <c r="IQ485" s="77"/>
      <c r="IR485" s="77"/>
      <c r="IS485" s="77"/>
      <c r="IT485" s="77"/>
      <c r="IU485" s="77"/>
      <c r="IV485" s="77"/>
      <c r="IW485" s="77"/>
      <c r="IX485" s="77"/>
      <c r="IY485" s="77"/>
      <c r="IZ485" s="77"/>
      <c r="JA485" s="77"/>
      <c r="JB485" s="77"/>
      <c r="JC485" s="77"/>
      <c r="JD485" s="77"/>
      <c r="JE485" s="77"/>
      <c r="JF485" s="77"/>
      <c r="JG485" s="77"/>
      <c r="JH485" s="77"/>
      <c r="JI485" s="77"/>
      <c r="JJ485" s="77"/>
      <c r="JK485" s="77"/>
      <c r="JL485" s="77"/>
      <c r="JM485" s="77"/>
      <c r="JN485" s="77"/>
      <c r="JO485" s="77"/>
      <c r="JP485" s="77"/>
      <c r="JQ485" s="77"/>
      <c r="JR485" s="77"/>
      <c r="JS485" s="77"/>
      <c r="JT485" s="77"/>
      <c r="JU485" s="77"/>
      <c r="JV485" s="77"/>
      <c r="JW485" s="77"/>
      <c r="JX485" s="77"/>
    </row>
    <row r="486" spans="1:367" ht="18.600000000000001" customHeight="1" x14ac:dyDescent="0.25">
      <c r="A486" s="119" t="s">
        <v>1665</v>
      </c>
      <c r="B486" s="27" t="s">
        <v>1666</v>
      </c>
      <c r="C486" s="27" t="s">
        <v>1667</v>
      </c>
      <c r="D486" s="30" t="str">
        <f>HYPERLINK("https://twitter.com/MFAThai_PR_EN","https://twitter.com/MFAThai_PR_EN")</f>
        <v>https://twitter.com/MFAThai_PR_EN</v>
      </c>
      <c r="E486" s="30" t="str">
        <f>HYPERLINK("http://twiplomacy.com/info/asia/Thailand","http://twiplomacy.com/info/asia/Thailand")</f>
        <v>http://twiplomacy.com/info/asia/Thailand</v>
      </c>
      <c r="F486" s="10" t="s">
        <v>154</v>
      </c>
      <c r="G486" s="10" t="s">
        <v>313</v>
      </c>
      <c r="H486" s="10" t="s">
        <v>795</v>
      </c>
      <c r="I486" s="10" t="s">
        <v>782</v>
      </c>
      <c r="J486" s="27" t="s">
        <v>789</v>
      </c>
      <c r="K486" s="15" t="s">
        <v>5588</v>
      </c>
      <c r="L486" s="10" t="s">
        <v>771</v>
      </c>
      <c r="M486" s="10" t="s">
        <v>771</v>
      </c>
      <c r="N486" s="30" t="str">
        <f>HYPERLINK("https://twitter.com/MFAThai_PR_EN/statuses/12860496161","https://twitter.com/MFAThai_PR_EN/statuses/12860496161")</f>
        <v>https://twitter.com/MFAThai_PR_EN/statuses/12860496161</v>
      </c>
      <c r="O486" s="27" t="s">
        <v>1668</v>
      </c>
      <c r="P486" s="80">
        <v>21</v>
      </c>
      <c r="Q486" s="80">
        <v>1</v>
      </c>
      <c r="R486" s="27" t="s">
        <v>2995</v>
      </c>
      <c r="S486" s="30" t="str">
        <f>HYPERLINK("https://twitter.com/MFAThai_PR_EN/lists","https://twitter.com/MFAThai_PR_EN/lists")</f>
        <v>https://twitter.com/MFAThai_PR_EN/lists</v>
      </c>
      <c r="T486" s="10" t="s">
        <v>771</v>
      </c>
      <c r="U486" s="10" t="s">
        <v>771</v>
      </c>
      <c r="V486" s="10" t="s">
        <v>771</v>
      </c>
      <c r="W486" s="10"/>
      <c r="X486" s="27" t="s">
        <v>1665</v>
      </c>
      <c r="Y486" s="27" t="s">
        <v>1666</v>
      </c>
      <c r="Z486" s="80">
        <v>811</v>
      </c>
      <c r="AA486" s="27">
        <v>6</v>
      </c>
      <c r="AB486" s="80">
        <v>4006</v>
      </c>
      <c r="AC486" s="27">
        <v>0</v>
      </c>
      <c r="AD486" s="27" t="s">
        <v>4100</v>
      </c>
      <c r="AE486" s="27">
        <v>135807154</v>
      </c>
      <c r="AF486" s="27" t="s">
        <v>1667</v>
      </c>
      <c r="AG486" s="27" t="s">
        <v>1655</v>
      </c>
      <c r="AH486" s="79">
        <v>0.36830154405086302</v>
      </c>
      <c r="AI486" s="83">
        <v>0.45105672969966598</v>
      </c>
      <c r="AJ486" s="80">
        <v>0.87063389391979296</v>
      </c>
      <c r="AK486" s="80">
        <v>0.108667529107374</v>
      </c>
      <c r="AL486" s="27">
        <v>2</v>
      </c>
      <c r="AM486" s="97">
        <f>SUM(AL486/Z486)</f>
        <v>2.4660912453760789E-3</v>
      </c>
      <c r="AN486" s="27" t="s">
        <v>1665</v>
      </c>
      <c r="AO486" s="27">
        <v>0</v>
      </c>
      <c r="AP486" s="27">
        <v>42</v>
      </c>
      <c r="AQ486" s="27">
        <v>2</v>
      </c>
      <c r="AR486" s="27">
        <f>SUM(AO486:AQ486)</f>
        <v>44</v>
      </c>
      <c r="AS486" s="27"/>
      <c r="AT486" s="27" t="s">
        <v>5316</v>
      </c>
      <c r="AU486" s="84" t="s">
        <v>4850</v>
      </c>
      <c r="AV486" s="77"/>
      <c r="AW486" s="77"/>
      <c r="AX486" s="77"/>
      <c r="AY486" s="77"/>
      <c r="AZ486" s="77"/>
      <c r="BA486" s="77"/>
      <c r="BB486" s="77"/>
      <c r="BC486" s="77"/>
      <c r="BD486" s="77"/>
      <c r="BE486" s="77"/>
      <c r="BF486" s="77"/>
      <c r="BG486" s="77"/>
      <c r="BH486" s="77"/>
      <c r="BI486" s="77"/>
      <c r="BJ486" s="77"/>
      <c r="BK486" s="77"/>
      <c r="BL486" s="77"/>
      <c r="BM486" s="77"/>
      <c r="BN486" s="77"/>
      <c r="BO486" s="77"/>
      <c r="BP486" s="77"/>
      <c r="BQ486" s="77"/>
      <c r="BR486" s="77"/>
      <c r="BS486" s="77"/>
      <c r="BT486" s="77"/>
      <c r="BU486" s="77"/>
      <c r="BV486" s="77"/>
      <c r="BW486" s="77"/>
      <c r="BX486" s="77"/>
      <c r="BY486" s="77"/>
      <c r="BZ486" s="77"/>
      <c r="CA486" s="77"/>
      <c r="CB486" s="77"/>
      <c r="CC486" s="77"/>
      <c r="CD486" s="77"/>
      <c r="CE486" s="77"/>
      <c r="CF486" s="77"/>
      <c r="CG486" s="77"/>
      <c r="CH486" s="77"/>
      <c r="CI486" s="77"/>
      <c r="CJ486" s="77"/>
      <c r="CK486" s="77"/>
      <c r="CL486" s="77"/>
      <c r="CM486" s="77"/>
      <c r="CN486" s="77"/>
      <c r="CO486" s="77"/>
      <c r="CP486" s="77"/>
      <c r="CQ486" s="77"/>
      <c r="CR486" s="77"/>
      <c r="CS486" s="77"/>
      <c r="CT486" s="77"/>
      <c r="CU486" s="77"/>
      <c r="CV486" s="77"/>
      <c r="CW486" s="77"/>
      <c r="CX486" s="77"/>
      <c r="CY486" s="77"/>
      <c r="CZ486" s="77"/>
      <c r="DA486" s="77"/>
      <c r="DB486" s="77"/>
      <c r="DC486" s="77"/>
      <c r="DD486" s="77"/>
      <c r="DE486" s="77"/>
      <c r="DF486" s="77"/>
      <c r="DG486" s="77"/>
      <c r="DH486" s="77"/>
      <c r="DI486" s="77"/>
      <c r="DJ486" s="77"/>
      <c r="DK486" s="77"/>
      <c r="DL486" s="77"/>
      <c r="DM486" s="77"/>
      <c r="DN486" s="77"/>
      <c r="DO486" s="77"/>
      <c r="DP486" s="77"/>
      <c r="DQ486" s="77"/>
      <c r="DR486" s="77"/>
      <c r="DS486" s="77"/>
      <c r="DT486" s="77"/>
      <c r="DU486" s="77"/>
      <c r="DV486" s="77"/>
      <c r="DW486" s="77"/>
      <c r="DX486" s="77"/>
      <c r="DY486" s="77"/>
      <c r="DZ486" s="77"/>
      <c r="EA486" s="77"/>
      <c r="EB486" s="77"/>
      <c r="EC486" s="77"/>
      <c r="ED486" s="77"/>
      <c r="EE486" s="77"/>
      <c r="EF486" s="77"/>
      <c r="EG486" s="77"/>
      <c r="EH486" s="77"/>
      <c r="EI486" s="77"/>
      <c r="EJ486" s="77"/>
      <c r="EK486" s="77"/>
      <c r="EL486" s="77"/>
      <c r="EM486" s="77"/>
      <c r="EN486" s="77"/>
      <c r="EO486" s="77"/>
      <c r="EP486" s="77"/>
      <c r="EQ486" s="77"/>
      <c r="ER486" s="77"/>
      <c r="ES486" s="77"/>
      <c r="ET486" s="77"/>
      <c r="EU486" s="77"/>
      <c r="EV486" s="77"/>
      <c r="EW486" s="77"/>
      <c r="EX486" s="77"/>
      <c r="EY486" s="77"/>
      <c r="EZ486" s="77"/>
      <c r="FA486" s="77"/>
      <c r="FB486" s="77"/>
      <c r="FC486" s="77"/>
      <c r="FD486" s="77"/>
      <c r="FE486" s="77"/>
      <c r="FF486" s="77"/>
      <c r="FG486" s="77"/>
      <c r="FH486" s="77"/>
      <c r="FI486" s="77"/>
      <c r="FJ486" s="77"/>
      <c r="FK486" s="77"/>
      <c r="FL486" s="77"/>
      <c r="FM486" s="77"/>
      <c r="FN486" s="77"/>
      <c r="FO486" s="77"/>
      <c r="FP486" s="77"/>
      <c r="FQ486" s="77"/>
      <c r="FR486" s="77"/>
      <c r="FS486" s="77"/>
      <c r="FT486" s="77"/>
      <c r="FU486" s="77"/>
      <c r="FV486" s="77"/>
      <c r="FW486" s="77"/>
      <c r="FX486" s="77"/>
      <c r="FY486" s="77"/>
      <c r="FZ486" s="77"/>
      <c r="GA486" s="77"/>
      <c r="GB486" s="77"/>
      <c r="GC486" s="77"/>
      <c r="GD486" s="77"/>
      <c r="GE486" s="77"/>
      <c r="GF486" s="77"/>
      <c r="GG486" s="77"/>
      <c r="GH486" s="77"/>
      <c r="GI486" s="77"/>
      <c r="GJ486" s="77"/>
      <c r="GK486" s="77"/>
      <c r="GL486" s="77"/>
      <c r="GM486" s="77"/>
      <c r="GN486" s="77"/>
      <c r="GO486" s="77"/>
      <c r="GP486" s="77"/>
      <c r="GQ486" s="77"/>
      <c r="GR486" s="77"/>
      <c r="GS486" s="77"/>
      <c r="GT486" s="77"/>
      <c r="GU486" s="77"/>
      <c r="GV486" s="77"/>
      <c r="GW486" s="77"/>
      <c r="GX486" s="77"/>
      <c r="GY486" s="77"/>
      <c r="GZ486" s="77"/>
      <c r="HA486" s="77"/>
      <c r="HB486" s="77"/>
      <c r="HC486" s="77"/>
      <c r="HD486" s="77"/>
      <c r="HE486" s="77"/>
      <c r="HF486" s="77"/>
      <c r="HG486" s="77"/>
      <c r="HH486" s="77"/>
      <c r="HI486" s="77"/>
      <c r="HJ486" s="77"/>
      <c r="HK486" s="77"/>
      <c r="HL486" s="77"/>
      <c r="HM486" s="77"/>
      <c r="HN486" s="77"/>
      <c r="HO486" s="77"/>
      <c r="HP486" s="77"/>
      <c r="HQ486" s="77"/>
      <c r="HR486" s="77"/>
      <c r="HS486" s="77"/>
      <c r="HT486" s="77"/>
      <c r="HU486" s="77"/>
      <c r="HV486" s="77"/>
      <c r="HW486" s="77"/>
      <c r="HX486" s="77"/>
      <c r="HY486" s="77"/>
      <c r="HZ486" s="77"/>
      <c r="IA486" s="77"/>
      <c r="IB486" s="77"/>
      <c r="IC486" s="77"/>
      <c r="ID486" s="77"/>
      <c r="IE486" s="77"/>
      <c r="IF486" s="77"/>
      <c r="IG486" s="77"/>
      <c r="IH486" s="77"/>
      <c r="II486" s="77"/>
      <c r="IJ486" s="77"/>
      <c r="IK486" s="77"/>
      <c r="IL486" s="77"/>
      <c r="IM486" s="77"/>
      <c r="IN486" s="77"/>
      <c r="IO486" s="77"/>
      <c r="IP486" s="77"/>
      <c r="IQ486" s="77"/>
      <c r="IR486" s="77"/>
      <c r="IS486" s="77"/>
      <c r="IT486" s="77"/>
      <c r="IU486" s="77"/>
      <c r="IV486" s="77"/>
      <c r="IW486" s="77"/>
      <c r="IX486" s="77"/>
      <c r="IY486" s="77"/>
      <c r="IZ486" s="77"/>
      <c r="JA486" s="77"/>
      <c r="JB486" s="77"/>
      <c r="JC486" s="77"/>
      <c r="JD486" s="77"/>
      <c r="JE486" s="77"/>
      <c r="JF486" s="77"/>
      <c r="JG486" s="77"/>
      <c r="JH486" s="77"/>
      <c r="JI486" s="77"/>
      <c r="JJ486" s="77"/>
      <c r="JK486" s="77"/>
      <c r="JL486" s="77"/>
      <c r="JM486" s="77"/>
      <c r="JN486" s="77"/>
      <c r="JO486" s="77"/>
      <c r="JP486" s="77"/>
      <c r="JQ486" s="77"/>
      <c r="JR486" s="77"/>
      <c r="JS486" s="77"/>
      <c r="JT486" s="77"/>
      <c r="JU486" s="77"/>
      <c r="JV486" s="77"/>
      <c r="JW486" s="77"/>
      <c r="JX486" s="77"/>
      <c r="JY486" s="77"/>
      <c r="JZ486" s="77"/>
      <c r="KA486" s="77"/>
      <c r="KB486" s="77"/>
      <c r="KC486" s="77"/>
      <c r="KD486" s="77"/>
      <c r="KE486" s="77"/>
      <c r="KF486" s="77"/>
      <c r="KG486" s="77"/>
      <c r="KH486" s="77"/>
      <c r="KI486" s="77"/>
      <c r="KJ486" s="77"/>
      <c r="KK486" s="77"/>
      <c r="KL486" s="77"/>
      <c r="LL486" s="77"/>
      <c r="LM486" s="77"/>
      <c r="LN486" s="77"/>
      <c r="LO486" s="77"/>
      <c r="LP486" s="77"/>
      <c r="LQ486" s="77"/>
      <c r="LR486" s="77"/>
      <c r="LS486" s="77"/>
      <c r="LT486" s="77"/>
      <c r="LU486" s="77"/>
      <c r="LV486" s="77"/>
      <c r="LW486" s="77"/>
      <c r="LX486" s="77"/>
      <c r="LY486" s="77"/>
      <c r="LZ486" s="77"/>
      <c r="MA486" s="77"/>
      <c r="MB486" s="77"/>
      <c r="MC486" s="77"/>
      <c r="MD486" s="77"/>
      <c r="ME486" s="77"/>
      <c r="MF486" s="77"/>
      <c r="MG486" s="77"/>
      <c r="MH486" s="77"/>
      <c r="MI486" s="77"/>
      <c r="MJ486" s="77"/>
      <c r="MK486" s="77"/>
      <c r="ML486" s="77"/>
      <c r="MM486" s="77"/>
      <c r="MN486" s="77"/>
      <c r="MO486" s="77"/>
      <c r="MP486" s="77"/>
      <c r="MQ486" s="77"/>
      <c r="MR486" s="77"/>
      <c r="MT486" s="77"/>
      <c r="MU486" s="77"/>
      <c r="MV486" s="77"/>
      <c r="MW486" s="77"/>
      <c r="MX486" s="77"/>
      <c r="MY486" s="77"/>
      <c r="MZ486" s="77"/>
      <c r="NA486" s="77"/>
      <c r="NB486" s="77"/>
      <c r="NC486" s="77"/>
    </row>
    <row r="487" spans="1:367" ht="18.600000000000001" customHeight="1" x14ac:dyDescent="0.25">
      <c r="A487" s="119" t="s">
        <v>2360</v>
      </c>
      <c r="B487" s="27" t="s">
        <v>2361</v>
      </c>
      <c r="C487" s="27" t="s">
        <v>2362</v>
      </c>
      <c r="D487" s="30" t="str">
        <f>HYPERLINK("https://twitter.com/Pontifex_it","https://twitter.com/Pontifex_it")</f>
        <v>https://twitter.com/Pontifex_it</v>
      </c>
      <c r="E487" s="30" t="str">
        <f>HYPERLINK("http://twiplomacy.com/info/europe/Vatican","http://twiplomacy.com/info/europe/Vatican")</f>
        <v>http://twiplomacy.com/info/europe/Vatican</v>
      </c>
      <c r="F487" s="10" t="s">
        <v>332</v>
      </c>
      <c r="G487" s="10" t="s">
        <v>719</v>
      </c>
      <c r="H487" s="10" t="s">
        <v>1313</v>
      </c>
      <c r="I487" s="10" t="s">
        <v>773</v>
      </c>
      <c r="J487" s="27" t="s">
        <v>1852</v>
      </c>
      <c r="K487" s="15" t="s">
        <v>777</v>
      </c>
      <c r="L487" s="10" t="s">
        <v>771</v>
      </c>
      <c r="M487" s="10" t="s">
        <v>770</v>
      </c>
      <c r="N487" s="30" t="str">
        <f>HYPERLINK("https://twitter.com/Pontifex_it/statuses/313247631109398528","https://twitter.com/Pontifex_it/statuses/313247631109398528")</f>
        <v>https://twitter.com/Pontifex_it/statuses/313247631109398528</v>
      </c>
      <c r="O487" s="11" t="s">
        <v>2363</v>
      </c>
      <c r="P487" s="80">
        <v>10969</v>
      </c>
      <c r="Q487" s="80">
        <v>10195</v>
      </c>
      <c r="R487" s="27" t="s">
        <v>2994</v>
      </c>
      <c r="S487" s="10" t="s">
        <v>2364</v>
      </c>
      <c r="T487" s="10" t="s">
        <v>771</v>
      </c>
      <c r="U487" s="10" t="s">
        <v>771</v>
      </c>
      <c r="V487" s="10" t="s">
        <v>771</v>
      </c>
      <c r="W487" s="10"/>
      <c r="X487" s="27" t="s">
        <v>2360</v>
      </c>
      <c r="Y487" s="27" t="s">
        <v>2361</v>
      </c>
      <c r="Z487" s="80">
        <v>794</v>
      </c>
      <c r="AA487" s="27">
        <v>8</v>
      </c>
      <c r="AB487" s="80">
        <v>3589071</v>
      </c>
      <c r="AC487" s="27">
        <v>0</v>
      </c>
      <c r="AD487" s="27" t="s">
        <v>4284</v>
      </c>
      <c r="AE487" s="27">
        <v>500711588</v>
      </c>
      <c r="AF487" s="27" t="s">
        <v>2362</v>
      </c>
      <c r="AG487" s="27" t="s">
        <v>2365</v>
      </c>
      <c r="AH487" s="79">
        <v>0.518954248366013</v>
      </c>
      <c r="AI487" s="83">
        <v>0.69588080631025395</v>
      </c>
      <c r="AJ487" s="80">
        <v>1243.7984886649899</v>
      </c>
      <c r="AK487" s="80">
        <v>1982.39042821159</v>
      </c>
      <c r="AL487" s="13">
        <v>0</v>
      </c>
      <c r="AM487" s="97">
        <f>SUM(AL487/Z487)</f>
        <v>0</v>
      </c>
      <c r="AN487" s="27" t="s">
        <v>2360</v>
      </c>
      <c r="AO487" s="27">
        <v>0</v>
      </c>
      <c r="AP487" s="27">
        <v>15</v>
      </c>
      <c r="AQ487" s="27">
        <v>8</v>
      </c>
      <c r="AR487" s="27">
        <f>SUM(AO487:AQ487)</f>
        <v>23</v>
      </c>
      <c r="AS487" s="27"/>
      <c r="AT487" s="27" t="s">
        <v>6820</v>
      </c>
      <c r="AU487" s="84" t="s">
        <v>4900</v>
      </c>
      <c r="BM487" s="66"/>
      <c r="BN487" s="77"/>
      <c r="BO487" s="77"/>
      <c r="BP487" s="77"/>
      <c r="BQ487" s="77"/>
      <c r="BR487" s="77"/>
      <c r="BS487" s="77"/>
      <c r="BT487" s="77"/>
      <c r="BU487" s="77"/>
      <c r="BV487" s="77"/>
      <c r="BW487" s="77"/>
      <c r="BX487" s="77"/>
      <c r="BY487" s="77"/>
      <c r="BZ487" s="77"/>
      <c r="CA487" s="77"/>
      <c r="CB487" s="77"/>
      <c r="CC487" s="77"/>
      <c r="CD487" s="77"/>
      <c r="CE487" s="77"/>
      <c r="CF487" s="77"/>
      <c r="CG487" s="77"/>
      <c r="CH487" s="77"/>
      <c r="CI487" s="77"/>
      <c r="CJ487" s="77"/>
      <c r="CX487" s="77"/>
      <c r="CY487" s="77"/>
      <c r="CZ487" s="77"/>
      <c r="DA487" s="77"/>
      <c r="DB487" s="77"/>
      <c r="DC487" s="77"/>
      <c r="DD487" s="77"/>
      <c r="DE487" s="77"/>
      <c r="DF487" s="77"/>
      <c r="DG487" s="77"/>
      <c r="DH487" s="77"/>
      <c r="DI487" s="77"/>
      <c r="DJ487" s="77"/>
      <c r="DK487" s="77"/>
      <c r="DL487" s="77"/>
      <c r="DM487" s="77"/>
      <c r="DN487" s="77"/>
      <c r="DO487" s="77"/>
      <c r="DP487" s="77"/>
      <c r="DQ487" s="77"/>
      <c r="DR487" s="77"/>
      <c r="DS487" s="77"/>
      <c r="DT487" s="77"/>
      <c r="DU487" s="77"/>
      <c r="DV487" s="77"/>
      <c r="DW487" s="77"/>
      <c r="DX487" s="77"/>
      <c r="DY487" s="77"/>
      <c r="DZ487" s="77"/>
      <c r="EA487" s="77"/>
      <c r="EB487" s="77"/>
      <c r="EC487" s="77"/>
      <c r="ED487" s="77"/>
      <c r="EE487" s="77"/>
      <c r="EF487" s="77"/>
      <c r="EG487" s="77"/>
      <c r="EH487" s="77"/>
      <c r="EI487" s="77"/>
      <c r="EJ487" s="77"/>
      <c r="EK487" s="77"/>
      <c r="EL487" s="77"/>
      <c r="EP487" s="77"/>
      <c r="EQ487" s="77"/>
      <c r="ER487" s="77"/>
      <c r="ES487" s="77"/>
      <c r="ET487" s="77"/>
      <c r="EU487" s="77"/>
      <c r="EV487" s="77"/>
      <c r="EW487" s="77"/>
      <c r="EX487" s="77"/>
      <c r="EY487" s="77"/>
      <c r="EZ487" s="77"/>
      <c r="FA487" s="77"/>
      <c r="FB487" s="77"/>
      <c r="FC487" s="77"/>
      <c r="FD487" s="77"/>
      <c r="FE487" s="77"/>
      <c r="FF487" s="77"/>
      <c r="FG487" s="77"/>
      <c r="FH487" s="77"/>
      <c r="FI487" s="77"/>
      <c r="FJ487" s="77"/>
      <c r="FK487" s="77"/>
      <c r="FL487" s="77"/>
      <c r="FM487" s="77"/>
      <c r="FN487" s="77"/>
      <c r="FO487" s="77"/>
      <c r="FP487" s="77"/>
      <c r="FQ487" s="77"/>
      <c r="FR487" s="77"/>
      <c r="FS487" s="77"/>
      <c r="FT487" s="77"/>
      <c r="FU487" s="77"/>
      <c r="FV487" s="77"/>
      <c r="FW487" s="77"/>
      <c r="FX487" s="77"/>
      <c r="FY487" s="77"/>
      <c r="FZ487" s="77"/>
      <c r="GA487" s="77"/>
      <c r="GB487" s="77"/>
      <c r="GC487" s="77"/>
      <c r="GD487" s="77"/>
      <c r="GE487" s="77"/>
      <c r="GF487" s="77"/>
      <c r="GG487" s="77"/>
      <c r="GH487" s="77"/>
      <c r="GI487" s="77"/>
      <c r="GJ487" s="77"/>
      <c r="GK487" s="77"/>
      <c r="GL487" s="77"/>
      <c r="GM487" s="77"/>
      <c r="GN487" s="77"/>
      <c r="GO487" s="77"/>
      <c r="GP487" s="77"/>
      <c r="GQ487" s="77"/>
      <c r="GR487" s="77"/>
      <c r="GS487" s="77"/>
      <c r="GT487" s="77"/>
      <c r="GU487" s="77"/>
      <c r="GV487" s="77"/>
      <c r="GW487" s="77"/>
      <c r="GX487" s="77"/>
      <c r="GY487" s="77"/>
      <c r="GZ487" s="77"/>
      <c r="HA487" s="77"/>
      <c r="HB487" s="77"/>
      <c r="HC487" s="77"/>
      <c r="HD487" s="77"/>
      <c r="HE487" s="77"/>
      <c r="HF487" s="77"/>
      <c r="HG487" s="77"/>
      <c r="HH487" s="77"/>
      <c r="HI487" s="77"/>
      <c r="HJ487" s="77"/>
      <c r="HK487" s="77"/>
      <c r="HL487" s="77"/>
      <c r="HM487" s="77"/>
      <c r="HN487" s="77"/>
      <c r="HO487" s="77"/>
      <c r="HP487" s="77"/>
      <c r="HQ487" s="77"/>
      <c r="HR487" s="77"/>
      <c r="HS487" s="77"/>
      <c r="HT487" s="77"/>
      <c r="HU487" s="77"/>
      <c r="HV487" s="77"/>
      <c r="HW487" s="77"/>
      <c r="HX487" s="77"/>
      <c r="HY487" s="77"/>
      <c r="HZ487" s="77"/>
      <c r="IA487" s="77"/>
      <c r="IB487" s="77"/>
      <c r="IC487" s="77"/>
      <c r="ID487" s="77"/>
      <c r="IE487" s="77"/>
      <c r="IF487" s="77"/>
      <c r="IG487" s="77"/>
      <c r="IH487" s="77"/>
      <c r="II487" s="77"/>
      <c r="IJ487" s="77"/>
      <c r="IK487" s="77"/>
      <c r="IL487" s="77"/>
      <c r="IM487" s="77"/>
      <c r="IN487" s="77"/>
      <c r="IO487" s="77"/>
      <c r="IP487" s="77"/>
      <c r="IQ487" s="77"/>
      <c r="IR487" s="77"/>
      <c r="IS487" s="77"/>
      <c r="IT487" s="77"/>
      <c r="IU487" s="77"/>
      <c r="IV487" s="77"/>
      <c r="IW487" s="77"/>
      <c r="IX487" s="77"/>
      <c r="IY487" s="77"/>
      <c r="IZ487" s="77"/>
      <c r="JA487" s="77"/>
      <c r="JB487" s="77"/>
      <c r="JC487" s="77"/>
      <c r="JD487" s="77"/>
      <c r="JE487" s="77"/>
      <c r="JF487" s="77"/>
      <c r="JG487" s="77"/>
      <c r="JH487" s="77"/>
      <c r="JI487" s="77"/>
      <c r="JJ487" s="77"/>
      <c r="JK487" s="77"/>
      <c r="JL487" s="77"/>
      <c r="JM487" s="77"/>
      <c r="JN487" s="77"/>
      <c r="JO487" s="77"/>
      <c r="JP487" s="77"/>
      <c r="JQ487" s="77"/>
      <c r="JR487" s="77"/>
      <c r="JS487" s="77"/>
      <c r="JT487" s="77"/>
      <c r="JU487" s="77"/>
      <c r="JV487" s="77"/>
      <c r="JW487" s="77"/>
      <c r="JX487" s="77"/>
      <c r="JY487" s="77"/>
      <c r="JZ487" s="77"/>
      <c r="KA487" s="77"/>
      <c r="KB487" s="77"/>
      <c r="KC487" s="77"/>
      <c r="KD487" s="77"/>
      <c r="KE487" s="77"/>
      <c r="KF487" s="77"/>
      <c r="KG487" s="77"/>
      <c r="KH487" s="77"/>
      <c r="KI487" s="77"/>
      <c r="KJ487" s="77"/>
      <c r="KK487" s="77"/>
      <c r="KL487" s="77"/>
      <c r="KM487" s="77"/>
      <c r="KN487" s="77"/>
      <c r="KO487" s="77"/>
      <c r="KP487" s="77"/>
      <c r="KQ487" s="77"/>
      <c r="KR487" s="77"/>
      <c r="KS487" s="77"/>
      <c r="KT487" s="77"/>
      <c r="KU487" s="77"/>
      <c r="KV487" s="77"/>
      <c r="KW487" s="77"/>
      <c r="KX487" s="77"/>
      <c r="KY487" s="77"/>
      <c r="KZ487" s="77"/>
      <c r="LA487" s="77"/>
      <c r="LB487" s="77"/>
      <c r="LC487" s="77"/>
      <c r="LD487" s="77"/>
      <c r="LE487" s="77"/>
      <c r="LF487" s="77"/>
      <c r="LG487" s="77"/>
      <c r="LH487" s="77"/>
      <c r="LI487" s="77"/>
      <c r="LJ487" s="77"/>
      <c r="LK487" s="77"/>
      <c r="LL487" s="77"/>
      <c r="LM487" s="77"/>
      <c r="LN487" s="77"/>
      <c r="LO487" s="77"/>
      <c r="LP487" s="77"/>
      <c r="LQ487" s="77"/>
      <c r="LR487" s="77"/>
      <c r="LS487" s="77"/>
      <c r="LT487" s="77"/>
      <c r="LU487" s="77"/>
      <c r="LV487" s="77"/>
      <c r="LW487" s="77"/>
      <c r="LX487" s="77"/>
    </row>
    <row r="488" spans="1:367" ht="18.600000000000001" customHeight="1" x14ac:dyDescent="0.25">
      <c r="A488" s="119" t="s">
        <v>2366</v>
      </c>
      <c r="B488" s="27" t="s">
        <v>2367</v>
      </c>
      <c r="C488" s="27" t="s">
        <v>2368</v>
      </c>
      <c r="D488" s="30" t="str">
        <f>HYPERLINK("https://twitter.com/Pontifex_es","https://twitter.com/Pontifex_es")</f>
        <v>https://twitter.com/Pontifex_es</v>
      </c>
      <c r="E488" s="30" t="str">
        <f>HYPERLINK("http://twiplomacy.com/info/europe/Vatican","http://twiplomacy.com/info/europe/Vatican")</f>
        <v>http://twiplomacy.com/info/europe/Vatican</v>
      </c>
      <c r="F488" s="10" t="s">
        <v>332</v>
      </c>
      <c r="G488" s="10" t="s">
        <v>719</v>
      </c>
      <c r="H488" s="10" t="s">
        <v>1313</v>
      </c>
      <c r="I488" s="10" t="s">
        <v>773</v>
      </c>
      <c r="J488" s="27" t="s">
        <v>1852</v>
      </c>
      <c r="K488" s="15" t="s">
        <v>777</v>
      </c>
      <c r="L488" s="10" t="s">
        <v>771</v>
      </c>
      <c r="M488" s="10" t="s">
        <v>770</v>
      </c>
      <c r="N488" s="30" t="str">
        <f>HYPERLINK("https://twitter.com/Pontifex_es/statuses/313247631042301952","https://twitter.com/Pontifex_es/statuses/313247631042301952")</f>
        <v>https://twitter.com/Pontifex_es/statuses/313247631042301952</v>
      </c>
      <c r="O488" s="11" t="s">
        <v>6020</v>
      </c>
      <c r="P488" s="80">
        <v>49710</v>
      </c>
      <c r="Q488" s="80">
        <v>60898</v>
      </c>
      <c r="R488" s="27" t="s">
        <v>2994</v>
      </c>
      <c r="S488" s="10" t="s">
        <v>2369</v>
      </c>
      <c r="T488" s="10" t="s">
        <v>771</v>
      </c>
      <c r="U488" s="10" t="s">
        <v>771</v>
      </c>
      <c r="V488" s="10" t="s">
        <v>771</v>
      </c>
      <c r="W488" s="10"/>
      <c r="X488" s="27" t="s">
        <v>2366</v>
      </c>
      <c r="Y488" s="27" t="s">
        <v>2367</v>
      </c>
      <c r="Z488" s="80">
        <v>793</v>
      </c>
      <c r="AA488" s="27">
        <v>8</v>
      </c>
      <c r="AB488" s="80">
        <v>11701566</v>
      </c>
      <c r="AC488" s="27">
        <v>0</v>
      </c>
      <c r="AD488" s="27" t="s">
        <v>4282</v>
      </c>
      <c r="AE488" s="27">
        <v>525264466</v>
      </c>
      <c r="AF488" s="27" t="s">
        <v>2368</v>
      </c>
      <c r="AG488" s="27" t="s">
        <v>2370</v>
      </c>
      <c r="AH488" s="79">
        <v>0.52551358515573199</v>
      </c>
      <c r="AI488" s="83">
        <v>0.69500438212094695</v>
      </c>
      <c r="AJ488" s="80">
        <v>9904.7843631778105</v>
      </c>
      <c r="AK488" s="80">
        <v>8356.8322824716306</v>
      </c>
      <c r="AL488" s="13">
        <v>0</v>
      </c>
      <c r="AM488" s="97">
        <f>SUM(AL488/Z488)</f>
        <v>0</v>
      </c>
      <c r="AN488" s="27" t="s">
        <v>2366</v>
      </c>
      <c r="AO488" s="27">
        <v>0</v>
      </c>
      <c r="AP488" s="27">
        <v>45</v>
      </c>
      <c r="AQ488" s="27">
        <v>8</v>
      </c>
      <c r="AR488" s="27">
        <f>SUM(AO488:AQ488)</f>
        <v>53</v>
      </c>
      <c r="AS488" s="27"/>
      <c r="AT488" s="27" t="s">
        <v>5627</v>
      </c>
      <c r="AU488" s="84" t="s">
        <v>4898</v>
      </c>
      <c r="BN488" s="77"/>
      <c r="BO488" s="77"/>
      <c r="BP488" s="77"/>
      <c r="BQ488" s="77"/>
      <c r="BR488" s="77"/>
      <c r="BS488" s="77"/>
      <c r="BT488" s="77"/>
      <c r="BU488" s="77"/>
      <c r="BV488" s="77"/>
      <c r="BW488" s="77"/>
      <c r="BX488" s="77"/>
      <c r="BY488" s="77"/>
      <c r="BZ488" s="77"/>
      <c r="CA488" s="77"/>
      <c r="CB488" s="77"/>
      <c r="CC488" s="77"/>
      <c r="CD488" s="77"/>
      <c r="CE488" s="77"/>
      <c r="CF488" s="77"/>
      <c r="CG488" s="77"/>
      <c r="CH488" s="77"/>
      <c r="CI488" s="77"/>
      <c r="CJ488" s="77"/>
      <c r="CK488" s="77"/>
      <c r="CL488" s="77"/>
      <c r="CM488" s="77"/>
      <c r="CN488" s="77"/>
      <c r="CO488" s="77"/>
      <c r="CP488" s="77"/>
      <c r="CQ488" s="77"/>
      <c r="CR488" s="77"/>
      <c r="CS488" s="77"/>
      <c r="CT488" s="77"/>
      <c r="CU488" s="77"/>
      <c r="CV488" s="77"/>
      <c r="CW488" s="77"/>
      <c r="CX488" s="77"/>
      <c r="CY488" s="77"/>
      <c r="CZ488" s="77"/>
      <c r="DA488" s="77"/>
      <c r="DB488" s="77"/>
      <c r="DC488" s="77"/>
      <c r="DD488" s="77"/>
      <c r="DE488" s="77"/>
      <c r="DF488" s="77"/>
      <c r="DG488" s="77"/>
      <c r="DH488" s="77"/>
      <c r="DI488" s="77"/>
      <c r="DJ488" s="77"/>
      <c r="DK488" s="77"/>
      <c r="DL488" s="77"/>
      <c r="DM488" s="77"/>
      <c r="DN488" s="77"/>
      <c r="DO488" s="77"/>
      <c r="DP488" s="77"/>
      <c r="DQ488" s="77"/>
      <c r="DR488" s="77"/>
      <c r="DS488" s="77"/>
      <c r="DT488" s="77"/>
      <c r="DU488" s="77"/>
      <c r="DV488" s="77"/>
      <c r="DW488" s="77"/>
      <c r="DX488" s="77"/>
      <c r="DY488" s="77"/>
      <c r="DZ488" s="77"/>
      <c r="EA488" s="77"/>
      <c r="EB488" s="77"/>
      <c r="EC488" s="77"/>
      <c r="ED488" s="77"/>
      <c r="EE488" s="77"/>
      <c r="EF488" s="77"/>
      <c r="EG488" s="77"/>
      <c r="EH488" s="77"/>
      <c r="EI488" s="77"/>
      <c r="EJ488" s="77"/>
      <c r="EK488" s="77"/>
      <c r="EL488" s="77"/>
      <c r="EM488" s="77"/>
      <c r="EN488" s="77"/>
      <c r="EO488" s="77"/>
      <c r="EP488" s="77"/>
      <c r="EQ488" s="77"/>
      <c r="ER488" s="77"/>
      <c r="ES488" s="77"/>
      <c r="ET488" s="77"/>
      <c r="EU488" s="77"/>
      <c r="EV488" s="77"/>
      <c r="EW488" s="77"/>
      <c r="EX488" s="77"/>
      <c r="EY488" s="77"/>
      <c r="EZ488" s="77"/>
      <c r="FA488" s="77"/>
      <c r="FB488" s="77"/>
      <c r="FC488" s="77"/>
      <c r="FD488" s="77"/>
      <c r="FE488" s="77"/>
      <c r="FF488" s="77"/>
      <c r="FG488" s="77"/>
      <c r="FH488" s="77"/>
      <c r="FI488" s="77"/>
      <c r="FJ488" s="77"/>
      <c r="FK488" s="77"/>
      <c r="FL488" s="77"/>
      <c r="FM488" s="77"/>
      <c r="FN488" s="77"/>
      <c r="FO488" s="77"/>
      <c r="FP488" s="77"/>
      <c r="FQ488" s="77"/>
      <c r="FR488" s="77"/>
      <c r="FS488" s="77"/>
      <c r="FT488" s="77"/>
      <c r="FU488" s="77"/>
      <c r="FV488" s="77"/>
      <c r="FW488" s="77"/>
      <c r="FX488" s="77"/>
      <c r="FY488" s="77"/>
      <c r="FZ488" s="77"/>
      <c r="GA488" s="77"/>
      <c r="GB488" s="77"/>
      <c r="GC488" s="77"/>
      <c r="GD488" s="77"/>
      <c r="GE488" s="77"/>
      <c r="GF488" s="77"/>
      <c r="GG488" s="77"/>
      <c r="GH488" s="77"/>
      <c r="GI488" s="77"/>
      <c r="GJ488" s="77"/>
      <c r="GK488" s="77"/>
      <c r="GL488" s="77"/>
      <c r="GM488" s="77"/>
      <c r="GN488" s="77"/>
      <c r="GO488" s="77"/>
      <c r="GP488" s="77"/>
      <c r="GQ488" s="77"/>
      <c r="GR488" s="77"/>
      <c r="GS488" s="77"/>
      <c r="GT488" s="77"/>
      <c r="GU488" s="77"/>
      <c r="GV488" s="77"/>
      <c r="GW488" s="77"/>
      <c r="GX488" s="77"/>
      <c r="GY488" s="77"/>
      <c r="GZ488" s="77"/>
      <c r="HA488" s="77"/>
      <c r="HB488" s="77"/>
      <c r="HC488" s="77"/>
      <c r="HD488" s="77"/>
      <c r="HE488" s="77"/>
      <c r="HF488" s="77"/>
      <c r="HG488" s="77"/>
      <c r="HH488" s="77"/>
      <c r="HI488" s="77"/>
      <c r="HJ488" s="77"/>
      <c r="HK488" s="77"/>
      <c r="HL488" s="77"/>
      <c r="HM488" s="77"/>
      <c r="HN488" s="77"/>
      <c r="HO488" s="77"/>
      <c r="HP488" s="77"/>
      <c r="HQ488" s="77"/>
      <c r="HR488" s="77"/>
      <c r="HS488" s="77"/>
      <c r="HT488" s="77"/>
      <c r="HU488" s="77"/>
      <c r="HV488" s="77"/>
      <c r="HW488" s="77"/>
      <c r="HX488" s="77"/>
      <c r="HY488" s="77"/>
      <c r="HZ488" s="77"/>
      <c r="IA488" s="77"/>
      <c r="IB488" s="77"/>
      <c r="IC488" s="77"/>
      <c r="JY488" s="77"/>
      <c r="JZ488" s="77"/>
      <c r="KA488" s="77"/>
      <c r="KB488" s="77"/>
      <c r="KC488" s="77"/>
      <c r="KD488" s="77"/>
      <c r="KE488" s="77"/>
      <c r="KF488" s="77"/>
      <c r="KG488" s="77"/>
      <c r="KH488" s="77"/>
      <c r="KI488" s="77"/>
      <c r="KJ488" s="77"/>
      <c r="KK488" s="77"/>
      <c r="KL488" s="77"/>
      <c r="LW488" s="77"/>
      <c r="LX488" s="77"/>
    </row>
    <row r="489" spans="1:367" s="63" customFormat="1" ht="18.600000000000001" customHeight="1" x14ac:dyDescent="0.25">
      <c r="A489" s="119" t="s">
        <v>2703</v>
      </c>
      <c r="B489" s="27" t="s">
        <v>2704</v>
      </c>
      <c r="C489" s="27" t="s">
        <v>3869</v>
      </c>
      <c r="D489" s="30" t="str">
        <f>HYPERLINK("https://twitter.com/Itamaraty_ES","https://twitter.com/Itamaraty_ES")</f>
        <v>https://twitter.com/Itamaraty_ES</v>
      </c>
      <c r="E489" s="30" t="str">
        <f>HYPERLINK("http://twiplomacy.com/info/south-america/Brazil","http://twiplomacy.com/info/south-america/Brazil")</f>
        <v>http://twiplomacy.com/info/south-america/Brazil</v>
      </c>
      <c r="F489" s="10" t="s">
        <v>668</v>
      </c>
      <c r="G489" s="10" t="s">
        <v>673</v>
      </c>
      <c r="H489" s="10" t="s">
        <v>795</v>
      </c>
      <c r="I489" s="10" t="s">
        <v>782</v>
      </c>
      <c r="J489" s="27" t="s">
        <v>2226</v>
      </c>
      <c r="K489" s="15" t="s">
        <v>777</v>
      </c>
      <c r="L489" s="10" t="s">
        <v>771</v>
      </c>
      <c r="M489" s="10" t="s">
        <v>770</v>
      </c>
      <c r="N489" s="72" t="s">
        <v>3112</v>
      </c>
      <c r="O489" s="27" t="s">
        <v>3165</v>
      </c>
      <c r="P489" s="80">
        <v>179</v>
      </c>
      <c r="Q489" s="80">
        <v>120</v>
      </c>
      <c r="R489" s="27" t="s">
        <v>2994</v>
      </c>
      <c r="S489" s="30" t="str">
        <f>HYPERLINK("https://twitter.com/Itamaraty_EN/lists","https://twitter.com/Itamaraty_ES/lists")</f>
        <v>https://twitter.com/Itamaraty_ES/lists</v>
      </c>
      <c r="T489" s="10"/>
      <c r="U489" s="10">
        <v>1</v>
      </c>
      <c r="V489" s="10" t="s">
        <v>771</v>
      </c>
      <c r="W489" s="10"/>
      <c r="X489" s="27" t="s">
        <v>2703</v>
      </c>
      <c r="Y489" s="27" t="s">
        <v>2704</v>
      </c>
      <c r="Z489" s="80">
        <v>788</v>
      </c>
      <c r="AA489" s="27">
        <v>592</v>
      </c>
      <c r="AB489" s="80">
        <v>1033</v>
      </c>
      <c r="AC489" s="27">
        <v>164</v>
      </c>
      <c r="AD489" s="27" t="s">
        <v>3870</v>
      </c>
      <c r="AE489" s="27">
        <v>3248785061</v>
      </c>
      <c r="AF489" s="27" t="s">
        <v>3869</v>
      </c>
      <c r="AG489" s="27" t="s">
        <v>3871</v>
      </c>
      <c r="AH489" s="79">
        <v>2.21971830985916</v>
      </c>
      <c r="AI489" s="83">
        <v>2.2774566473988398</v>
      </c>
      <c r="AJ489" s="80">
        <v>1.3980263157894699</v>
      </c>
      <c r="AK489" s="80">
        <v>0.875</v>
      </c>
      <c r="AL489" s="27">
        <v>80</v>
      </c>
      <c r="AM489" s="97">
        <f>SUM(AL489/Z489)</f>
        <v>0.10152284263959391</v>
      </c>
      <c r="AN489" s="27" t="s">
        <v>2703</v>
      </c>
      <c r="AO489" s="27">
        <v>202</v>
      </c>
      <c r="AP489" s="27">
        <v>3</v>
      </c>
      <c r="AQ489" s="27">
        <v>23</v>
      </c>
      <c r="AR489" s="27">
        <f>SUM(AO489:AQ489)</f>
        <v>228</v>
      </c>
      <c r="AS489" s="27" t="s">
        <v>6928</v>
      </c>
      <c r="AT489" s="27" t="s">
        <v>5211</v>
      </c>
      <c r="AU489" s="84" t="s">
        <v>6495</v>
      </c>
      <c r="AV489" s="77"/>
      <c r="AW489" s="77"/>
      <c r="AX489" s="77"/>
      <c r="AY489" s="77"/>
      <c r="AZ489" s="77"/>
      <c r="BA489" s="77"/>
      <c r="BB489" s="77"/>
      <c r="BC489" s="77"/>
      <c r="BD489" s="77"/>
      <c r="BE489" s="77"/>
      <c r="BF489" s="77"/>
      <c r="BG489" s="77"/>
      <c r="BH489" s="77"/>
      <c r="BI489" s="77"/>
      <c r="BJ489" s="77"/>
      <c r="BK489" s="77"/>
      <c r="BL489" s="77"/>
      <c r="BM489" s="77"/>
      <c r="BN489" s="77"/>
      <c r="BO489" s="77"/>
      <c r="BP489" s="77"/>
      <c r="BQ489" s="71"/>
      <c r="BR489" s="71"/>
      <c r="BS489" s="71"/>
      <c r="BT489" s="71"/>
      <c r="BU489" s="71"/>
      <c r="BV489" s="71"/>
      <c r="BW489" s="71"/>
      <c r="BX489" s="71"/>
      <c r="BY489" s="71"/>
      <c r="BZ489" s="71"/>
      <c r="CA489" s="71"/>
      <c r="CB489" s="71"/>
      <c r="CK489" s="77"/>
      <c r="CL489" s="77"/>
      <c r="CM489" s="77"/>
      <c r="CN489" s="77"/>
      <c r="CO489" s="77"/>
      <c r="CP489" s="77"/>
      <c r="CQ489" s="77"/>
      <c r="CR489" s="77"/>
      <c r="CS489" s="77"/>
      <c r="CT489" s="77"/>
      <c r="CU489" s="77"/>
      <c r="CV489" s="77"/>
      <c r="CW489" s="77"/>
      <c r="EM489" s="77"/>
      <c r="EN489" s="77"/>
      <c r="EO489" s="77"/>
      <c r="EP489" s="77"/>
      <c r="ER489" s="77"/>
      <c r="ES489" s="77"/>
      <c r="ET489" s="77"/>
      <c r="EU489" s="77"/>
      <c r="EV489" s="77"/>
      <c r="EW489" s="77"/>
      <c r="EX489" s="77"/>
      <c r="EY489" s="77"/>
      <c r="EZ489" s="77"/>
      <c r="FA489" s="77"/>
      <c r="FB489" s="77"/>
      <c r="FC489" s="77"/>
      <c r="FD489" s="77"/>
      <c r="FE489" s="77"/>
      <c r="FF489" s="77"/>
      <c r="FG489" s="77"/>
      <c r="FH489" s="77"/>
      <c r="FI489" s="77"/>
      <c r="FJ489" s="77"/>
      <c r="FK489" s="77"/>
      <c r="FL489" s="77"/>
      <c r="FM489" s="77"/>
      <c r="FN489" s="77"/>
      <c r="FO489" s="77"/>
      <c r="FP489" s="77"/>
      <c r="FQ489" s="77"/>
      <c r="FR489" s="77"/>
      <c r="FS489" s="77"/>
      <c r="FT489" s="77"/>
      <c r="FU489" s="77"/>
      <c r="FV489" s="77"/>
      <c r="FW489" s="77"/>
      <c r="FX489" s="77"/>
      <c r="FY489" s="77"/>
      <c r="FZ489" s="77"/>
      <c r="GA489" s="77"/>
      <c r="GB489" s="77"/>
      <c r="GC489" s="77"/>
      <c r="GD489" s="77"/>
      <c r="GE489" s="77"/>
      <c r="GF489" s="77"/>
      <c r="GG489" s="77"/>
      <c r="GH489" s="77"/>
      <c r="GI489" s="77"/>
      <c r="GJ489" s="77"/>
      <c r="GK489" s="77"/>
      <c r="HL489" s="77"/>
      <c r="HM489" s="77"/>
      <c r="HN489" s="77"/>
      <c r="HO489" s="77"/>
      <c r="HP489" s="77"/>
      <c r="HQ489" s="77"/>
      <c r="HR489" s="77"/>
      <c r="HS489" s="77"/>
      <c r="HT489" s="77"/>
      <c r="HU489" s="77"/>
      <c r="HV489" s="77"/>
      <c r="HW489" s="77"/>
      <c r="HX489" s="77"/>
      <c r="HY489" s="77"/>
      <c r="HZ489" s="77"/>
      <c r="IA489" s="77"/>
      <c r="IB489" s="77"/>
      <c r="IC489" s="77"/>
      <c r="LY489" s="77"/>
      <c r="LZ489" s="77"/>
      <c r="MA489" s="77"/>
      <c r="MB489" s="77"/>
      <c r="MC489" s="77"/>
      <c r="MD489" s="77"/>
      <c r="ME489" s="77"/>
      <c r="MF489" s="77"/>
      <c r="MG489" s="77"/>
      <c r="MH489" s="77"/>
      <c r="MI489" s="77"/>
      <c r="MJ489" s="77"/>
      <c r="MK489" s="77"/>
      <c r="ML489" s="77"/>
      <c r="MM489" s="77"/>
      <c r="MN489" s="77"/>
      <c r="MO489" s="77"/>
      <c r="MP489" s="77"/>
      <c r="MQ489" s="77"/>
      <c r="MR489" s="77"/>
    </row>
    <row r="490" spans="1:367" ht="18.600000000000001" customHeight="1" x14ac:dyDescent="0.25">
      <c r="A490" s="119" t="s">
        <v>702</v>
      </c>
      <c r="B490" s="27" t="s">
        <v>2759</v>
      </c>
      <c r="C490" s="27" t="s">
        <v>2760</v>
      </c>
      <c r="D490" s="30" t="str">
        <f>HYPERLINK("https://twitter.com/Ollanta_HumalaT","https://twitter.com/Ollanta_HumalaT")</f>
        <v>https://twitter.com/Ollanta_HumalaT</v>
      </c>
      <c r="E490" s="30" t="str">
        <f>HYPERLINK("http://twiplomacy.com/info/south-america/Peru","http://twiplomacy.com/info/south-america/Peru")</f>
        <v>http://twiplomacy.com/info/south-america/Peru</v>
      </c>
      <c r="F490" s="10" t="s">
        <v>668</v>
      </c>
      <c r="G490" s="10" t="s">
        <v>701</v>
      </c>
      <c r="H490" s="10" t="s">
        <v>772</v>
      </c>
      <c r="I490" s="10" t="s">
        <v>773</v>
      </c>
      <c r="J490" s="27" t="s">
        <v>2226</v>
      </c>
      <c r="K490" s="10" t="s">
        <v>777</v>
      </c>
      <c r="L490" s="10" t="s">
        <v>1020</v>
      </c>
      <c r="M490" s="10" t="s">
        <v>770</v>
      </c>
      <c r="N490" s="30" t="str">
        <f>HYPERLINK("https://twitter.com/Ollanta_HumalaT/statuses/15295318521","https://twitter.com/Ollanta_HumalaT/statuses/15295318521")</f>
        <v>https://twitter.com/Ollanta_HumalaT/statuses/15295318521</v>
      </c>
      <c r="O490" s="27" t="s">
        <v>5997</v>
      </c>
      <c r="P490" s="80">
        <v>1992</v>
      </c>
      <c r="Q490" s="80">
        <v>335</v>
      </c>
      <c r="R490" s="27" t="s">
        <v>2994</v>
      </c>
      <c r="S490" s="10" t="s">
        <v>2762</v>
      </c>
      <c r="T490" s="10" t="s">
        <v>771</v>
      </c>
      <c r="U490" s="10" t="s">
        <v>771</v>
      </c>
      <c r="V490" s="10" t="s">
        <v>771</v>
      </c>
      <c r="W490" s="10"/>
      <c r="X490" s="27" t="s">
        <v>702</v>
      </c>
      <c r="Y490" s="27" t="s">
        <v>2759</v>
      </c>
      <c r="Z490" s="80">
        <v>776</v>
      </c>
      <c r="AA490" s="27">
        <v>50</v>
      </c>
      <c r="AB490" s="80">
        <v>1427739</v>
      </c>
      <c r="AC490" s="27">
        <v>41</v>
      </c>
      <c r="AD490" s="27" t="s">
        <v>4209</v>
      </c>
      <c r="AE490" s="27">
        <v>151190865</v>
      </c>
      <c r="AF490" s="27" t="s">
        <v>2760</v>
      </c>
      <c r="AG490" s="27" t="s">
        <v>2763</v>
      </c>
      <c r="AH490" s="79">
        <v>0.360648148148148</v>
      </c>
      <c r="AI490" s="83">
        <v>0.360648148148148</v>
      </c>
      <c r="AJ490" s="80">
        <v>53.276536312849203</v>
      </c>
      <c r="AK490" s="80">
        <v>30.5125698324022</v>
      </c>
      <c r="AL490" s="27">
        <v>29</v>
      </c>
      <c r="AM490" s="97">
        <f>SUM(AL490/Z490)</f>
        <v>3.7371134020618556E-2</v>
      </c>
      <c r="AN490" s="27" t="s">
        <v>702</v>
      </c>
      <c r="AO490" s="27">
        <v>2</v>
      </c>
      <c r="AP490" s="27">
        <v>37</v>
      </c>
      <c r="AQ490" s="27">
        <v>6</v>
      </c>
      <c r="AR490" s="27">
        <f>SUM(AO490:AQ490)</f>
        <v>45</v>
      </c>
      <c r="AS490" s="27" t="s">
        <v>6241</v>
      </c>
      <c r="AT490" s="27" t="s">
        <v>6809</v>
      </c>
      <c r="AU490" s="84" t="s">
        <v>6521</v>
      </c>
      <c r="AV490" s="77"/>
      <c r="AW490" s="77"/>
      <c r="AX490" s="77"/>
      <c r="AY490" s="77"/>
      <c r="AZ490" s="77"/>
      <c r="BA490" s="77"/>
      <c r="BB490" s="77"/>
      <c r="BC490" s="77"/>
      <c r="BD490" s="77"/>
      <c r="BE490" s="77"/>
      <c r="BF490" s="77"/>
      <c r="BG490" s="77"/>
      <c r="BH490" s="77"/>
      <c r="BI490" s="77"/>
      <c r="BJ490" s="77"/>
      <c r="BK490" s="77"/>
      <c r="BL490" s="77"/>
      <c r="BM490" s="77"/>
      <c r="BN490" s="77"/>
      <c r="BO490" s="77"/>
      <c r="BP490" s="77"/>
      <c r="BQ490" s="77"/>
      <c r="BR490" s="77"/>
      <c r="BS490" s="77"/>
      <c r="BT490" s="77"/>
      <c r="BU490" s="77"/>
      <c r="BV490" s="77"/>
      <c r="BW490" s="77"/>
      <c r="BX490" s="77"/>
      <c r="BY490" s="77"/>
      <c r="BZ490" s="77"/>
      <c r="CA490" s="77"/>
      <c r="CB490" s="77"/>
      <c r="CC490" s="77"/>
      <c r="CD490" s="77"/>
      <c r="CE490" s="77"/>
      <c r="CF490" s="77"/>
      <c r="CG490" s="77"/>
      <c r="CH490" s="77"/>
      <c r="CI490" s="77"/>
      <c r="CJ490" s="77"/>
      <c r="CK490" s="77"/>
      <c r="CL490" s="77"/>
      <c r="CM490" s="77"/>
      <c r="CN490" s="77"/>
      <c r="CO490" s="77"/>
      <c r="CP490" s="77"/>
      <c r="CQ490" s="77"/>
      <c r="CR490" s="77"/>
      <c r="CS490" s="77"/>
      <c r="CT490" s="77"/>
      <c r="CU490" s="77"/>
      <c r="CV490" s="77"/>
      <c r="CW490" s="77"/>
      <c r="CX490" s="77"/>
      <c r="CY490" s="77"/>
      <c r="CZ490" s="77"/>
      <c r="DA490" s="77"/>
      <c r="DB490" s="77"/>
      <c r="DC490" s="77"/>
      <c r="DD490" s="77"/>
      <c r="DE490" s="77"/>
      <c r="DF490" s="77"/>
      <c r="DG490" s="77"/>
      <c r="DH490" s="77"/>
      <c r="DI490" s="77"/>
      <c r="DJ490" s="77"/>
      <c r="DK490" s="77"/>
      <c r="DL490" s="77"/>
      <c r="DM490" s="77"/>
      <c r="DN490" s="77"/>
      <c r="DO490" s="77"/>
      <c r="DP490" s="77"/>
      <c r="DQ490" s="77"/>
      <c r="DR490" s="77"/>
      <c r="DS490" s="77"/>
      <c r="DT490" s="77"/>
      <c r="DU490" s="77"/>
      <c r="DV490" s="77"/>
      <c r="DW490" s="77"/>
      <c r="DX490" s="77"/>
      <c r="DY490" s="77"/>
      <c r="DZ490" s="77"/>
      <c r="EA490" s="77"/>
      <c r="EB490" s="77"/>
      <c r="EC490" s="77"/>
      <c r="ED490" s="77"/>
      <c r="EE490" s="77"/>
      <c r="EF490" s="77"/>
      <c r="EG490" s="77"/>
      <c r="EH490" s="77"/>
      <c r="EI490" s="77"/>
      <c r="EJ490" s="77"/>
      <c r="EK490" s="77"/>
      <c r="EL490" s="77"/>
      <c r="EM490" s="77"/>
      <c r="EN490" s="77"/>
      <c r="EO490" s="77"/>
      <c r="EP490" s="77"/>
      <c r="EQ490" s="77"/>
      <c r="ER490" s="77"/>
      <c r="ES490" s="77"/>
      <c r="ET490" s="77"/>
      <c r="EU490" s="77"/>
      <c r="EV490" s="77"/>
      <c r="EW490" s="77"/>
      <c r="EX490" s="77"/>
      <c r="EY490" s="77"/>
      <c r="EZ490" s="77"/>
      <c r="FA490" s="77"/>
      <c r="FB490" s="77"/>
      <c r="FC490" s="77"/>
      <c r="FD490" s="77"/>
      <c r="FE490" s="77"/>
      <c r="FF490" s="77"/>
      <c r="FG490" s="77"/>
      <c r="FH490" s="77"/>
      <c r="FI490" s="77"/>
      <c r="FJ490" s="77"/>
      <c r="FK490" s="77"/>
      <c r="FL490" s="77"/>
      <c r="FM490" s="77"/>
      <c r="FN490" s="77"/>
      <c r="FO490" s="77"/>
      <c r="FP490" s="77"/>
      <c r="FQ490" s="77"/>
      <c r="FR490" s="77"/>
      <c r="FS490" s="77"/>
      <c r="FT490" s="77"/>
      <c r="FU490" s="77"/>
      <c r="FV490" s="77"/>
      <c r="FW490" s="77"/>
      <c r="FX490" s="77"/>
      <c r="FY490" s="77"/>
      <c r="FZ490" s="77"/>
      <c r="GA490" s="77"/>
      <c r="GB490" s="77"/>
      <c r="GC490" s="77"/>
      <c r="GD490" s="77"/>
      <c r="GE490" s="77"/>
      <c r="GF490" s="77"/>
      <c r="GG490" s="77"/>
      <c r="GH490" s="77"/>
      <c r="GI490" s="77"/>
      <c r="GJ490" s="77"/>
      <c r="GK490" s="77"/>
      <c r="HL490" s="77"/>
      <c r="HM490" s="77"/>
      <c r="HN490" s="77"/>
      <c r="HO490" s="77"/>
      <c r="HP490" s="77"/>
      <c r="HQ490" s="77"/>
      <c r="HR490" s="77"/>
      <c r="HS490" s="77"/>
      <c r="HT490" s="77"/>
      <c r="HU490" s="77"/>
      <c r="HV490" s="77"/>
      <c r="HW490" s="77"/>
      <c r="HX490" s="77"/>
      <c r="HY490" s="77"/>
      <c r="HZ490" s="77"/>
      <c r="IA490" s="77"/>
      <c r="IB490" s="77"/>
      <c r="IC490" s="77"/>
      <c r="ID490" s="77"/>
      <c r="IE490" s="77"/>
      <c r="JY490" s="77"/>
      <c r="JZ490" s="77"/>
      <c r="KA490" s="77"/>
      <c r="KB490" s="77"/>
      <c r="KC490" s="77"/>
      <c r="KD490" s="77"/>
      <c r="KE490" s="77"/>
      <c r="KF490" s="77"/>
      <c r="KG490" s="77"/>
      <c r="KH490" s="77"/>
      <c r="KI490" s="77"/>
      <c r="KJ490" s="77"/>
      <c r="KK490" s="77"/>
      <c r="KL490" s="77"/>
      <c r="KM490" s="77"/>
      <c r="KN490" s="77"/>
      <c r="KO490" s="77"/>
      <c r="KP490" s="77"/>
      <c r="KQ490" s="77"/>
      <c r="KR490" s="77"/>
      <c r="KS490" s="77"/>
      <c r="KT490" s="77"/>
      <c r="KU490" s="77"/>
      <c r="KV490" s="77"/>
      <c r="KW490" s="77"/>
      <c r="KX490" s="77"/>
      <c r="KY490" s="77"/>
      <c r="KZ490" s="77"/>
      <c r="LA490" s="77"/>
      <c r="LB490" s="77"/>
      <c r="LC490" s="77"/>
      <c r="LD490" s="77"/>
      <c r="LE490" s="77"/>
      <c r="LF490" s="77"/>
      <c r="LG490" s="77"/>
      <c r="LH490" s="77"/>
      <c r="LI490" s="77"/>
      <c r="LJ490" s="77"/>
      <c r="LK490" s="77"/>
      <c r="LW490" s="77"/>
      <c r="LX490" s="77"/>
      <c r="MS490" s="77"/>
      <c r="MT490" s="77"/>
      <c r="MU490" s="77"/>
      <c r="MV490" s="77"/>
      <c r="MW490" s="77"/>
      <c r="MX490" s="77"/>
      <c r="MY490" s="77"/>
      <c r="MZ490" s="77"/>
      <c r="NA490" s="77"/>
      <c r="NB490" s="77"/>
      <c r="NC490" s="77"/>
    </row>
    <row r="491" spans="1:367" ht="18.600000000000001" customHeight="1" x14ac:dyDescent="0.25">
      <c r="A491" s="119" t="s">
        <v>458</v>
      </c>
      <c r="B491" s="27" t="s">
        <v>2061</v>
      </c>
      <c r="C491" s="27" t="s">
        <v>2062</v>
      </c>
      <c r="D491" s="30" t="str">
        <f>HYPERLINK("https://twitter.com/Diplomacy_RM","https://twitter.com/Diplomacy_RM")</f>
        <v>https://twitter.com/Diplomacy_RM</v>
      </c>
      <c r="E491" s="30" t="str">
        <f>HYPERLINK("http://twiplomacy.com/info/europe/Moldova","http://twiplomacy.com/info/europe/Moldova")</f>
        <v>http://twiplomacy.com/info/europe/Moldova</v>
      </c>
      <c r="F491" s="10" t="s">
        <v>332</v>
      </c>
      <c r="G491" s="10" t="s">
        <v>454</v>
      </c>
      <c r="H491" s="10" t="s">
        <v>795</v>
      </c>
      <c r="I491" s="10" t="s">
        <v>782</v>
      </c>
      <c r="J491" s="27" t="s">
        <v>789</v>
      </c>
      <c r="K491" s="15" t="s">
        <v>777</v>
      </c>
      <c r="L491" s="10" t="s">
        <v>771</v>
      </c>
      <c r="M491" s="10" t="s">
        <v>770</v>
      </c>
      <c r="N491" s="30" t="str">
        <f>HYPERLINK("https://twitter.com/Diplomacy_RM/statuses/256669560319655936","https://twitter.com/Diplomacy_RM/statuses/256669560319655936")</f>
        <v>https://twitter.com/Diplomacy_RM/statuses/256669560319655936</v>
      </c>
      <c r="O491" s="27" t="s">
        <v>5801</v>
      </c>
      <c r="P491" s="80">
        <v>48</v>
      </c>
      <c r="Q491" s="80">
        <v>32</v>
      </c>
      <c r="R491" s="27" t="s">
        <v>2995</v>
      </c>
      <c r="S491" s="10" t="s">
        <v>2063</v>
      </c>
      <c r="T491" s="10" t="s">
        <v>771</v>
      </c>
      <c r="U491" s="10" t="s">
        <v>771</v>
      </c>
      <c r="V491" s="10" t="s">
        <v>771</v>
      </c>
      <c r="W491" s="10"/>
      <c r="X491" s="27" t="s">
        <v>458</v>
      </c>
      <c r="Y491" s="27" t="s">
        <v>2061</v>
      </c>
      <c r="Z491" s="80">
        <v>773</v>
      </c>
      <c r="AA491" s="27">
        <v>252</v>
      </c>
      <c r="AB491" s="80">
        <v>6978</v>
      </c>
      <c r="AC491" s="27">
        <v>0</v>
      </c>
      <c r="AD491" s="27" t="s">
        <v>3615</v>
      </c>
      <c r="AE491" s="27">
        <v>875062916</v>
      </c>
      <c r="AF491" s="27" t="s">
        <v>2062</v>
      </c>
      <c r="AG491" s="27" t="s">
        <v>2064</v>
      </c>
      <c r="AH491" s="79">
        <v>0.59553158705701104</v>
      </c>
      <c r="AI491" s="83">
        <v>0.67690956979806804</v>
      </c>
      <c r="AJ491" s="80">
        <v>2.0711009174311901</v>
      </c>
      <c r="AK491" s="80">
        <v>1.03899082568807</v>
      </c>
      <c r="AL491" s="27">
        <v>29</v>
      </c>
      <c r="AM491" s="97">
        <f>SUM(AL491/Z491)</f>
        <v>3.7516170763260026E-2</v>
      </c>
      <c r="AN491" s="27" t="s">
        <v>458</v>
      </c>
      <c r="AO491" s="27">
        <v>26</v>
      </c>
      <c r="AP491" s="27">
        <v>32</v>
      </c>
      <c r="AQ491" s="27">
        <v>43</v>
      </c>
      <c r="AR491" s="27">
        <f>SUM(AO491:AQ491)</f>
        <v>101</v>
      </c>
      <c r="AS491" s="27" t="s">
        <v>6208</v>
      </c>
      <c r="AT491" s="27" t="s">
        <v>6700</v>
      </c>
      <c r="AU491" s="84" t="s">
        <v>4694</v>
      </c>
      <c r="AV491" s="77"/>
      <c r="AW491" s="77"/>
      <c r="AX491" s="77"/>
      <c r="AY491" s="77"/>
      <c r="AZ491" s="77"/>
      <c r="BA491" s="77"/>
      <c r="BB491" s="77"/>
      <c r="BC491" s="77"/>
      <c r="BD491" s="77"/>
      <c r="BE491" s="77"/>
      <c r="BF491" s="77"/>
      <c r="BG491" s="77"/>
      <c r="BH491" s="77"/>
      <c r="BI491" s="77"/>
      <c r="BJ491" s="77"/>
      <c r="BK491" s="77"/>
      <c r="BL491" s="77"/>
      <c r="BM491" s="77"/>
      <c r="BN491" s="77"/>
      <c r="BO491" s="77"/>
      <c r="BP491" s="77"/>
      <c r="BQ491" s="77"/>
      <c r="BR491" s="77"/>
      <c r="BS491" s="77"/>
      <c r="BT491" s="77"/>
      <c r="BU491" s="77"/>
      <c r="BV491" s="77"/>
      <c r="BW491" s="77"/>
      <c r="BX491" s="77"/>
      <c r="BY491" s="77"/>
      <c r="BZ491" s="77"/>
      <c r="CA491" s="77"/>
      <c r="CB491" s="77"/>
      <c r="CC491" s="77"/>
      <c r="CD491" s="77"/>
      <c r="CE491" s="77"/>
      <c r="CF491" s="77"/>
      <c r="CG491" s="77"/>
      <c r="CH491" s="77"/>
      <c r="CI491" s="77"/>
      <c r="CJ491" s="77"/>
      <c r="CK491" s="77"/>
      <c r="CL491" s="77"/>
      <c r="CM491" s="77"/>
      <c r="CN491" s="77"/>
      <c r="CO491" s="77"/>
      <c r="CP491" s="77"/>
      <c r="CQ491" s="77"/>
      <c r="CR491" s="77"/>
      <c r="CS491" s="77"/>
      <c r="CT491" s="77"/>
      <c r="CU491" s="77"/>
      <c r="CV491" s="77"/>
      <c r="CW491" s="77"/>
      <c r="CX491" s="77"/>
      <c r="CY491" s="77"/>
      <c r="CZ491" s="77"/>
      <c r="DA491" s="77"/>
      <c r="DB491" s="77"/>
      <c r="DC491" s="77"/>
      <c r="DD491" s="77"/>
      <c r="DE491" s="77"/>
      <c r="DF491" s="77"/>
      <c r="DG491" s="77"/>
      <c r="DH491" s="77"/>
      <c r="DI491" s="77"/>
      <c r="DJ491" s="77"/>
      <c r="DK491" s="77"/>
      <c r="DL491" s="77"/>
      <c r="DM491" s="77"/>
      <c r="DN491" s="77"/>
      <c r="DO491" s="77"/>
      <c r="DP491" s="77"/>
      <c r="DQ491" s="77"/>
      <c r="DR491" s="77"/>
      <c r="DS491" s="77"/>
      <c r="DT491" s="77"/>
      <c r="DU491" s="77"/>
      <c r="DV491" s="77"/>
      <c r="DW491" s="77"/>
      <c r="DX491" s="77"/>
      <c r="DY491" s="77"/>
      <c r="DZ491" s="77"/>
      <c r="EA491" s="77"/>
      <c r="EB491" s="77"/>
      <c r="EC491" s="77"/>
      <c r="ED491" s="77"/>
      <c r="EE491" s="77"/>
      <c r="EF491" s="77"/>
      <c r="EG491" s="77"/>
      <c r="EH491" s="77"/>
      <c r="EI491" s="77"/>
      <c r="EJ491" s="77"/>
      <c r="EK491" s="77"/>
      <c r="EL491" s="77"/>
      <c r="EM491" s="77"/>
      <c r="EN491" s="77"/>
      <c r="EO491" s="77"/>
      <c r="EP491" s="77"/>
      <c r="EQ491" s="77"/>
      <c r="ER491" s="77"/>
      <c r="ES491" s="77"/>
      <c r="ET491" s="77"/>
      <c r="EU491" s="77"/>
      <c r="EV491" s="77"/>
      <c r="EW491" s="77"/>
      <c r="EX491" s="77"/>
      <c r="EY491" s="77"/>
      <c r="EZ491" s="77"/>
      <c r="FA491" s="77"/>
      <c r="FB491" s="77"/>
      <c r="FC491" s="77"/>
      <c r="FD491" s="77"/>
      <c r="FE491" s="77"/>
      <c r="FF491" s="77"/>
      <c r="FG491" s="77"/>
      <c r="FH491" s="77"/>
      <c r="FI491" s="77"/>
      <c r="FJ491" s="77"/>
      <c r="FK491" s="77"/>
      <c r="FL491" s="77"/>
      <c r="FM491" s="77"/>
      <c r="FN491" s="77"/>
      <c r="FO491" s="77"/>
      <c r="FP491" s="77"/>
      <c r="FQ491" s="77"/>
      <c r="FR491" s="77"/>
      <c r="FS491" s="77"/>
      <c r="FT491" s="77"/>
      <c r="FU491" s="77"/>
      <c r="FV491" s="77"/>
      <c r="FW491" s="77"/>
      <c r="FX491" s="77"/>
      <c r="FY491" s="77"/>
      <c r="FZ491" s="77"/>
      <c r="GA491" s="77"/>
      <c r="GB491" s="77"/>
      <c r="GC491" s="77"/>
      <c r="GD491" s="77"/>
      <c r="GE491" s="77"/>
      <c r="GF491" s="77"/>
      <c r="GG491" s="77"/>
      <c r="GH491" s="77"/>
      <c r="GI491" s="77"/>
      <c r="GJ491" s="77"/>
      <c r="GK491" s="77"/>
      <c r="ID491" s="77"/>
      <c r="IE491" s="77"/>
      <c r="IF491" s="77"/>
      <c r="IG491" s="77"/>
      <c r="IH491" s="77"/>
      <c r="II491" s="77"/>
      <c r="IJ491" s="77"/>
      <c r="IK491" s="77"/>
      <c r="IL491" s="77"/>
      <c r="IM491" s="77"/>
      <c r="IN491" s="77"/>
      <c r="IO491" s="77"/>
      <c r="IP491" s="77"/>
      <c r="IQ491" s="77"/>
      <c r="IR491" s="77"/>
      <c r="IS491" s="77"/>
      <c r="IT491" s="77"/>
      <c r="IU491" s="77"/>
      <c r="IV491" s="77"/>
      <c r="IW491" s="77"/>
      <c r="IX491" s="77"/>
      <c r="IY491" s="77"/>
      <c r="IZ491" s="77"/>
      <c r="JA491" s="77"/>
      <c r="JB491" s="77"/>
      <c r="JC491" s="77"/>
      <c r="JD491" s="77"/>
      <c r="JE491" s="77"/>
      <c r="JF491" s="77"/>
      <c r="JG491" s="77"/>
      <c r="JH491" s="77"/>
      <c r="JI491" s="77"/>
      <c r="JJ491" s="77"/>
      <c r="JK491" s="77"/>
      <c r="JL491" s="77"/>
      <c r="JM491" s="77"/>
      <c r="JN491" s="77"/>
      <c r="JO491" s="77"/>
      <c r="JP491" s="77"/>
      <c r="JQ491" s="77"/>
      <c r="JR491" s="77"/>
      <c r="JS491" s="77"/>
      <c r="JT491" s="77"/>
      <c r="JU491" s="77"/>
      <c r="JV491" s="77"/>
      <c r="JW491" s="77"/>
      <c r="JX491" s="77"/>
      <c r="JY491" s="77"/>
      <c r="JZ491" s="77"/>
      <c r="KA491" s="77"/>
      <c r="KB491" s="77"/>
      <c r="KC491" s="77"/>
      <c r="KD491" s="77"/>
      <c r="KE491" s="77"/>
      <c r="KF491" s="77"/>
      <c r="KG491" s="77"/>
      <c r="KH491" s="77"/>
      <c r="KI491" s="77"/>
      <c r="KJ491" s="77"/>
      <c r="KK491" s="77"/>
      <c r="KL491" s="77"/>
      <c r="KM491" s="77"/>
      <c r="KN491" s="77"/>
      <c r="KO491" s="77"/>
      <c r="KP491" s="77"/>
      <c r="KQ491" s="77"/>
      <c r="KR491" s="77"/>
      <c r="KS491" s="77"/>
      <c r="KT491" s="77"/>
      <c r="KU491" s="77"/>
      <c r="KV491" s="77"/>
      <c r="KW491" s="77"/>
      <c r="KX491" s="77"/>
      <c r="KY491" s="77"/>
      <c r="KZ491" s="77"/>
      <c r="LA491" s="77"/>
      <c r="LB491" s="77"/>
      <c r="LC491" s="77"/>
      <c r="LD491" s="77"/>
      <c r="LE491" s="77"/>
      <c r="LF491" s="77"/>
      <c r="LG491" s="77"/>
      <c r="LH491" s="77"/>
      <c r="LI491" s="77"/>
      <c r="LJ491" s="77"/>
      <c r="LK491" s="77"/>
      <c r="LL491" s="16"/>
      <c r="LM491" s="16"/>
      <c r="LN491" s="16"/>
      <c r="LO491" s="16"/>
      <c r="LP491" s="16"/>
      <c r="LQ491" s="16"/>
      <c r="LR491" s="16"/>
      <c r="LS491" s="16"/>
      <c r="LT491" s="16"/>
      <c r="LU491" s="16"/>
      <c r="LV491" s="16"/>
    </row>
    <row r="492" spans="1:367" ht="18.600000000000001" customHeight="1" x14ac:dyDescent="0.25">
      <c r="A492" s="119" t="s">
        <v>2614</v>
      </c>
      <c r="B492" s="27" t="s">
        <v>2615</v>
      </c>
      <c r="C492" s="27" t="s">
        <v>2616</v>
      </c>
      <c r="D492" s="30" t="str">
        <f>HYPERLINK("https://twitter.com/USA_Zhongwen","https://twitter.com/USA_Zhongwen")</f>
        <v>https://twitter.com/USA_Zhongwen</v>
      </c>
      <c r="E492" s="30" t="str">
        <f>HYPERLINK("http://twiplomacy.com/info/north-america/United-States","http://twiplomacy.com/info/north-america/United-States")</f>
        <v>http://twiplomacy.com/info/north-america/United-States</v>
      </c>
      <c r="F492" s="10" t="s">
        <v>558</v>
      </c>
      <c r="G492" s="10" t="s">
        <v>633</v>
      </c>
      <c r="H492" s="10" t="s">
        <v>2539</v>
      </c>
      <c r="I492" s="10" t="s">
        <v>782</v>
      </c>
      <c r="J492" s="27" t="s">
        <v>789</v>
      </c>
      <c r="K492" s="15" t="s">
        <v>5591</v>
      </c>
      <c r="L492" s="10" t="s">
        <v>771</v>
      </c>
      <c r="M492" s="10" t="s">
        <v>770</v>
      </c>
      <c r="N492" s="30" t="str">
        <f>HYPERLINK("https://twitter.com/USA_Zhongwen/statuses/40306239774662656","https://twitter.com/USA_Zhongwen/statuses/40306239774662656")</f>
        <v>https://twitter.com/USA_Zhongwen/statuses/40306239774662656</v>
      </c>
      <c r="O492" s="27" t="s">
        <v>6122</v>
      </c>
      <c r="P492" s="80">
        <v>14</v>
      </c>
      <c r="Q492" s="80">
        <v>4</v>
      </c>
      <c r="R492" s="27" t="s">
        <v>2994</v>
      </c>
      <c r="S492" s="10" t="s">
        <v>2617</v>
      </c>
      <c r="T492" s="10" t="s">
        <v>771</v>
      </c>
      <c r="U492" s="10" t="s">
        <v>771</v>
      </c>
      <c r="V492" s="10" t="s">
        <v>771</v>
      </c>
      <c r="W492" s="10"/>
      <c r="X492" s="27" t="s">
        <v>2614</v>
      </c>
      <c r="Y492" s="27" t="s">
        <v>2615</v>
      </c>
      <c r="Z492" s="80">
        <v>773</v>
      </c>
      <c r="AA492" s="27">
        <v>8</v>
      </c>
      <c r="AB492" s="80">
        <v>3941</v>
      </c>
      <c r="AC492" s="27">
        <v>0</v>
      </c>
      <c r="AD492" s="27" t="s">
        <v>4560</v>
      </c>
      <c r="AE492" s="27">
        <v>256382520</v>
      </c>
      <c r="AF492" s="27" t="s">
        <v>2616</v>
      </c>
      <c r="AG492" s="27" t="s">
        <v>2565</v>
      </c>
      <c r="AH492" s="79">
        <v>0.40791556728232198</v>
      </c>
      <c r="AI492" s="83">
        <v>0.461217183770883</v>
      </c>
      <c r="AJ492" s="80">
        <v>1.01655172413793</v>
      </c>
      <c r="AK492" s="80">
        <v>0.22620689655172399</v>
      </c>
      <c r="AL492" s="96">
        <v>39</v>
      </c>
      <c r="AM492" s="97">
        <f>SUM(AL492/Z492)</f>
        <v>5.0452781371280724E-2</v>
      </c>
      <c r="AN492" s="27" t="s">
        <v>2614</v>
      </c>
      <c r="AO492" s="27">
        <v>0</v>
      </c>
      <c r="AP492" s="27">
        <v>3</v>
      </c>
      <c r="AQ492" s="27">
        <v>3</v>
      </c>
      <c r="AR492" s="27">
        <f>SUM(AO492:AQ492)</f>
        <v>6</v>
      </c>
      <c r="AS492" s="27"/>
      <c r="AT492" s="27" t="s">
        <v>5541</v>
      </c>
      <c r="AU492" s="84" t="s">
        <v>4981</v>
      </c>
      <c r="AV492" s="77"/>
      <c r="AW492" s="77"/>
      <c r="AX492" s="77"/>
      <c r="AY492" s="77"/>
      <c r="AZ492" s="77"/>
      <c r="BA492" s="77"/>
      <c r="BB492" s="77"/>
      <c r="BC492" s="77"/>
      <c r="BD492" s="77"/>
      <c r="BE492" s="77"/>
      <c r="BF492" s="77"/>
      <c r="BG492" s="77"/>
      <c r="BH492" s="77"/>
      <c r="BI492" s="77"/>
      <c r="BJ492" s="77"/>
      <c r="BK492" s="77"/>
      <c r="BL492" s="77"/>
      <c r="BM492" s="77"/>
      <c r="BN492" s="77"/>
      <c r="BO492" s="77"/>
      <c r="BP492" s="77"/>
      <c r="BQ492" s="77"/>
      <c r="BR492" s="77"/>
      <c r="BS492" s="77"/>
      <c r="BT492" s="77"/>
      <c r="BU492" s="77"/>
      <c r="BV492" s="77"/>
      <c r="BW492" s="77"/>
      <c r="BX492" s="77"/>
      <c r="BY492" s="77"/>
      <c r="BZ492" s="77"/>
      <c r="CA492" s="77"/>
      <c r="CB492" s="77"/>
      <c r="CC492" s="77"/>
      <c r="CD492" s="77"/>
      <c r="CE492" s="77"/>
      <c r="CF492" s="77"/>
      <c r="CG492" s="77"/>
      <c r="CH492" s="77"/>
      <c r="CI492" s="77"/>
      <c r="CJ492" s="77"/>
      <c r="CK492" s="77"/>
      <c r="CL492" s="77"/>
      <c r="CM492" s="77"/>
      <c r="CN492" s="77"/>
      <c r="CO492" s="77"/>
      <c r="CP492" s="77"/>
      <c r="CQ492" s="77"/>
      <c r="CR492" s="77"/>
      <c r="CS492" s="77"/>
      <c r="CT492" s="77"/>
      <c r="CU492" s="77"/>
      <c r="CV492" s="77"/>
      <c r="CW492" s="77"/>
      <c r="CX492" s="77"/>
      <c r="CY492" s="77"/>
      <c r="CZ492" s="77"/>
      <c r="DA492" s="77"/>
      <c r="DB492" s="77"/>
      <c r="DC492" s="77"/>
      <c r="DD492" s="77"/>
      <c r="DE492" s="77"/>
      <c r="DF492" s="77"/>
      <c r="DG492" s="77"/>
      <c r="DH492" s="77"/>
      <c r="DI492" s="77"/>
      <c r="DJ492" s="77"/>
      <c r="DK492" s="77"/>
      <c r="DL492" s="77"/>
      <c r="DM492" s="77"/>
      <c r="DN492" s="77"/>
      <c r="DO492" s="77"/>
      <c r="DP492" s="77"/>
      <c r="DQ492" s="77"/>
      <c r="DR492" s="77"/>
      <c r="DS492" s="77"/>
      <c r="DT492" s="77"/>
      <c r="DU492" s="77"/>
      <c r="DV492" s="77"/>
      <c r="DW492" s="77"/>
      <c r="DX492" s="77"/>
      <c r="DY492" s="77"/>
      <c r="DZ492" s="77"/>
      <c r="EA492" s="77"/>
      <c r="EB492" s="77"/>
      <c r="EC492" s="77"/>
      <c r="ED492" s="77"/>
      <c r="EE492" s="77"/>
      <c r="EF492" s="77"/>
      <c r="EG492" s="77"/>
      <c r="EH492" s="77"/>
      <c r="EI492" s="77"/>
      <c r="EJ492" s="77"/>
      <c r="EK492" s="77"/>
      <c r="EL492" s="77"/>
      <c r="EM492" s="77"/>
      <c r="EN492" s="77"/>
      <c r="EO492" s="77"/>
      <c r="EP492" s="77"/>
      <c r="EQ492" s="77"/>
      <c r="GL492" s="77"/>
      <c r="GM492" s="77"/>
      <c r="GN492" s="77"/>
      <c r="GO492" s="77"/>
      <c r="GP492" s="77"/>
      <c r="GQ492" s="77"/>
      <c r="GR492" s="77"/>
      <c r="GS492" s="77"/>
      <c r="GT492" s="77"/>
      <c r="GU492" s="77"/>
      <c r="GV492" s="77"/>
      <c r="GW492" s="77"/>
      <c r="GX492" s="77"/>
      <c r="GY492" s="77"/>
      <c r="GZ492" s="77"/>
      <c r="HA492" s="77"/>
      <c r="HB492" s="77"/>
      <c r="HC492" s="77"/>
      <c r="HD492" s="77"/>
      <c r="HE492" s="77"/>
      <c r="HF492" s="77"/>
      <c r="HG492" s="77"/>
      <c r="HH492" s="77"/>
      <c r="HI492" s="77"/>
      <c r="HJ492" s="77"/>
      <c r="HK492" s="77"/>
      <c r="HL492" s="77"/>
      <c r="HM492" s="77"/>
      <c r="HN492" s="77"/>
      <c r="HO492" s="77"/>
      <c r="HP492" s="77"/>
      <c r="HQ492" s="77"/>
      <c r="HR492" s="77"/>
      <c r="HS492" s="77"/>
      <c r="HT492" s="77"/>
      <c r="HU492" s="77"/>
      <c r="HV492" s="77"/>
      <c r="HW492" s="77"/>
      <c r="HX492" s="77"/>
      <c r="HY492" s="77"/>
      <c r="HZ492" s="77"/>
      <c r="IA492" s="77"/>
      <c r="IB492" s="77"/>
      <c r="IC492" s="77"/>
      <c r="IF492" s="77"/>
      <c r="IG492" s="77"/>
      <c r="IH492" s="77"/>
      <c r="II492" s="77"/>
      <c r="IJ492" s="77"/>
      <c r="IK492" s="77"/>
      <c r="IL492" s="77"/>
      <c r="IM492" s="77"/>
      <c r="IN492" s="77"/>
      <c r="IO492" s="77"/>
      <c r="IP492" s="77"/>
      <c r="IQ492" s="77"/>
      <c r="IR492" s="77"/>
      <c r="IS492" s="77"/>
      <c r="IT492" s="77"/>
      <c r="IU492" s="77"/>
      <c r="IV492" s="77"/>
      <c r="IW492" s="77"/>
      <c r="IX492" s="77"/>
      <c r="IY492" s="77"/>
      <c r="IZ492" s="77"/>
      <c r="JA492" s="77"/>
      <c r="JB492" s="77"/>
      <c r="JC492" s="77"/>
      <c r="JD492" s="77"/>
      <c r="JE492" s="77"/>
      <c r="JF492" s="77"/>
      <c r="JG492" s="77"/>
      <c r="JH492" s="77"/>
      <c r="JI492" s="77"/>
      <c r="JJ492" s="77"/>
      <c r="JK492" s="77"/>
      <c r="JL492" s="77"/>
      <c r="JM492" s="77"/>
      <c r="JN492" s="77"/>
      <c r="JO492" s="77"/>
      <c r="JP492" s="77"/>
      <c r="JQ492" s="77"/>
      <c r="JR492" s="77"/>
      <c r="JS492" s="77"/>
      <c r="JT492" s="77"/>
      <c r="JU492" s="77"/>
      <c r="JV492" s="77"/>
      <c r="JW492" s="77"/>
      <c r="JX492" s="77"/>
      <c r="JY492" s="77"/>
      <c r="JZ492" s="77"/>
      <c r="KA492" s="77"/>
      <c r="KB492" s="77"/>
      <c r="KC492" s="77"/>
      <c r="KD492" s="77"/>
      <c r="KE492" s="77"/>
      <c r="KF492" s="77"/>
      <c r="KG492" s="77"/>
      <c r="KH492" s="77"/>
      <c r="KI492" s="77"/>
      <c r="KJ492" s="77"/>
      <c r="KK492" s="77"/>
      <c r="KL492" s="77"/>
      <c r="LL492" s="77"/>
      <c r="LM492" s="77"/>
      <c r="LN492" s="77"/>
      <c r="LO492" s="77"/>
      <c r="LP492" s="77"/>
      <c r="LQ492" s="77"/>
      <c r="LR492" s="77"/>
      <c r="LS492" s="77"/>
      <c r="LT492" s="77"/>
      <c r="LU492" s="77"/>
      <c r="LV492" s="77"/>
      <c r="MT492" s="77"/>
      <c r="MU492" s="77"/>
      <c r="MV492" s="77"/>
      <c r="MW492" s="77"/>
      <c r="MX492" s="77"/>
      <c r="MY492" s="77"/>
      <c r="MZ492" s="77"/>
      <c r="NA492" s="77"/>
      <c r="NB492" s="77"/>
      <c r="NC492" s="77"/>
    </row>
    <row r="493" spans="1:367" ht="18.600000000000001" customHeight="1" x14ac:dyDescent="0.25">
      <c r="A493" s="119" t="s">
        <v>50</v>
      </c>
      <c r="B493" s="27" t="s">
        <v>895</v>
      </c>
      <c r="C493" s="27" t="s">
        <v>896</v>
      </c>
      <c r="D493" s="72" t="str">
        <f>HYPERLINK("https://twitter.com/JDMahama","https://twitter.com/JDMahama")</f>
        <v>https://twitter.com/JDMahama</v>
      </c>
      <c r="E493" s="72" t="str">
        <f>HYPERLINK("http://twiplomacy.com/info/africa/Ghana","http://twiplomacy.com/info/africa/Ghana")</f>
        <v>http://twiplomacy.com/info/africa/Ghana</v>
      </c>
      <c r="F493" s="10" t="s">
        <v>1</v>
      </c>
      <c r="G493" s="10" t="s">
        <v>49</v>
      </c>
      <c r="H493" s="10" t="s">
        <v>772</v>
      </c>
      <c r="I493" s="10" t="s">
        <v>773</v>
      </c>
      <c r="J493" s="27" t="s">
        <v>789</v>
      </c>
      <c r="K493" s="15" t="s">
        <v>777</v>
      </c>
      <c r="L493" s="10" t="s">
        <v>897</v>
      </c>
      <c r="M493" s="10" t="s">
        <v>770</v>
      </c>
      <c r="N493" s="30" t="str">
        <f>HYPERLINK("https://twitter.com/JDMahama/statuses/243578200343584768","https://twitter.com/JDMahama/statuses/243578200343584768")</f>
        <v>https://twitter.com/JDMahama/statuses/243578200343584768</v>
      </c>
      <c r="O493" s="27" t="s">
        <v>5888</v>
      </c>
      <c r="P493" s="80">
        <v>1006</v>
      </c>
      <c r="Q493" s="80">
        <v>212</v>
      </c>
      <c r="R493" s="27" t="s">
        <v>2994</v>
      </c>
      <c r="S493" s="10" t="s">
        <v>898</v>
      </c>
      <c r="T493" s="10" t="s">
        <v>771</v>
      </c>
      <c r="U493" s="10" t="s">
        <v>771</v>
      </c>
      <c r="V493" s="10" t="s">
        <v>771</v>
      </c>
      <c r="W493" s="73"/>
      <c r="X493" s="27" t="s">
        <v>50</v>
      </c>
      <c r="Y493" s="27" t="s">
        <v>895</v>
      </c>
      <c r="Z493" s="80">
        <v>765</v>
      </c>
      <c r="AA493" s="27">
        <v>598</v>
      </c>
      <c r="AB493" s="80">
        <v>217470</v>
      </c>
      <c r="AC493" s="27">
        <v>1</v>
      </c>
      <c r="AD493" s="27" t="s">
        <v>3881</v>
      </c>
      <c r="AE493" s="27">
        <v>726748106</v>
      </c>
      <c r="AF493" s="27" t="s">
        <v>896</v>
      </c>
      <c r="AG493" s="27"/>
      <c r="AH493" s="79">
        <v>0.55798687089715504</v>
      </c>
      <c r="AI493" s="83">
        <v>0.58602150537634401</v>
      </c>
      <c r="AJ493" s="80">
        <v>61.161865569272997</v>
      </c>
      <c r="AK493" s="80">
        <v>29.325102880658399</v>
      </c>
      <c r="AL493" s="27">
        <v>44</v>
      </c>
      <c r="AM493" s="97">
        <f>SUM(AL493/Z493)</f>
        <v>5.7516339869281043E-2</v>
      </c>
      <c r="AN493" s="27" t="s">
        <v>50</v>
      </c>
      <c r="AO493" s="27">
        <v>1</v>
      </c>
      <c r="AP493" s="27">
        <v>30</v>
      </c>
      <c r="AQ493" s="27">
        <v>1</v>
      </c>
      <c r="AR493" s="27">
        <f>SUM(AO493:AQ493)</f>
        <v>32</v>
      </c>
      <c r="AS493" s="27" t="s">
        <v>634</v>
      </c>
      <c r="AT493" s="27" t="s">
        <v>6757</v>
      </c>
      <c r="AU493" s="84" t="s">
        <v>52</v>
      </c>
      <c r="AV493" s="77"/>
      <c r="AW493" s="77"/>
      <c r="AX493" s="77"/>
      <c r="AY493" s="77"/>
      <c r="AZ493" s="77"/>
      <c r="BA493" s="77"/>
      <c r="BB493" s="77"/>
      <c r="BC493" s="77"/>
      <c r="BD493" s="77"/>
      <c r="BE493" s="77"/>
      <c r="BF493" s="77"/>
      <c r="BG493" s="77"/>
      <c r="BH493" s="77"/>
      <c r="BI493" s="77"/>
      <c r="BJ493" s="77"/>
      <c r="BK493" s="77"/>
      <c r="BL493" s="77"/>
      <c r="BM493" s="77"/>
      <c r="BQ493" s="77"/>
      <c r="BR493" s="77"/>
      <c r="BS493" s="77"/>
      <c r="BT493" s="77"/>
      <c r="BU493" s="77"/>
      <c r="BV493" s="77"/>
      <c r="BW493" s="77"/>
      <c r="BX493" s="77"/>
      <c r="BY493" s="77"/>
      <c r="BZ493" s="77"/>
      <c r="CA493" s="77"/>
      <c r="CB493" s="77"/>
      <c r="CC493" s="77"/>
      <c r="CD493" s="77"/>
      <c r="CE493" s="77"/>
      <c r="CF493" s="77"/>
      <c r="CG493" s="77"/>
      <c r="CH493" s="77"/>
      <c r="CI493" s="77"/>
      <c r="CJ493" s="77"/>
      <c r="CK493" s="77"/>
      <c r="CL493" s="77"/>
      <c r="CM493" s="77"/>
      <c r="CN493" s="77"/>
      <c r="CO493" s="77"/>
      <c r="CP493" s="77"/>
      <c r="CQ493" s="77"/>
      <c r="CR493" s="77"/>
      <c r="CS493" s="77"/>
      <c r="CT493" s="77"/>
      <c r="CU493" s="77"/>
      <c r="CV493" s="77"/>
      <c r="CW493" s="77"/>
      <c r="CX493" s="77"/>
      <c r="CY493" s="77"/>
      <c r="CZ493" s="77"/>
      <c r="DA493" s="77"/>
      <c r="DB493" s="77"/>
      <c r="DC493" s="77"/>
      <c r="DD493" s="77"/>
      <c r="DE493" s="77"/>
      <c r="DF493" s="77"/>
      <c r="DG493" s="77"/>
      <c r="DH493" s="77"/>
      <c r="DI493" s="77"/>
      <c r="DJ493" s="77"/>
      <c r="DK493" s="77"/>
      <c r="DL493" s="77"/>
      <c r="DM493" s="77"/>
      <c r="DN493" s="77"/>
      <c r="DO493" s="77"/>
      <c r="DP493" s="77"/>
      <c r="DQ493" s="77"/>
      <c r="DR493" s="77"/>
      <c r="DS493" s="77"/>
      <c r="DT493" s="77"/>
      <c r="DU493" s="77"/>
      <c r="DV493" s="77"/>
      <c r="DW493" s="77"/>
      <c r="DX493" s="77"/>
      <c r="DY493" s="77"/>
      <c r="DZ493" s="77"/>
      <c r="EA493" s="77"/>
      <c r="EB493" s="77"/>
      <c r="EC493" s="77"/>
      <c r="ED493" s="77"/>
      <c r="EE493" s="77"/>
      <c r="EF493" s="77"/>
      <c r="EG493" s="77"/>
      <c r="EH493" s="77"/>
      <c r="EI493" s="77"/>
      <c r="EJ493" s="77"/>
      <c r="EK493" s="77"/>
      <c r="EL493" s="77"/>
      <c r="EM493" s="77"/>
      <c r="EN493" s="77"/>
      <c r="EO493" s="77"/>
      <c r="EP493" s="77"/>
      <c r="EQ493" s="77"/>
      <c r="ER493" s="77"/>
      <c r="ES493" s="77"/>
      <c r="ET493" s="77"/>
      <c r="EU493" s="77"/>
      <c r="EV493" s="77"/>
      <c r="EW493" s="77"/>
      <c r="EX493" s="77"/>
      <c r="EY493" s="77"/>
      <c r="EZ493" s="77"/>
      <c r="FA493" s="77"/>
      <c r="FB493" s="77"/>
      <c r="FC493" s="77"/>
      <c r="FD493" s="77"/>
      <c r="FE493" s="77"/>
      <c r="FF493" s="77"/>
      <c r="FG493" s="77"/>
      <c r="FH493" s="77"/>
      <c r="FI493" s="77"/>
      <c r="FJ493" s="77"/>
      <c r="FK493" s="77"/>
      <c r="FL493" s="77"/>
      <c r="FM493" s="77"/>
      <c r="FN493" s="77"/>
      <c r="FO493" s="77"/>
      <c r="FP493" s="77"/>
      <c r="FQ493" s="77"/>
      <c r="FR493" s="77"/>
      <c r="FS493" s="77"/>
      <c r="FT493" s="77"/>
      <c r="FU493" s="77"/>
      <c r="FV493" s="77"/>
      <c r="FW493" s="77"/>
      <c r="FX493" s="77"/>
      <c r="FY493" s="77"/>
      <c r="FZ493" s="77"/>
      <c r="GA493" s="77"/>
      <c r="GB493" s="77"/>
      <c r="GC493" s="77"/>
      <c r="GD493" s="77"/>
      <c r="GE493" s="77"/>
      <c r="GF493" s="77"/>
      <c r="GG493" s="77"/>
      <c r="GH493" s="77"/>
      <c r="GI493" s="77"/>
      <c r="GJ493" s="77"/>
      <c r="GK493" s="77"/>
      <c r="GL493" s="77"/>
      <c r="GM493" s="77"/>
      <c r="GN493" s="77"/>
      <c r="GO493" s="77"/>
      <c r="GP493" s="77"/>
      <c r="GQ493" s="77"/>
      <c r="GR493" s="77"/>
      <c r="GS493" s="77"/>
      <c r="GT493" s="77"/>
      <c r="GU493" s="77"/>
      <c r="GV493" s="77"/>
      <c r="GW493" s="77"/>
      <c r="GX493" s="77"/>
      <c r="GY493" s="77"/>
      <c r="GZ493" s="77"/>
      <c r="HA493" s="77"/>
      <c r="HB493" s="77"/>
      <c r="HC493" s="77"/>
      <c r="HD493" s="77"/>
      <c r="HE493" s="77"/>
      <c r="HF493" s="77"/>
      <c r="HG493" s="77"/>
      <c r="HH493" s="77"/>
      <c r="HI493" s="77"/>
      <c r="HJ493" s="77"/>
      <c r="HK493" s="77"/>
      <c r="ID493" s="77"/>
      <c r="IE493" s="77"/>
      <c r="JY493" s="77"/>
      <c r="JZ493" s="77"/>
      <c r="KA493" s="77"/>
      <c r="KB493" s="77"/>
      <c r="KC493" s="77"/>
      <c r="KD493" s="77"/>
      <c r="KE493" s="77"/>
      <c r="KF493" s="77"/>
      <c r="KG493" s="77"/>
      <c r="KH493" s="77"/>
      <c r="KI493" s="77"/>
      <c r="KJ493" s="77"/>
      <c r="KK493" s="77"/>
      <c r="KL493" s="77"/>
      <c r="KM493" s="77"/>
      <c r="KN493" s="77"/>
      <c r="KO493" s="77"/>
      <c r="KP493" s="77"/>
      <c r="KQ493" s="77"/>
      <c r="KR493" s="77"/>
      <c r="KS493" s="77"/>
      <c r="KT493" s="77"/>
      <c r="KU493" s="77"/>
      <c r="KV493" s="77"/>
      <c r="KW493" s="77"/>
      <c r="KX493" s="77"/>
      <c r="KY493" s="77"/>
      <c r="KZ493" s="77"/>
      <c r="LA493" s="77"/>
      <c r="LB493" s="77"/>
      <c r="LC493" s="77"/>
      <c r="LD493" s="77"/>
      <c r="LE493" s="77"/>
      <c r="LF493" s="77"/>
      <c r="LG493" s="77"/>
      <c r="LH493" s="77"/>
      <c r="LI493" s="77"/>
      <c r="LJ493" s="77"/>
      <c r="LK493" s="77"/>
      <c r="LL493" s="77"/>
      <c r="LM493" s="77"/>
      <c r="LN493" s="77"/>
      <c r="LO493" s="77"/>
      <c r="LP493" s="77"/>
      <c r="LQ493" s="77"/>
      <c r="LR493" s="77"/>
      <c r="LS493" s="77"/>
      <c r="LT493" s="77"/>
      <c r="LU493" s="77"/>
      <c r="LV493" s="77"/>
      <c r="LW493" s="77"/>
      <c r="LX493" s="77"/>
      <c r="MT493" s="77"/>
      <c r="MU493" s="77"/>
      <c r="MV493" s="77"/>
      <c r="MW493" s="77"/>
      <c r="MX493" s="77"/>
      <c r="MY493" s="77"/>
      <c r="MZ493" s="77"/>
      <c r="NA493" s="77"/>
      <c r="NB493" s="77"/>
      <c r="NC493" s="77"/>
    </row>
    <row r="494" spans="1:367" ht="18.600000000000001" customHeight="1" x14ac:dyDescent="0.25">
      <c r="A494" s="119" t="s">
        <v>414</v>
      </c>
      <c r="B494" s="27" t="s">
        <v>1944</v>
      </c>
      <c r="C494" s="27" t="s">
        <v>3702</v>
      </c>
      <c r="D494" s="30" t="str">
        <f>HYPERLINK("https://twitter.com/forsaetisradun","https://twitter.com/forsaetisradun")</f>
        <v>https://twitter.com/forsaetisradun</v>
      </c>
      <c r="E494" s="30" t="str">
        <f>HYPERLINK("http://twiplomacy.com/info/europe/Iceland","http://twiplomacy.com/info/europe/Iceland")</f>
        <v>http://twiplomacy.com/info/europe/Iceland</v>
      </c>
      <c r="F494" s="10" t="s">
        <v>332</v>
      </c>
      <c r="G494" s="10" t="s">
        <v>413</v>
      </c>
      <c r="H494" s="10" t="s">
        <v>788</v>
      </c>
      <c r="I494" s="10" t="s">
        <v>782</v>
      </c>
      <c r="J494" s="27" t="s">
        <v>789</v>
      </c>
      <c r="K494" s="15" t="s">
        <v>777</v>
      </c>
      <c r="L494" s="10" t="s">
        <v>771</v>
      </c>
      <c r="M494" s="10" t="s">
        <v>770</v>
      </c>
      <c r="N494" s="30" t="str">
        <f>HYPERLINK("https://twitter.com/forsaetisradun/statuses/6575224829","https://twitter.com/forsaetisradun/statuses/6575224829")</f>
        <v>https://twitter.com/forsaetisradun/statuses/6575224829</v>
      </c>
      <c r="O494" s="27" t="s">
        <v>5773</v>
      </c>
      <c r="P494" s="80">
        <v>2</v>
      </c>
      <c r="Q494" s="80">
        <v>1</v>
      </c>
      <c r="R494" s="27" t="s">
        <v>2995</v>
      </c>
      <c r="S494" s="10" t="s">
        <v>1946</v>
      </c>
      <c r="T494" s="10" t="s">
        <v>771</v>
      </c>
      <c r="U494" s="10" t="s">
        <v>771</v>
      </c>
      <c r="V494" s="10" t="s">
        <v>771</v>
      </c>
      <c r="W494" s="10"/>
      <c r="X494" s="27" t="s">
        <v>414</v>
      </c>
      <c r="Y494" s="27" t="s">
        <v>1944</v>
      </c>
      <c r="Z494" s="80">
        <v>762</v>
      </c>
      <c r="AA494" s="27">
        <v>0</v>
      </c>
      <c r="AB494" s="80">
        <v>283</v>
      </c>
      <c r="AC494" s="27">
        <v>0</v>
      </c>
      <c r="AD494" s="27" t="s">
        <v>3703</v>
      </c>
      <c r="AE494" s="27">
        <v>96155186</v>
      </c>
      <c r="AF494" s="27" t="s">
        <v>3702</v>
      </c>
      <c r="AG494" s="27" t="s">
        <v>1947</v>
      </c>
      <c r="AH494" s="79">
        <v>0.32647814910025702</v>
      </c>
      <c r="AI494" s="83">
        <v>0.32689832689832699</v>
      </c>
      <c r="AJ494" s="80">
        <v>8.8042049934296998E-2</v>
      </c>
      <c r="AK494" s="80">
        <v>4.0735873850197099E-2</v>
      </c>
      <c r="AL494" s="13">
        <v>0</v>
      </c>
      <c r="AM494" s="97">
        <f>SUM(AL494/Z494)</f>
        <v>0</v>
      </c>
      <c r="AN494" s="27" t="s">
        <v>414</v>
      </c>
      <c r="AO494" s="27">
        <v>0</v>
      </c>
      <c r="AP494" s="27">
        <v>5</v>
      </c>
      <c r="AQ494" s="27">
        <v>0</v>
      </c>
      <c r="AR494" s="27">
        <f>SUM(AO494:AQ494)</f>
        <v>5</v>
      </c>
      <c r="AS494" s="27"/>
      <c r="AT494" s="27" t="s">
        <v>6291</v>
      </c>
      <c r="AU494" s="84"/>
      <c r="AV494" s="74"/>
      <c r="AW494" s="74"/>
      <c r="AX494" s="74"/>
      <c r="AY494" s="74"/>
      <c r="AZ494" s="74"/>
      <c r="BA494" s="74"/>
      <c r="BB494" s="74"/>
      <c r="BC494" s="74"/>
      <c r="BD494" s="74"/>
      <c r="BE494" s="74"/>
      <c r="BF494" s="74"/>
      <c r="BG494" s="74"/>
      <c r="BH494" s="74"/>
      <c r="BI494" s="74"/>
      <c r="BJ494" s="74"/>
      <c r="BK494" s="74"/>
      <c r="BL494" s="74"/>
      <c r="BM494" s="74"/>
      <c r="BN494" s="77"/>
      <c r="BO494" s="77"/>
      <c r="BP494" s="77"/>
      <c r="BQ494" s="71"/>
      <c r="BR494" s="71"/>
      <c r="BS494" s="71"/>
      <c r="BT494" s="71"/>
      <c r="BU494" s="71"/>
      <c r="BV494" s="71"/>
      <c r="BW494" s="71"/>
      <c r="BX494" s="71"/>
      <c r="BY494" s="71"/>
      <c r="BZ494" s="71"/>
      <c r="CA494" s="71"/>
      <c r="CB494" s="71"/>
      <c r="CC494" s="77"/>
      <c r="CD494" s="77"/>
      <c r="CE494" s="77"/>
      <c r="CF494" s="77"/>
      <c r="CG494" s="77"/>
      <c r="CH494" s="77"/>
      <c r="CI494" s="77"/>
      <c r="CJ494" s="77"/>
      <c r="CK494" s="77"/>
      <c r="CL494" s="77"/>
      <c r="CM494" s="77"/>
      <c r="CN494" s="77"/>
      <c r="CO494" s="77"/>
      <c r="CP494" s="77"/>
      <c r="CQ494" s="77"/>
      <c r="CR494" s="77"/>
      <c r="CS494" s="77"/>
      <c r="CT494" s="77"/>
      <c r="CU494" s="77"/>
      <c r="CV494" s="77"/>
      <c r="CW494" s="77"/>
      <c r="CX494" s="77"/>
      <c r="CY494" s="77"/>
      <c r="CZ494" s="77"/>
      <c r="DA494" s="77"/>
      <c r="DB494" s="77"/>
      <c r="DC494" s="77"/>
      <c r="DD494" s="77"/>
      <c r="DE494" s="77"/>
      <c r="DF494" s="77"/>
      <c r="DG494" s="77"/>
      <c r="DH494" s="77"/>
      <c r="DI494" s="77"/>
      <c r="DJ494" s="77"/>
      <c r="DK494" s="77"/>
      <c r="DL494" s="77"/>
      <c r="DM494" s="77"/>
      <c r="DN494" s="77"/>
      <c r="DO494" s="77"/>
      <c r="DP494" s="77"/>
      <c r="DQ494" s="77"/>
      <c r="DR494" s="77"/>
      <c r="DS494" s="77"/>
      <c r="DT494" s="77"/>
      <c r="DU494" s="77"/>
      <c r="DV494" s="77"/>
      <c r="DW494" s="77"/>
      <c r="DX494" s="77"/>
      <c r="DY494" s="77"/>
      <c r="DZ494" s="77"/>
      <c r="EA494" s="77"/>
      <c r="EB494" s="77"/>
      <c r="EC494" s="77"/>
      <c r="ED494" s="77"/>
      <c r="EE494" s="77"/>
      <c r="EF494" s="77"/>
      <c r="EG494" s="77"/>
      <c r="EH494" s="77"/>
      <c r="EI494" s="77"/>
      <c r="EJ494" s="77"/>
      <c r="EK494" s="77"/>
      <c r="EL494" s="77"/>
      <c r="EM494" s="77"/>
      <c r="EN494" s="77"/>
      <c r="EO494" s="77"/>
      <c r="EP494" s="77"/>
      <c r="EQ494" s="77"/>
      <c r="ER494" s="77"/>
      <c r="ES494" s="77"/>
      <c r="ET494" s="77"/>
      <c r="EU494" s="77"/>
      <c r="EV494" s="77"/>
      <c r="EW494" s="77"/>
      <c r="EX494" s="77"/>
      <c r="EY494" s="77"/>
      <c r="EZ494" s="77"/>
      <c r="FA494" s="77"/>
      <c r="FB494" s="77"/>
      <c r="FC494" s="77"/>
      <c r="FD494" s="77"/>
      <c r="FE494" s="77"/>
      <c r="FF494" s="77"/>
      <c r="FG494" s="77"/>
      <c r="FH494" s="77"/>
      <c r="FI494" s="77"/>
      <c r="FJ494" s="77"/>
      <c r="FK494" s="77"/>
      <c r="FL494" s="77"/>
      <c r="FM494" s="77"/>
      <c r="FN494" s="77"/>
      <c r="FO494" s="77"/>
      <c r="FP494" s="77"/>
      <c r="FQ494" s="77"/>
      <c r="FR494" s="77"/>
      <c r="FS494" s="77"/>
      <c r="FT494" s="77"/>
      <c r="FU494" s="77"/>
      <c r="FV494" s="77"/>
      <c r="FW494" s="77"/>
      <c r="FX494" s="77"/>
      <c r="FY494" s="77"/>
      <c r="FZ494" s="77"/>
      <c r="GA494" s="77"/>
      <c r="GB494" s="77"/>
      <c r="GC494" s="77"/>
      <c r="GD494" s="77"/>
      <c r="GE494" s="77"/>
      <c r="GF494" s="77"/>
      <c r="GG494" s="77"/>
      <c r="GH494" s="77"/>
      <c r="GI494" s="77"/>
      <c r="GJ494" s="77"/>
      <c r="GK494" s="77"/>
      <c r="GL494" s="77"/>
      <c r="GM494" s="77"/>
      <c r="GN494" s="77"/>
      <c r="GO494" s="77"/>
      <c r="GP494" s="77"/>
      <c r="GQ494" s="77"/>
      <c r="GR494" s="77"/>
      <c r="GS494" s="77"/>
      <c r="GT494" s="77"/>
      <c r="GU494" s="77"/>
      <c r="GV494" s="77"/>
      <c r="GW494" s="77"/>
      <c r="GX494" s="77"/>
      <c r="GY494" s="77"/>
      <c r="GZ494" s="77"/>
      <c r="HA494" s="77"/>
      <c r="HB494" s="77"/>
      <c r="HC494" s="77"/>
      <c r="HD494" s="77"/>
      <c r="HE494" s="77"/>
      <c r="HF494" s="77"/>
      <c r="HG494" s="77"/>
      <c r="HH494" s="77"/>
      <c r="HI494" s="77"/>
      <c r="HJ494" s="77"/>
      <c r="HK494" s="77"/>
      <c r="HL494" s="77"/>
      <c r="HM494" s="77"/>
      <c r="HN494" s="77"/>
      <c r="HO494" s="77"/>
      <c r="HP494" s="77"/>
      <c r="HQ494" s="77"/>
      <c r="HR494" s="77"/>
      <c r="HS494" s="77"/>
      <c r="HT494" s="77"/>
      <c r="HU494" s="77"/>
      <c r="HV494" s="77"/>
      <c r="HW494" s="77"/>
      <c r="HX494" s="77"/>
      <c r="HY494" s="77"/>
      <c r="HZ494" s="77"/>
      <c r="IA494" s="77"/>
      <c r="IB494" s="77"/>
      <c r="IC494" s="77"/>
      <c r="ID494" s="77"/>
      <c r="IE494" s="77"/>
      <c r="IF494" s="77"/>
      <c r="IG494" s="77"/>
      <c r="IH494" s="77"/>
      <c r="II494" s="77"/>
      <c r="IJ494" s="77"/>
      <c r="IK494" s="77"/>
      <c r="IL494" s="77"/>
      <c r="IM494" s="77"/>
      <c r="IN494" s="77"/>
      <c r="IO494" s="77"/>
      <c r="IP494" s="77"/>
      <c r="IQ494" s="77"/>
      <c r="IR494" s="77"/>
      <c r="IS494" s="77"/>
      <c r="IT494" s="77"/>
      <c r="IU494" s="77"/>
      <c r="IV494" s="77"/>
      <c r="IW494" s="77"/>
      <c r="IX494" s="77"/>
      <c r="IY494" s="77"/>
      <c r="IZ494" s="77"/>
      <c r="JA494" s="77"/>
      <c r="JB494" s="77"/>
      <c r="JC494" s="77"/>
      <c r="JD494" s="77"/>
      <c r="JE494" s="77"/>
      <c r="JF494" s="77"/>
      <c r="JG494" s="77"/>
      <c r="JH494" s="77"/>
      <c r="JI494" s="77"/>
      <c r="JJ494" s="77"/>
      <c r="JK494" s="77"/>
      <c r="JL494" s="77"/>
      <c r="JM494" s="77"/>
      <c r="JN494" s="77"/>
      <c r="JO494" s="77"/>
      <c r="JP494" s="77"/>
      <c r="JQ494" s="77"/>
      <c r="JR494" s="77"/>
      <c r="JS494" s="77"/>
      <c r="JT494" s="77"/>
      <c r="JU494" s="77"/>
      <c r="JV494" s="77"/>
      <c r="JW494" s="77"/>
      <c r="JX494" s="77"/>
      <c r="JY494" s="77"/>
      <c r="JZ494" s="77"/>
      <c r="KA494" s="77"/>
      <c r="KB494" s="77"/>
      <c r="KC494" s="77"/>
      <c r="KD494" s="77"/>
      <c r="KE494" s="77"/>
      <c r="KF494" s="77"/>
      <c r="KG494" s="77"/>
      <c r="KH494" s="77"/>
      <c r="KI494" s="77"/>
      <c r="KJ494" s="77"/>
      <c r="KK494" s="77"/>
      <c r="KL494" s="77"/>
      <c r="KM494" s="77"/>
      <c r="KN494" s="77"/>
      <c r="KO494" s="77"/>
      <c r="KP494" s="77"/>
      <c r="KQ494" s="77"/>
      <c r="KR494" s="77"/>
      <c r="KS494" s="77"/>
      <c r="KT494" s="77"/>
      <c r="KU494" s="77"/>
      <c r="KV494" s="77"/>
      <c r="KW494" s="77"/>
      <c r="KX494" s="77"/>
      <c r="KY494" s="77"/>
      <c r="KZ494" s="77"/>
      <c r="LA494" s="77"/>
      <c r="LB494" s="77"/>
      <c r="LC494" s="77"/>
      <c r="LD494" s="77"/>
      <c r="LE494" s="77"/>
      <c r="LF494" s="77"/>
      <c r="LG494" s="77"/>
      <c r="LH494" s="77"/>
      <c r="LI494" s="77"/>
      <c r="LJ494" s="77"/>
      <c r="LK494" s="77"/>
      <c r="LL494" s="16"/>
      <c r="LM494" s="16"/>
      <c r="LN494" s="16"/>
      <c r="LO494" s="16"/>
      <c r="LP494" s="16"/>
      <c r="LQ494" s="16"/>
      <c r="LR494" s="16"/>
      <c r="LS494" s="16"/>
      <c r="LT494" s="16"/>
      <c r="LU494" s="16"/>
      <c r="LV494" s="16"/>
      <c r="LY494" s="77"/>
      <c r="LZ494" s="77"/>
      <c r="MA494" s="77"/>
      <c r="MB494" s="77"/>
      <c r="MC494" s="77"/>
      <c r="MD494" s="77"/>
      <c r="ME494" s="77"/>
      <c r="MF494" s="77"/>
      <c r="MG494" s="77"/>
      <c r="MH494" s="77"/>
      <c r="MI494" s="77"/>
      <c r="MJ494" s="77"/>
      <c r="MK494" s="77"/>
      <c r="ML494" s="77"/>
      <c r="MM494" s="77"/>
      <c r="MN494" s="77"/>
      <c r="MO494" s="77"/>
      <c r="MP494" s="77"/>
      <c r="MQ494" s="77"/>
      <c r="MR494" s="77"/>
      <c r="MS494" s="77"/>
      <c r="MT494" s="77"/>
      <c r="MU494" s="77"/>
      <c r="MV494" s="77"/>
      <c r="MW494" s="77"/>
      <c r="MX494" s="77"/>
      <c r="MY494" s="77"/>
      <c r="MZ494" s="77"/>
      <c r="NA494" s="77"/>
      <c r="NB494" s="77"/>
      <c r="NC494" s="77"/>
    </row>
    <row r="495" spans="1:367" ht="18.600000000000001" customHeight="1" x14ac:dyDescent="0.25">
      <c r="A495" s="119" t="s">
        <v>457</v>
      </c>
      <c r="B495" s="27" t="s">
        <v>3789</v>
      </c>
      <c r="C495" s="27"/>
      <c r="D495" s="30" t="str">
        <f>HYPERLINK("https://twitter.com/GuvernulRM","https://twitter.com/GuvernulRMD")</f>
        <v>https://twitter.com/GuvernulRMD</v>
      </c>
      <c r="E495" s="30" t="str">
        <f>HYPERLINK("http://twiplomacy.com/info/europe/Moldova","http://twiplomacy.com/info/europe/Moldova")</f>
        <v>http://twiplomacy.com/info/europe/Moldova</v>
      </c>
      <c r="F495" s="10" t="s">
        <v>332</v>
      </c>
      <c r="G495" s="10" t="s">
        <v>454</v>
      </c>
      <c r="H495" s="10" t="s">
        <v>788</v>
      </c>
      <c r="I495" s="10" t="s">
        <v>782</v>
      </c>
      <c r="J495" s="27" t="s">
        <v>814</v>
      </c>
      <c r="K495" s="10" t="s">
        <v>777</v>
      </c>
      <c r="L495" s="10" t="s">
        <v>771</v>
      </c>
      <c r="M495" s="10" t="s">
        <v>771</v>
      </c>
      <c r="N495" s="30" t="s">
        <v>2060</v>
      </c>
      <c r="O495" s="27" t="s">
        <v>5852</v>
      </c>
      <c r="P495" s="80">
        <v>2</v>
      </c>
      <c r="Q495" s="80">
        <v>1</v>
      </c>
      <c r="R495" s="27" t="s">
        <v>2995</v>
      </c>
      <c r="S495" s="30" t="str">
        <f>HYPERLINK("https://twitter.com/GuvernulRMD/lists","https://twitter.com/GuvernulRMD/lists")</f>
        <v>https://twitter.com/GuvernulRMD/lists</v>
      </c>
      <c r="T495" s="10" t="s">
        <v>771</v>
      </c>
      <c r="U495" s="10" t="s">
        <v>771</v>
      </c>
      <c r="V495" s="10" t="s">
        <v>771</v>
      </c>
      <c r="W495" s="10"/>
      <c r="X495" s="27" t="s">
        <v>457</v>
      </c>
      <c r="Y495" s="27" t="s">
        <v>3789</v>
      </c>
      <c r="Z495" s="80">
        <v>752</v>
      </c>
      <c r="AA495" s="27">
        <v>16</v>
      </c>
      <c r="AB495" s="80">
        <v>141</v>
      </c>
      <c r="AC495" s="27">
        <v>0</v>
      </c>
      <c r="AD495" s="27" t="s">
        <v>3790</v>
      </c>
      <c r="AE495" s="27">
        <v>2734569528</v>
      </c>
      <c r="AF495" s="27"/>
      <c r="AG495" s="27" t="s">
        <v>2058</v>
      </c>
      <c r="AH495" s="79">
        <v>1.20127795527157</v>
      </c>
      <c r="AI495" s="83">
        <v>1.2032</v>
      </c>
      <c r="AJ495" s="80">
        <v>1.9946808510638299E-2</v>
      </c>
      <c r="AK495" s="80">
        <v>3.4574468085106398E-2</v>
      </c>
      <c r="AL495" s="13">
        <v>0</v>
      </c>
      <c r="AM495" s="97">
        <f>SUM(AL495/Z495)</f>
        <v>0</v>
      </c>
      <c r="AN495" s="27" t="s">
        <v>457</v>
      </c>
      <c r="AO495" s="27">
        <v>7</v>
      </c>
      <c r="AP495" s="27">
        <v>2</v>
      </c>
      <c r="AQ495" s="27">
        <v>0</v>
      </c>
      <c r="AR495" s="27">
        <f>SUM(AO495:AQ495)</f>
        <v>9</v>
      </c>
      <c r="AS495" s="27" t="s">
        <v>5168</v>
      </c>
      <c r="AT495" s="27" t="s">
        <v>6721</v>
      </c>
      <c r="AU495" s="84"/>
      <c r="AV495" s="77"/>
      <c r="AW495" s="77"/>
      <c r="AX495" s="77"/>
      <c r="AY495" s="77"/>
      <c r="AZ495" s="77"/>
      <c r="BA495" s="77"/>
      <c r="BB495" s="77"/>
      <c r="BC495" s="77"/>
      <c r="BD495" s="77"/>
      <c r="BE495" s="77"/>
      <c r="BF495" s="77"/>
      <c r="BG495" s="77"/>
      <c r="BH495" s="77"/>
      <c r="BI495" s="77"/>
      <c r="BJ495" s="77"/>
      <c r="BK495" s="77"/>
      <c r="BL495" s="77"/>
      <c r="BM495" s="77"/>
      <c r="BN495" s="77"/>
      <c r="BO495" s="77"/>
      <c r="BP495" s="77"/>
      <c r="BQ495" s="77"/>
      <c r="BR495" s="77"/>
      <c r="BS495" s="77"/>
      <c r="BT495" s="77"/>
      <c r="BU495" s="77"/>
      <c r="BV495" s="77"/>
      <c r="BW495" s="77"/>
      <c r="BX495" s="77"/>
      <c r="BY495" s="77"/>
      <c r="BZ495" s="77"/>
      <c r="CA495" s="77"/>
      <c r="CB495" s="77"/>
      <c r="CC495" s="77"/>
      <c r="CD495" s="77"/>
      <c r="CE495" s="77"/>
      <c r="CF495" s="77"/>
      <c r="CG495" s="77"/>
      <c r="CH495" s="77"/>
      <c r="CI495" s="77"/>
      <c r="CJ495" s="77"/>
      <c r="CK495" s="77"/>
      <c r="CL495" s="77"/>
      <c r="CM495" s="77"/>
      <c r="CN495" s="77"/>
      <c r="CO495" s="77"/>
      <c r="CP495" s="77"/>
      <c r="CQ495" s="77"/>
      <c r="CR495" s="77"/>
      <c r="CS495" s="77"/>
      <c r="CT495" s="77"/>
      <c r="CU495" s="77"/>
      <c r="CV495" s="77"/>
      <c r="CW495" s="77"/>
      <c r="CX495" s="77"/>
      <c r="CY495" s="77"/>
      <c r="CZ495" s="77"/>
      <c r="DA495" s="77"/>
      <c r="DB495" s="77"/>
      <c r="DC495" s="77"/>
      <c r="DD495" s="77"/>
      <c r="DE495" s="77"/>
      <c r="DF495" s="77"/>
      <c r="DG495" s="77"/>
      <c r="DH495" s="77"/>
      <c r="DI495" s="77"/>
      <c r="DJ495" s="77"/>
      <c r="DK495" s="77"/>
      <c r="DL495" s="77"/>
      <c r="DM495" s="77"/>
      <c r="DN495" s="77"/>
      <c r="DO495" s="77"/>
      <c r="DP495" s="77"/>
      <c r="DQ495" s="77"/>
      <c r="DR495" s="77"/>
      <c r="DS495" s="77"/>
      <c r="DT495" s="77"/>
      <c r="DU495" s="77"/>
      <c r="DV495" s="77"/>
      <c r="DW495" s="77"/>
      <c r="DX495" s="77"/>
      <c r="DY495" s="77"/>
      <c r="DZ495" s="77"/>
      <c r="EA495" s="77"/>
      <c r="EB495" s="77"/>
      <c r="EC495" s="77"/>
      <c r="ED495" s="77"/>
      <c r="EE495" s="77"/>
      <c r="EF495" s="77"/>
      <c r="EG495" s="77"/>
      <c r="EH495" s="77"/>
      <c r="EI495" s="77"/>
      <c r="EJ495" s="77"/>
      <c r="EK495" s="77"/>
      <c r="EL495" s="77"/>
      <c r="EM495" s="77"/>
      <c r="EN495" s="77"/>
      <c r="EO495" s="77"/>
      <c r="EP495" s="77"/>
      <c r="EQ495" s="77"/>
      <c r="ER495" s="77"/>
      <c r="ES495" s="77"/>
      <c r="ET495" s="77"/>
      <c r="EU495" s="77"/>
      <c r="EV495" s="77"/>
      <c r="EW495" s="77"/>
      <c r="EX495" s="77"/>
      <c r="EY495" s="77"/>
      <c r="EZ495" s="77"/>
      <c r="FA495" s="77"/>
      <c r="FB495" s="77"/>
      <c r="FC495" s="77"/>
      <c r="FD495" s="77"/>
      <c r="FE495" s="77"/>
      <c r="FF495" s="77"/>
      <c r="FG495" s="77"/>
      <c r="FH495" s="77"/>
      <c r="FI495" s="77"/>
      <c r="FJ495" s="77"/>
      <c r="FK495" s="77"/>
      <c r="FL495" s="77"/>
      <c r="FM495" s="77"/>
      <c r="FN495" s="77"/>
      <c r="FO495" s="77"/>
      <c r="FP495" s="77"/>
      <c r="FQ495" s="77"/>
      <c r="FR495" s="77"/>
      <c r="FS495" s="77"/>
      <c r="FT495" s="77"/>
      <c r="FU495" s="77"/>
      <c r="FV495" s="77"/>
      <c r="FW495" s="77"/>
      <c r="FX495" s="77"/>
      <c r="FY495" s="77"/>
      <c r="FZ495" s="77"/>
      <c r="GA495" s="77"/>
      <c r="GB495" s="77"/>
      <c r="GC495" s="77"/>
      <c r="GD495" s="77"/>
      <c r="GE495" s="77"/>
      <c r="GF495" s="77"/>
      <c r="GG495" s="77"/>
      <c r="GH495" s="77"/>
      <c r="GI495" s="77"/>
      <c r="GJ495" s="77"/>
      <c r="GK495" s="77"/>
      <c r="GL495" s="77"/>
      <c r="GM495" s="77"/>
      <c r="GN495" s="77"/>
      <c r="GO495" s="77"/>
      <c r="GP495" s="77"/>
      <c r="GQ495" s="77"/>
      <c r="GR495" s="77"/>
      <c r="GS495" s="77"/>
      <c r="GT495" s="77"/>
      <c r="GU495" s="77"/>
      <c r="GV495" s="77"/>
      <c r="GW495" s="77"/>
      <c r="GX495" s="77"/>
      <c r="GY495" s="77"/>
      <c r="GZ495" s="77"/>
      <c r="HA495" s="77"/>
      <c r="HB495" s="77"/>
      <c r="HC495" s="77"/>
      <c r="HD495" s="77"/>
      <c r="HE495" s="77"/>
      <c r="HF495" s="77"/>
      <c r="HG495" s="77"/>
      <c r="HH495" s="77"/>
      <c r="HI495" s="77"/>
      <c r="HJ495" s="77"/>
      <c r="HK495" s="77"/>
      <c r="HL495" s="77"/>
      <c r="HM495" s="77"/>
      <c r="HN495" s="77"/>
      <c r="HO495" s="77"/>
      <c r="HP495" s="77"/>
      <c r="HQ495" s="77"/>
      <c r="HR495" s="77"/>
      <c r="HS495" s="77"/>
      <c r="HT495" s="77"/>
      <c r="HU495" s="77"/>
      <c r="HV495" s="77"/>
      <c r="HW495" s="77"/>
      <c r="HX495" s="77"/>
      <c r="HY495" s="77"/>
      <c r="HZ495" s="77"/>
      <c r="IA495" s="77"/>
      <c r="IB495" s="77"/>
      <c r="IC495" s="77"/>
      <c r="ID495" s="77"/>
      <c r="IE495" s="77"/>
      <c r="IF495" s="77"/>
      <c r="IG495" s="77"/>
      <c r="IH495" s="77"/>
      <c r="II495" s="77"/>
      <c r="IJ495" s="77"/>
      <c r="IK495" s="77"/>
      <c r="IL495" s="77"/>
      <c r="IM495" s="77"/>
      <c r="IN495" s="77"/>
      <c r="IO495" s="77"/>
      <c r="IP495" s="77"/>
      <c r="IQ495" s="77"/>
      <c r="IR495" s="77"/>
      <c r="IS495" s="77"/>
      <c r="IT495" s="77"/>
      <c r="IU495" s="77"/>
      <c r="IV495" s="77"/>
      <c r="IW495" s="77"/>
      <c r="IX495" s="77"/>
      <c r="IY495" s="77"/>
      <c r="IZ495" s="77"/>
      <c r="JA495" s="77"/>
      <c r="JB495" s="77"/>
      <c r="JC495" s="77"/>
      <c r="JD495" s="77"/>
      <c r="JE495" s="77"/>
      <c r="JF495" s="77"/>
      <c r="JG495" s="77"/>
      <c r="JH495" s="77"/>
      <c r="JI495" s="77"/>
      <c r="JJ495" s="77"/>
      <c r="JK495" s="77"/>
      <c r="JL495" s="77"/>
      <c r="JM495" s="77"/>
      <c r="JN495" s="77"/>
      <c r="JO495" s="77"/>
      <c r="JP495" s="77"/>
      <c r="JQ495" s="77"/>
      <c r="JR495" s="77"/>
      <c r="JS495" s="77"/>
      <c r="JT495" s="77"/>
      <c r="JU495" s="77"/>
      <c r="JV495" s="77"/>
      <c r="JW495" s="77"/>
      <c r="JX495" s="77"/>
      <c r="JY495" s="77"/>
      <c r="JZ495" s="77"/>
      <c r="KA495" s="77"/>
      <c r="KB495" s="77"/>
      <c r="KC495" s="77"/>
      <c r="KD495" s="77"/>
      <c r="KE495" s="77"/>
      <c r="KF495" s="77"/>
      <c r="KG495" s="77"/>
      <c r="KH495" s="77"/>
      <c r="KI495" s="77"/>
      <c r="KJ495" s="77"/>
      <c r="KK495" s="77"/>
      <c r="KL495" s="77"/>
      <c r="KM495" s="77"/>
      <c r="KN495" s="77"/>
      <c r="KO495" s="77"/>
      <c r="KP495" s="77"/>
      <c r="KQ495" s="77"/>
      <c r="KR495" s="77"/>
      <c r="KS495" s="77"/>
      <c r="KT495" s="77"/>
      <c r="KU495" s="77"/>
      <c r="KV495" s="77"/>
      <c r="KW495" s="77"/>
      <c r="KX495" s="77"/>
      <c r="KY495" s="77"/>
      <c r="KZ495" s="77"/>
      <c r="LA495" s="77"/>
      <c r="LB495" s="77"/>
      <c r="LC495" s="77"/>
      <c r="LD495" s="77"/>
      <c r="LE495" s="77"/>
      <c r="LF495" s="77"/>
      <c r="LG495" s="77"/>
      <c r="LH495" s="77"/>
      <c r="LI495" s="77"/>
      <c r="LJ495" s="77"/>
      <c r="LK495" s="77"/>
      <c r="LL495" s="77"/>
      <c r="LM495" s="77"/>
      <c r="LN495" s="77"/>
      <c r="LO495" s="77"/>
      <c r="LP495" s="77"/>
      <c r="LQ495" s="77"/>
      <c r="LR495" s="77"/>
      <c r="LS495" s="77"/>
      <c r="LT495" s="77"/>
      <c r="LU495" s="77"/>
      <c r="LV495" s="77"/>
      <c r="LW495" s="77"/>
      <c r="LX495" s="77"/>
      <c r="LY495" s="77"/>
      <c r="LZ495" s="77"/>
      <c r="MA495" s="77"/>
      <c r="MB495" s="77"/>
      <c r="MC495" s="77"/>
      <c r="MD495" s="77"/>
      <c r="ME495" s="77"/>
      <c r="MF495" s="77"/>
      <c r="MG495" s="77"/>
      <c r="MH495" s="77"/>
      <c r="MI495" s="77"/>
      <c r="MJ495" s="77"/>
      <c r="MK495" s="77"/>
      <c r="ML495" s="77"/>
      <c r="MM495" s="77"/>
      <c r="MN495" s="77"/>
      <c r="MO495" s="77"/>
      <c r="MP495" s="77"/>
      <c r="MQ495" s="77"/>
      <c r="MR495" s="77"/>
    </row>
    <row r="496" spans="1:367" ht="18.600000000000001" customHeight="1" x14ac:dyDescent="0.25">
      <c r="A496" s="119" t="s">
        <v>301</v>
      </c>
      <c r="B496" s="27" t="s">
        <v>4259</v>
      </c>
      <c r="C496" s="27" t="s">
        <v>4260</v>
      </c>
      <c r="D496" s="12" t="s">
        <v>3070</v>
      </c>
      <c r="E496" s="30" t="str">
        <f>HYPERLINK("http://twiplomacy.com/info/asia/Sri-Lanka","http://twiplomacy.com/info/asia/Sri-Lanka")</f>
        <v>http://twiplomacy.com/info/asia/Sri-Lanka</v>
      </c>
      <c r="F496" s="10" t="s">
        <v>154</v>
      </c>
      <c r="G496" s="10" t="s">
        <v>299</v>
      </c>
      <c r="H496" s="10" t="s">
        <v>781</v>
      </c>
      <c r="I496" s="10" t="s">
        <v>782</v>
      </c>
      <c r="J496" s="27" t="s">
        <v>789</v>
      </c>
      <c r="K496" s="15" t="s">
        <v>777</v>
      </c>
      <c r="L496" s="42" t="s">
        <v>771</v>
      </c>
      <c r="M496" s="10" t="s">
        <v>770</v>
      </c>
      <c r="N496" s="30" t="s">
        <v>3122</v>
      </c>
      <c r="O496" s="27" t="s">
        <v>3203</v>
      </c>
      <c r="P496" s="80">
        <v>14</v>
      </c>
      <c r="Q496" s="80">
        <v>3</v>
      </c>
      <c r="R496" s="27" t="s">
        <v>2995</v>
      </c>
      <c r="S496" s="12" t="s">
        <v>3085</v>
      </c>
      <c r="T496" s="10" t="s">
        <v>771</v>
      </c>
      <c r="U496" s="10" t="s">
        <v>771</v>
      </c>
      <c r="V496" s="10" t="s">
        <v>771</v>
      </c>
      <c r="W496" s="10"/>
      <c r="X496" s="27" t="s">
        <v>301</v>
      </c>
      <c r="Y496" s="27" t="s">
        <v>4259</v>
      </c>
      <c r="Z496" s="80">
        <v>748</v>
      </c>
      <c r="AA496" s="27">
        <v>1</v>
      </c>
      <c r="AB496" s="80">
        <v>583</v>
      </c>
      <c r="AC496" s="27">
        <v>0</v>
      </c>
      <c r="AD496" s="27" t="s">
        <v>4261</v>
      </c>
      <c r="AE496" s="27">
        <v>3308696137</v>
      </c>
      <c r="AF496" s="27" t="s">
        <v>4260</v>
      </c>
      <c r="AG496" s="27" t="s">
        <v>299</v>
      </c>
      <c r="AH496" s="79">
        <v>2.78066914498141</v>
      </c>
      <c r="AI496" s="83">
        <v>2.8120300751879701</v>
      </c>
      <c r="AJ496" s="80">
        <v>1.0040431266846399</v>
      </c>
      <c r="AK496" s="80">
        <v>0.56738544474393504</v>
      </c>
      <c r="AL496" s="27">
        <v>5</v>
      </c>
      <c r="AM496" s="97">
        <f>SUM(AL496/Z496)</f>
        <v>6.6844919786096255E-3</v>
      </c>
      <c r="AN496" s="27" t="s">
        <v>301</v>
      </c>
      <c r="AO496" s="27">
        <v>1</v>
      </c>
      <c r="AP496" s="27">
        <v>3</v>
      </c>
      <c r="AQ496" s="27">
        <v>0</v>
      </c>
      <c r="AR496" s="27">
        <f>SUM(AO496:AQ496)</f>
        <v>4</v>
      </c>
      <c r="AS496" s="27" t="s">
        <v>300</v>
      </c>
      <c r="AT496" s="27" t="s">
        <v>6329</v>
      </c>
      <c r="AU496" s="84"/>
      <c r="AV496" s="77"/>
      <c r="AW496" s="77"/>
      <c r="AX496" s="77"/>
      <c r="AY496" s="77"/>
      <c r="AZ496" s="77"/>
      <c r="BA496" s="77"/>
      <c r="BB496" s="77"/>
      <c r="BC496" s="77"/>
      <c r="BD496" s="77"/>
      <c r="BE496" s="77"/>
      <c r="BF496" s="77"/>
      <c r="BG496" s="77"/>
      <c r="BH496" s="77"/>
      <c r="BI496" s="77"/>
      <c r="BJ496" s="77"/>
      <c r="BK496" s="77"/>
      <c r="BL496" s="77"/>
      <c r="BM496" s="77"/>
      <c r="BN496" s="77"/>
      <c r="BO496" s="77"/>
      <c r="BP496" s="77"/>
      <c r="BQ496" s="71"/>
      <c r="BR496" s="71"/>
      <c r="BS496" s="71"/>
      <c r="BT496" s="71"/>
      <c r="BU496" s="71"/>
      <c r="BV496" s="71"/>
      <c r="BW496" s="71"/>
      <c r="BX496" s="71"/>
      <c r="BY496" s="71"/>
      <c r="BZ496" s="71"/>
      <c r="CA496" s="71"/>
      <c r="CB496" s="71"/>
      <c r="CC496" s="77"/>
      <c r="CD496" s="77"/>
      <c r="CE496" s="77"/>
      <c r="CF496" s="77"/>
      <c r="CG496" s="77"/>
      <c r="CH496" s="77"/>
      <c r="CI496" s="77"/>
      <c r="CJ496" s="77"/>
      <c r="CK496" s="77"/>
      <c r="CL496" s="77"/>
      <c r="CM496" s="77"/>
      <c r="CN496" s="77"/>
      <c r="CO496" s="77"/>
      <c r="CP496" s="77"/>
      <c r="CQ496" s="77"/>
      <c r="CR496" s="77"/>
      <c r="CS496" s="77"/>
      <c r="CT496" s="77"/>
      <c r="CU496" s="77"/>
      <c r="CV496" s="77"/>
      <c r="CW496" s="77"/>
      <c r="CX496" s="77"/>
      <c r="CY496" s="77"/>
      <c r="CZ496" s="77"/>
      <c r="DA496" s="77"/>
      <c r="DB496" s="77"/>
      <c r="DC496" s="77"/>
      <c r="DD496" s="77"/>
      <c r="DE496" s="77"/>
      <c r="DF496" s="77"/>
      <c r="DG496" s="77"/>
      <c r="DH496" s="77"/>
      <c r="DI496" s="77"/>
      <c r="DJ496" s="77"/>
      <c r="DK496" s="77"/>
      <c r="DL496" s="77"/>
      <c r="DM496" s="77"/>
      <c r="DN496" s="77"/>
      <c r="DO496" s="77"/>
      <c r="DP496" s="77"/>
      <c r="DQ496" s="77"/>
      <c r="DR496" s="77"/>
      <c r="DS496" s="77"/>
      <c r="DT496" s="77"/>
      <c r="DU496" s="77"/>
      <c r="DV496" s="77"/>
      <c r="DW496" s="77"/>
      <c r="DX496" s="77"/>
      <c r="DY496" s="77"/>
      <c r="DZ496" s="77"/>
      <c r="EA496" s="77"/>
      <c r="EB496" s="77"/>
      <c r="EC496" s="77"/>
      <c r="ED496" s="77"/>
      <c r="EE496" s="77"/>
      <c r="EF496" s="77"/>
      <c r="EG496" s="77"/>
      <c r="EH496" s="77"/>
      <c r="EI496" s="77"/>
      <c r="EJ496" s="77"/>
      <c r="EK496" s="77"/>
      <c r="EL496" s="77"/>
      <c r="EM496" s="77"/>
      <c r="EN496" s="77"/>
      <c r="EO496" s="77"/>
      <c r="EP496" s="77"/>
      <c r="ER496" s="77"/>
      <c r="ES496" s="77"/>
      <c r="ET496" s="77"/>
      <c r="EU496" s="77"/>
      <c r="EV496" s="77"/>
      <c r="EW496" s="77"/>
      <c r="EX496" s="77"/>
      <c r="EY496" s="77"/>
      <c r="EZ496" s="77"/>
      <c r="FA496" s="77"/>
      <c r="FB496" s="77"/>
      <c r="FC496" s="77"/>
      <c r="FD496" s="77"/>
      <c r="FE496" s="77"/>
      <c r="FF496" s="77"/>
      <c r="FG496" s="77"/>
      <c r="FH496" s="77"/>
      <c r="FI496" s="77"/>
      <c r="FJ496" s="77"/>
      <c r="FK496" s="77"/>
      <c r="FL496" s="77"/>
      <c r="FM496" s="77"/>
      <c r="FN496" s="77"/>
      <c r="FO496" s="77"/>
      <c r="FP496" s="77"/>
      <c r="FQ496" s="77"/>
      <c r="FR496" s="77"/>
      <c r="FS496" s="77"/>
      <c r="FT496" s="77"/>
      <c r="FU496" s="77"/>
      <c r="FV496" s="77"/>
      <c r="FW496" s="77"/>
      <c r="FX496" s="77"/>
      <c r="FY496" s="77"/>
      <c r="FZ496" s="77"/>
      <c r="GA496" s="77"/>
      <c r="GB496" s="77"/>
      <c r="GC496" s="77"/>
      <c r="GD496" s="77"/>
      <c r="GE496" s="77"/>
      <c r="GF496" s="77"/>
      <c r="GG496" s="77"/>
      <c r="GH496" s="77"/>
      <c r="GI496" s="77"/>
      <c r="GJ496" s="77"/>
      <c r="GK496" s="77"/>
      <c r="GL496" s="77"/>
      <c r="GM496" s="77"/>
      <c r="GN496" s="77"/>
      <c r="GO496" s="77"/>
      <c r="GP496" s="77"/>
      <c r="GQ496" s="77"/>
      <c r="GR496" s="77"/>
      <c r="GS496" s="77"/>
      <c r="GT496" s="77"/>
      <c r="GU496" s="77"/>
      <c r="GV496" s="77"/>
      <c r="GW496" s="77"/>
      <c r="GX496" s="77"/>
      <c r="GY496" s="77"/>
      <c r="GZ496" s="77"/>
      <c r="HA496" s="77"/>
      <c r="HB496" s="77"/>
      <c r="HC496" s="77"/>
      <c r="HD496" s="77"/>
      <c r="HE496" s="77"/>
      <c r="HF496" s="77"/>
      <c r="HG496" s="77"/>
      <c r="HH496" s="77"/>
      <c r="HI496" s="77"/>
      <c r="HJ496" s="77"/>
      <c r="HK496" s="77"/>
      <c r="HL496" s="77"/>
      <c r="HM496" s="77"/>
      <c r="HN496" s="77"/>
      <c r="HO496" s="77"/>
      <c r="HP496" s="77"/>
      <c r="HQ496" s="77"/>
      <c r="HR496" s="77"/>
      <c r="HS496" s="77"/>
      <c r="HT496" s="77"/>
      <c r="HU496" s="77"/>
      <c r="HV496" s="77"/>
      <c r="HW496" s="77"/>
      <c r="HX496" s="77"/>
      <c r="HY496" s="77"/>
      <c r="HZ496" s="77"/>
      <c r="IA496" s="77"/>
      <c r="IB496" s="77"/>
      <c r="IC496" s="77"/>
      <c r="JY496" s="77"/>
      <c r="JZ496" s="77"/>
      <c r="KA496" s="77"/>
      <c r="KB496" s="77"/>
      <c r="KC496" s="77"/>
      <c r="KD496" s="77"/>
      <c r="KE496" s="77"/>
      <c r="KF496" s="77"/>
      <c r="KG496" s="77"/>
      <c r="KH496" s="77"/>
      <c r="KI496" s="77"/>
      <c r="KJ496" s="77"/>
      <c r="KK496" s="77"/>
      <c r="KL496" s="77"/>
      <c r="KM496" s="77"/>
      <c r="KN496" s="77"/>
      <c r="KO496" s="77"/>
      <c r="KP496" s="77"/>
      <c r="KQ496" s="77"/>
      <c r="KR496" s="77"/>
      <c r="KS496" s="77"/>
      <c r="KT496" s="77"/>
      <c r="KU496" s="77"/>
      <c r="KV496" s="77"/>
      <c r="KW496" s="77"/>
      <c r="KX496" s="77"/>
      <c r="KY496" s="77"/>
      <c r="KZ496" s="77"/>
      <c r="LA496" s="77"/>
      <c r="LB496" s="77"/>
      <c r="LC496" s="77"/>
      <c r="LD496" s="77"/>
      <c r="LE496" s="77"/>
      <c r="LF496" s="77"/>
      <c r="LG496" s="77"/>
      <c r="LH496" s="77"/>
      <c r="LI496" s="77"/>
      <c r="LJ496" s="77"/>
      <c r="LK496" s="77"/>
      <c r="LW496" s="77"/>
      <c r="LX496" s="77"/>
      <c r="MS496" s="77"/>
    </row>
    <row r="497" spans="1:421" ht="18.600000000000001" customHeight="1" x14ac:dyDescent="0.25">
      <c r="A497" s="119" t="s">
        <v>266</v>
      </c>
      <c r="B497" s="27" t="s">
        <v>1535</v>
      </c>
      <c r="C497" s="27" t="s">
        <v>4262</v>
      </c>
      <c r="D497" s="30" t="str">
        <f>HYPERLINK("https://twitter.com/PMNawazSharif","https://twitter.com/PMNawazSharif")</f>
        <v>https://twitter.com/PMNawazSharif</v>
      </c>
      <c r="E497" s="30" t="str">
        <f>HYPERLINK("http://twiplomacy.com/info/asia/Pakistan","http://twiplomacy.com/info/asia/Pakistan")</f>
        <v>http://twiplomacy.com/info/asia/Pakistan</v>
      </c>
      <c r="F497" s="10" t="s">
        <v>154</v>
      </c>
      <c r="G497" s="10" t="s">
        <v>265</v>
      </c>
      <c r="H497" s="10" t="s">
        <v>776</v>
      </c>
      <c r="I497" s="10" t="s">
        <v>773</v>
      </c>
      <c r="J497" s="27" t="s">
        <v>789</v>
      </c>
      <c r="K497" s="15" t="s">
        <v>777</v>
      </c>
      <c r="L497" s="10" t="s">
        <v>771</v>
      </c>
      <c r="M497" s="10" t="s">
        <v>771</v>
      </c>
      <c r="N497" s="30" t="str">
        <f>HYPERLINK("https://twitter.com/PMNawazSharif/statuses/267381383079550976","https://twitter.com/PMNawazSharif/statuses/267381383079550976")</f>
        <v>https://twitter.com/PMNawazSharif/statuses/267381383079550976</v>
      </c>
      <c r="O497" s="27" t="s">
        <v>1536</v>
      </c>
      <c r="P497" s="80">
        <v>156</v>
      </c>
      <c r="Q497" s="80">
        <v>59</v>
      </c>
      <c r="R497" s="27" t="s">
        <v>2995</v>
      </c>
      <c r="S497" s="10" t="s">
        <v>1537</v>
      </c>
      <c r="T497" s="10" t="s">
        <v>771</v>
      </c>
      <c r="U497" s="10" t="s">
        <v>771</v>
      </c>
      <c r="V497" s="10" t="s">
        <v>771</v>
      </c>
      <c r="W497" s="10"/>
      <c r="X497" s="27" t="s">
        <v>266</v>
      </c>
      <c r="Y497" s="27" t="s">
        <v>1535</v>
      </c>
      <c r="Z497" s="80">
        <v>743</v>
      </c>
      <c r="AA497" s="27">
        <v>100</v>
      </c>
      <c r="AB497" s="80">
        <v>33976</v>
      </c>
      <c r="AC497" s="27">
        <v>8</v>
      </c>
      <c r="AD497" s="27" t="s">
        <v>4263</v>
      </c>
      <c r="AE497" s="27">
        <v>937710709</v>
      </c>
      <c r="AF497" s="27" t="s">
        <v>4262</v>
      </c>
      <c r="AG497" s="27" t="s">
        <v>1538</v>
      </c>
      <c r="AH497" s="79">
        <v>0.58550039401103204</v>
      </c>
      <c r="AI497" s="83">
        <v>0.582938388625592</v>
      </c>
      <c r="AJ497" s="80">
        <v>7.1978798586572399</v>
      </c>
      <c r="AK497" s="80">
        <v>8.1572438162544199</v>
      </c>
      <c r="AL497" s="27">
        <v>30</v>
      </c>
      <c r="AM497" s="97">
        <f>SUM(AL497/Z497)</f>
        <v>4.0376850605652756E-2</v>
      </c>
      <c r="AN497" s="27" t="s">
        <v>266</v>
      </c>
      <c r="AO497" s="27">
        <v>6</v>
      </c>
      <c r="AP497" s="27">
        <v>6</v>
      </c>
      <c r="AQ497" s="27">
        <v>0</v>
      </c>
      <c r="AR497" s="27">
        <f>SUM(AO497:AQ497)</f>
        <v>12</v>
      </c>
      <c r="AS497" s="27" t="s">
        <v>5394</v>
      </c>
      <c r="AT497" s="27" t="s">
        <v>5395</v>
      </c>
      <c r="AU497" s="84"/>
      <c r="AV497" s="58"/>
      <c r="AW497" s="58"/>
      <c r="AX497" s="58"/>
      <c r="AY497" s="58"/>
      <c r="AZ497" s="58"/>
      <c r="BA497" s="58"/>
      <c r="BB497" s="58"/>
      <c r="BC497" s="58"/>
      <c r="BD497" s="58"/>
      <c r="BE497" s="58"/>
      <c r="BF497" s="58"/>
      <c r="BG497" s="58"/>
      <c r="BH497" s="58"/>
      <c r="BI497" s="58"/>
      <c r="BJ497" s="58"/>
      <c r="BK497" s="58"/>
      <c r="BL497" s="58"/>
      <c r="BM497" s="77"/>
      <c r="BN497" s="77"/>
      <c r="BO497" s="77"/>
      <c r="BP497" s="77"/>
      <c r="BQ497" s="77"/>
      <c r="BR497" s="77"/>
      <c r="BS497" s="77"/>
      <c r="BT497" s="77"/>
      <c r="BU497" s="77"/>
      <c r="BV497" s="77"/>
      <c r="BW497" s="77"/>
      <c r="BX497" s="77"/>
      <c r="BY497" s="77"/>
      <c r="BZ497" s="77"/>
      <c r="CA497" s="77"/>
      <c r="CB497" s="77"/>
      <c r="CC497" s="77"/>
      <c r="CD497" s="77"/>
      <c r="CE497" s="77"/>
      <c r="CF497" s="77"/>
      <c r="CG497" s="77"/>
      <c r="CH497" s="77"/>
      <c r="CI497" s="77"/>
      <c r="CJ497" s="77"/>
      <c r="CK497" s="77"/>
      <c r="CL497" s="77"/>
      <c r="CM497" s="77"/>
      <c r="CN497" s="77"/>
      <c r="CO497" s="77"/>
      <c r="CP497" s="77"/>
      <c r="CQ497" s="77"/>
      <c r="CR497" s="77"/>
      <c r="CS497" s="77"/>
      <c r="CT497" s="77"/>
      <c r="CU497" s="77"/>
      <c r="CV497" s="77"/>
      <c r="CW497" s="77"/>
      <c r="EM497" s="77"/>
      <c r="EN497" s="77"/>
      <c r="EO497" s="77"/>
      <c r="EP497" s="77"/>
      <c r="EQ497" s="77"/>
      <c r="ER497" s="77"/>
      <c r="ES497" s="77"/>
      <c r="ET497" s="77"/>
      <c r="EU497" s="77"/>
      <c r="EV497" s="77"/>
      <c r="EW497" s="77"/>
      <c r="EX497" s="77"/>
      <c r="EY497" s="77"/>
      <c r="EZ497" s="77"/>
      <c r="FA497" s="77"/>
      <c r="FB497" s="77"/>
      <c r="FC497" s="77"/>
      <c r="FD497" s="77"/>
      <c r="FE497" s="77"/>
      <c r="FF497" s="77"/>
      <c r="FG497" s="77"/>
      <c r="FH497" s="77"/>
      <c r="FI497" s="77"/>
      <c r="FJ497" s="77"/>
      <c r="FK497" s="77"/>
      <c r="FL497" s="77"/>
      <c r="FM497" s="77"/>
      <c r="FN497" s="77"/>
      <c r="FO497" s="77"/>
      <c r="FP497" s="77"/>
      <c r="FQ497" s="77"/>
      <c r="FR497" s="77"/>
      <c r="FS497" s="77"/>
      <c r="FT497" s="77"/>
      <c r="FU497" s="77"/>
      <c r="FV497" s="77"/>
      <c r="FW497" s="77"/>
      <c r="FX497" s="77"/>
      <c r="FY497" s="77"/>
      <c r="FZ497" s="77"/>
      <c r="GA497" s="77"/>
      <c r="GB497" s="77"/>
      <c r="GC497" s="77"/>
      <c r="GD497" s="77"/>
      <c r="GE497" s="77"/>
      <c r="GF497" s="77"/>
      <c r="GG497" s="77"/>
      <c r="GH497" s="77"/>
      <c r="GI497" s="77"/>
      <c r="GJ497" s="77"/>
      <c r="GK497" s="77"/>
      <c r="GL497" s="77"/>
      <c r="GM497" s="77"/>
      <c r="GN497" s="77"/>
      <c r="GO497" s="77"/>
      <c r="GP497" s="77"/>
      <c r="GQ497" s="77"/>
      <c r="GR497" s="77"/>
      <c r="GS497" s="77"/>
      <c r="GT497" s="77"/>
      <c r="GU497" s="77"/>
      <c r="GV497" s="77"/>
      <c r="GW497" s="77"/>
      <c r="GX497" s="77"/>
      <c r="GY497" s="77"/>
      <c r="GZ497" s="77"/>
      <c r="HA497" s="77"/>
      <c r="HB497" s="77"/>
      <c r="HC497" s="77"/>
      <c r="HD497" s="77"/>
      <c r="HE497" s="77"/>
      <c r="HF497" s="77"/>
      <c r="HG497" s="77"/>
      <c r="HH497" s="77"/>
      <c r="HI497" s="77"/>
      <c r="HJ497" s="77"/>
      <c r="HK497" s="77"/>
      <c r="HL497" s="77"/>
      <c r="HM497" s="77"/>
      <c r="HN497" s="77"/>
      <c r="HO497" s="77"/>
      <c r="HP497" s="77"/>
      <c r="HQ497" s="77"/>
      <c r="HR497" s="77"/>
      <c r="HS497" s="77"/>
      <c r="HT497" s="77"/>
      <c r="HU497" s="77"/>
      <c r="HV497" s="77"/>
      <c r="HW497" s="77"/>
      <c r="HX497" s="77"/>
      <c r="HY497" s="77"/>
      <c r="HZ497" s="77"/>
      <c r="IA497" s="77"/>
      <c r="IB497" s="77"/>
      <c r="IC497" s="77"/>
      <c r="ID497" s="77"/>
      <c r="IE497" s="77"/>
      <c r="JY497" s="77"/>
      <c r="JZ497" s="77"/>
      <c r="KA497" s="77"/>
      <c r="KB497" s="77"/>
      <c r="KC497" s="77"/>
      <c r="KD497" s="77"/>
      <c r="KE497" s="77"/>
      <c r="KF497" s="77"/>
      <c r="KG497" s="77"/>
      <c r="KH497" s="77"/>
      <c r="KI497" s="77"/>
      <c r="KJ497" s="77"/>
      <c r="KK497" s="77"/>
      <c r="KL497" s="77"/>
      <c r="KM497" s="77"/>
      <c r="KN497" s="77"/>
      <c r="KO497" s="77"/>
      <c r="KP497" s="77"/>
      <c r="KQ497" s="77"/>
      <c r="KR497" s="77"/>
      <c r="KS497" s="77"/>
      <c r="KT497" s="77"/>
      <c r="KU497" s="77"/>
      <c r="KV497" s="77"/>
      <c r="KW497" s="77"/>
      <c r="KX497" s="77"/>
      <c r="KY497" s="77"/>
      <c r="KZ497" s="77"/>
      <c r="LA497" s="77"/>
      <c r="LB497" s="77"/>
      <c r="LC497" s="77"/>
      <c r="LD497" s="77"/>
      <c r="LE497" s="77"/>
      <c r="LF497" s="77"/>
      <c r="LG497" s="77"/>
      <c r="LH497" s="77"/>
      <c r="LI497" s="77"/>
      <c r="LJ497" s="77"/>
      <c r="LK497" s="77"/>
      <c r="LL497" s="77"/>
      <c r="LM497" s="77"/>
      <c r="LN497" s="77"/>
      <c r="LO497" s="77"/>
      <c r="LP497" s="77"/>
      <c r="LQ497" s="77"/>
      <c r="LR497" s="77"/>
      <c r="LS497" s="77"/>
      <c r="LT497" s="77"/>
      <c r="LU497" s="77"/>
      <c r="LV497" s="77"/>
      <c r="LW497" s="77"/>
      <c r="LX497" s="77"/>
      <c r="LY497" s="77"/>
      <c r="LZ497" s="77"/>
      <c r="MA497" s="77"/>
      <c r="MB497" s="77"/>
      <c r="MC497" s="77"/>
      <c r="MD497" s="77"/>
      <c r="ME497" s="77"/>
      <c r="MF497" s="77"/>
      <c r="MG497" s="77"/>
      <c r="MH497" s="77"/>
      <c r="MI497" s="77"/>
      <c r="MJ497" s="77"/>
      <c r="MK497" s="77"/>
      <c r="ML497" s="77"/>
      <c r="MM497" s="77"/>
      <c r="MN497" s="77"/>
      <c r="MO497" s="77"/>
      <c r="MP497" s="77"/>
      <c r="MQ497" s="77"/>
      <c r="MR497" s="77"/>
      <c r="NE497" s="77"/>
      <c r="NF497" s="77"/>
      <c r="NG497" s="77"/>
      <c r="NH497" s="77"/>
      <c r="NI497" s="77"/>
      <c r="NJ497" s="77"/>
      <c r="NK497" s="77"/>
      <c r="NL497" s="77"/>
      <c r="NM497" s="77"/>
      <c r="NN497" s="77"/>
      <c r="NO497" s="77"/>
      <c r="NP497" s="77"/>
      <c r="NQ497" s="77"/>
      <c r="NR497" s="77"/>
      <c r="NS497" s="77"/>
      <c r="NT497" s="77"/>
      <c r="NU497" s="77"/>
      <c r="NV497" s="77"/>
      <c r="NW497" s="77"/>
      <c r="NX497" s="77"/>
      <c r="NY497" s="77"/>
      <c r="NZ497" s="77"/>
      <c r="OA497" s="77"/>
      <c r="OB497" s="77"/>
      <c r="OC497" s="77"/>
      <c r="OD497" s="77"/>
      <c r="OE497" s="77"/>
      <c r="OF497" s="77"/>
      <c r="OG497" s="77"/>
      <c r="OH497" s="77"/>
      <c r="OI497" s="77"/>
      <c r="OJ497" s="77"/>
      <c r="OK497" s="77"/>
      <c r="OL497" s="77"/>
      <c r="OM497" s="77"/>
      <c r="ON497" s="77"/>
      <c r="OO497" s="77"/>
      <c r="OP497" s="77"/>
      <c r="OQ497" s="77"/>
      <c r="OR497" s="77"/>
      <c r="OS497" s="77"/>
      <c r="OT497" s="77"/>
      <c r="OU497" s="77"/>
      <c r="OV497" s="77"/>
      <c r="OW497" s="77"/>
      <c r="OX497" s="77"/>
      <c r="OY497" s="77"/>
      <c r="OZ497" s="77"/>
      <c r="PA497" s="77"/>
      <c r="PB497" s="77"/>
      <c r="PC497" s="77"/>
      <c r="PD497" s="77"/>
      <c r="PE497" s="77"/>
    </row>
    <row r="498" spans="1:421" ht="18.600000000000001" customHeight="1" x14ac:dyDescent="0.25">
      <c r="A498" s="119" t="s">
        <v>652</v>
      </c>
      <c r="B498" s="27" t="s">
        <v>2643</v>
      </c>
      <c r="C498" s="27" t="s">
        <v>2967</v>
      </c>
      <c r="D498" s="30" t="str">
        <f>HYPERLINK("https://twitter.com/FijiMFA","https://twitter.com/FijiMFA")</f>
        <v>https://twitter.com/FijiMFA</v>
      </c>
      <c r="E498" s="30" t="str">
        <f>HYPERLINK("http://twiplomacy.com/info/oceania/Fiji","http://twiplomacy.com/info/oceania/Fiji")</f>
        <v>http://twiplomacy.com/info/oceania/Fiji</v>
      </c>
      <c r="F498" s="10" t="s">
        <v>643</v>
      </c>
      <c r="G498" s="10" t="s">
        <v>647</v>
      </c>
      <c r="H498" s="10" t="s">
        <v>795</v>
      </c>
      <c r="I498" s="10" t="s">
        <v>782</v>
      </c>
      <c r="J498" s="27" t="s">
        <v>789</v>
      </c>
      <c r="K498" s="15" t="s">
        <v>4612</v>
      </c>
      <c r="L498" s="14" t="s">
        <v>771</v>
      </c>
      <c r="M498" s="14" t="s">
        <v>771</v>
      </c>
      <c r="N498" s="100" t="str">
        <f>HYPERLINK("https://twitter.com/FijiMFA/statuses/38509569344933888","https://twitter.com/FijiMFA/statuses/38509569344933888")</f>
        <v>https://twitter.com/FijiMFA/statuses/38509569344933888</v>
      </c>
      <c r="O498" s="27" t="s">
        <v>5759</v>
      </c>
      <c r="P498" s="80">
        <v>3</v>
      </c>
      <c r="Q498" s="80">
        <v>0</v>
      </c>
      <c r="R498" s="27" t="s">
        <v>2995</v>
      </c>
      <c r="S498" s="10" t="s">
        <v>2968</v>
      </c>
      <c r="T498" s="10" t="s">
        <v>771</v>
      </c>
      <c r="U498" s="10" t="s">
        <v>771</v>
      </c>
      <c r="V498" s="10" t="s">
        <v>771</v>
      </c>
      <c r="W498" s="10"/>
      <c r="X498" s="27" t="s">
        <v>652</v>
      </c>
      <c r="Y498" s="27" t="s">
        <v>2643</v>
      </c>
      <c r="Z498" s="80">
        <v>735</v>
      </c>
      <c r="AA498" s="27">
        <v>11</v>
      </c>
      <c r="AB498" s="80">
        <v>857</v>
      </c>
      <c r="AC498" s="27">
        <v>0</v>
      </c>
      <c r="AD498" s="27" t="s">
        <v>3681</v>
      </c>
      <c r="AE498" s="27">
        <v>253933111</v>
      </c>
      <c r="AF498" s="27" t="s">
        <v>2967</v>
      </c>
      <c r="AG498" s="27" t="s">
        <v>2969</v>
      </c>
      <c r="AH498" s="79">
        <v>0.38663861125723298</v>
      </c>
      <c r="AI498" s="83">
        <v>0.61403508771929804</v>
      </c>
      <c r="AJ498" s="80">
        <v>3.6935704514363898E-2</v>
      </c>
      <c r="AK498" s="80">
        <v>5.4719562243502103E-3</v>
      </c>
      <c r="AL498" s="13">
        <v>0</v>
      </c>
      <c r="AM498" s="97">
        <f>SUM(AL498/Z498)</f>
        <v>0</v>
      </c>
      <c r="AN498" s="27" t="s">
        <v>652</v>
      </c>
      <c r="AO498" s="27">
        <v>1</v>
      </c>
      <c r="AP498" s="27">
        <v>33</v>
      </c>
      <c r="AQ498" s="27">
        <v>2</v>
      </c>
      <c r="AR498" s="27">
        <f>SUM(AO498:AQ498)</f>
        <v>36</v>
      </c>
      <c r="AS498" s="27" t="s">
        <v>184</v>
      </c>
      <c r="AT498" s="27" t="s">
        <v>5116</v>
      </c>
      <c r="AU498" s="84" t="s">
        <v>4718</v>
      </c>
      <c r="AV498" s="77"/>
      <c r="AW498" s="77"/>
      <c r="AX498" s="77"/>
      <c r="AY498" s="77"/>
      <c r="AZ498" s="77"/>
      <c r="BA498" s="77"/>
      <c r="BB498" s="77"/>
      <c r="BC498" s="77"/>
      <c r="BD498" s="77"/>
      <c r="BE498" s="77"/>
      <c r="BF498" s="77"/>
      <c r="BG498" s="77"/>
      <c r="BH498" s="77"/>
      <c r="BI498" s="77"/>
      <c r="BJ498" s="77"/>
      <c r="BK498" s="77"/>
      <c r="BL498" s="77"/>
      <c r="BM498" s="77"/>
      <c r="BQ498" s="74"/>
      <c r="BR498" s="74"/>
      <c r="BS498" s="74"/>
      <c r="BT498" s="74"/>
      <c r="BU498" s="74"/>
      <c r="BV498" s="74"/>
      <c r="BW498" s="74"/>
      <c r="BX498" s="74"/>
      <c r="BY498" s="74"/>
      <c r="BZ498" s="74"/>
      <c r="CA498" s="74"/>
      <c r="CB498" s="74"/>
      <c r="CC498" s="77"/>
      <c r="CD498" s="77"/>
      <c r="CE498" s="77"/>
      <c r="CF498" s="77"/>
      <c r="CG498" s="77"/>
      <c r="CH498" s="77"/>
      <c r="CI498" s="77"/>
      <c r="CJ498" s="77"/>
      <c r="CK498" s="77"/>
      <c r="CL498" s="77"/>
      <c r="CM498" s="77"/>
      <c r="CN498" s="77"/>
      <c r="CO498" s="77"/>
      <c r="CP498" s="77"/>
      <c r="CQ498" s="77"/>
      <c r="CR498" s="77"/>
      <c r="CS498" s="77"/>
      <c r="CT498" s="77"/>
      <c r="CU498" s="77"/>
      <c r="CV498" s="77"/>
      <c r="CW498" s="77"/>
      <c r="CX498" s="77"/>
      <c r="CY498" s="77"/>
      <c r="CZ498" s="77"/>
      <c r="DA498" s="77"/>
      <c r="DB498" s="77"/>
      <c r="DC498" s="77"/>
      <c r="DD498" s="77"/>
      <c r="DE498" s="77"/>
      <c r="DF498" s="77"/>
      <c r="DG498" s="77"/>
      <c r="DH498" s="77"/>
      <c r="DI498" s="77"/>
      <c r="DJ498" s="77"/>
      <c r="DK498" s="77"/>
      <c r="DL498" s="77"/>
      <c r="DM498" s="77"/>
      <c r="DN498" s="77"/>
      <c r="DO498" s="77"/>
      <c r="DP498" s="77"/>
      <c r="DQ498" s="77"/>
      <c r="DR498" s="77"/>
      <c r="DS498" s="77"/>
      <c r="DT498" s="77"/>
      <c r="DU498" s="77"/>
      <c r="DV498" s="77"/>
      <c r="DW498" s="77"/>
      <c r="DX498" s="77"/>
      <c r="DY498" s="77"/>
      <c r="DZ498" s="77"/>
      <c r="EA498" s="77"/>
      <c r="EB498" s="77"/>
      <c r="EC498" s="77"/>
      <c r="ED498" s="77"/>
      <c r="EE498" s="77"/>
      <c r="EF498" s="77"/>
      <c r="EG498" s="77"/>
      <c r="EH498" s="77"/>
      <c r="EI498" s="77"/>
      <c r="EJ498" s="77"/>
      <c r="EK498" s="77"/>
      <c r="EL498" s="77"/>
      <c r="EM498" s="77"/>
      <c r="EN498" s="77"/>
      <c r="EO498" s="77"/>
      <c r="EP498" s="77"/>
      <c r="EQ498" s="77"/>
      <c r="GL498" s="77"/>
      <c r="GM498" s="77"/>
      <c r="GN498" s="77"/>
      <c r="GO498" s="77"/>
      <c r="GP498" s="77"/>
      <c r="GQ498" s="77"/>
      <c r="GR498" s="77"/>
      <c r="GS498" s="77"/>
      <c r="GT498" s="77"/>
      <c r="GU498" s="77"/>
      <c r="GV498" s="77"/>
      <c r="GW498" s="77"/>
      <c r="GX498" s="77"/>
      <c r="GY498" s="77"/>
      <c r="GZ498" s="77"/>
      <c r="HA498" s="77"/>
      <c r="HB498" s="77"/>
      <c r="HC498" s="77"/>
      <c r="HD498" s="77"/>
      <c r="HE498" s="77"/>
      <c r="HF498" s="77"/>
      <c r="HG498" s="77"/>
      <c r="HH498" s="77"/>
      <c r="HI498" s="77"/>
      <c r="HJ498" s="77"/>
      <c r="HK498" s="77"/>
      <c r="HL498" s="77"/>
      <c r="HM498" s="77"/>
      <c r="HN498" s="77"/>
      <c r="HO498" s="77"/>
      <c r="HP498" s="77"/>
      <c r="HQ498" s="77"/>
      <c r="HR498" s="77"/>
      <c r="HS498" s="77"/>
      <c r="HT498" s="77"/>
      <c r="HU498" s="77"/>
      <c r="HV498" s="77"/>
      <c r="HW498" s="77"/>
      <c r="HX498" s="77"/>
      <c r="HY498" s="77"/>
      <c r="HZ498" s="77"/>
      <c r="IA498" s="77"/>
      <c r="IB498" s="77"/>
      <c r="IC498" s="77"/>
      <c r="ID498" s="77"/>
      <c r="IE498" s="77"/>
      <c r="JY498" s="16"/>
      <c r="JZ498" s="16"/>
      <c r="KA498" s="16"/>
      <c r="KB498" s="16"/>
      <c r="KC498" s="16"/>
      <c r="KD498" s="16"/>
      <c r="KE498" s="16"/>
      <c r="KF498" s="16"/>
      <c r="KG498" s="16"/>
      <c r="KH498" s="16"/>
      <c r="KI498" s="16"/>
      <c r="KJ498" s="16"/>
      <c r="KK498" s="16"/>
      <c r="KL498" s="16"/>
      <c r="MS498" s="77"/>
    </row>
    <row r="499" spans="1:421" ht="18.600000000000001" customHeight="1" x14ac:dyDescent="0.25">
      <c r="A499" s="119" t="s">
        <v>699</v>
      </c>
      <c r="B499" s="27" t="s">
        <v>2751</v>
      </c>
      <c r="C499" s="27" t="s">
        <v>2752</v>
      </c>
      <c r="D499" s="30" t="str">
        <f>HYPERLINK("https://twitter.com/mreparaguay","https://twitter.com/mreparaguay")</f>
        <v>https://twitter.com/mreparaguay</v>
      </c>
      <c r="E499" s="30" t="str">
        <f>HYPERLINK("http://twiplomacy.com/info/south-america/Paraguay","http://twiplomacy.com/info/south-america/Paraguay")</f>
        <v>http://twiplomacy.com/info/south-america/Paraguay</v>
      </c>
      <c r="F499" s="10" t="s">
        <v>668</v>
      </c>
      <c r="G499" s="10" t="s">
        <v>696</v>
      </c>
      <c r="H499" s="10" t="s">
        <v>795</v>
      </c>
      <c r="I499" s="10" t="s">
        <v>782</v>
      </c>
      <c r="J499" s="27" t="s">
        <v>2226</v>
      </c>
      <c r="K499" s="15" t="s">
        <v>777</v>
      </c>
      <c r="L499" s="10" t="s">
        <v>771</v>
      </c>
      <c r="M499" s="10" t="s">
        <v>771</v>
      </c>
      <c r="N499" s="30" t="str">
        <f>HYPERLINK("https://twitter.com/mreparaguay/statuses/231402456947515392","https://twitter.com/mreparaguay/statuses/231402456947515392")</f>
        <v>https://twitter.com/mreparaguay/statuses/231402456947515392</v>
      </c>
      <c r="O499" s="27" t="s">
        <v>5979</v>
      </c>
      <c r="P499" s="80">
        <v>39</v>
      </c>
      <c r="Q499" s="80">
        <v>20</v>
      </c>
      <c r="R499" s="27" t="s">
        <v>2994</v>
      </c>
      <c r="S499" s="10" t="s">
        <v>2753</v>
      </c>
      <c r="T499" s="10" t="s">
        <v>771</v>
      </c>
      <c r="U499" s="10" t="s">
        <v>771</v>
      </c>
      <c r="V499" s="10" t="s">
        <v>771</v>
      </c>
      <c r="W499" s="10"/>
      <c r="X499" s="27" t="s">
        <v>699</v>
      </c>
      <c r="Y499" s="27" t="s">
        <v>2751</v>
      </c>
      <c r="Z499" s="80">
        <v>733</v>
      </c>
      <c r="AA499" s="27">
        <v>142</v>
      </c>
      <c r="AB499" s="80">
        <v>4296</v>
      </c>
      <c r="AC499" s="27">
        <v>209</v>
      </c>
      <c r="AD499" s="27" t="s">
        <v>4173</v>
      </c>
      <c r="AE499" s="27">
        <v>342181575</v>
      </c>
      <c r="AF499" s="27" t="s">
        <v>2752</v>
      </c>
      <c r="AG499" s="27" t="s">
        <v>2754</v>
      </c>
      <c r="AH499" s="79">
        <v>0.420539300057372</v>
      </c>
      <c r="AI499" s="83">
        <v>0.53587115666178597</v>
      </c>
      <c r="AJ499" s="80">
        <v>1.6861538461538499</v>
      </c>
      <c r="AK499" s="80">
        <v>0.92615384615384599</v>
      </c>
      <c r="AL499" s="27">
        <v>7</v>
      </c>
      <c r="AM499" s="97">
        <f>SUM(AL499/Z499)</f>
        <v>9.5497953615279671E-3</v>
      </c>
      <c r="AN499" s="27" t="s">
        <v>699</v>
      </c>
      <c r="AO499" s="27">
        <v>12</v>
      </c>
      <c r="AP499" s="27">
        <v>28</v>
      </c>
      <c r="AQ499" s="27">
        <v>15</v>
      </c>
      <c r="AR499" s="27">
        <f>SUM(AO499:AQ499)</f>
        <v>55</v>
      </c>
      <c r="AS499" s="27" t="s">
        <v>6657</v>
      </c>
      <c r="AT499" s="27" t="s">
        <v>6798</v>
      </c>
      <c r="AU499" s="84" t="s">
        <v>4872</v>
      </c>
      <c r="AV499" s="16"/>
      <c r="AW499" s="16"/>
      <c r="AX499" s="16"/>
      <c r="AY499" s="16"/>
      <c r="AZ499" s="16"/>
      <c r="BA499" s="16"/>
      <c r="BB499" s="16"/>
      <c r="BC499" s="16"/>
      <c r="BD499" s="16"/>
      <c r="BE499" s="16"/>
      <c r="BF499" s="16"/>
      <c r="BG499" s="16"/>
      <c r="BH499" s="16"/>
      <c r="BI499" s="16"/>
      <c r="BJ499" s="16"/>
      <c r="BK499" s="16"/>
      <c r="BL499" s="16"/>
      <c r="BM499" s="77"/>
      <c r="BQ499" s="77"/>
      <c r="BR499" s="77"/>
      <c r="BS499" s="77"/>
      <c r="BT499" s="77"/>
      <c r="BU499" s="77"/>
      <c r="BV499" s="77"/>
      <c r="BW499" s="77"/>
      <c r="BX499" s="77"/>
      <c r="BY499" s="77"/>
      <c r="BZ499" s="77"/>
      <c r="CA499" s="77"/>
      <c r="CB499" s="77"/>
      <c r="CC499" s="77"/>
      <c r="CD499" s="77"/>
      <c r="CE499" s="77"/>
      <c r="CF499" s="77"/>
      <c r="CG499" s="77"/>
      <c r="CH499" s="77"/>
      <c r="CI499" s="77"/>
      <c r="CJ499" s="77"/>
      <c r="CK499" s="77"/>
      <c r="CL499" s="77"/>
      <c r="CM499" s="77"/>
      <c r="CN499" s="77"/>
      <c r="CO499" s="77"/>
      <c r="CP499" s="77"/>
      <c r="CQ499" s="77"/>
      <c r="CR499" s="77"/>
      <c r="CS499" s="77"/>
      <c r="CT499" s="77"/>
      <c r="CU499" s="77"/>
      <c r="CV499" s="77"/>
      <c r="CW499" s="77"/>
      <c r="CX499" s="77"/>
      <c r="CY499" s="77"/>
      <c r="CZ499" s="77"/>
      <c r="DA499" s="77"/>
      <c r="DB499" s="77"/>
      <c r="DC499" s="77"/>
      <c r="DD499" s="77"/>
      <c r="DE499" s="77"/>
      <c r="DF499" s="77"/>
      <c r="DG499" s="77"/>
      <c r="DH499" s="77"/>
      <c r="DI499" s="77"/>
      <c r="DJ499" s="77"/>
      <c r="DK499" s="77"/>
      <c r="DL499" s="77"/>
      <c r="DM499" s="77"/>
      <c r="DN499" s="77"/>
      <c r="DO499" s="77"/>
      <c r="DP499" s="77"/>
      <c r="DQ499" s="77"/>
      <c r="DR499" s="77"/>
      <c r="DS499" s="77"/>
      <c r="DT499" s="77"/>
      <c r="DU499" s="77"/>
      <c r="DV499" s="77"/>
      <c r="DW499" s="77"/>
      <c r="DX499" s="77"/>
      <c r="DY499" s="77"/>
      <c r="DZ499" s="77"/>
      <c r="EA499" s="77"/>
      <c r="EB499" s="77"/>
      <c r="EC499" s="77"/>
      <c r="ED499" s="77"/>
      <c r="EE499" s="77"/>
      <c r="EF499" s="77"/>
      <c r="EG499" s="77"/>
      <c r="EH499" s="77"/>
      <c r="EI499" s="77"/>
      <c r="EJ499" s="77"/>
      <c r="EK499" s="77"/>
      <c r="EL499" s="77"/>
      <c r="EM499" s="77"/>
      <c r="EN499" s="77"/>
      <c r="EO499" s="77"/>
      <c r="EP499" s="77"/>
      <c r="EQ499" s="77"/>
      <c r="ER499" s="16"/>
      <c r="ES499" s="16"/>
      <c r="ET499" s="16"/>
      <c r="EU499" s="16"/>
      <c r="EV499" s="16"/>
      <c r="EW499" s="16"/>
      <c r="EX499" s="16"/>
      <c r="EY499" s="16"/>
      <c r="EZ499" s="16"/>
      <c r="FA499" s="16"/>
      <c r="FB499" s="16"/>
      <c r="FC499" s="16"/>
      <c r="FD499" s="16"/>
      <c r="FE499" s="16"/>
      <c r="FF499" s="16"/>
      <c r="FG499" s="16"/>
      <c r="FH499" s="16"/>
      <c r="FI499" s="16"/>
      <c r="FJ499" s="16"/>
      <c r="FK499" s="16"/>
      <c r="FL499" s="16"/>
      <c r="FM499" s="16"/>
      <c r="FN499" s="16"/>
      <c r="FO499" s="16"/>
      <c r="FP499" s="16"/>
      <c r="FQ499" s="16"/>
      <c r="FR499" s="16"/>
      <c r="FS499" s="16"/>
      <c r="FT499" s="16"/>
      <c r="FU499" s="16"/>
      <c r="FV499" s="16"/>
      <c r="FW499" s="16"/>
      <c r="FX499" s="16"/>
      <c r="FY499" s="16"/>
      <c r="FZ499" s="16"/>
      <c r="GA499" s="16"/>
      <c r="GB499" s="16"/>
      <c r="GC499" s="16"/>
      <c r="GD499" s="16"/>
      <c r="GE499" s="16"/>
      <c r="GF499" s="16"/>
      <c r="GG499" s="16"/>
      <c r="GH499" s="16"/>
      <c r="GI499" s="16"/>
      <c r="GJ499" s="16"/>
      <c r="GK499" s="16"/>
      <c r="GL499" s="77"/>
      <c r="GM499" s="77"/>
      <c r="GN499" s="77"/>
      <c r="GO499" s="77"/>
      <c r="GP499" s="77"/>
      <c r="GQ499" s="77"/>
      <c r="GR499" s="77"/>
      <c r="GS499" s="77"/>
      <c r="GT499" s="77"/>
      <c r="GU499" s="77"/>
      <c r="GV499" s="77"/>
      <c r="GW499" s="77"/>
      <c r="GX499" s="77"/>
      <c r="GY499" s="77"/>
      <c r="GZ499" s="77"/>
      <c r="HA499" s="77"/>
      <c r="HB499" s="77"/>
      <c r="HC499" s="77"/>
      <c r="HD499" s="77"/>
      <c r="HE499" s="77"/>
      <c r="HF499" s="77"/>
      <c r="HG499" s="77"/>
      <c r="HH499" s="77"/>
      <c r="HI499" s="77"/>
      <c r="HJ499" s="77"/>
      <c r="HK499" s="77"/>
      <c r="HL499" s="77"/>
      <c r="HM499" s="77"/>
      <c r="HN499" s="77"/>
      <c r="HO499" s="77"/>
      <c r="HP499" s="77"/>
      <c r="HQ499" s="77"/>
      <c r="HR499" s="77"/>
      <c r="HS499" s="77"/>
      <c r="HT499" s="77"/>
      <c r="HU499" s="77"/>
      <c r="HV499" s="77"/>
      <c r="HW499" s="77"/>
      <c r="HX499" s="77"/>
      <c r="HY499" s="77"/>
      <c r="HZ499" s="77"/>
      <c r="IA499" s="77"/>
      <c r="IB499" s="77"/>
      <c r="IC499" s="77"/>
      <c r="LL499" s="77"/>
      <c r="LM499" s="77"/>
      <c r="LN499" s="77"/>
      <c r="LO499" s="77"/>
      <c r="LP499" s="77"/>
      <c r="LQ499" s="77"/>
      <c r="LR499" s="77"/>
      <c r="LS499" s="77"/>
      <c r="LT499" s="77"/>
      <c r="LU499" s="77"/>
      <c r="LV499" s="77"/>
      <c r="LW499" s="77"/>
      <c r="LX499" s="77"/>
      <c r="LY499" s="77"/>
      <c r="LZ499" s="77"/>
      <c r="MA499" s="77"/>
      <c r="MB499" s="77"/>
      <c r="MC499" s="77"/>
      <c r="MD499" s="77"/>
      <c r="ME499" s="77"/>
      <c r="MF499" s="77"/>
      <c r="MG499" s="77"/>
      <c r="MH499" s="77"/>
      <c r="MI499" s="77"/>
      <c r="MJ499" s="77"/>
      <c r="MK499" s="77"/>
      <c r="ML499" s="77"/>
      <c r="MM499" s="77"/>
      <c r="MN499" s="77"/>
      <c r="MO499" s="77"/>
      <c r="MP499" s="77"/>
      <c r="MQ499" s="77"/>
      <c r="MR499" s="77"/>
      <c r="ND499" s="77"/>
      <c r="NE499" s="77"/>
      <c r="NF499" s="77"/>
      <c r="NG499" s="77"/>
      <c r="NH499" s="77"/>
      <c r="NI499" s="77"/>
      <c r="NJ499" s="77"/>
      <c r="NK499" s="77"/>
      <c r="NL499" s="77"/>
      <c r="NM499" s="77"/>
      <c r="NN499" s="77"/>
      <c r="NO499" s="77"/>
      <c r="NP499" s="77"/>
      <c r="NQ499" s="77"/>
      <c r="NR499" s="77"/>
      <c r="NS499" s="77"/>
      <c r="NT499" s="77"/>
      <c r="NU499" s="77"/>
      <c r="NV499" s="77"/>
      <c r="NW499" s="77"/>
      <c r="NX499" s="77"/>
      <c r="NY499" s="77"/>
      <c r="NZ499" s="77"/>
      <c r="OA499" s="77"/>
      <c r="OB499" s="77"/>
      <c r="OC499" s="77"/>
      <c r="OD499" s="77"/>
      <c r="OE499" s="77"/>
      <c r="OF499" s="77"/>
      <c r="OG499" s="77"/>
      <c r="OH499" s="77"/>
      <c r="OI499" s="77"/>
      <c r="OJ499" s="77"/>
      <c r="OK499" s="77"/>
      <c r="OL499" s="77"/>
      <c r="OM499" s="77"/>
      <c r="ON499" s="77"/>
      <c r="OO499" s="77"/>
      <c r="OP499" s="77"/>
      <c r="OQ499" s="77"/>
      <c r="OR499" s="77"/>
      <c r="OS499" s="77"/>
      <c r="OT499" s="77"/>
      <c r="OU499" s="77"/>
      <c r="OV499" s="77"/>
      <c r="OW499" s="77"/>
      <c r="OX499" s="77"/>
      <c r="OY499" s="77"/>
      <c r="OZ499" s="77"/>
      <c r="PA499" s="77"/>
      <c r="PB499" s="77"/>
      <c r="PC499" s="77"/>
      <c r="PD499" s="77"/>
      <c r="PE499" s="77"/>
    </row>
    <row r="500" spans="1:421" ht="18.600000000000001" customHeight="1" x14ac:dyDescent="0.25">
      <c r="A500" s="119" t="s">
        <v>38</v>
      </c>
      <c r="B500" s="27" t="s">
        <v>858</v>
      </c>
      <c r="C500" s="27" t="s">
        <v>859</v>
      </c>
      <c r="D500" s="30" t="str">
        <f>HYPERLINK("https://twitter.com/egyptgovportal","https://twitter.com/egyptgovportal")</f>
        <v>https://twitter.com/egyptgovportal</v>
      </c>
      <c r="E500" s="30" t="str">
        <f>HYPERLINK("http://twiplomacy.com/info/africa/Egypt","http://twiplomacy.com/info/africa/Egypt")</f>
        <v>http://twiplomacy.com/info/africa/Egypt</v>
      </c>
      <c r="F500" s="10" t="s">
        <v>1</v>
      </c>
      <c r="G500" s="10" t="s">
        <v>34</v>
      </c>
      <c r="H500" s="10" t="s">
        <v>788</v>
      </c>
      <c r="I500" s="10" t="s">
        <v>782</v>
      </c>
      <c r="J500" s="27" t="s">
        <v>789</v>
      </c>
      <c r="K500" s="15" t="s">
        <v>777</v>
      </c>
      <c r="L500" s="10" t="s">
        <v>771</v>
      </c>
      <c r="M500" s="10" t="s">
        <v>771</v>
      </c>
      <c r="N500" s="30" t="str">
        <f>HYPERLINK("https://twitter.com/egyptgovportal/statuses/3826194000","https://twitter.com/egyptgovportal/statuses/3826194000")</f>
        <v>https://twitter.com/egyptgovportal/statuses/3826194000</v>
      </c>
      <c r="O500" s="27" t="s">
        <v>5737</v>
      </c>
      <c r="P500" s="80">
        <v>118</v>
      </c>
      <c r="Q500" s="80">
        <v>26</v>
      </c>
      <c r="R500" s="27" t="s">
        <v>2995</v>
      </c>
      <c r="S500" s="30" t="str">
        <f>HYPERLINK("https://twitter.com/egyptgovportal/lists","https://twitter.com/egyptgovportal/lists")</f>
        <v>https://twitter.com/egyptgovportal/lists</v>
      </c>
      <c r="T500" s="10">
        <v>2</v>
      </c>
      <c r="U500" s="10" t="s">
        <v>771</v>
      </c>
      <c r="V500" s="10" t="s">
        <v>771</v>
      </c>
      <c r="W500" s="10"/>
      <c r="X500" s="27" t="s">
        <v>38</v>
      </c>
      <c r="Y500" s="27" t="s">
        <v>858</v>
      </c>
      <c r="Z500" s="80">
        <v>729</v>
      </c>
      <c r="AA500" s="27">
        <v>348</v>
      </c>
      <c r="AB500" s="80">
        <v>45122</v>
      </c>
      <c r="AC500" s="27">
        <v>2</v>
      </c>
      <c r="AD500" s="27" t="s">
        <v>3641</v>
      </c>
      <c r="AE500" s="27">
        <v>72381349</v>
      </c>
      <c r="AF500" s="27" t="s">
        <v>859</v>
      </c>
      <c r="AG500" s="27" t="s">
        <v>34</v>
      </c>
      <c r="AH500" s="79">
        <v>0.30012350761630302</v>
      </c>
      <c r="AI500" s="83">
        <v>0.30061855670103099</v>
      </c>
      <c r="AJ500" s="80">
        <v>1.0055788005578801</v>
      </c>
      <c r="AK500" s="80">
        <v>0.45885634588563501</v>
      </c>
      <c r="AL500" s="27">
        <v>126</v>
      </c>
      <c r="AM500" s="97">
        <f>SUM(AL500/Z500)</f>
        <v>0.1728395061728395</v>
      </c>
      <c r="AN500" s="27" t="s">
        <v>38</v>
      </c>
      <c r="AO500" s="27">
        <v>2</v>
      </c>
      <c r="AP500" s="27">
        <v>4</v>
      </c>
      <c r="AQ500" s="27">
        <v>0</v>
      </c>
      <c r="AR500" s="27">
        <f>SUM(AO500:AQ500)</f>
        <v>6</v>
      </c>
      <c r="AS500" s="27" t="s">
        <v>5099</v>
      </c>
      <c r="AT500" s="27" t="s">
        <v>5100</v>
      </c>
      <c r="AU500" s="84"/>
      <c r="AV500" s="77"/>
      <c r="AW500" s="77"/>
      <c r="AX500" s="77"/>
      <c r="AY500" s="77"/>
      <c r="AZ500" s="77"/>
      <c r="BA500" s="77"/>
      <c r="BB500" s="77"/>
      <c r="BC500" s="77"/>
      <c r="BD500" s="77"/>
      <c r="BE500" s="77"/>
      <c r="BF500" s="77"/>
      <c r="BG500" s="77"/>
      <c r="BH500" s="77"/>
      <c r="BI500" s="77"/>
      <c r="BJ500" s="77"/>
      <c r="BK500" s="77"/>
      <c r="BL500" s="77"/>
      <c r="BM500" s="77"/>
      <c r="BN500" s="77"/>
      <c r="BO500" s="77"/>
      <c r="BP500" s="77"/>
      <c r="CC500" s="77"/>
      <c r="CD500" s="77"/>
      <c r="CE500" s="77"/>
      <c r="CF500" s="77"/>
      <c r="CG500" s="77"/>
      <c r="CH500" s="77"/>
      <c r="CI500" s="77"/>
      <c r="CJ500" s="77"/>
      <c r="CK500" s="77"/>
      <c r="CL500" s="77"/>
      <c r="CM500" s="77"/>
      <c r="CN500" s="77"/>
      <c r="CO500" s="77"/>
      <c r="CP500" s="77"/>
      <c r="CQ500" s="77"/>
      <c r="CR500" s="77"/>
      <c r="CS500" s="77"/>
      <c r="CT500" s="77"/>
      <c r="CU500" s="77"/>
      <c r="CV500" s="77"/>
      <c r="CW500" s="77"/>
      <c r="CX500" s="77"/>
      <c r="CY500" s="77"/>
      <c r="CZ500" s="77"/>
      <c r="DA500" s="77"/>
      <c r="DB500" s="77"/>
      <c r="DC500" s="77"/>
      <c r="DD500" s="77"/>
      <c r="DE500" s="77"/>
      <c r="DF500" s="77"/>
      <c r="DG500" s="77"/>
      <c r="DH500" s="77"/>
      <c r="DI500" s="77"/>
      <c r="DJ500" s="77"/>
      <c r="DK500" s="77"/>
      <c r="DL500" s="77"/>
      <c r="DM500" s="77"/>
      <c r="DN500" s="77"/>
      <c r="DO500" s="77"/>
      <c r="DP500" s="77"/>
      <c r="DQ500" s="77"/>
      <c r="DR500" s="77"/>
      <c r="DS500" s="77"/>
      <c r="DT500" s="77"/>
      <c r="DU500" s="77"/>
      <c r="DV500" s="77"/>
      <c r="DW500" s="77"/>
      <c r="DX500" s="77"/>
      <c r="DY500" s="77"/>
      <c r="DZ500" s="77"/>
      <c r="EA500" s="77"/>
      <c r="EB500" s="77"/>
      <c r="EC500" s="77"/>
      <c r="ED500" s="77"/>
      <c r="EE500" s="77"/>
      <c r="EF500" s="77"/>
      <c r="EG500" s="77"/>
      <c r="EH500" s="77"/>
      <c r="EI500" s="77"/>
      <c r="EJ500" s="77"/>
      <c r="EK500" s="77"/>
      <c r="EL500" s="77"/>
      <c r="EM500" s="77"/>
      <c r="EN500" s="77"/>
      <c r="EO500" s="77"/>
      <c r="EP500" s="16"/>
      <c r="EQ500" s="77"/>
      <c r="ER500" s="77"/>
      <c r="ES500" s="77"/>
      <c r="ET500" s="77"/>
      <c r="EU500" s="77"/>
      <c r="EV500" s="77"/>
      <c r="EW500" s="77"/>
      <c r="EX500" s="77"/>
      <c r="EY500" s="77"/>
      <c r="EZ500" s="77"/>
      <c r="FA500" s="77"/>
      <c r="FB500" s="77"/>
      <c r="FC500" s="77"/>
      <c r="FD500" s="77"/>
      <c r="FE500" s="77"/>
      <c r="FF500" s="77"/>
      <c r="FG500" s="77"/>
      <c r="FH500" s="77"/>
      <c r="FI500" s="77"/>
      <c r="FJ500" s="77"/>
      <c r="FK500" s="77"/>
      <c r="FL500" s="77"/>
      <c r="FM500" s="77"/>
      <c r="FN500" s="77"/>
      <c r="FO500" s="77"/>
      <c r="FP500" s="77"/>
      <c r="FQ500" s="77"/>
      <c r="FR500" s="77"/>
      <c r="FS500" s="77"/>
      <c r="FT500" s="77"/>
      <c r="FU500" s="77"/>
      <c r="FV500" s="77"/>
      <c r="FW500" s="77"/>
      <c r="FX500" s="77"/>
      <c r="FY500" s="77"/>
      <c r="FZ500" s="77"/>
      <c r="GA500" s="77"/>
      <c r="GB500" s="77"/>
      <c r="GC500" s="77"/>
      <c r="GD500" s="77"/>
      <c r="GE500" s="77"/>
      <c r="GF500" s="77"/>
      <c r="GG500" s="77"/>
      <c r="GH500" s="77"/>
      <c r="GI500" s="77"/>
      <c r="GJ500" s="77"/>
      <c r="GK500" s="77"/>
      <c r="GL500" s="77"/>
      <c r="GM500" s="77"/>
      <c r="GN500" s="77"/>
      <c r="GO500" s="77"/>
      <c r="GP500" s="77"/>
      <c r="GQ500" s="77"/>
      <c r="GR500" s="77"/>
      <c r="GS500" s="77"/>
      <c r="GT500" s="77"/>
      <c r="GU500" s="77"/>
      <c r="GV500" s="77"/>
      <c r="GW500" s="77"/>
      <c r="GX500" s="77"/>
      <c r="GY500" s="77"/>
      <c r="GZ500" s="77"/>
      <c r="HA500" s="77"/>
      <c r="HB500" s="77"/>
      <c r="HC500" s="77"/>
      <c r="HD500" s="77"/>
      <c r="HE500" s="77"/>
      <c r="HF500" s="77"/>
      <c r="HG500" s="77"/>
      <c r="HH500" s="77"/>
      <c r="HI500" s="77"/>
      <c r="HJ500" s="77"/>
      <c r="HK500" s="77"/>
      <c r="HL500" s="77"/>
      <c r="HM500" s="77"/>
      <c r="HN500" s="77"/>
      <c r="HO500" s="77"/>
      <c r="HP500" s="77"/>
      <c r="HQ500" s="77"/>
      <c r="HR500" s="77"/>
      <c r="HS500" s="77"/>
      <c r="HT500" s="77"/>
      <c r="HU500" s="77"/>
      <c r="HV500" s="77"/>
      <c r="HW500" s="77"/>
      <c r="HX500" s="77"/>
      <c r="HY500" s="77"/>
      <c r="HZ500" s="77"/>
      <c r="IA500" s="77"/>
      <c r="IB500" s="77"/>
      <c r="IC500" s="77"/>
      <c r="ID500" s="77"/>
      <c r="IE500" s="77"/>
      <c r="JY500" s="77"/>
      <c r="JZ500" s="77"/>
      <c r="KA500" s="77"/>
      <c r="KB500" s="77"/>
      <c r="KC500" s="77"/>
      <c r="KD500" s="77"/>
      <c r="KE500" s="77"/>
      <c r="KF500" s="77"/>
      <c r="KG500" s="77"/>
      <c r="KH500" s="77"/>
      <c r="KI500" s="77"/>
      <c r="KJ500" s="77"/>
      <c r="KK500" s="77"/>
      <c r="KL500" s="77"/>
      <c r="KM500" s="77"/>
      <c r="KN500" s="77"/>
      <c r="KO500" s="77"/>
      <c r="KP500" s="77"/>
      <c r="KQ500" s="77"/>
      <c r="KR500" s="77"/>
      <c r="KS500" s="77"/>
      <c r="KT500" s="77"/>
      <c r="KU500" s="77"/>
      <c r="KV500" s="77"/>
      <c r="KW500" s="77"/>
      <c r="KX500" s="77"/>
      <c r="KY500" s="77"/>
      <c r="KZ500" s="77"/>
      <c r="LA500" s="77"/>
      <c r="LB500" s="77"/>
      <c r="LC500" s="77"/>
      <c r="LD500" s="77"/>
      <c r="LE500" s="77"/>
      <c r="LF500" s="77"/>
      <c r="LG500" s="77"/>
      <c r="LH500" s="77"/>
      <c r="LI500" s="77"/>
      <c r="LJ500" s="77"/>
      <c r="LK500" s="77"/>
      <c r="LW500" s="77"/>
      <c r="LX500" s="77"/>
      <c r="LY500" s="77"/>
      <c r="LZ500" s="77"/>
      <c r="MA500" s="77"/>
      <c r="MB500" s="77"/>
      <c r="MC500" s="77"/>
      <c r="MD500" s="77"/>
      <c r="ME500" s="77"/>
      <c r="MF500" s="77"/>
      <c r="MG500" s="77"/>
      <c r="MH500" s="77"/>
      <c r="MI500" s="77"/>
      <c r="MJ500" s="77"/>
      <c r="MK500" s="77"/>
      <c r="ML500" s="77"/>
      <c r="MM500" s="77"/>
      <c r="MN500" s="77"/>
      <c r="MO500" s="77"/>
      <c r="MP500" s="77"/>
      <c r="MQ500" s="77"/>
      <c r="MR500" s="77"/>
      <c r="MS500" s="77"/>
      <c r="MT500" s="77"/>
      <c r="MU500" s="77"/>
      <c r="MV500" s="77"/>
      <c r="MW500" s="77"/>
      <c r="MX500" s="77"/>
      <c r="MY500" s="77"/>
      <c r="MZ500" s="77"/>
      <c r="NA500" s="77"/>
      <c r="NB500" s="77"/>
      <c r="NC500" s="77"/>
    </row>
    <row r="501" spans="1:421" s="21" customFormat="1" ht="18.600000000000001" customHeight="1" x14ac:dyDescent="0.25">
      <c r="A501" s="119" t="s">
        <v>2027</v>
      </c>
      <c r="B501" s="27" t="s">
        <v>2028</v>
      </c>
      <c r="C501" s="27" t="s">
        <v>2029</v>
      </c>
      <c r="D501" s="30" t="str">
        <f>HYPERLINK("https://twitter.com/LT_MFA_Stratcom","https://twitter.com/LT_MFA_Stratcom")</f>
        <v>https://twitter.com/LT_MFA_Stratcom</v>
      </c>
      <c r="E501" s="30" t="str">
        <f>HYPERLINK("http://twiplomacy.com/info/europe/Lithuania","http://twiplomacy.com/info/europe/Lithuania")</f>
        <v>http://twiplomacy.com/info/europe/Lithuania</v>
      </c>
      <c r="F501" s="10" t="s">
        <v>332</v>
      </c>
      <c r="G501" s="10" t="s">
        <v>439</v>
      </c>
      <c r="H501" s="10" t="s">
        <v>795</v>
      </c>
      <c r="I501" s="10" t="s">
        <v>782</v>
      </c>
      <c r="J501" s="27" t="s">
        <v>789</v>
      </c>
      <c r="K501" s="10" t="s">
        <v>777</v>
      </c>
      <c r="L501" s="10" t="s">
        <v>771</v>
      </c>
      <c r="M501" s="10" t="s">
        <v>770</v>
      </c>
      <c r="N501" s="30" t="str">
        <f>HYPERLINK("https://twitter.com/LT_MFA_Stratcom/status/540461647127908353","https://twitter.com/LT_MFA_Stratcom/status/540461647127908353")</f>
        <v>https://twitter.com/LT_MFA_Stratcom/status/540461647127908353</v>
      </c>
      <c r="O501" s="27" t="s">
        <v>5913</v>
      </c>
      <c r="P501" s="80">
        <v>346</v>
      </c>
      <c r="Q501" s="80">
        <v>129</v>
      </c>
      <c r="R501" s="27" t="s">
        <v>2995</v>
      </c>
      <c r="S501" s="30" t="str">
        <f>HYPERLINK("https://twitter.com/LT_MFA_Stratcom/lists","https://twitter.com/LT_MFA_Stratcom/lists")</f>
        <v>https://twitter.com/LT_MFA_Stratcom/lists</v>
      </c>
      <c r="T501" s="10" t="s">
        <v>771</v>
      </c>
      <c r="U501" s="10" t="s">
        <v>771</v>
      </c>
      <c r="V501" s="10" t="s">
        <v>771</v>
      </c>
      <c r="W501" s="10"/>
      <c r="X501" s="27" t="s">
        <v>2027</v>
      </c>
      <c r="Y501" s="27" t="s">
        <v>2028</v>
      </c>
      <c r="Z501" s="80">
        <v>705</v>
      </c>
      <c r="AA501" s="27">
        <v>649</v>
      </c>
      <c r="AB501" s="80">
        <v>1744</v>
      </c>
      <c r="AC501" s="27">
        <v>966</v>
      </c>
      <c r="AD501" s="27" t="s">
        <v>3977</v>
      </c>
      <c r="AE501" s="27">
        <v>2904817113</v>
      </c>
      <c r="AF501" s="27" t="s">
        <v>2029</v>
      </c>
      <c r="AG501" s="27"/>
      <c r="AH501" s="79">
        <v>1.36893203883495</v>
      </c>
      <c r="AI501" s="83">
        <v>1.3723196881091599</v>
      </c>
      <c r="AJ501" s="80">
        <v>20.347305389221599</v>
      </c>
      <c r="AK501" s="80">
        <v>8.7035928143712606</v>
      </c>
      <c r="AL501" s="27">
        <v>18</v>
      </c>
      <c r="AM501" s="97">
        <f>SUM(AL501/Z501)</f>
        <v>2.553191489361702E-2</v>
      </c>
      <c r="AN501" s="27" t="s">
        <v>2027</v>
      </c>
      <c r="AO501" s="27">
        <v>46</v>
      </c>
      <c r="AP501" s="27">
        <v>5</v>
      </c>
      <c r="AQ501" s="27">
        <v>11</v>
      </c>
      <c r="AR501" s="27">
        <f>SUM(AO501:AQ501)</f>
        <v>62</v>
      </c>
      <c r="AS501" s="27" t="s">
        <v>6580</v>
      </c>
      <c r="AT501" s="27" t="s">
        <v>6309</v>
      </c>
      <c r="AU501" s="84" t="s">
        <v>4808</v>
      </c>
      <c r="AV501" s="77"/>
      <c r="AW501" s="77"/>
      <c r="AX501" s="77"/>
      <c r="AY501" s="77"/>
      <c r="AZ501" s="77"/>
      <c r="BA501" s="77"/>
      <c r="BB501" s="77"/>
      <c r="BC501" s="77"/>
      <c r="BD501" s="77"/>
      <c r="BE501" s="77"/>
      <c r="BF501" s="77"/>
      <c r="BG501" s="77"/>
      <c r="BH501" s="77"/>
      <c r="BI501" s="77"/>
      <c r="BJ501" s="77"/>
      <c r="BK501" s="77"/>
      <c r="BL501" s="77"/>
      <c r="BM501" s="77"/>
      <c r="BN501" s="77"/>
      <c r="BO501" s="77"/>
      <c r="BP501" s="77"/>
      <c r="BQ501" s="77"/>
      <c r="BR501" s="77"/>
      <c r="BS501" s="77"/>
      <c r="BT501" s="77"/>
      <c r="BU501" s="77"/>
      <c r="BV501" s="77"/>
      <c r="BW501" s="77"/>
      <c r="BX501" s="77"/>
      <c r="BY501" s="77"/>
      <c r="BZ501" s="77"/>
      <c r="CA501" s="77"/>
      <c r="CB501" s="77"/>
      <c r="CK501" s="77"/>
      <c r="CL501" s="77"/>
      <c r="CM501" s="77"/>
      <c r="CN501" s="77"/>
      <c r="CO501" s="77"/>
      <c r="CP501" s="77"/>
      <c r="CQ501" s="77"/>
      <c r="CR501" s="77"/>
      <c r="CS501" s="77"/>
      <c r="CT501" s="77"/>
      <c r="CU501" s="77"/>
      <c r="CV501" s="77"/>
      <c r="CW501" s="77"/>
      <c r="EP501" s="77"/>
      <c r="EQ501" s="77"/>
      <c r="GL501" s="77"/>
      <c r="GM501" s="77"/>
      <c r="GN501" s="77"/>
      <c r="GO501" s="77"/>
      <c r="GP501" s="77"/>
      <c r="GQ501" s="77"/>
      <c r="GR501" s="77"/>
      <c r="GS501" s="77"/>
      <c r="GT501" s="77"/>
      <c r="GU501" s="77"/>
      <c r="GV501" s="77"/>
      <c r="GW501" s="77"/>
      <c r="GX501" s="77"/>
      <c r="GY501" s="77"/>
      <c r="GZ501" s="77"/>
      <c r="HA501" s="77"/>
      <c r="HB501" s="77"/>
      <c r="HC501" s="77"/>
      <c r="HD501" s="77"/>
      <c r="HE501" s="77"/>
      <c r="HF501" s="77"/>
      <c r="HG501" s="77"/>
      <c r="HH501" s="77"/>
      <c r="HI501" s="77"/>
      <c r="HJ501" s="77"/>
      <c r="HK501" s="77"/>
      <c r="HL501" s="77"/>
      <c r="HM501" s="77"/>
      <c r="HN501" s="77"/>
      <c r="HO501" s="77"/>
      <c r="HP501" s="77"/>
      <c r="HQ501" s="77"/>
      <c r="HR501" s="77"/>
      <c r="HS501" s="77"/>
      <c r="HT501" s="77"/>
      <c r="HU501" s="77"/>
      <c r="HV501" s="77"/>
      <c r="HW501" s="77"/>
      <c r="HX501" s="77"/>
      <c r="HY501" s="77"/>
      <c r="HZ501" s="77"/>
      <c r="IA501" s="77"/>
      <c r="IB501" s="77"/>
      <c r="IC501" s="77"/>
      <c r="ID501" s="77"/>
      <c r="IE501" s="77"/>
      <c r="KM501" s="77"/>
      <c r="KN501" s="77"/>
      <c r="KO501" s="77"/>
      <c r="KP501" s="77"/>
      <c r="KQ501" s="77"/>
      <c r="KR501" s="77"/>
      <c r="KS501" s="77"/>
      <c r="KT501" s="77"/>
      <c r="KU501" s="77"/>
      <c r="KV501" s="77"/>
      <c r="KW501" s="77"/>
      <c r="KX501" s="77"/>
      <c r="KY501" s="77"/>
      <c r="KZ501" s="77"/>
      <c r="LA501" s="77"/>
      <c r="LB501" s="77"/>
      <c r="LC501" s="77"/>
      <c r="LD501" s="77"/>
      <c r="LE501" s="77"/>
      <c r="LF501" s="77"/>
      <c r="LG501" s="77"/>
      <c r="LH501" s="77"/>
      <c r="LI501" s="77"/>
      <c r="LJ501" s="77"/>
      <c r="LK501" s="77"/>
      <c r="LL501" s="77"/>
      <c r="LM501" s="77"/>
      <c r="LN501" s="77"/>
      <c r="LO501" s="77"/>
      <c r="LP501" s="77"/>
      <c r="LQ501" s="77"/>
      <c r="LR501" s="77"/>
      <c r="LS501" s="77"/>
      <c r="LT501" s="77"/>
      <c r="LU501" s="77"/>
      <c r="LV501" s="77"/>
      <c r="LY501" s="77"/>
      <c r="LZ501" s="77"/>
      <c r="MA501" s="77"/>
      <c r="MB501" s="77"/>
      <c r="MC501" s="77"/>
      <c r="MD501" s="77"/>
      <c r="ME501" s="77"/>
      <c r="MF501" s="77"/>
      <c r="MG501" s="77"/>
      <c r="MH501" s="77"/>
      <c r="MI501" s="77"/>
      <c r="MJ501" s="77"/>
      <c r="MK501" s="77"/>
      <c r="ML501" s="77"/>
      <c r="MM501" s="77"/>
      <c r="MN501" s="77"/>
      <c r="MO501" s="77"/>
      <c r="MP501" s="77"/>
      <c r="MQ501" s="77"/>
      <c r="MR501" s="77"/>
      <c r="MS501" s="16"/>
      <c r="MT501" s="77"/>
      <c r="MU501" s="77"/>
      <c r="MV501" s="77"/>
      <c r="MW501" s="77"/>
      <c r="MX501" s="77"/>
      <c r="MY501" s="77"/>
      <c r="MZ501" s="77"/>
      <c r="NA501" s="77"/>
      <c r="NB501" s="77"/>
      <c r="NC501" s="77"/>
    </row>
    <row r="502" spans="1:421" s="21" customFormat="1" ht="18.600000000000001" customHeight="1" x14ac:dyDescent="0.25">
      <c r="A502" s="119" t="s">
        <v>440</v>
      </c>
      <c r="B502" s="27" t="s">
        <v>2007</v>
      </c>
      <c r="C502" s="27" t="s">
        <v>2008</v>
      </c>
      <c r="D502" s="30" t="str">
        <f>HYPERLINK("https://twitter.com/Grybauskaite_LT","https://twitter.com/Grybauskaite_LT")</f>
        <v>https://twitter.com/Grybauskaite_LT</v>
      </c>
      <c r="E502" s="30" t="str">
        <f>HYPERLINK("http://twiplomacy.com/info/europe/Lithuania","http://twiplomacy.com/info/europe/Lithuania")</f>
        <v>http://twiplomacy.com/info/europe/Lithuania</v>
      </c>
      <c r="F502" s="10" t="s">
        <v>332</v>
      </c>
      <c r="G502" s="10" t="s">
        <v>439</v>
      </c>
      <c r="H502" s="10" t="s">
        <v>772</v>
      </c>
      <c r="I502" s="10" t="s">
        <v>773</v>
      </c>
      <c r="J502" s="27" t="s">
        <v>789</v>
      </c>
      <c r="K502" s="15" t="s">
        <v>777</v>
      </c>
      <c r="L502" s="10" t="s">
        <v>770</v>
      </c>
      <c r="M502" s="10" t="s">
        <v>770</v>
      </c>
      <c r="N502" s="30" t="str">
        <f>HYPERLINK("https://twitter.com/Grybauskaite_LT/statuses/271628265108668416","https://twitter.com/Grybauskaite_LT/statuses/271628265108668416")</f>
        <v>https://twitter.com/Grybauskaite_LT/statuses/271628265108668416</v>
      </c>
      <c r="O502" s="27" t="s">
        <v>5847</v>
      </c>
      <c r="P502" s="80">
        <v>2091</v>
      </c>
      <c r="Q502" s="80">
        <v>791</v>
      </c>
      <c r="R502" s="27" t="s">
        <v>2994</v>
      </c>
      <c r="S502" s="10" t="s">
        <v>2009</v>
      </c>
      <c r="T502" s="10" t="s">
        <v>771</v>
      </c>
      <c r="U502" s="10" t="s">
        <v>771</v>
      </c>
      <c r="V502" s="10" t="s">
        <v>771</v>
      </c>
      <c r="W502" s="10"/>
      <c r="X502" s="27" t="s">
        <v>440</v>
      </c>
      <c r="Y502" s="27" t="s">
        <v>2007</v>
      </c>
      <c r="Z502" s="80">
        <v>702</v>
      </c>
      <c r="AA502" s="27">
        <v>247</v>
      </c>
      <c r="AB502" s="80">
        <v>102646</v>
      </c>
      <c r="AC502" s="27">
        <v>6</v>
      </c>
      <c r="AD502" s="27" t="s">
        <v>3779</v>
      </c>
      <c r="AE502" s="27">
        <v>961974776</v>
      </c>
      <c r="AF502" s="27" t="s">
        <v>2008</v>
      </c>
      <c r="AG502" s="27"/>
      <c r="AH502" s="79">
        <v>0.558028616852146</v>
      </c>
      <c r="AI502" s="83">
        <v>0.55891719745222901</v>
      </c>
      <c r="AJ502" s="80">
        <v>72.803724928366805</v>
      </c>
      <c r="AK502" s="80">
        <v>53.011461318051602</v>
      </c>
      <c r="AL502" s="27">
        <v>19</v>
      </c>
      <c r="AM502" s="97">
        <f>SUM(AL502/Z502)</f>
        <v>2.7065527065527065E-2</v>
      </c>
      <c r="AN502" s="27" t="s">
        <v>440</v>
      </c>
      <c r="AO502" s="27">
        <v>19</v>
      </c>
      <c r="AP502" s="27">
        <v>50</v>
      </c>
      <c r="AQ502" s="27">
        <v>17</v>
      </c>
      <c r="AR502" s="27">
        <f>SUM(AO502:AQ502)</f>
        <v>86</v>
      </c>
      <c r="AS502" s="27" t="s">
        <v>6214</v>
      </c>
      <c r="AT502" s="27" t="s">
        <v>6741</v>
      </c>
      <c r="AU502" s="84" t="s">
        <v>4748</v>
      </c>
      <c r="AV502" s="71"/>
      <c r="AW502" s="71"/>
      <c r="AX502" s="71"/>
      <c r="AY502" s="71"/>
      <c r="AZ502" s="71"/>
      <c r="BA502" s="71"/>
      <c r="BB502" s="71"/>
      <c r="BC502" s="71"/>
      <c r="BD502" s="71"/>
      <c r="BE502" s="71"/>
      <c r="BF502" s="71"/>
      <c r="BG502" s="71"/>
      <c r="BH502" s="71"/>
      <c r="BI502" s="71"/>
      <c r="BJ502" s="71"/>
      <c r="BK502" s="71"/>
      <c r="BL502" s="71"/>
      <c r="BM502" s="71"/>
      <c r="BN502" s="71"/>
      <c r="BO502" s="71"/>
      <c r="BP502" s="71"/>
      <c r="CC502" s="77"/>
      <c r="CD502" s="77"/>
      <c r="CE502" s="77"/>
      <c r="CF502" s="77"/>
      <c r="CG502" s="77"/>
      <c r="CH502" s="77"/>
      <c r="CI502" s="77"/>
      <c r="CJ502" s="77"/>
      <c r="CK502" s="77"/>
      <c r="CL502" s="77"/>
      <c r="CM502" s="77"/>
      <c r="CN502" s="77"/>
      <c r="CO502" s="77"/>
      <c r="CP502" s="77"/>
      <c r="CQ502" s="77"/>
      <c r="CR502" s="77"/>
      <c r="CS502" s="77"/>
      <c r="CT502" s="77"/>
      <c r="CU502" s="77"/>
      <c r="CV502" s="77"/>
      <c r="CW502" s="77"/>
      <c r="EM502" s="77"/>
      <c r="EN502" s="77"/>
      <c r="EO502" s="77"/>
      <c r="EP502" s="77"/>
      <c r="EQ502" s="77"/>
      <c r="ER502" s="77"/>
      <c r="ES502" s="77"/>
      <c r="ET502" s="77"/>
      <c r="EU502" s="77"/>
      <c r="EV502" s="77"/>
      <c r="EW502" s="77"/>
      <c r="EX502" s="77"/>
      <c r="EY502" s="77"/>
      <c r="EZ502" s="77"/>
      <c r="FA502" s="77"/>
      <c r="FB502" s="77"/>
      <c r="FC502" s="77"/>
      <c r="FD502" s="77"/>
      <c r="FE502" s="77"/>
      <c r="FF502" s="77"/>
      <c r="FG502" s="77"/>
      <c r="FH502" s="77"/>
      <c r="FI502" s="77"/>
      <c r="FJ502" s="77"/>
      <c r="FK502" s="77"/>
      <c r="FL502" s="77"/>
      <c r="FM502" s="77"/>
      <c r="FN502" s="77"/>
      <c r="FO502" s="77"/>
      <c r="FP502" s="77"/>
      <c r="FQ502" s="77"/>
      <c r="FR502" s="77"/>
      <c r="FS502" s="77"/>
      <c r="FT502" s="77"/>
      <c r="FU502" s="77"/>
      <c r="FV502" s="77"/>
      <c r="FW502" s="77"/>
      <c r="FX502" s="77"/>
      <c r="FY502" s="77"/>
      <c r="FZ502" s="77"/>
      <c r="GA502" s="77"/>
      <c r="GB502" s="77"/>
      <c r="GC502" s="77"/>
      <c r="GD502" s="77"/>
      <c r="GE502" s="77"/>
      <c r="GF502" s="77"/>
      <c r="GG502" s="77"/>
      <c r="GH502" s="77"/>
      <c r="GI502" s="77"/>
      <c r="GJ502" s="77"/>
      <c r="GK502" s="77"/>
      <c r="GL502" s="77"/>
      <c r="GM502" s="77"/>
      <c r="GN502" s="77"/>
      <c r="GO502" s="77"/>
      <c r="GP502" s="77"/>
      <c r="GQ502" s="77"/>
      <c r="GR502" s="77"/>
      <c r="GS502" s="77"/>
      <c r="GT502" s="77"/>
      <c r="GU502" s="77"/>
      <c r="GV502" s="77"/>
      <c r="GW502" s="77"/>
      <c r="GX502" s="77"/>
      <c r="GY502" s="77"/>
      <c r="GZ502" s="77"/>
      <c r="HA502" s="77"/>
      <c r="HB502" s="77"/>
      <c r="HC502" s="77"/>
      <c r="HD502" s="77"/>
      <c r="HE502" s="77"/>
      <c r="HF502" s="77"/>
      <c r="HG502" s="77"/>
      <c r="HH502" s="77"/>
      <c r="HI502" s="77"/>
      <c r="HJ502" s="77"/>
      <c r="HK502" s="77"/>
      <c r="HL502" s="77"/>
      <c r="HM502" s="77"/>
      <c r="HN502" s="77"/>
      <c r="HO502" s="77"/>
      <c r="HP502" s="77"/>
      <c r="HQ502" s="77"/>
      <c r="HR502" s="77"/>
      <c r="HS502" s="77"/>
      <c r="HT502" s="77"/>
      <c r="HU502" s="77"/>
      <c r="HV502" s="77"/>
      <c r="HW502" s="77"/>
      <c r="HX502" s="77"/>
      <c r="HY502" s="77"/>
      <c r="HZ502" s="77"/>
      <c r="IA502" s="77"/>
      <c r="IB502" s="77"/>
      <c r="IC502" s="77"/>
      <c r="ID502" s="77"/>
      <c r="IE502" s="77"/>
      <c r="IF502" s="77"/>
      <c r="IG502" s="77"/>
      <c r="IH502" s="77"/>
      <c r="II502" s="77"/>
      <c r="IJ502" s="77"/>
      <c r="IK502" s="77"/>
      <c r="IL502" s="77"/>
      <c r="IM502" s="77"/>
      <c r="IN502" s="77"/>
      <c r="IO502" s="77"/>
      <c r="IP502" s="77"/>
      <c r="IQ502" s="77"/>
      <c r="IR502" s="77"/>
      <c r="IS502" s="77"/>
      <c r="IT502" s="77"/>
      <c r="IU502" s="77"/>
      <c r="IV502" s="77"/>
      <c r="IW502" s="77"/>
      <c r="IX502" s="77"/>
      <c r="IY502" s="77"/>
      <c r="IZ502" s="77"/>
      <c r="JA502" s="77"/>
      <c r="JB502" s="77"/>
      <c r="JC502" s="77"/>
      <c r="JD502" s="77"/>
      <c r="JE502" s="77"/>
      <c r="JF502" s="77"/>
      <c r="JG502" s="77"/>
      <c r="JH502" s="77"/>
      <c r="JI502" s="77"/>
      <c r="JJ502" s="77"/>
      <c r="JK502" s="77"/>
      <c r="JL502" s="77"/>
      <c r="JM502" s="77"/>
      <c r="JN502" s="77"/>
      <c r="JO502" s="77"/>
      <c r="JP502" s="77"/>
      <c r="JQ502" s="77"/>
      <c r="JR502" s="77"/>
      <c r="JS502" s="77"/>
      <c r="JT502" s="77"/>
      <c r="JU502" s="77"/>
      <c r="JV502" s="77"/>
      <c r="JW502" s="77"/>
      <c r="JX502" s="77"/>
      <c r="KM502" s="77"/>
      <c r="KN502" s="77"/>
      <c r="KO502" s="77"/>
      <c r="KP502" s="77"/>
      <c r="KQ502" s="77"/>
      <c r="KR502" s="77"/>
      <c r="KS502" s="77"/>
      <c r="KT502" s="77"/>
      <c r="KU502" s="77"/>
      <c r="KV502" s="77"/>
      <c r="KW502" s="77"/>
      <c r="KX502" s="77"/>
      <c r="KY502" s="77"/>
      <c r="KZ502" s="77"/>
      <c r="LA502" s="77"/>
      <c r="LB502" s="77"/>
      <c r="LC502" s="77"/>
      <c r="LD502" s="77"/>
      <c r="LE502" s="77"/>
      <c r="LF502" s="77"/>
      <c r="LG502" s="77"/>
      <c r="LH502" s="77"/>
      <c r="LI502" s="77"/>
      <c r="LJ502" s="77"/>
      <c r="LK502" s="77"/>
      <c r="LL502" s="77"/>
      <c r="LM502" s="77"/>
      <c r="LN502" s="77"/>
      <c r="LO502" s="77"/>
      <c r="LP502" s="77"/>
      <c r="LQ502" s="77"/>
      <c r="LR502" s="77"/>
      <c r="LS502" s="77"/>
      <c r="LT502" s="77"/>
      <c r="LU502" s="77"/>
      <c r="LV502" s="77"/>
      <c r="LW502" s="77"/>
      <c r="LX502" s="77"/>
      <c r="LY502" s="77"/>
      <c r="LZ502" s="77"/>
      <c r="MA502" s="77"/>
      <c r="MB502" s="77"/>
      <c r="MC502" s="77"/>
      <c r="MD502" s="77"/>
      <c r="ME502" s="77"/>
      <c r="MF502" s="77"/>
      <c r="MG502" s="77"/>
      <c r="MH502" s="77"/>
      <c r="MI502" s="77"/>
      <c r="MJ502" s="77"/>
      <c r="MK502" s="77"/>
      <c r="ML502" s="77"/>
      <c r="MM502" s="77"/>
      <c r="MN502" s="77"/>
      <c r="MO502" s="77"/>
      <c r="MP502" s="77"/>
      <c r="MQ502" s="77"/>
      <c r="MR502" s="77"/>
      <c r="MS502" s="77"/>
    </row>
    <row r="503" spans="1:421" s="21" customFormat="1" ht="18.600000000000001" customHeight="1" x14ac:dyDescent="0.25">
      <c r="A503" s="119" t="s">
        <v>2381</v>
      </c>
      <c r="B503" s="27" t="s">
        <v>2382</v>
      </c>
      <c r="C503" s="27" t="s">
        <v>2383</v>
      </c>
      <c r="D503" s="30" t="str">
        <f>HYPERLINK("https://twitter.com/Pontifex_fr","https://twitter.com/Pontifex_fr")</f>
        <v>https://twitter.com/Pontifex_fr</v>
      </c>
      <c r="E503" s="30" t="str">
        <f>HYPERLINK("http://twiplomacy.com/info/europe/Vatican","http://twiplomacy.com/info/europe/Vatican")</f>
        <v>http://twiplomacy.com/info/europe/Vatican</v>
      </c>
      <c r="F503" s="10" t="s">
        <v>332</v>
      </c>
      <c r="G503" s="10" t="s">
        <v>719</v>
      </c>
      <c r="H503" s="10" t="s">
        <v>1313</v>
      </c>
      <c r="I503" s="10" t="s">
        <v>773</v>
      </c>
      <c r="J503" s="27" t="s">
        <v>1852</v>
      </c>
      <c r="K503" s="15" t="s">
        <v>777</v>
      </c>
      <c r="L503" s="10" t="s">
        <v>771</v>
      </c>
      <c r="M503" s="10" t="s">
        <v>770</v>
      </c>
      <c r="N503" s="30" t="str">
        <f>HYPERLINK("https://twitter.com/Pontifex_fr/statuses/313247632451592192","https://twitter.com/Pontifex_fr/statuses/313247632451592192")</f>
        <v>https://twitter.com/Pontifex_fr/statuses/313247632451592192</v>
      </c>
      <c r="O503" s="27" t="s">
        <v>6021</v>
      </c>
      <c r="P503" s="80">
        <v>4514</v>
      </c>
      <c r="Q503" s="80">
        <v>3503</v>
      </c>
      <c r="R503" s="27" t="s">
        <v>2994</v>
      </c>
      <c r="S503" s="10" t="s">
        <v>2384</v>
      </c>
      <c r="T503" s="10" t="s">
        <v>771</v>
      </c>
      <c r="U503" s="10" t="s">
        <v>771</v>
      </c>
      <c r="V503" s="10" t="s">
        <v>771</v>
      </c>
      <c r="W503" s="10"/>
      <c r="X503" s="27" t="s">
        <v>2381</v>
      </c>
      <c r="Y503" s="27" t="s">
        <v>2382</v>
      </c>
      <c r="Z503" s="80">
        <v>701</v>
      </c>
      <c r="AA503" s="27">
        <v>8</v>
      </c>
      <c r="AB503" s="80">
        <v>494672</v>
      </c>
      <c r="AC503" s="27">
        <v>0</v>
      </c>
      <c r="AD503" s="27" t="s">
        <v>4283</v>
      </c>
      <c r="AE503" s="27">
        <v>500713106</v>
      </c>
      <c r="AF503" s="27" t="s">
        <v>2383</v>
      </c>
      <c r="AG503" s="27" t="s">
        <v>2385</v>
      </c>
      <c r="AH503" s="79">
        <v>0.45816993464052302</v>
      </c>
      <c r="AI503" s="83">
        <v>0.61437335670464499</v>
      </c>
      <c r="AJ503" s="80">
        <v>466.83309557774601</v>
      </c>
      <c r="AK503" s="80">
        <v>315.71326676176898</v>
      </c>
      <c r="AL503" s="13">
        <v>0</v>
      </c>
      <c r="AM503" s="97">
        <f>SUM(AL503/Z503)</f>
        <v>0</v>
      </c>
      <c r="AN503" s="27" t="s">
        <v>2381</v>
      </c>
      <c r="AO503" s="27">
        <v>0</v>
      </c>
      <c r="AP503" s="27">
        <v>11</v>
      </c>
      <c r="AQ503" s="27">
        <v>8</v>
      </c>
      <c r="AR503" s="27">
        <f>SUM(AO503:AQ503)</f>
        <v>19</v>
      </c>
      <c r="AS503" s="27"/>
      <c r="AT503" s="27" t="s">
        <v>6819</v>
      </c>
      <c r="AU503" s="84" t="s">
        <v>4899</v>
      </c>
      <c r="AV503" s="77"/>
      <c r="AW503" s="77"/>
      <c r="AX503" s="77"/>
      <c r="AY503" s="77"/>
      <c r="AZ503" s="77"/>
      <c r="BA503" s="77"/>
      <c r="BB503" s="77"/>
      <c r="BC503" s="77"/>
      <c r="BD503" s="77"/>
      <c r="BE503" s="77"/>
      <c r="BF503" s="77"/>
      <c r="BG503" s="77"/>
      <c r="BH503" s="77"/>
      <c r="BI503" s="77"/>
      <c r="BJ503" s="77"/>
      <c r="BK503" s="77"/>
      <c r="BL503" s="77"/>
      <c r="BM503" s="77"/>
      <c r="BN503" s="77"/>
      <c r="BO503" s="77"/>
      <c r="BP503" s="77"/>
      <c r="BQ503" s="77"/>
      <c r="BR503" s="77"/>
      <c r="BS503" s="77"/>
      <c r="BT503" s="77"/>
      <c r="BU503" s="77"/>
      <c r="BV503" s="77"/>
      <c r="BW503" s="77"/>
      <c r="BX503" s="77"/>
      <c r="BY503" s="77"/>
      <c r="BZ503" s="77"/>
      <c r="CA503" s="77"/>
      <c r="CB503" s="77"/>
      <c r="CC503" s="77"/>
      <c r="CD503" s="77"/>
      <c r="CE503" s="77"/>
      <c r="CF503" s="77"/>
      <c r="CG503" s="77"/>
      <c r="CH503" s="77"/>
      <c r="CI503" s="77"/>
      <c r="CJ503" s="77"/>
      <c r="CK503" s="77"/>
      <c r="CL503" s="77"/>
      <c r="CM503" s="77"/>
      <c r="CN503" s="77"/>
      <c r="CO503" s="77"/>
      <c r="CP503" s="77"/>
      <c r="CQ503" s="77"/>
      <c r="CR503" s="77"/>
      <c r="CS503" s="77"/>
      <c r="CT503" s="77"/>
      <c r="CU503" s="77"/>
      <c r="CV503" s="77"/>
      <c r="CW503" s="77"/>
      <c r="CX503" s="77"/>
      <c r="CY503" s="77"/>
      <c r="CZ503" s="77"/>
      <c r="DA503" s="77"/>
      <c r="DB503" s="77"/>
      <c r="DC503" s="77"/>
      <c r="DD503" s="77"/>
      <c r="DE503" s="77"/>
      <c r="DF503" s="77"/>
      <c r="DG503" s="77"/>
      <c r="DH503" s="77"/>
      <c r="DI503" s="77"/>
      <c r="DJ503" s="77"/>
      <c r="DK503" s="77"/>
      <c r="DL503" s="77"/>
      <c r="DM503" s="77"/>
      <c r="DN503" s="77"/>
      <c r="DO503" s="77"/>
      <c r="DP503" s="77"/>
      <c r="DQ503" s="77"/>
      <c r="DR503" s="77"/>
      <c r="DS503" s="77"/>
      <c r="DT503" s="77"/>
      <c r="DU503" s="77"/>
      <c r="DV503" s="77"/>
      <c r="DW503" s="77"/>
      <c r="DX503" s="77"/>
      <c r="DY503" s="77"/>
      <c r="DZ503" s="77"/>
      <c r="EA503" s="77"/>
      <c r="EB503" s="77"/>
      <c r="EC503" s="77"/>
      <c r="ED503" s="77"/>
      <c r="EE503" s="77"/>
      <c r="EF503" s="77"/>
      <c r="EG503" s="77"/>
      <c r="EH503" s="77"/>
      <c r="EI503" s="77"/>
      <c r="EJ503" s="77"/>
      <c r="EK503" s="77"/>
      <c r="EL503" s="77"/>
      <c r="EM503" s="77"/>
      <c r="EN503" s="77"/>
      <c r="EO503" s="77"/>
      <c r="EP503" s="77"/>
      <c r="EQ503" s="77"/>
      <c r="ID503" s="77"/>
      <c r="IE503" s="77"/>
      <c r="IF503" s="77"/>
      <c r="IG503" s="77"/>
      <c r="IH503" s="77"/>
      <c r="II503" s="77"/>
      <c r="IJ503" s="77"/>
      <c r="IK503" s="77"/>
      <c r="IL503" s="77"/>
      <c r="IM503" s="77"/>
      <c r="IN503" s="77"/>
      <c r="IO503" s="77"/>
      <c r="IP503" s="77"/>
      <c r="IQ503" s="77"/>
      <c r="IR503" s="77"/>
      <c r="IS503" s="77"/>
      <c r="IT503" s="77"/>
      <c r="IU503" s="77"/>
      <c r="IV503" s="77"/>
      <c r="IW503" s="77"/>
      <c r="IX503" s="77"/>
      <c r="IY503" s="77"/>
      <c r="IZ503" s="77"/>
      <c r="JA503" s="77"/>
      <c r="JB503" s="77"/>
      <c r="JC503" s="77"/>
      <c r="JD503" s="77"/>
      <c r="JE503" s="77"/>
      <c r="JF503" s="77"/>
      <c r="JG503" s="77"/>
      <c r="JH503" s="77"/>
      <c r="JI503" s="77"/>
      <c r="JJ503" s="77"/>
      <c r="JK503" s="77"/>
      <c r="JL503" s="77"/>
      <c r="JM503" s="77"/>
      <c r="JN503" s="77"/>
      <c r="JO503" s="77"/>
      <c r="JP503" s="77"/>
      <c r="JQ503" s="77"/>
      <c r="JR503" s="77"/>
      <c r="JS503" s="77"/>
      <c r="JT503" s="77"/>
      <c r="JU503" s="77"/>
      <c r="JV503" s="77"/>
      <c r="JW503" s="77"/>
      <c r="JX503" s="77"/>
      <c r="JY503" s="77"/>
      <c r="JZ503" s="77"/>
      <c r="KA503" s="77"/>
      <c r="KB503" s="77"/>
      <c r="KC503" s="77"/>
      <c r="KD503" s="77"/>
      <c r="KE503" s="77"/>
      <c r="KF503" s="77"/>
      <c r="KG503" s="77"/>
      <c r="KH503" s="77"/>
      <c r="KI503" s="77"/>
      <c r="KJ503" s="77"/>
      <c r="KK503" s="77"/>
      <c r="KL503" s="77"/>
      <c r="KM503" s="77"/>
      <c r="KN503" s="77"/>
      <c r="KO503" s="77"/>
      <c r="KP503" s="77"/>
      <c r="KQ503" s="77"/>
      <c r="KR503" s="77"/>
      <c r="KS503" s="77"/>
      <c r="KT503" s="77"/>
      <c r="KU503" s="77"/>
      <c r="KV503" s="77"/>
      <c r="KW503" s="77"/>
      <c r="KX503" s="77"/>
      <c r="KY503" s="77"/>
      <c r="KZ503" s="77"/>
      <c r="LA503" s="77"/>
      <c r="LB503" s="77"/>
      <c r="LC503" s="77"/>
      <c r="LD503" s="77"/>
      <c r="LE503" s="77"/>
      <c r="LF503" s="77"/>
      <c r="LG503" s="77"/>
      <c r="LH503" s="77"/>
      <c r="LI503" s="77"/>
      <c r="LJ503" s="77"/>
      <c r="LK503" s="77"/>
      <c r="LW503" s="77"/>
      <c r="LX503" s="77"/>
      <c r="LY503" s="77"/>
      <c r="LZ503" s="77"/>
      <c r="MA503" s="77"/>
      <c r="MB503" s="77"/>
      <c r="MC503" s="77"/>
      <c r="MD503" s="77"/>
      <c r="ME503" s="77"/>
      <c r="MF503" s="77"/>
      <c r="MG503" s="77"/>
      <c r="MH503" s="77"/>
      <c r="MI503" s="77"/>
      <c r="MJ503" s="77"/>
      <c r="MK503" s="77"/>
      <c r="ML503" s="77"/>
      <c r="MM503" s="77"/>
      <c r="MN503" s="77"/>
      <c r="MO503" s="77"/>
      <c r="MP503" s="77"/>
      <c r="MQ503" s="77"/>
      <c r="MR503" s="77"/>
      <c r="MS503" s="77"/>
      <c r="ND503" s="77"/>
    </row>
    <row r="504" spans="1:421" s="21" customFormat="1" ht="18.600000000000001" customHeight="1" x14ac:dyDescent="0.25">
      <c r="A504" s="119" t="s">
        <v>2371</v>
      </c>
      <c r="B504" s="27" t="s">
        <v>2367</v>
      </c>
      <c r="C504" s="27" t="s">
        <v>2372</v>
      </c>
      <c r="D504" s="30" t="str">
        <f>HYPERLINK("https://twitter.com/Pontifex_pt","https://twitter.com/Pontifex_pt")</f>
        <v>https://twitter.com/Pontifex_pt</v>
      </c>
      <c r="E504" s="30" t="str">
        <f>HYPERLINK("http://twiplomacy.com/info/europe/Vatican","http://twiplomacy.com/info/europe/Vatican")</f>
        <v>http://twiplomacy.com/info/europe/Vatican</v>
      </c>
      <c r="F504" s="10" t="s">
        <v>332</v>
      </c>
      <c r="G504" s="10" t="s">
        <v>719</v>
      </c>
      <c r="H504" s="10" t="s">
        <v>1313</v>
      </c>
      <c r="I504" s="10" t="s">
        <v>773</v>
      </c>
      <c r="J504" s="27" t="s">
        <v>1852</v>
      </c>
      <c r="K504" s="15" t="s">
        <v>777</v>
      </c>
      <c r="L504" s="10" t="s">
        <v>771</v>
      </c>
      <c r="M504" s="10" t="s">
        <v>770</v>
      </c>
      <c r="N504" s="30" t="str">
        <f>HYPERLINK("https://twitter.com/Pontifex_pt/statuses/313247631025508353","https://twitter.com/Pontifex_pt/statuses/313247631025508353")</f>
        <v>https://twitter.com/Pontifex_pt/statuses/313247631025508353</v>
      </c>
      <c r="O504" s="11" t="s">
        <v>6022</v>
      </c>
      <c r="P504" s="80">
        <v>7049</v>
      </c>
      <c r="Q504" s="80">
        <v>9254</v>
      </c>
      <c r="R504" s="27" t="s">
        <v>2994</v>
      </c>
      <c r="S504" s="10" t="s">
        <v>2373</v>
      </c>
      <c r="T504" s="10" t="s">
        <v>771</v>
      </c>
      <c r="U504" s="10" t="s">
        <v>771</v>
      </c>
      <c r="V504" s="10" t="s">
        <v>771</v>
      </c>
      <c r="W504" s="10"/>
      <c r="X504" s="27" t="s">
        <v>2371</v>
      </c>
      <c r="Y504" s="27" t="s">
        <v>2367</v>
      </c>
      <c r="Z504" s="80">
        <v>699</v>
      </c>
      <c r="AA504" s="27">
        <v>8</v>
      </c>
      <c r="AB504" s="80">
        <v>2094188</v>
      </c>
      <c r="AC504" s="27">
        <v>0</v>
      </c>
      <c r="AD504" s="27" t="s">
        <v>4287</v>
      </c>
      <c r="AE504" s="27">
        <v>965741665</v>
      </c>
      <c r="AF504" s="27" t="s">
        <v>2372</v>
      </c>
      <c r="AG504" s="27" t="s">
        <v>2374</v>
      </c>
      <c r="AH504" s="79">
        <v>0.55652866242038201</v>
      </c>
      <c r="AI504" s="83">
        <v>0.61262050832602999</v>
      </c>
      <c r="AJ504" s="80">
        <v>1467.9170243204601</v>
      </c>
      <c r="AK504" s="80">
        <v>1523.8426323318999</v>
      </c>
      <c r="AL504" s="13">
        <v>0</v>
      </c>
      <c r="AM504" s="97">
        <f>SUM(AL504/Z504)</f>
        <v>0</v>
      </c>
      <c r="AN504" s="27" t="s">
        <v>2371</v>
      </c>
      <c r="AO504" s="27">
        <v>0</v>
      </c>
      <c r="AP504" s="27">
        <v>14</v>
      </c>
      <c r="AQ504" s="27">
        <v>8</v>
      </c>
      <c r="AR504" s="27">
        <f>SUM(AO504:AQ504)</f>
        <v>22</v>
      </c>
      <c r="AS504" s="27"/>
      <c r="AT504" s="27" t="s">
        <v>6822</v>
      </c>
      <c r="AU504" s="84" t="s">
        <v>4903</v>
      </c>
      <c r="AV504" s="77"/>
      <c r="AW504" s="77"/>
      <c r="AX504" s="77"/>
      <c r="AY504" s="77"/>
      <c r="AZ504" s="77"/>
      <c r="BA504" s="77"/>
      <c r="BB504" s="77"/>
      <c r="BC504" s="77"/>
      <c r="BD504" s="77"/>
      <c r="BE504" s="77"/>
      <c r="BF504" s="77"/>
      <c r="BG504" s="77"/>
      <c r="BH504" s="77"/>
      <c r="BI504" s="77"/>
      <c r="BJ504" s="77"/>
      <c r="BK504" s="77"/>
      <c r="BL504" s="77"/>
      <c r="BM504" s="77"/>
      <c r="BN504" s="77"/>
      <c r="BO504" s="77"/>
      <c r="BP504" s="77"/>
      <c r="BQ504" s="77"/>
      <c r="BR504" s="77"/>
      <c r="BS504" s="77"/>
      <c r="BT504" s="77"/>
      <c r="BU504" s="77"/>
      <c r="BV504" s="77"/>
      <c r="BW504" s="77"/>
      <c r="BX504" s="77"/>
      <c r="BY504" s="77"/>
      <c r="BZ504" s="77"/>
      <c r="CA504" s="77"/>
      <c r="CB504" s="77"/>
      <c r="CC504" s="77"/>
      <c r="CD504" s="77"/>
      <c r="CE504" s="77"/>
      <c r="CF504" s="77"/>
      <c r="CG504" s="77"/>
      <c r="CH504" s="77"/>
      <c r="CI504" s="77"/>
      <c r="CJ504" s="77"/>
      <c r="CK504" s="77"/>
      <c r="CL504" s="77"/>
      <c r="CM504" s="77"/>
      <c r="CN504" s="77"/>
      <c r="CO504" s="77"/>
      <c r="CP504" s="77"/>
      <c r="CQ504" s="77"/>
      <c r="CR504" s="77"/>
      <c r="CS504" s="77"/>
      <c r="CT504" s="77"/>
      <c r="CU504" s="77"/>
      <c r="CV504" s="77"/>
      <c r="CW504" s="77"/>
      <c r="CX504" s="77"/>
      <c r="CY504" s="77"/>
      <c r="CZ504" s="77"/>
      <c r="DA504" s="77"/>
      <c r="DB504" s="77"/>
      <c r="DC504" s="77"/>
      <c r="DD504" s="77"/>
      <c r="DE504" s="77"/>
      <c r="DF504" s="77"/>
      <c r="DG504" s="77"/>
      <c r="DH504" s="77"/>
      <c r="DI504" s="77"/>
      <c r="DJ504" s="77"/>
      <c r="DK504" s="77"/>
      <c r="DL504" s="77"/>
      <c r="DM504" s="77"/>
      <c r="DN504" s="77"/>
      <c r="DO504" s="77"/>
      <c r="DP504" s="77"/>
      <c r="DQ504" s="77"/>
      <c r="DR504" s="77"/>
      <c r="DS504" s="77"/>
      <c r="DT504" s="77"/>
      <c r="DU504" s="77"/>
      <c r="DV504" s="77"/>
      <c r="DW504" s="77"/>
      <c r="DX504" s="77"/>
      <c r="DY504" s="77"/>
      <c r="DZ504" s="77"/>
      <c r="EA504" s="77"/>
      <c r="EB504" s="77"/>
      <c r="EC504" s="77"/>
      <c r="ED504" s="77"/>
      <c r="EE504" s="77"/>
      <c r="EF504" s="77"/>
      <c r="EG504" s="77"/>
      <c r="EH504" s="77"/>
      <c r="EI504" s="77"/>
      <c r="EJ504" s="77"/>
      <c r="EK504" s="77"/>
      <c r="EL504" s="77"/>
      <c r="EM504" s="77"/>
      <c r="EN504" s="77"/>
      <c r="EO504" s="77"/>
      <c r="EP504" s="77"/>
      <c r="ER504" s="77"/>
      <c r="ES504" s="77"/>
      <c r="ET504" s="77"/>
      <c r="EU504" s="77"/>
      <c r="EV504" s="77"/>
      <c r="EW504" s="77"/>
      <c r="EX504" s="77"/>
      <c r="EY504" s="77"/>
      <c r="EZ504" s="77"/>
      <c r="FA504" s="77"/>
      <c r="FB504" s="77"/>
      <c r="FC504" s="77"/>
      <c r="FD504" s="77"/>
      <c r="FE504" s="77"/>
      <c r="FF504" s="77"/>
      <c r="FG504" s="77"/>
      <c r="FH504" s="77"/>
      <c r="FI504" s="77"/>
      <c r="FJ504" s="77"/>
      <c r="FK504" s="77"/>
      <c r="FL504" s="77"/>
      <c r="FM504" s="77"/>
      <c r="FN504" s="77"/>
      <c r="FO504" s="77"/>
      <c r="FP504" s="77"/>
      <c r="FQ504" s="77"/>
      <c r="FR504" s="77"/>
      <c r="FS504" s="77"/>
      <c r="FT504" s="77"/>
      <c r="FU504" s="77"/>
      <c r="FV504" s="77"/>
      <c r="FW504" s="77"/>
      <c r="FX504" s="77"/>
      <c r="FY504" s="77"/>
      <c r="FZ504" s="77"/>
      <c r="GA504" s="77"/>
      <c r="GB504" s="77"/>
      <c r="GC504" s="77"/>
      <c r="GD504" s="77"/>
      <c r="GE504" s="77"/>
      <c r="GF504" s="77"/>
      <c r="GG504" s="77"/>
      <c r="GH504" s="77"/>
      <c r="GI504" s="77"/>
      <c r="GJ504" s="77"/>
      <c r="GK504" s="77"/>
      <c r="ID504" s="77"/>
      <c r="IE504" s="77"/>
      <c r="IF504" s="77"/>
      <c r="IG504" s="77"/>
      <c r="IH504" s="77"/>
      <c r="II504" s="77"/>
      <c r="IJ504" s="77"/>
      <c r="IK504" s="77"/>
      <c r="IL504" s="77"/>
      <c r="IM504" s="77"/>
      <c r="IN504" s="77"/>
      <c r="IO504" s="77"/>
      <c r="IP504" s="77"/>
      <c r="IQ504" s="77"/>
      <c r="IR504" s="77"/>
      <c r="IS504" s="77"/>
      <c r="IT504" s="77"/>
      <c r="IU504" s="77"/>
      <c r="IV504" s="77"/>
      <c r="IW504" s="77"/>
      <c r="IX504" s="77"/>
      <c r="IY504" s="77"/>
      <c r="IZ504" s="77"/>
      <c r="JA504" s="77"/>
      <c r="JB504" s="77"/>
      <c r="JC504" s="77"/>
      <c r="JD504" s="77"/>
      <c r="JE504" s="77"/>
      <c r="JF504" s="77"/>
      <c r="JG504" s="77"/>
      <c r="JH504" s="77"/>
      <c r="JI504" s="77"/>
      <c r="JJ504" s="77"/>
      <c r="JK504" s="77"/>
      <c r="JL504" s="77"/>
      <c r="JM504" s="77"/>
      <c r="JN504" s="77"/>
      <c r="JO504" s="77"/>
      <c r="JP504" s="77"/>
      <c r="JQ504" s="77"/>
      <c r="JR504" s="77"/>
      <c r="JS504" s="77"/>
      <c r="JT504" s="77"/>
      <c r="JU504" s="77"/>
      <c r="JV504" s="77"/>
      <c r="JW504" s="77"/>
      <c r="JX504" s="77"/>
      <c r="KM504" s="77"/>
      <c r="KN504" s="77"/>
      <c r="KO504" s="77"/>
      <c r="KP504" s="77"/>
      <c r="KQ504" s="77"/>
      <c r="KR504" s="77"/>
      <c r="KS504" s="77"/>
      <c r="KT504" s="77"/>
      <c r="KU504" s="77"/>
      <c r="KV504" s="77"/>
      <c r="KW504" s="77"/>
      <c r="KX504" s="77"/>
      <c r="KY504" s="77"/>
      <c r="KZ504" s="77"/>
      <c r="LA504" s="77"/>
      <c r="LB504" s="77"/>
      <c r="LC504" s="77"/>
      <c r="LD504" s="77"/>
      <c r="LE504" s="77"/>
      <c r="LF504" s="77"/>
      <c r="LG504" s="77"/>
      <c r="LH504" s="77"/>
      <c r="LI504" s="77"/>
      <c r="LJ504" s="77"/>
      <c r="LK504" s="77"/>
      <c r="LL504" s="77"/>
      <c r="LM504" s="77"/>
      <c r="LN504" s="77"/>
      <c r="LO504" s="77"/>
      <c r="LP504" s="77"/>
      <c r="LQ504" s="77"/>
      <c r="LR504" s="77"/>
      <c r="LS504" s="77"/>
      <c r="LT504" s="77"/>
      <c r="LU504" s="77"/>
      <c r="LV504" s="77"/>
      <c r="LW504" s="77"/>
      <c r="LX504" s="77"/>
    </row>
    <row r="505" spans="1:421" s="21" customFormat="1" ht="18.600000000000001" customHeight="1" x14ac:dyDescent="0.25">
      <c r="A505" s="119" t="s">
        <v>2392</v>
      </c>
      <c r="B505" s="27" t="s">
        <v>2393</v>
      </c>
      <c r="C505" s="27" t="s">
        <v>2394</v>
      </c>
      <c r="D505" s="30" t="str">
        <f>HYPERLINK("https://twitter.com/Pontifex_de","https://twitter.com/Pontifex_de")</f>
        <v>https://twitter.com/Pontifex_de</v>
      </c>
      <c r="E505" s="30" t="str">
        <f>HYPERLINK("http://twiplomacy.com/info/europe/Vatican","http://twiplomacy.com/info/europe/Vatican")</f>
        <v>http://twiplomacy.com/info/europe/Vatican</v>
      </c>
      <c r="F505" s="10" t="s">
        <v>332</v>
      </c>
      <c r="G505" s="10" t="s">
        <v>719</v>
      </c>
      <c r="H505" s="10" t="s">
        <v>1313</v>
      </c>
      <c r="I505" s="10" t="s">
        <v>773</v>
      </c>
      <c r="J505" s="27" t="s">
        <v>1852</v>
      </c>
      <c r="K505" s="15" t="s">
        <v>777</v>
      </c>
      <c r="L505" s="10" t="s">
        <v>771</v>
      </c>
      <c r="M505" s="10" t="s">
        <v>770</v>
      </c>
      <c r="N505" s="30" t="str">
        <f>HYPERLINK("https://twitter.com/Pontifex_de/statuses/313247632405454848","https://twitter.com/Pontifex_de/statuses/313247632405454848")</f>
        <v>https://twitter.com/Pontifex_de/statuses/313247632405454848</v>
      </c>
      <c r="O505" s="27" t="s">
        <v>6019</v>
      </c>
      <c r="P505" s="80">
        <v>550</v>
      </c>
      <c r="Q505" s="80">
        <v>974</v>
      </c>
      <c r="R505" s="27" t="s">
        <v>2994</v>
      </c>
      <c r="S505" s="10" t="s">
        <v>2395</v>
      </c>
      <c r="T505" s="10" t="s">
        <v>771</v>
      </c>
      <c r="U505" s="10" t="s">
        <v>771</v>
      </c>
      <c r="V505" s="10" t="s">
        <v>771</v>
      </c>
      <c r="W505" s="10"/>
      <c r="X505" s="27" t="s">
        <v>2392</v>
      </c>
      <c r="Y505" s="27" t="s">
        <v>2393</v>
      </c>
      <c r="Z505" s="80">
        <v>697</v>
      </c>
      <c r="AA505" s="27">
        <v>8</v>
      </c>
      <c r="AB505" s="80">
        <v>329039</v>
      </c>
      <c r="AC505" s="27">
        <v>0</v>
      </c>
      <c r="AD505" s="27" t="s">
        <v>4281</v>
      </c>
      <c r="AE505" s="27">
        <v>523150102</v>
      </c>
      <c r="AF505" s="27" t="s">
        <v>2394</v>
      </c>
      <c r="AG505" s="27" t="s">
        <v>2396</v>
      </c>
      <c r="AH505" s="79">
        <v>0.46128391793514201</v>
      </c>
      <c r="AI505" s="83">
        <v>0.61086765994741499</v>
      </c>
      <c r="AJ505" s="80">
        <v>100.248206599713</v>
      </c>
      <c r="AK505" s="80">
        <v>152.47632711621199</v>
      </c>
      <c r="AL505" s="13">
        <v>0</v>
      </c>
      <c r="AM505" s="97">
        <f>SUM(AL505/Z505)</f>
        <v>0</v>
      </c>
      <c r="AN505" s="27" t="s">
        <v>2392</v>
      </c>
      <c r="AO505" s="27">
        <v>0</v>
      </c>
      <c r="AP505" s="27">
        <v>6</v>
      </c>
      <c r="AQ505" s="27">
        <v>8</v>
      </c>
      <c r="AR505" s="27">
        <f>SUM(AO505:AQ505)</f>
        <v>14</v>
      </c>
      <c r="AS505" s="27"/>
      <c r="AT505" s="27" t="s">
        <v>5403</v>
      </c>
      <c r="AU505" s="84" t="s">
        <v>4897</v>
      </c>
      <c r="AV505" s="77"/>
      <c r="AW505" s="77"/>
      <c r="AX505" s="77"/>
      <c r="AY505" s="77"/>
      <c r="AZ505" s="77"/>
      <c r="BA505" s="77"/>
      <c r="BB505" s="77"/>
      <c r="BC505" s="77"/>
      <c r="BD505" s="77"/>
      <c r="BE505" s="77"/>
      <c r="BF505" s="77"/>
      <c r="BG505" s="77"/>
      <c r="BH505" s="77"/>
      <c r="BI505" s="77"/>
      <c r="BJ505" s="77"/>
      <c r="BK505" s="77"/>
      <c r="BL505" s="77"/>
      <c r="BM505" s="77"/>
      <c r="BN505" s="77"/>
      <c r="BO505" s="77"/>
      <c r="BP505" s="77"/>
      <c r="CK505" s="77"/>
      <c r="CL505" s="77"/>
      <c r="CM505" s="77"/>
      <c r="CN505" s="77"/>
      <c r="CO505" s="77"/>
      <c r="CP505" s="77"/>
      <c r="CQ505" s="77"/>
      <c r="CR505" s="77"/>
      <c r="CS505" s="77"/>
      <c r="CT505" s="77"/>
      <c r="CU505" s="77"/>
      <c r="CV505" s="77"/>
      <c r="CW505" s="77"/>
      <c r="CX505" s="77"/>
      <c r="CY505" s="77"/>
      <c r="CZ505" s="77"/>
      <c r="DA505" s="77"/>
      <c r="DB505" s="77"/>
      <c r="DC505" s="77"/>
      <c r="DD505" s="77"/>
      <c r="DE505" s="77"/>
      <c r="DF505" s="77"/>
      <c r="DG505" s="77"/>
      <c r="DH505" s="77"/>
      <c r="DI505" s="77"/>
      <c r="DJ505" s="77"/>
      <c r="DK505" s="77"/>
      <c r="DL505" s="77"/>
      <c r="DM505" s="77"/>
      <c r="DN505" s="77"/>
      <c r="DO505" s="77"/>
      <c r="DP505" s="77"/>
      <c r="DQ505" s="77"/>
      <c r="DR505" s="77"/>
      <c r="DS505" s="77"/>
      <c r="DT505" s="77"/>
      <c r="DU505" s="77"/>
      <c r="DV505" s="77"/>
      <c r="DW505" s="77"/>
      <c r="DX505" s="77"/>
      <c r="DY505" s="77"/>
      <c r="DZ505" s="77"/>
      <c r="EA505" s="77"/>
      <c r="EB505" s="77"/>
      <c r="EC505" s="77"/>
      <c r="ED505" s="77"/>
      <c r="EE505" s="77"/>
      <c r="EF505" s="77"/>
      <c r="EG505" s="77"/>
      <c r="EH505" s="77"/>
      <c r="EI505" s="77"/>
      <c r="EJ505" s="77"/>
      <c r="EK505" s="77"/>
      <c r="EL505" s="77"/>
      <c r="EM505" s="77"/>
      <c r="EN505" s="77"/>
      <c r="EO505" s="77"/>
      <c r="EP505" s="77"/>
      <c r="EQ505" s="77"/>
      <c r="ER505" s="77"/>
      <c r="ES505" s="77"/>
      <c r="ET505" s="77"/>
      <c r="EU505" s="77"/>
      <c r="EV505" s="77"/>
      <c r="EW505" s="77"/>
      <c r="EX505" s="77"/>
      <c r="EY505" s="77"/>
      <c r="EZ505" s="77"/>
      <c r="FA505" s="77"/>
      <c r="FB505" s="77"/>
      <c r="FC505" s="77"/>
      <c r="FD505" s="77"/>
      <c r="FE505" s="77"/>
      <c r="FF505" s="77"/>
      <c r="FG505" s="77"/>
      <c r="FH505" s="77"/>
      <c r="FI505" s="77"/>
      <c r="FJ505" s="77"/>
      <c r="FK505" s="77"/>
      <c r="FL505" s="77"/>
      <c r="FM505" s="77"/>
      <c r="FN505" s="77"/>
      <c r="FO505" s="77"/>
      <c r="FP505" s="77"/>
      <c r="FQ505" s="77"/>
      <c r="FR505" s="77"/>
      <c r="FS505" s="77"/>
      <c r="FT505" s="77"/>
      <c r="FU505" s="77"/>
      <c r="FV505" s="77"/>
      <c r="FW505" s="77"/>
      <c r="FX505" s="77"/>
      <c r="FY505" s="77"/>
      <c r="FZ505" s="77"/>
      <c r="GA505" s="77"/>
      <c r="GB505" s="77"/>
      <c r="GC505" s="77"/>
      <c r="GD505" s="77"/>
      <c r="GE505" s="77"/>
      <c r="GF505" s="77"/>
      <c r="GG505" s="77"/>
      <c r="GH505" s="77"/>
      <c r="GI505" s="77"/>
      <c r="GJ505" s="77"/>
      <c r="GK505" s="77"/>
      <c r="GL505" s="77"/>
      <c r="GM505" s="77"/>
      <c r="GN505" s="77"/>
      <c r="GO505" s="77"/>
      <c r="GP505" s="77"/>
      <c r="GQ505" s="77"/>
      <c r="GR505" s="77"/>
      <c r="GS505" s="77"/>
      <c r="GT505" s="77"/>
      <c r="GU505" s="77"/>
      <c r="GV505" s="77"/>
      <c r="GW505" s="77"/>
      <c r="GX505" s="77"/>
      <c r="GY505" s="77"/>
      <c r="GZ505" s="77"/>
      <c r="HA505" s="77"/>
      <c r="HB505" s="77"/>
      <c r="HC505" s="77"/>
      <c r="HD505" s="77"/>
      <c r="HE505" s="77"/>
      <c r="HF505" s="77"/>
      <c r="HG505" s="77"/>
      <c r="HH505" s="77"/>
      <c r="HI505" s="77"/>
      <c r="HJ505" s="77"/>
      <c r="HK505" s="77"/>
      <c r="HL505" s="77"/>
      <c r="HM505" s="77"/>
      <c r="HN505" s="77"/>
      <c r="HO505" s="77"/>
      <c r="HP505" s="77"/>
      <c r="HQ505" s="77"/>
      <c r="HR505" s="77"/>
      <c r="HS505" s="77"/>
      <c r="HT505" s="77"/>
      <c r="HU505" s="77"/>
      <c r="HV505" s="77"/>
      <c r="HW505" s="77"/>
      <c r="HX505" s="77"/>
      <c r="HY505" s="77"/>
      <c r="HZ505" s="77"/>
      <c r="IA505" s="77"/>
      <c r="IB505" s="77"/>
      <c r="IC505" s="77"/>
      <c r="ID505" s="77"/>
      <c r="IE505" s="77"/>
      <c r="IF505" s="77"/>
      <c r="IG505" s="77"/>
      <c r="IH505" s="77"/>
      <c r="II505" s="77"/>
      <c r="IJ505" s="77"/>
      <c r="IK505" s="77"/>
      <c r="IL505" s="77"/>
      <c r="IM505" s="77"/>
      <c r="IN505" s="77"/>
      <c r="IO505" s="77"/>
      <c r="IP505" s="77"/>
      <c r="IQ505" s="77"/>
      <c r="IR505" s="77"/>
      <c r="IS505" s="77"/>
      <c r="IT505" s="77"/>
      <c r="IU505" s="77"/>
      <c r="IV505" s="77"/>
      <c r="IW505" s="77"/>
      <c r="IX505" s="77"/>
      <c r="IY505" s="77"/>
      <c r="IZ505" s="77"/>
      <c r="JA505" s="77"/>
      <c r="JB505" s="77"/>
      <c r="JC505" s="77"/>
      <c r="JD505" s="77"/>
      <c r="JE505" s="77"/>
      <c r="JF505" s="77"/>
      <c r="JG505" s="77"/>
      <c r="JH505" s="77"/>
      <c r="JI505" s="77"/>
      <c r="JJ505" s="77"/>
      <c r="JK505" s="77"/>
      <c r="JL505" s="77"/>
      <c r="JM505" s="77"/>
      <c r="JN505" s="77"/>
      <c r="JO505" s="77"/>
      <c r="JP505" s="77"/>
      <c r="JQ505" s="77"/>
      <c r="JR505" s="77"/>
      <c r="JS505" s="77"/>
      <c r="JT505" s="77"/>
      <c r="JU505" s="77"/>
      <c r="JV505" s="77"/>
      <c r="JW505" s="77"/>
      <c r="JX505" s="77"/>
      <c r="JY505" s="77"/>
      <c r="JZ505" s="77"/>
      <c r="KA505" s="77"/>
      <c r="KB505" s="77"/>
      <c r="KC505" s="77"/>
      <c r="KD505" s="77"/>
      <c r="KE505" s="77"/>
      <c r="KF505" s="77"/>
      <c r="KG505" s="77"/>
      <c r="KH505" s="77"/>
      <c r="KI505" s="77"/>
      <c r="KJ505" s="77"/>
      <c r="KK505" s="77"/>
      <c r="KL505" s="77"/>
      <c r="KM505" s="77"/>
      <c r="KN505" s="77"/>
      <c r="KO505" s="77"/>
      <c r="KP505" s="77"/>
      <c r="KQ505" s="77"/>
      <c r="KR505" s="77"/>
      <c r="KS505" s="77"/>
      <c r="KT505" s="77"/>
      <c r="KU505" s="77"/>
      <c r="KV505" s="77"/>
      <c r="KW505" s="77"/>
      <c r="KX505" s="77"/>
      <c r="KY505" s="77"/>
      <c r="KZ505" s="77"/>
      <c r="LA505" s="77"/>
      <c r="LB505" s="77"/>
      <c r="LC505" s="77"/>
      <c r="LD505" s="77"/>
      <c r="LE505" s="77"/>
      <c r="LF505" s="77"/>
      <c r="LG505" s="77"/>
      <c r="LH505" s="77"/>
      <c r="LI505" s="77"/>
      <c r="LJ505" s="77"/>
      <c r="LK505" s="77"/>
      <c r="LL505" s="77"/>
      <c r="LM505" s="77"/>
      <c r="LN505" s="77"/>
      <c r="LO505" s="77"/>
      <c r="LP505" s="77"/>
      <c r="LQ505" s="77"/>
      <c r="LR505" s="77"/>
      <c r="LS505" s="77"/>
      <c r="LT505" s="77"/>
      <c r="LU505" s="77"/>
      <c r="LV505" s="77"/>
      <c r="LW505" s="77"/>
      <c r="LX505" s="77"/>
      <c r="LY505" s="77"/>
      <c r="LZ505" s="77"/>
      <c r="MA505" s="77"/>
      <c r="MB505" s="77"/>
      <c r="MC505" s="77"/>
      <c r="MD505" s="77"/>
      <c r="ME505" s="77"/>
      <c r="MF505" s="77"/>
      <c r="MG505" s="77"/>
      <c r="MH505" s="77"/>
      <c r="MI505" s="77"/>
      <c r="MJ505" s="77"/>
      <c r="MK505" s="77"/>
      <c r="ML505" s="77"/>
      <c r="MM505" s="77"/>
      <c r="MN505" s="77"/>
      <c r="MO505" s="77"/>
      <c r="MP505" s="77"/>
      <c r="MQ505" s="77"/>
      <c r="MR505" s="77"/>
      <c r="MS505" s="77"/>
    </row>
    <row r="506" spans="1:421" s="21" customFormat="1" ht="18.600000000000001" customHeight="1" x14ac:dyDescent="0.25">
      <c r="A506" s="119" t="s">
        <v>2397</v>
      </c>
      <c r="B506" s="27" t="s">
        <v>2398</v>
      </c>
      <c r="C506" s="27" t="s">
        <v>2399</v>
      </c>
      <c r="D506" s="30" t="str">
        <f>HYPERLINK("https://twitter.com/Pontifex_ar","https://twitter.com/Pontifex_ar")</f>
        <v>https://twitter.com/Pontifex_ar</v>
      </c>
      <c r="E506" s="30" t="str">
        <f>HYPERLINK("http://twiplomacy.com/info/europe/Vatican","http://twiplomacy.com/info/europe/Vatican")</f>
        <v>http://twiplomacy.com/info/europe/Vatican</v>
      </c>
      <c r="F506" s="10" t="s">
        <v>332</v>
      </c>
      <c r="G506" s="10" t="s">
        <v>719</v>
      </c>
      <c r="H506" s="10" t="s">
        <v>1313</v>
      </c>
      <c r="I506" s="10" t="s">
        <v>773</v>
      </c>
      <c r="J506" s="27" t="s">
        <v>1852</v>
      </c>
      <c r="K506" s="15" t="s">
        <v>777</v>
      </c>
      <c r="L506" s="10" t="s">
        <v>771</v>
      </c>
      <c r="M506" s="10" t="s">
        <v>770</v>
      </c>
      <c r="N506" s="30" t="str">
        <f>HYPERLINK("https://twitter.com/Pontifex_ar/statuses/313247631050682368","https://twitter.com/Pontifex_ar/statuses/313247631050682368")</f>
        <v>https://twitter.com/Pontifex_ar/statuses/313247631050682368</v>
      </c>
      <c r="O506" s="27" t="s">
        <v>6018</v>
      </c>
      <c r="P506" s="80">
        <v>650</v>
      </c>
      <c r="Q506" s="80">
        <v>542</v>
      </c>
      <c r="R506" s="27" t="s">
        <v>2994</v>
      </c>
      <c r="S506" s="10" t="s">
        <v>2400</v>
      </c>
      <c r="T506" s="10" t="s">
        <v>771</v>
      </c>
      <c r="U506" s="10" t="s">
        <v>771</v>
      </c>
      <c r="V506" s="10" t="s">
        <v>771</v>
      </c>
      <c r="W506" s="10"/>
      <c r="X506" s="27" t="s">
        <v>2397</v>
      </c>
      <c r="Y506" s="27" t="s">
        <v>2398</v>
      </c>
      <c r="Z506" s="80">
        <v>696</v>
      </c>
      <c r="AA506" s="27">
        <v>8</v>
      </c>
      <c r="AB506" s="80">
        <v>264614</v>
      </c>
      <c r="AC506" s="27">
        <v>0</v>
      </c>
      <c r="AD506" s="27" t="s">
        <v>4280</v>
      </c>
      <c r="AE506" s="27">
        <v>965706379</v>
      </c>
      <c r="AF506" s="27" t="s">
        <v>2399</v>
      </c>
      <c r="AG506" s="27" t="s">
        <v>2401</v>
      </c>
      <c r="AH506" s="79">
        <v>0.55414012738853502</v>
      </c>
      <c r="AI506" s="83">
        <v>0.60999123575810699</v>
      </c>
      <c r="AJ506" s="80">
        <v>144.580459770115</v>
      </c>
      <c r="AK506" s="80">
        <v>145.333333333333</v>
      </c>
      <c r="AL506" s="13">
        <v>0</v>
      </c>
      <c r="AM506" s="97">
        <f>SUM(AL506/Z506)</f>
        <v>0</v>
      </c>
      <c r="AN506" s="27" t="s">
        <v>2397</v>
      </c>
      <c r="AO506" s="27">
        <v>0</v>
      </c>
      <c r="AP506" s="27">
        <v>9</v>
      </c>
      <c r="AQ506" s="27">
        <v>8</v>
      </c>
      <c r="AR506" s="27">
        <f>SUM(AO506:AQ506)</f>
        <v>17</v>
      </c>
      <c r="AS506" s="27"/>
      <c r="AT506" s="27" t="s">
        <v>6331</v>
      </c>
      <c r="AU506" s="84" t="s">
        <v>4896</v>
      </c>
      <c r="AV506" s="77"/>
      <c r="AW506" s="77"/>
      <c r="AX506" s="77"/>
      <c r="AY506" s="77"/>
      <c r="AZ506" s="77"/>
      <c r="BA506" s="77"/>
      <c r="BB506" s="77"/>
      <c r="BC506" s="77"/>
      <c r="BD506" s="77"/>
      <c r="BE506" s="77"/>
      <c r="BF506" s="77"/>
      <c r="BG506" s="77"/>
      <c r="BH506" s="77"/>
      <c r="BI506" s="77"/>
      <c r="BJ506" s="77"/>
      <c r="BK506" s="77"/>
      <c r="BL506" s="77"/>
      <c r="BM506" s="77"/>
      <c r="BN506" s="77"/>
      <c r="BO506" s="77"/>
      <c r="BP506" s="77"/>
      <c r="CC506" s="77"/>
      <c r="CD506" s="77"/>
      <c r="CE506" s="77"/>
      <c r="CF506" s="77"/>
      <c r="CG506" s="77"/>
      <c r="CH506" s="77"/>
      <c r="CI506" s="77"/>
      <c r="CJ506" s="77"/>
      <c r="CK506" s="77"/>
      <c r="CL506" s="77"/>
      <c r="CM506" s="77"/>
      <c r="CN506" s="77"/>
      <c r="CO506" s="77"/>
      <c r="CP506" s="77"/>
      <c r="CQ506" s="77"/>
      <c r="CR506" s="77"/>
      <c r="CS506" s="77"/>
      <c r="CT506" s="77"/>
      <c r="CU506" s="77"/>
      <c r="CV506" s="77"/>
      <c r="CW506" s="77"/>
      <c r="CX506" s="77"/>
      <c r="CY506" s="77"/>
      <c r="CZ506" s="77"/>
      <c r="DA506" s="77"/>
      <c r="DB506" s="77"/>
      <c r="DC506" s="77"/>
      <c r="DD506" s="77"/>
      <c r="DE506" s="77"/>
      <c r="DF506" s="77"/>
      <c r="DG506" s="77"/>
      <c r="DH506" s="77"/>
      <c r="DI506" s="77"/>
      <c r="DJ506" s="77"/>
      <c r="DK506" s="77"/>
      <c r="DL506" s="77"/>
      <c r="DM506" s="77"/>
      <c r="DN506" s="77"/>
      <c r="DO506" s="77"/>
      <c r="DP506" s="77"/>
      <c r="DQ506" s="77"/>
      <c r="DR506" s="77"/>
      <c r="DS506" s="77"/>
      <c r="DT506" s="77"/>
      <c r="DU506" s="77"/>
      <c r="DV506" s="77"/>
      <c r="DW506" s="77"/>
      <c r="DX506" s="77"/>
      <c r="DY506" s="77"/>
      <c r="DZ506" s="77"/>
      <c r="EA506" s="77"/>
      <c r="EB506" s="77"/>
      <c r="EC506" s="77"/>
      <c r="ED506" s="77"/>
      <c r="EE506" s="77"/>
      <c r="EF506" s="77"/>
      <c r="EG506" s="77"/>
      <c r="EH506" s="77"/>
      <c r="EI506" s="77"/>
      <c r="EJ506" s="77"/>
      <c r="EK506" s="77"/>
      <c r="EL506" s="77"/>
      <c r="EM506" s="77"/>
      <c r="EN506" s="77"/>
      <c r="EO506" s="77"/>
      <c r="EP506" s="77"/>
      <c r="EQ506" s="77"/>
      <c r="ER506" s="77"/>
      <c r="ES506" s="77"/>
      <c r="ET506" s="77"/>
      <c r="EU506" s="77"/>
      <c r="EV506" s="77"/>
      <c r="EW506" s="77"/>
      <c r="EX506" s="77"/>
      <c r="EY506" s="77"/>
      <c r="EZ506" s="77"/>
      <c r="FA506" s="77"/>
      <c r="FB506" s="77"/>
      <c r="FC506" s="77"/>
      <c r="FD506" s="77"/>
      <c r="FE506" s="77"/>
      <c r="FF506" s="77"/>
      <c r="FG506" s="77"/>
      <c r="FH506" s="77"/>
      <c r="FI506" s="77"/>
      <c r="FJ506" s="77"/>
      <c r="FK506" s="77"/>
      <c r="FL506" s="77"/>
      <c r="FM506" s="77"/>
      <c r="FN506" s="77"/>
      <c r="FO506" s="77"/>
      <c r="FP506" s="77"/>
      <c r="FQ506" s="77"/>
      <c r="FR506" s="77"/>
      <c r="FS506" s="77"/>
      <c r="FT506" s="77"/>
      <c r="FU506" s="77"/>
      <c r="FV506" s="77"/>
      <c r="FW506" s="77"/>
      <c r="FX506" s="77"/>
      <c r="FY506" s="77"/>
      <c r="FZ506" s="77"/>
      <c r="GA506" s="77"/>
      <c r="GB506" s="77"/>
      <c r="GC506" s="77"/>
      <c r="GD506" s="77"/>
      <c r="GE506" s="77"/>
      <c r="GF506" s="77"/>
      <c r="GG506" s="77"/>
      <c r="GH506" s="77"/>
      <c r="GI506" s="77"/>
      <c r="GJ506" s="77"/>
      <c r="GK506" s="77"/>
      <c r="GL506" s="77"/>
      <c r="GM506" s="77"/>
      <c r="GN506" s="77"/>
      <c r="GO506" s="77"/>
      <c r="GP506" s="77"/>
      <c r="GQ506" s="77"/>
      <c r="GR506" s="77"/>
      <c r="GS506" s="77"/>
      <c r="GT506" s="77"/>
      <c r="GU506" s="77"/>
      <c r="GV506" s="77"/>
      <c r="GW506" s="77"/>
      <c r="GX506" s="77"/>
      <c r="GY506" s="77"/>
      <c r="GZ506" s="77"/>
      <c r="HA506" s="77"/>
      <c r="HB506" s="77"/>
      <c r="HC506" s="77"/>
      <c r="HD506" s="77"/>
      <c r="HE506" s="77"/>
      <c r="HF506" s="77"/>
      <c r="HG506" s="77"/>
      <c r="HH506" s="77"/>
      <c r="HI506" s="77"/>
      <c r="HJ506" s="77"/>
      <c r="HK506" s="77"/>
      <c r="JY506" s="77"/>
      <c r="JZ506" s="77"/>
      <c r="KA506" s="77"/>
      <c r="KB506" s="77"/>
      <c r="KC506" s="77"/>
      <c r="KD506" s="77"/>
      <c r="KE506" s="77"/>
      <c r="KF506" s="77"/>
      <c r="KG506" s="77"/>
      <c r="KH506" s="77"/>
      <c r="KI506" s="77"/>
      <c r="KJ506" s="77"/>
      <c r="KK506" s="77"/>
      <c r="KL506" s="77"/>
      <c r="KM506" s="77"/>
      <c r="KN506" s="77"/>
      <c r="KO506" s="77"/>
      <c r="KP506" s="77"/>
      <c r="KQ506" s="77"/>
      <c r="KR506" s="77"/>
      <c r="KS506" s="77"/>
      <c r="KT506" s="77"/>
      <c r="KU506" s="77"/>
      <c r="KV506" s="77"/>
      <c r="KW506" s="77"/>
      <c r="KX506" s="77"/>
      <c r="KY506" s="77"/>
      <c r="KZ506" s="77"/>
      <c r="LA506" s="77"/>
      <c r="LB506" s="77"/>
      <c r="LC506" s="77"/>
      <c r="LD506" s="77"/>
      <c r="LE506" s="77"/>
      <c r="LF506" s="77"/>
      <c r="LG506" s="77"/>
      <c r="LH506" s="77"/>
      <c r="LI506" s="77"/>
      <c r="LJ506" s="77"/>
      <c r="LK506" s="77"/>
      <c r="LL506" s="77"/>
      <c r="LM506" s="77"/>
      <c r="LN506" s="77"/>
      <c r="LO506" s="77"/>
      <c r="LP506" s="77"/>
      <c r="LQ506" s="77"/>
      <c r="LR506" s="77"/>
      <c r="LS506" s="77"/>
      <c r="LT506" s="77"/>
      <c r="LU506" s="77"/>
      <c r="LV506" s="77"/>
      <c r="LW506" s="16"/>
      <c r="LX506" s="16"/>
    </row>
    <row r="507" spans="1:421" s="21" customFormat="1" ht="18.600000000000001" customHeight="1" x14ac:dyDescent="0.25">
      <c r="A507" s="119" t="s">
        <v>2386</v>
      </c>
      <c r="B507" s="27" t="s">
        <v>2387</v>
      </c>
      <c r="C507" s="27" t="s">
        <v>2388</v>
      </c>
      <c r="D507" s="30" t="str">
        <f>HYPERLINK("https://twitter.com/Pontifex_pl","https://twitter.com/Pontifex_pl")</f>
        <v>https://twitter.com/Pontifex_pl</v>
      </c>
      <c r="E507" s="30" t="str">
        <f>HYPERLINK("http://twiplomacy.com/info/europe/Vatican","http://twiplomacy.com/info/europe/Vatican")</f>
        <v>http://twiplomacy.com/info/europe/Vatican</v>
      </c>
      <c r="F507" s="10" t="s">
        <v>332</v>
      </c>
      <c r="G507" s="10" t="s">
        <v>719</v>
      </c>
      <c r="H507" s="10" t="s">
        <v>1313</v>
      </c>
      <c r="I507" s="10" t="s">
        <v>773</v>
      </c>
      <c r="J507" s="27" t="s">
        <v>1852</v>
      </c>
      <c r="K507" s="15" t="s">
        <v>777</v>
      </c>
      <c r="L507" s="10" t="s">
        <v>771</v>
      </c>
      <c r="M507" s="10" t="s">
        <v>770</v>
      </c>
      <c r="N507" s="30" t="str">
        <f>HYPERLINK("https://twitter.com/Pontifex_pl/statuses/313247631046488064","https://twitter.com/Pontifex_pl/statuses/313247631046488064")</f>
        <v>https://twitter.com/Pontifex_pl/statuses/313247631046488064</v>
      </c>
      <c r="O507" s="27" t="s">
        <v>2389</v>
      </c>
      <c r="P507" s="80">
        <v>653</v>
      </c>
      <c r="Q507" s="80">
        <v>982</v>
      </c>
      <c r="R507" s="27" t="s">
        <v>2994</v>
      </c>
      <c r="S507" s="10" t="s">
        <v>2390</v>
      </c>
      <c r="T507" s="10" t="s">
        <v>771</v>
      </c>
      <c r="U507" s="10" t="s">
        <v>771</v>
      </c>
      <c r="V507" s="10" t="s">
        <v>771</v>
      </c>
      <c r="W507" s="10"/>
      <c r="X507" s="27" t="s">
        <v>2386</v>
      </c>
      <c r="Y507" s="27" t="s">
        <v>2387</v>
      </c>
      <c r="Z507" s="80">
        <v>693</v>
      </c>
      <c r="AA507" s="27">
        <v>8</v>
      </c>
      <c r="AB507" s="80">
        <v>613456</v>
      </c>
      <c r="AC507" s="27">
        <v>0</v>
      </c>
      <c r="AD507" s="27" t="s">
        <v>4286</v>
      </c>
      <c r="AE507" s="27">
        <v>522122949</v>
      </c>
      <c r="AF507" s="27" t="s">
        <v>2388</v>
      </c>
      <c r="AG507" s="27" t="s">
        <v>2391</v>
      </c>
      <c r="AH507" s="79">
        <v>0.45833333333333298</v>
      </c>
      <c r="AI507" s="83">
        <v>0.60736196319018398</v>
      </c>
      <c r="AJ507" s="80">
        <v>115.63059163059199</v>
      </c>
      <c r="AK507" s="80">
        <v>175.97691197691199</v>
      </c>
      <c r="AL507" s="13">
        <v>0</v>
      </c>
      <c r="AM507" s="97">
        <f>SUM(AL507/Z507)</f>
        <v>0</v>
      </c>
      <c r="AN507" s="27" t="s">
        <v>2386</v>
      </c>
      <c r="AO507" s="27">
        <v>0</v>
      </c>
      <c r="AP507" s="27">
        <v>7</v>
      </c>
      <c r="AQ507" s="27">
        <v>8</v>
      </c>
      <c r="AR507" s="27">
        <f>SUM(AO507:AQ507)</f>
        <v>15</v>
      </c>
      <c r="AS507" s="27"/>
      <c r="AT507" s="27" t="s">
        <v>5404</v>
      </c>
      <c r="AU507" s="84" t="s">
        <v>4902</v>
      </c>
      <c r="AV507" s="77"/>
      <c r="AW507" s="77"/>
      <c r="AX507" s="77"/>
      <c r="AY507" s="77"/>
      <c r="AZ507" s="77"/>
      <c r="BA507" s="77"/>
      <c r="BB507" s="77"/>
      <c r="BC507" s="77"/>
      <c r="BD507" s="77"/>
      <c r="BE507" s="77"/>
      <c r="BF507" s="77"/>
      <c r="BG507" s="77"/>
      <c r="BH507" s="77"/>
      <c r="BI507" s="77"/>
      <c r="BJ507" s="77"/>
      <c r="BK507" s="77"/>
      <c r="BL507" s="77"/>
      <c r="BM507" s="77"/>
      <c r="BN507" s="77"/>
      <c r="BO507" s="77"/>
      <c r="BP507" s="77"/>
      <c r="BQ507" s="77"/>
      <c r="BR507" s="77"/>
      <c r="BS507" s="77"/>
      <c r="BT507" s="77"/>
      <c r="BU507" s="77"/>
      <c r="BV507" s="77"/>
      <c r="BW507" s="77"/>
      <c r="BX507" s="77"/>
      <c r="BY507" s="77"/>
      <c r="BZ507" s="77"/>
      <c r="CA507" s="77"/>
      <c r="CB507" s="77"/>
      <c r="CC507" s="77"/>
      <c r="CD507" s="77"/>
      <c r="CE507" s="77"/>
      <c r="CF507" s="77"/>
      <c r="CG507" s="77"/>
      <c r="CH507" s="77"/>
      <c r="CI507" s="77"/>
      <c r="CJ507" s="77"/>
      <c r="CK507" s="77"/>
      <c r="CL507" s="77"/>
      <c r="CM507" s="77"/>
      <c r="CN507" s="77"/>
      <c r="CO507" s="77"/>
      <c r="CP507" s="77"/>
      <c r="CQ507" s="77"/>
      <c r="CR507" s="77"/>
      <c r="CS507" s="77"/>
      <c r="CT507" s="77"/>
      <c r="CU507" s="77"/>
      <c r="CV507" s="77"/>
      <c r="CW507" s="77"/>
      <c r="CX507" s="77"/>
      <c r="CY507" s="77"/>
      <c r="CZ507" s="77"/>
      <c r="DA507" s="77"/>
      <c r="DB507" s="77"/>
      <c r="DC507" s="77"/>
      <c r="DD507" s="77"/>
      <c r="DE507" s="77"/>
      <c r="DF507" s="77"/>
      <c r="DG507" s="77"/>
      <c r="DH507" s="77"/>
      <c r="DI507" s="77"/>
      <c r="DJ507" s="77"/>
      <c r="DK507" s="77"/>
      <c r="DL507" s="77"/>
      <c r="DM507" s="77"/>
      <c r="DN507" s="77"/>
      <c r="DO507" s="77"/>
      <c r="DP507" s="77"/>
      <c r="DQ507" s="77"/>
      <c r="DR507" s="77"/>
      <c r="DS507" s="77"/>
      <c r="DT507" s="77"/>
      <c r="DU507" s="77"/>
      <c r="DV507" s="77"/>
      <c r="DW507" s="77"/>
      <c r="DX507" s="77"/>
      <c r="DY507" s="77"/>
      <c r="DZ507" s="77"/>
      <c r="EA507" s="77"/>
      <c r="EB507" s="77"/>
      <c r="EC507" s="77"/>
      <c r="ED507" s="77"/>
      <c r="EE507" s="77"/>
      <c r="EF507" s="77"/>
      <c r="EG507" s="77"/>
      <c r="EH507" s="77"/>
      <c r="EI507" s="77"/>
      <c r="EJ507" s="77"/>
      <c r="EK507" s="77"/>
      <c r="EL507" s="77"/>
      <c r="EM507" s="77"/>
      <c r="EN507" s="77"/>
      <c r="EO507" s="77"/>
      <c r="EP507" s="77"/>
      <c r="EQ507" s="77"/>
      <c r="ER507" s="77"/>
      <c r="ES507" s="77"/>
      <c r="ET507" s="77"/>
      <c r="EU507" s="77"/>
      <c r="EV507" s="77"/>
      <c r="EW507" s="77"/>
      <c r="EX507" s="77"/>
      <c r="EY507" s="77"/>
      <c r="EZ507" s="77"/>
      <c r="FA507" s="77"/>
      <c r="FB507" s="77"/>
      <c r="FC507" s="77"/>
      <c r="FD507" s="77"/>
      <c r="FE507" s="77"/>
      <c r="FF507" s="77"/>
      <c r="FG507" s="77"/>
      <c r="FH507" s="77"/>
      <c r="FI507" s="77"/>
      <c r="FJ507" s="77"/>
      <c r="FK507" s="77"/>
      <c r="FL507" s="77"/>
      <c r="FM507" s="77"/>
      <c r="FN507" s="77"/>
      <c r="FO507" s="77"/>
      <c r="FP507" s="77"/>
      <c r="FQ507" s="77"/>
      <c r="FR507" s="77"/>
      <c r="FS507" s="77"/>
      <c r="FT507" s="77"/>
      <c r="FU507" s="77"/>
      <c r="FV507" s="77"/>
      <c r="FW507" s="77"/>
      <c r="FX507" s="77"/>
      <c r="FY507" s="77"/>
      <c r="FZ507" s="77"/>
      <c r="GA507" s="77"/>
      <c r="GB507" s="77"/>
      <c r="GC507" s="77"/>
      <c r="GD507" s="77"/>
      <c r="GE507" s="77"/>
      <c r="GF507" s="77"/>
      <c r="GG507" s="77"/>
      <c r="GH507" s="77"/>
      <c r="GI507" s="77"/>
      <c r="GJ507" s="77"/>
      <c r="GK507" s="77"/>
      <c r="GL507" s="77"/>
      <c r="GM507" s="77"/>
      <c r="GN507" s="77"/>
      <c r="GO507" s="77"/>
      <c r="GP507" s="77"/>
      <c r="GQ507" s="77"/>
      <c r="GR507" s="77"/>
      <c r="GS507" s="77"/>
      <c r="GT507" s="77"/>
      <c r="GU507" s="77"/>
      <c r="GV507" s="77"/>
      <c r="GW507" s="77"/>
      <c r="GX507" s="77"/>
      <c r="GY507" s="77"/>
      <c r="GZ507" s="77"/>
      <c r="HA507" s="77"/>
      <c r="HB507" s="77"/>
      <c r="HC507" s="77"/>
      <c r="HD507" s="77"/>
      <c r="HE507" s="77"/>
      <c r="HF507" s="77"/>
      <c r="HG507" s="77"/>
      <c r="HH507" s="77"/>
      <c r="HI507" s="77"/>
      <c r="HJ507" s="77"/>
      <c r="HK507" s="77"/>
      <c r="HL507" s="77"/>
      <c r="HM507" s="77"/>
      <c r="HN507" s="77"/>
      <c r="HO507" s="77"/>
      <c r="HP507" s="77"/>
      <c r="HQ507" s="77"/>
      <c r="HR507" s="77"/>
      <c r="HS507" s="77"/>
      <c r="HT507" s="77"/>
      <c r="HU507" s="77"/>
      <c r="HV507" s="77"/>
      <c r="HW507" s="77"/>
      <c r="HX507" s="77"/>
      <c r="HY507" s="77"/>
      <c r="HZ507" s="77"/>
      <c r="IA507" s="77"/>
      <c r="IB507" s="77"/>
      <c r="IC507" s="77"/>
      <c r="ID507" s="77"/>
      <c r="IE507" s="77"/>
      <c r="IF507" s="77"/>
      <c r="IG507" s="77"/>
      <c r="IH507" s="77"/>
      <c r="II507" s="77"/>
      <c r="IJ507" s="77"/>
      <c r="IK507" s="77"/>
      <c r="IL507" s="77"/>
      <c r="IM507" s="77"/>
      <c r="IN507" s="77"/>
      <c r="IO507" s="77"/>
      <c r="IP507" s="77"/>
      <c r="IQ507" s="77"/>
      <c r="IR507" s="77"/>
      <c r="IS507" s="77"/>
      <c r="IT507" s="77"/>
      <c r="IU507" s="77"/>
      <c r="IV507" s="77"/>
      <c r="IW507" s="77"/>
      <c r="IX507" s="77"/>
      <c r="IY507" s="77"/>
      <c r="IZ507" s="77"/>
      <c r="JA507" s="77"/>
      <c r="JB507" s="77"/>
      <c r="JC507" s="77"/>
      <c r="JD507" s="77"/>
      <c r="JE507" s="77"/>
      <c r="JF507" s="77"/>
      <c r="JG507" s="77"/>
      <c r="JH507" s="77"/>
      <c r="JI507" s="77"/>
      <c r="JJ507" s="77"/>
      <c r="JK507" s="77"/>
      <c r="JL507" s="77"/>
      <c r="JM507" s="77"/>
      <c r="JN507" s="77"/>
      <c r="JO507" s="77"/>
      <c r="JP507" s="77"/>
      <c r="JQ507" s="77"/>
      <c r="JR507" s="77"/>
      <c r="JS507" s="77"/>
      <c r="JT507" s="77"/>
      <c r="JU507" s="77"/>
      <c r="JV507" s="77"/>
      <c r="JW507" s="77"/>
      <c r="JX507" s="77"/>
      <c r="JY507" s="77"/>
      <c r="JZ507" s="77"/>
      <c r="KA507" s="77"/>
      <c r="KB507" s="77"/>
      <c r="KC507" s="77"/>
      <c r="KD507" s="77"/>
      <c r="KE507" s="77"/>
      <c r="KF507" s="77"/>
      <c r="KG507" s="77"/>
      <c r="KH507" s="77"/>
      <c r="KI507" s="77"/>
      <c r="KJ507" s="77"/>
      <c r="KK507" s="77"/>
      <c r="KL507" s="77"/>
      <c r="KM507" s="77"/>
      <c r="KN507" s="77"/>
      <c r="KO507" s="77"/>
      <c r="KP507" s="77"/>
      <c r="KQ507" s="77"/>
      <c r="KR507" s="77"/>
      <c r="KS507" s="77"/>
      <c r="KT507" s="77"/>
      <c r="KU507" s="77"/>
      <c r="KV507" s="77"/>
      <c r="KW507" s="77"/>
      <c r="KX507" s="77"/>
      <c r="KY507" s="77"/>
      <c r="KZ507" s="77"/>
      <c r="LA507" s="77"/>
      <c r="LB507" s="77"/>
      <c r="LC507" s="77"/>
      <c r="LD507" s="77"/>
      <c r="LE507" s="77"/>
      <c r="LF507" s="77"/>
      <c r="LG507" s="77"/>
      <c r="LH507" s="77"/>
      <c r="LI507" s="77"/>
      <c r="LJ507" s="77"/>
      <c r="LK507" s="77"/>
    </row>
    <row r="508" spans="1:421" s="21" customFormat="1" ht="18.600000000000001" customHeight="1" x14ac:dyDescent="0.25">
      <c r="A508" s="119" t="s">
        <v>232</v>
      </c>
      <c r="B508" s="27" t="s">
        <v>1528</v>
      </c>
      <c r="C508" s="27" t="s">
        <v>4150</v>
      </c>
      <c r="D508" s="33" t="s">
        <v>3015</v>
      </c>
      <c r="E508" s="34" t="s">
        <v>1446</v>
      </c>
      <c r="F508" s="42" t="s">
        <v>154</v>
      </c>
      <c r="G508" s="42" t="s">
        <v>230</v>
      </c>
      <c r="H508" s="42" t="s">
        <v>795</v>
      </c>
      <c r="I508" s="42" t="s">
        <v>782</v>
      </c>
      <c r="J508" s="27" t="s">
        <v>789</v>
      </c>
      <c r="K508" s="42" t="s">
        <v>777</v>
      </c>
      <c r="L508" s="42" t="s">
        <v>771</v>
      </c>
      <c r="M508" s="42" t="s">
        <v>770</v>
      </c>
      <c r="N508" s="34" t="s">
        <v>1447</v>
      </c>
      <c r="O508" s="27" t="s">
        <v>5972</v>
      </c>
      <c r="P508" s="80">
        <v>47</v>
      </c>
      <c r="Q508" s="80">
        <v>11</v>
      </c>
      <c r="R508" s="27" t="s">
        <v>2995</v>
      </c>
      <c r="S508" s="101" t="s">
        <v>1448</v>
      </c>
      <c r="T508" s="14" t="s">
        <v>771</v>
      </c>
      <c r="U508" s="14" t="s">
        <v>771</v>
      </c>
      <c r="V508" s="14" t="s">
        <v>771</v>
      </c>
      <c r="W508" s="42"/>
      <c r="X508" s="27" t="s">
        <v>232</v>
      </c>
      <c r="Y508" s="27" t="s">
        <v>1528</v>
      </c>
      <c r="Z508" s="80">
        <v>690</v>
      </c>
      <c r="AA508" s="27">
        <v>3</v>
      </c>
      <c r="AB508" s="80">
        <v>871</v>
      </c>
      <c r="AC508" s="27">
        <v>41</v>
      </c>
      <c r="AD508" s="27" t="s">
        <v>4151</v>
      </c>
      <c r="AE508" s="27">
        <v>3246908160</v>
      </c>
      <c r="AF508" s="27" t="s">
        <v>4150</v>
      </c>
      <c r="AG508" s="27" t="s">
        <v>6429</v>
      </c>
      <c r="AH508" s="79">
        <v>2.1495327102803699</v>
      </c>
      <c r="AI508" s="83">
        <v>4.8591549295774596</v>
      </c>
      <c r="AJ508" s="80">
        <v>1.5832083958020999</v>
      </c>
      <c r="AK508" s="80">
        <v>0.72413793103448298</v>
      </c>
      <c r="AL508" s="27">
        <v>45</v>
      </c>
      <c r="AM508" s="97">
        <f>SUM(AL508/Z508)</f>
        <v>6.5217391304347824E-2</v>
      </c>
      <c r="AN508" s="27" t="s">
        <v>232</v>
      </c>
      <c r="AO508" s="27">
        <v>0</v>
      </c>
      <c r="AP508" s="27">
        <v>11</v>
      </c>
      <c r="AQ508" s="27">
        <v>1</v>
      </c>
      <c r="AR508" s="27">
        <f>SUM(AO508:AQ508)</f>
        <v>12</v>
      </c>
      <c r="AS508" s="27"/>
      <c r="AT508" s="27" t="s">
        <v>5343</v>
      </c>
      <c r="AU508" s="84" t="s">
        <v>231</v>
      </c>
      <c r="AV508" s="77"/>
      <c r="AW508" s="77"/>
      <c r="AX508" s="77"/>
      <c r="AY508" s="77"/>
      <c r="AZ508" s="77"/>
      <c r="BA508" s="77"/>
      <c r="BB508" s="77"/>
      <c r="BC508" s="77"/>
      <c r="BD508" s="77"/>
      <c r="BE508" s="77"/>
      <c r="BF508" s="77"/>
      <c r="BG508" s="77"/>
      <c r="BH508" s="77"/>
      <c r="BI508" s="77"/>
      <c r="BJ508" s="77"/>
      <c r="BK508" s="77"/>
      <c r="BL508" s="77"/>
      <c r="BM508" s="77"/>
      <c r="BN508" s="77"/>
      <c r="BO508" s="77"/>
      <c r="BP508" s="77"/>
      <c r="BQ508" s="77"/>
      <c r="BR508" s="77"/>
      <c r="BS508" s="77"/>
      <c r="BT508" s="77"/>
      <c r="BU508" s="77"/>
      <c r="BV508" s="77"/>
      <c r="BW508" s="77"/>
      <c r="BX508" s="77"/>
      <c r="BY508" s="77"/>
      <c r="BZ508" s="77"/>
      <c r="CA508" s="77"/>
      <c r="CB508" s="77"/>
      <c r="CC508" s="77"/>
      <c r="CD508" s="77"/>
      <c r="CE508" s="77"/>
      <c r="CF508" s="77"/>
      <c r="CG508" s="77"/>
      <c r="CH508" s="77"/>
      <c r="CI508" s="77"/>
      <c r="CJ508" s="77"/>
      <c r="CK508" s="77"/>
      <c r="CL508" s="77"/>
      <c r="CM508" s="77"/>
      <c r="CN508" s="77"/>
      <c r="CO508" s="77"/>
      <c r="CP508" s="77"/>
      <c r="CQ508" s="77"/>
      <c r="CR508" s="77"/>
      <c r="CS508" s="77"/>
      <c r="CT508" s="77"/>
      <c r="CU508" s="77"/>
      <c r="CV508" s="77"/>
      <c r="CW508" s="77"/>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77"/>
      <c r="EN508" s="77"/>
      <c r="EO508" s="77"/>
      <c r="EP508" s="77"/>
      <c r="EQ508" s="77"/>
      <c r="ER508" s="77"/>
      <c r="ES508" s="77"/>
      <c r="ET508" s="77"/>
      <c r="EU508" s="77"/>
      <c r="EV508" s="77"/>
      <c r="EW508" s="77"/>
      <c r="EX508" s="77"/>
      <c r="EY508" s="77"/>
      <c r="EZ508" s="77"/>
      <c r="FA508" s="77"/>
      <c r="FB508" s="77"/>
      <c r="FC508" s="77"/>
      <c r="FD508" s="77"/>
      <c r="FE508" s="77"/>
      <c r="FF508" s="77"/>
      <c r="FG508" s="77"/>
      <c r="FH508" s="77"/>
      <c r="FI508" s="77"/>
      <c r="FJ508" s="77"/>
      <c r="FK508" s="77"/>
      <c r="FL508" s="77"/>
      <c r="FM508" s="77"/>
      <c r="FN508" s="77"/>
      <c r="FO508" s="77"/>
      <c r="FP508" s="77"/>
      <c r="FQ508" s="77"/>
      <c r="FR508" s="77"/>
      <c r="FS508" s="77"/>
      <c r="FT508" s="77"/>
      <c r="FU508" s="77"/>
      <c r="FV508" s="77"/>
      <c r="FW508" s="77"/>
      <c r="FX508" s="77"/>
      <c r="FY508" s="77"/>
      <c r="FZ508" s="77"/>
      <c r="GA508" s="77"/>
      <c r="GB508" s="77"/>
      <c r="GC508" s="77"/>
      <c r="GD508" s="77"/>
      <c r="GE508" s="77"/>
      <c r="GF508" s="77"/>
      <c r="GG508" s="77"/>
      <c r="GH508" s="77"/>
      <c r="GI508" s="77"/>
      <c r="GJ508" s="77"/>
      <c r="GK508" s="77"/>
      <c r="GL508" s="77"/>
      <c r="GM508" s="77"/>
      <c r="GN508" s="77"/>
      <c r="GO508" s="77"/>
      <c r="GP508" s="77"/>
      <c r="GQ508" s="77"/>
      <c r="GR508" s="77"/>
      <c r="GS508" s="77"/>
      <c r="GT508" s="77"/>
      <c r="GU508" s="77"/>
      <c r="GV508" s="77"/>
      <c r="GW508" s="77"/>
      <c r="GX508" s="77"/>
      <c r="GY508" s="77"/>
      <c r="GZ508" s="77"/>
      <c r="HA508" s="77"/>
      <c r="HB508" s="77"/>
      <c r="HC508" s="77"/>
      <c r="HD508" s="77"/>
      <c r="HE508" s="77"/>
      <c r="HF508" s="77"/>
      <c r="HG508" s="77"/>
      <c r="HH508" s="77"/>
      <c r="HI508" s="77"/>
      <c r="HJ508" s="77"/>
      <c r="HK508" s="77"/>
      <c r="ID508" s="77"/>
      <c r="IE508" s="77"/>
      <c r="IF508" s="77"/>
      <c r="IG508" s="77"/>
      <c r="IH508" s="77"/>
      <c r="II508" s="77"/>
      <c r="IJ508" s="77"/>
      <c r="IK508" s="77"/>
      <c r="IL508" s="77"/>
      <c r="IM508" s="77"/>
      <c r="IN508" s="77"/>
      <c r="IO508" s="77"/>
      <c r="IP508" s="77"/>
      <c r="IQ508" s="77"/>
      <c r="IR508" s="77"/>
      <c r="IS508" s="77"/>
      <c r="IT508" s="77"/>
      <c r="IU508" s="77"/>
      <c r="IV508" s="77"/>
      <c r="IW508" s="77"/>
      <c r="IX508" s="77"/>
      <c r="IY508" s="77"/>
      <c r="IZ508" s="77"/>
      <c r="JA508" s="77"/>
      <c r="JB508" s="77"/>
      <c r="JC508" s="77"/>
      <c r="JD508" s="77"/>
      <c r="JE508" s="77"/>
      <c r="JF508" s="77"/>
      <c r="JG508" s="77"/>
      <c r="JH508" s="77"/>
      <c r="JI508" s="77"/>
      <c r="JJ508" s="77"/>
      <c r="JK508" s="77"/>
      <c r="JL508" s="77"/>
      <c r="JM508" s="77"/>
      <c r="JN508" s="77"/>
      <c r="JO508" s="77"/>
      <c r="JP508" s="77"/>
      <c r="JQ508" s="77"/>
      <c r="JR508" s="77"/>
      <c r="JS508" s="77"/>
      <c r="JT508" s="77"/>
      <c r="JU508" s="77"/>
      <c r="JV508" s="77"/>
      <c r="JW508" s="77"/>
      <c r="JX508" s="77"/>
      <c r="KM508" s="77"/>
      <c r="KN508" s="77"/>
      <c r="KO508" s="77"/>
      <c r="KP508" s="77"/>
      <c r="KQ508" s="77"/>
      <c r="KR508" s="77"/>
      <c r="KS508" s="77"/>
      <c r="KT508" s="77"/>
      <c r="KU508" s="77"/>
      <c r="KV508" s="77"/>
      <c r="KW508" s="77"/>
      <c r="KX508" s="77"/>
      <c r="KY508" s="77"/>
      <c r="KZ508" s="77"/>
      <c r="LA508" s="77"/>
      <c r="LB508" s="77"/>
      <c r="LC508" s="77"/>
      <c r="LD508" s="77"/>
      <c r="LE508" s="77"/>
      <c r="LF508" s="77"/>
      <c r="LG508" s="77"/>
      <c r="LH508" s="77"/>
      <c r="LI508" s="77"/>
      <c r="LJ508" s="77"/>
      <c r="LK508" s="77"/>
      <c r="LW508" s="77"/>
      <c r="LX508" s="77"/>
      <c r="MS508" s="77"/>
    </row>
    <row r="509" spans="1:421" s="77" customFormat="1" ht="18.600000000000001" customHeight="1" x14ac:dyDescent="0.25">
      <c r="A509" s="119" t="s">
        <v>446</v>
      </c>
      <c r="B509" s="27" t="s">
        <v>2030</v>
      </c>
      <c r="C509" s="27" t="s">
        <v>2031</v>
      </c>
      <c r="D509" s="30" t="str">
        <f>HYPERLINK("https://twitter.com/CourGrandDucale","https://twitter.com/CourGrandDucale")</f>
        <v>https://twitter.com/CourGrandDucale</v>
      </c>
      <c r="E509" s="30" t="str">
        <f>HYPERLINK("http://twiplomacy.com/info/europe/Luxembourg","http://twiplomacy.com/info/europe/Luxembourg")</f>
        <v>http://twiplomacy.com/info/europe/Luxembourg</v>
      </c>
      <c r="F509" s="10" t="s">
        <v>332</v>
      </c>
      <c r="G509" s="10" t="s">
        <v>445</v>
      </c>
      <c r="H509" s="10" t="s">
        <v>2032</v>
      </c>
      <c r="I509" s="10" t="s">
        <v>782</v>
      </c>
      <c r="J509" s="27" t="s">
        <v>789</v>
      </c>
      <c r="K509" s="15" t="s">
        <v>777</v>
      </c>
      <c r="L509" s="10" t="s">
        <v>771</v>
      </c>
      <c r="M509" s="10" t="s">
        <v>771</v>
      </c>
      <c r="N509" s="30" t="str">
        <f>HYPERLINK("https://twitter.com/CourGrandDucale/statuses/26657558608","https://twitter.com/CourGrandDucale/statuses/26657558608")</f>
        <v>https://twitter.com/CourGrandDucale/statuses/26657558608</v>
      </c>
      <c r="O509" s="27" t="s">
        <v>5785</v>
      </c>
      <c r="P509" s="80">
        <v>251</v>
      </c>
      <c r="Q509" s="80">
        <v>148</v>
      </c>
      <c r="R509" s="27" t="s">
        <v>2994</v>
      </c>
      <c r="S509" s="10" t="s">
        <v>2033</v>
      </c>
      <c r="T509" s="10" t="s">
        <v>771</v>
      </c>
      <c r="U509" s="10" t="s">
        <v>771</v>
      </c>
      <c r="V509" s="10" t="s">
        <v>771</v>
      </c>
      <c r="W509" s="10"/>
      <c r="X509" s="27" t="s">
        <v>446</v>
      </c>
      <c r="Y509" s="27" t="s">
        <v>2030</v>
      </c>
      <c r="Z509" s="80">
        <v>673</v>
      </c>
      <c r="AA509" s="27">
        <v>12</v>
      </c>
      <c r="AB509" s="80">
        <v>8302</v>
      </c>
      <c r="AC509" s="27">
        <v>36</v>
      </c>
      <c r="AD509" s="27" t="s">
        <v>3592</v>
      </c>
      <c r="AE509" s="27">
        <v>190261116</v>
      </c>
      <c r="AF509" s="27" t="s">
        <v>2031</v>
      </c>
      <c r="AG509" s="27" t="s">
        <v>445</v>
      </c>
      <c r="AH509" s="79">
        <v>0.32701652089407202</v>
      </c>
      <c r="AI509" s="83">
        <v>0.33989898989898998</v>
      </c>
      <c r="AJ509" s="80">
        <v>3.5246710526315801</v>
      </c>
      <c r="AK509" s="80">
        <v>2.3519736842105301</v>
      </c>
      <c r="AL509" s="27">
        <v>15</v>
      </c>
      <c r="AM509" s="97">
        <f>SUM(AL509/Z509)</f>
        <v>2.2288261515601784E-2</v>
      </c>
      <c r="AN509" s="27" t="s">
        <v>446</v>
      </c>
      <c r="AO509" s="27">
        <v>5</v>
      </c>
      <c r="AP509" s="27">
        <v>4</v>
      </c>
      <c r="AQ509" s="27">
        <v>2</v>
      </c>
      <c r="AR509" s="27">
        <f>SUM(AO509:AQ509)</f>
        <v>11</v>
      </c>
      <c r="AS509" s="27" t="s">
        <v>6204</v>
      </c>
      <c r="AT509" s="27" t="s">
        <v>6691</v>
      </c>
      <c r="AU509" s="84" t="s">
        <v>4684</v>
      </c>
      <c r="IF509" s="16"/>
      <c r="IG509" s="16"/>
      <c r="IH509" s="16"/>
      <c r="II509" s="16"/>
      <c r="IJ509" s="16"/>
      <c r="IK509" s="16"/>
      <c r="IL509" s="16"/>
      <c r="IM509" s="16"/>
      <c r="IN509" s="16"/>
      <c r="IO509" s="16"/>
      <c r="IP509" s="16"/>
      <c r="IQ509" s="16"/>
      <c r="IR509" s="16"/>
      <c r="IS509" s="16"/>
      <c r="IT509" s="16"/>
      <c r="IU509" s="16"/>
      <c r="IV509" s="16"/>
      <c r="IW509" s="16"/>
      <c r="IX509" s="16"/>
      <c r="IY509" s="16"/>
      <c r="IZ509" s="16"/>
      <c r="JA509" s="16"/>
      <c r="JB509" s="16"/>
      <c r="JC509" s="16"/>
      <c r="JD509" s="16"/>
      <c r="JE509" s="16"/>
      <c r="JF509" s="16"/>
      <c r="JG509" s="16"/>
      <c r="JH509" s="16"/>
      <c r="JI509" s="16"/>
      <c r="JJ509" s="16"/>
      <c r="JK509" s="16"/>
      <c r="JL509" s="16"/>
      <c r="JM509" s="16"/>
      <c r="JN509" s="16"/>
      <c r="JO509" s="16"/>
      <c r="JP509" s="16"/>
      <c r="JQ509" s="16"/>
      <c r="JR509" s="16"/>
      <c r="JS509" s="16"/>
      <c r="JT509" s="16"/>
      <c r="JU509" s="16"/>
      <c r="JV509" s="16"/>
      <c r="JW509" s="16"/>
      <c r="JX509" s="16"/>
    </row>
    <row r="510" spans="1:421" s="21" customFormat="1" ht="18.600000000000001" customHeight="1" x14ac:dyDescent="0.25">
      <c r="A510" s="119" t="s">
        <v>1373</v>
      </c>
      <c r="B510" s="27" t="s">
        <v>1374</v>
      </c>
      <c r="C510" s="27" t="s">
        <v>1375</v>
      </c>
      <c r="D510" s="30" t="str">
        <f>HYPERLINK("https://twitter.com/JapanGov","https://twitter.com/JapanGov")</f>
        <v>https://twitter.com/JapanGov</v>
      </c>
      <c r="E510" s="30" t="str">
        <f>HYPERLINK("http://twiplomacy.com/info/asia/japan/","http://twiplomacy.com/info/asia/japan/")</f>
        <v>http://twiplomacy.com/info/asia/japan/</v>
      </c>
      <c r="F510" s="10" t="s">
        <v>154</v>
      </c>
      <c r="G510" s="10" t="s">
        <v>213</v>
      </c>
      <c r="H510" s="10" t="s">
        <v>788</v>
      </c>
      <c r="I510" s="10" t="s">
        <v>782</v>
      </c>
      <c r="J510" s="27" t="s">
        <v>1382</v>
      </c>
      <c r="K510" s="15" t="s">
        <v>777</v>
      </c>
      <c r="L510" s="10" t="s">
        <v>771</v>
      </c>
      <c r="M510" s="10" t="s">
        <v>770</v>
      </c>
      <c r="N510" s="30" t="str">
        <f>HYPERLINK("https://twitter.com/JapanGov/statuses/459637747490111488","https://twitter.com/JapanGov/statuses/459637747490111488")</f>
        <v>https://twitter.com/JapanGov/statuses/459637747490111488</v>
      </c>
      <c r="O510" s="27" t="s">
        <v>1376</v>
      </c>
      <c r="P510" s="80">
        <v>1491</v>
      </c>
      <c r="Q510" s="80">
        <v>2139</v>
      </c>
      <c r="R510" s="27" t="s">
        <v>2994</v>
      </c>
      <c r="S510" s="30" t="str">
        <f>HYPERLINK("https://twitter.com/JapanGov/lists","https://twitter.com/JapanGov/lists")</f>
        <v>https://twitter.com/JapanGov/lists</v>
      </c>
      <c r="T510" s="10" t="s">
        <v>771</v>
      </c>
      <c r="U510" s="10" t="s">
        <v>771</v>
      </c>
      <c r="V510" s="10" t="s">
        <v>771</v>
      </c>
      <c r="W510" s="10"/>
      <c r="X510" s="27" t="s">
        <v>1373</v>
      </c>
      <c r="Y510" s="27" t="s">
        <v>1374</v>
      </c>
      <c r="Z510" s="80">
        <v>671</v>
      </c>
      <c r="AA510" s="27">
        <v>48</v>
      </c>
      <c r="AB510" s="80">
        <v>119860</v>
      </c>
      <c r="AC510" s="27">
        <v>1</v>
      </c>
      <c r="AD510" s="27" t="s">
        <v>3879</v>
      </c>
      <c r="AE510" s="27">
        <v>2428796856</v>
      </c>
      <c r="AF510" s="27" t="s">
        <v>1375</v>
      </c>
      <c r="AG510" s="27"/>
      <c r="AH510" s="79">
        <v>0.885224274406332</v>
      </c>
      <c r="AI510" s="83">
        <v>0.91292517006802698</v>
      </c>
      <c r="AJ510" s="80">
        <v>29.0635208711434</v>
      </c>
      <c r="AK510" s="80">
        <v>35.457350272232297</v>
      </c>
      <c r="AL510" s="27">
        <v>5</v>
      </c>
      <c r="AM510" s="97">
        <f>SUM(AL510/Z510)</f>
        <v>7.4515648286140089E-3</v>
      </c>
      <c r="AN510" s="27" t="s">
        <v>1373</v>
      </c>
      <c r="AO510" s="27">
        <v>1</v>
      </c>
      <c r="AP510" s="27">
        <v>17</v>
      </c>
      <c r="AQ510" s="27">
        <v>11</v>
      </c>
      <c r="AR510" s="27">
        <f>SUM(AO510:AQ510)</f>
        <v>29</v>
      </c>
      <c r="AS510" s="27" t="s">
        <v>680</v>
      </c>
      <c r="AT510" s="27" t="s">
        <v>6755</v>
      </c>
      <c r="AU510" s="84" t="s">
        <v>4774</v>
      </c>
      <c r="AV510" s="77"/>
      <c r="AW510" s="77"/>
      <c r="AX510" s="77"/>
      <c r="AY510" s="77"/>
      <c r="AZ510" s="77"/>
      <c r="BA510" s="77"/>
      <c r="BB510" s="77"/>
      <c r="BC510" s="77"/>
      <c r="BD510" s="77"/>
      <c r="BE510" s="77"/>
      <c r="BF510" s="77"/>
      <c r="BG510" s="77"/>
      <c r="BH510" s="77"/>
      <c r="BI510" s="77"/>
      <c r="BJ510" s="77"/>
      <c r="BK510" s="77"/>
      <c r="BL510" s="77"/>
      <c r="BM510" s="16"/>
      <c r="BN510" s="77"/>
      <c r="BO510" s="77"/>
      <c r="BP510" s="77"/>
      <c r="BQ510" s="77"/>
      <c r="BR510" s="77"/>
      <c r="BS510" s="77"/>
      <c r="BT510" s="77"/>
      <c r="BU510" s="77"/>
      <c r="BV510" s="77"/>
      <c r="BW510" s="77"/>
      <c r="BX510" s="77"/>
      <c r="BY510" s="77"/>
      <c r="BZ510" s="77"/>
      <c r="CA510" s="77"/>
      <c r="CB510" s="77"/>
      <c r="CC510" s="77"/>
      <c r="CD510" s="77"/>
      <c r="CE510" s="77"/>
      <c r="CF510" s="77"/>
      <c r="CG510" s="77"/>
      <c r="CH510" s="77"/>
      <c r="CI510" s="77"/>
      <c r="CJ510" s="77"/>
      <c r="CK510" s="77"/>
      <c r="CL510" s="77"/>
      <c r="CM510" s="77"/>
      <c r="CN510" s="77"/>
      <c r="CO510" s="77"/>
      <c r="CP510" s="77"/>
      <c r="CQ510" s="77"/>
      <c r="CR510" s="77"/>
      <c r="CS510" s="77"/>
      <c r="CT510" s="77"/>
      <c r="CU510" s="77"/>
      <c r="CV510" s="77"/>
      <c r="CW510" s="77"/>
      <c r="CX510" s="77"/>
      <c r="CY510" s="77"/>
      <c r="CZ510" s="77"/>
      <c r="DA510" s="77"/>
      <c r="DB510" s="77"/>
      <c r="DC510" s="77"/>
      <c r="DD510" s="77"/>
      <c r="DE510" s="77"/>
      <c r="DF510" s="77"/>
      <c r="DG510" s="77"/>
      <c r="DH510" s="77"/>
      <c r="DI510" s="77"/>
      <c r="DJ510" s="77"/>
      <c r="DK510" s="77"/>
      <c r="DL510" s="77"/>
      <c r="DM510" s="77"/>
      <c r="DN510" s="77"/>
      <c r="DO510" s="77"/>
      <c r="DP510" s="77"/>
      <c r="DQ510" s="77"/>
      <c r="DR510" s="77"/>
      <c r="DS510" s="77"/>
      <c r="DT510" s="77"/>
      <c r="DU510" s="77"/>
      <c r="DV510" s="77"/>
      <c r="DW510" s="77"/>
      <c r="DX510" s="77"/>
      <c r="DY510" s="77"/>
      <c r="DZ510" s="77"/>
      <c r="EA510" s="77"/>
      <c r="EB510" s="77"/>
      <c r="EC510" s="77"/>
      <c r="ED510" s="77"/>
      <c r="EE510" s="77"/>
      <c r="EF510" s="77"/>
      <c r="EG510" s="77"/>
      <c r="EH510" s="77"/>
      <c r="EI510" s="77"/>
      <c r="EJ510" s="77"/>
      <c r="EK510" s="77"/>
      <c r="EL510" s="77"/>
      <c r="EP510" s="77"/>
      <c r="EQ510" s="77"/>
      <c r="GL510" s="77"/>
      <c r="GM510" s="77"/>
      <c r="GN510" s="77"/>
      <c r="GO510" s="77"/>
      <c r="GP510" s="77"/>
      <c r="GQ510" s="77"/>
      <c r="GR510" s="77"/>
      <c r="GS510" s="77"/>
      <c r="GT510" s="77"/>
      <c r="GU510" s="77"/>
      <c r="GV510" s="77"/>
      <c r="GW510" s="77"/>
      <c r="GX510" s="77"/>
      <c r="GY510" s="77"/>
      <c r="GZ510" s="77"/>
      <c r="HA510" s="77"/>
      <c r="HB510" s="77"/>
      <c r="HC510" s="77"/>
      <c r="HD510" s="77"/>
      <c r="HE510" s="77"/>
      <c r="HF510" s="77"/>
      <c r="HG510" s="77"/>
      <c r="HH510" s="77"/>
      <c r="HI510" s="77"/>
      <c r="HJ510" s="77"/>
      <c r="HK510" s="77"/>
      <c r="ID510" s="77"/>
      <c r="IE510" s="77"/>
      <c r="JY510" s="77"/>
      <c r="JZ510" s="77"/>
      <c r="KA510" s="77"/>
      <c r="KB510" s="77"/>
      <c r="KC510" s="77"/>
      <c r="KD510" s="77"/>
      <c r="KE510" s="77"/>
      <c r="KF510" s="77"/>
      <c r="KG510" s="77"/>
      <c r="KH510" s="77"/>
      <c r="KI510" s="77"/>
      <c r="KJ510" s="77"/>
      <c r="KK510" s="77"/>
      <c r="KL510" s="77"/>
      <c r="KM510" s="77"/>
      <c r="KN510" s="77"/>
      <c r="KO510" s="77"/>
      <c r="KP510" s="77"/>
      <c r="KQ510" s="77"/>
      <c r="KR510" s="77"/>
      <c r="KS510" s="77"/>
      <c r="KT510" s="77"/>
      <c r="KU510" s="77"/>
      <c r="KV510" s="77"/>
      <c r="KW510" s="77"/>
      <c r="KX510" s="77"/>
      <c r="KY510" s="77"/>
      <c r="KZ510" s="77"/>
      <c r="LA510" s="77"/>
      <c r="LB510" s="77"/>
      <c r="LC510" s="77"/>
      <c r="LD510" s="77"/>
      <c r="LE510" s="77"/>
      <c r="LF510" s="77"/>
      <c r="LG510" s="77"/>
      <c r="LH510" s="77"/>
      <c r="LI510" s="77"/>
      <c r="LJ510" s="77"/>
      <c r="LK510" s="77"/>
      <c r="LL510" s="77"/>
      <c r="LM510" s="77"/>
      <c r="LN510" s="77"/>
      <c r="LO510" s="77"/>
      <c r="LP510" s="77"/>
      <c r="LQ510" s="77"/>
      <c r="LR510" s="77"/>
      <c r="LS510" s="77"/>
      <c r="LT510" s="77"/>
      <c r="LU510" s="77"/>
      <c r="LV510" s="77"/>
      <c r="LY510" s="77"/>
      <c r="LZ510" s="77"/>
      <c r="MA510" s="77"/>
      <c r="MB510" s="77"/>
      <c r="MC510" s="77"/>
      <c r="MD510" s="77"/>
      <c r="ME510" s="77"/>
      <c r="MF510" s="77"/>
      <c r="MG510" s="77"/>
      <c r="MH510" s="77"/>
      <c r="MI510" s="77"/>
      <c r="MJ510" s="77"/>
      <c r="MK510" s="77"/>
      <c r="ML510" s="77"/>
      <c r="MM510" s="77"/>
      <c r="MN510" s="77"/>
      <c r="MO510" s="77"/>
      <c r="MP510" s="77"/>
      <c r="MQ510" s="77"/>
      <c r="MR510" s="77"/>
      <c r="MS510" s="77"/>
    </row>
    <row r="511" spans="1:421" s="21" customFormat="1" ht="18.600000000000001" customHeight="1" x14ac:dyDescent="0.25">
      <c r="A511" s="119" t="s">
        <v>2375</v>
      </c>
      <c r="B511" s="27" t="s">
        <v>2376</v>
      </c>
      <c r="C511" s="27" t="s">
        <v>2377</v>
      </c>
      <c r="D511" s="30" t="str">
        <f>HYPERLINK("https://twitter.com/Pontifex_ln","https://twitter.com/Pontifex_ln")</f>
        <v>https://twitter.com/Pontifex_ln</v>
      </c>
      <c r="E511" s="30" t="str">
        <f>HYPERLINK("http://twiplomacy.com/info/europe/Vatican","http://twiplomacy.com/info/europe/Vatican")</f>
        <v>http://twiplomacy.com/info/europe/Vatican</v>
      </c>
      <c r="F511" s="10" t="s">
        <v>332</v>
      </c>
      <c r="G511" s="10" t="s">
        <v>719</v>
      </c>
      <c r="H511" s="10" t="s">
        <v>1313</v>
      </c>
      <c r="I511" s="10" t="s">
        <v>773</v>
      </c>
      <c r="J511" s="27" t="s">
        <v>1852</v>
      </c>
      <c r="K511" s="15" t="s">
        <v>777</v>
      </c>
      <c r="L511" s="10" t="s">
        <v>771</v>
      </c>
      <c r="M511" s="10" t="s">
        <v>770</v>
      </c>
      <c r="N511" s="30" t="str">
        <f>HYPERLINK("https://twitter.com/Pontifex_ln/statuses/313247631130374144","https://twitter.com/Pontifex_ln/statuses/313247631130374144")</f>
        <v>https://twitter.com/Pontifex_ln/statuses/313247631130374144</v>
      </c>
      <c r="O511" s="27" t="s">
        <v>2378</v>
      </c>
      <c r="P511" s="80">
        <v>745</v>
      </c>
      <c r="Q511" s="80">
        <v>428</v>
      </c>
      <c r="R511" s="27" t="s">
        <v>2994</v>
      </c>
      <c r="S511" s="10" t="s">
        <v>2379</v>
      </c>
      <c r="T511" s="10" t="s">
        <v>771</v>
      </c>
      <c r="U511" s="10" t="s">
        <v>771</v>
      </c>
      <c r="V511" s="10" t="s">
        <v>771</v>
      </c>
      <c r="W511" s="10"/>
      <c r="X511" s="27" t="s">
        <v>2375</v>
      </c>
      <c r="Y511" s="27" t="s">
        <v>2376</v>
      </c>
      <c r="Z511" s="80">
        <v>671</v>
      </c>
      <c r="AA511" s="27">
        <v>8</v>
      </c>
      <c r="AB511" s="80">
        <v>532424</v>
      </c>
      <c r="AC511" s="27">
        <v>0</v>
      </c>
      <c r="AD511" s="27" t="s">
        <v>4285</v>
      </c>
      <c r="AE511" s="27">
        <v>965704518</v>
      </c>
      <c r="AF511" s="27" t="s">
        <v>2377</v>
      </c>
      <c r="AG511" s="27" t="s">
        <v>2380</v>
      </c>
      <c r="AH511" s="79">
        <v>0.53423566878980899</v>
      </c>
      <c r="AI511" s="83">
        <v>0.58808063102541597</v>
      </c>
      <c r="AJ511" s="80">
        <v>104.824143070045</v>
      </c>
      <c r="AK511" s="80">
        <v>93.217585692995499</v>
      </c>
      <c r="AL511" s="13">
        <v>0</v>
      </c>
      <c r="AM511" s="97">
        <f>SUM(AL511/Z511)</f>
        <v>0</v>
      </c>
      <c r="AN511" s="27" t="s">
        <v>2375</v>
      </c>
      <c r="AO511" s="27">
        <v>0</v>
      </c>
      <c r="AP511" s="27">
        <v>6</v>
      </c>
      <c r="AQ511" s="27">
        <v>8</v>
      </c>
      <c r="AR511" s="27">
        <f>SUM(AO511:AQ511)</f>
        <v>14</v>
      </c>
      <c r="AS511" s="27"/>
      <c r="AT511" s="27" t="s">
        <v>6821</v>
      </c>
      <c r="AU511" s="84" t="s">
        <v>4901</v>
      </c>
      <c r="AV511" s="77"/>
      <c r="AW511" s="77"/>
      <c r="AX511" s="77"/>
      <c r="AY511" s="77"/>
      <c r="AZ511" s="77"/>
      <c r="BA511" s="77"/>
      <c r="BB511" s="77"/>
      <c r="BC511" s="77"/>
      <c r="BD511" s="77"/>
      <c r="BE511" s="77"/>
      <c r="BF511" s="77"/>
      <c r="BG511" s="77"/>
      <c r="BH511" s="77"/>
      <c r="BI511" s="77"/>
      <c r="BJ511" s="77"/>
      <c r="BK511" s="77"/>
      <c r="BL511" s="77"/>
      <c r="BM511" s="77"/>
      <c r="BN511" s="77"/>
      <c r="BO511" s="77"/>
      <c r="BP511" s="77"/>
      <c r="BQ511" s="77"/>
      <c r="BR511" s="77"/>
      <c r="BS511" s="77"/>
      <c r="BT511" s="77"/>
      <c r="BU511" s="77"/>
      <c r="BV511" s="77"/>
      <c r="BW511" s="77"/>
      <c r="BX511" s="77"/>
      <c r="BY511" s="77"/>
      <c r="BZ511" s="77"/>
      <c r="CA511" s="77"/>
      <c r="CB511" s="77"/>
      <c r="CC511" s="77"/>
      <c r="CD511" s="77"/>
      <c r="CE511" s="77"/>
      <c r="CF511" s="77"/>
      <c r="CG511" s="77"/>
      <c r="CH511" s="77"/>
      <c r="CI511" s="77"/>
      <c r="CJ511" s="77"/>
      <c r="CK511" s="77"/>
      <c r="CL511" s="77"/>
      <c r="CM511" s="77"/>
      <c r="CN511" s="77"/>
      <c r="CO511" s="77"/>
      <c r="CP511" s="77"/>
      <c r="CQ511" s="77"/>
      <c r="CR511" s="77"/>
      <c r="CS511" s="77"/>
      <c r="CT511" s="77"/>
      <c r="CU511" s="77"/>
      <c r="CV511" s="77"/>
      <c r="CW511" s="77"/>
      <c r="CX511" s="77"/>
      <c r="CY511" s="77"/>
      <c r="CZ511" s="77"/>
      <c r="DA511" s="77"/>
      <c r="DB511" s="77"/>
      <c r="DC511" s="77"/>
      <c r="DD511" s="77"/>
      <c r="DE511" s="77"/>
      <c r="DF511" s="77"/>
      <c r="DG511" s="77"/>
      <c r="DH511" s="77"/>
      <c r="DI511" s="77"/>
      <c r="DJ511" s="77"/>
      <c r="DK511" s="77"/>
      <c r="DL511" s="77"/>
      <c r="DM511" s="77"/>
      <c r="DN511" s="77"/>
      <c r="DO511" s="77"/>
      <c r="DP511" s="77"/>
      <c r="DQ511" s="77"/>
      <c r="DR511" s="77"/>
      <c r="DS511" s="77"/>
      <c r="DT511" s="77"/>
      <c r="DU511" s="77"/>
      <c r="DV511" s="77"/>
      <c r="DW511" s="77"/>
      <c r="DX511" s="77"/>
      <c r="DY511" s="77"/>
      <c r="DZ511" s="77"/>
      <c r="EA511" s="77"/>
      <c r="EB511" s="77"/>
      <c r="EC511" s="77"/>
      <c r="ED511" s="77"/>
      <c r="EE511" s="77"/>
      <c r="EF511" s="77"/>
      <c r="EG511" s="77"/>
      <c r="EH511" s="77"/>
      <c r="EI511" s="77"/>
      <c r="EJ511" s="77"/>
      <c r="EK511" s="77"/>
      <c r="EL511" s="77"/>
      <c r="EQ511" s="77"/>
      <c r="HL511" s="77"/>
      <c r="HM511" s="77"/>
      <c r="HN511" s="77"/>
      <c r="HO511" s="77"/>
      <c r="HP511" s="77"/>
      <c r="HQ511" s="77"/>
      <c r="HR511" s="77"/>
      <c r="HS511" s="77"/>
      <c r="HT511" s="77"/>
      <c r="HU511" s="77"/>
      <c r="HV511" s="77"/>
      <c r="HW511" s="77"/>
      <c r="HX511" s="77"/>
      <c r="HY511" s="77"/>
      <c r="HZ511" s="77"/>
      <c r="IA511" s="77"/>
      <c r="IB511" s="77"/>
      <c r="IC511" s="77"/>
      <c r="ID511" s="77"/>
      <c r="IE511" s="77"/>
      <c r="IF511" s="77"/>
      <c r="IG511" s="77"/>
      <c r="IH511" s="77"/>
      <c r="II511" s="77"/>
      <c r="IJ511" s="77"/>
      <c r="IK511" s="77"/>
      <c r="IL511" s="77"/>
      <c r="IM511" s="77"/>
      <c r="IN511" s="77"/>
      <c r="IO511" s="77"/>
      <c r="IP511" s="77"/>
      <c r="IQ511" s="77"/>
      <c r="IR511" s="77"/>
      <c r="IS511" s="77"/>
      <c r="IT511" s="77"/>
      <c r="IU511" s="77"/>
      <c r="IV511" s="77"/>
      <c r="IW511" s="77"/>
      <c r="IX511" s="77"/>
      <c r="IY511" s="77"/>
      <c r="IZ511" s="77"/>
      <c r="JA511" s="77"/>
      <c r="JB511" s="77"/>
      <c r="JC511" s="77"/>
      <c r="JD511" s="77"/>
      <c r="JE511" s="77"/>
      <c r="JF511" s="77"/>
      <c r="JG511" s="77"/>
      <c r="JH511" s="77"/>
      <c r="JI511" s="77"/>
      <c r="JJ511" s="77"/>
      <c r="JK511" s="77"/>
      <c r="JL511" s="77"/>
      <c r="JM511" s="77"/>
      <c r="JN511" s="77"/>
      <c r="JO511" s="77"/>
      <c r="JP511" s="77"/>
      <c r="JQ511" s="77"/>
      <c r="JR511" s="77"/>
      <c r="JS511" s="77"/>
      <c r="JT511" s="77"/>
      <c r="JU511" s="77"/>
      <c r="JV511" s="77"/>
      <c r="JW511" s="77"/>
      <c r="JX511" s="77"/>
      <c r="JY511" s="77"/>
      <c r="JZ511" s="77"/>
      <c r="KA511" s="77"/>
      <c r="KB511" s="77"/>
      <c r="KC511" s="77"/>
      <c r="KD511" s="77"/>
      <c r="KE511" s="77"/>
      <c r="KF511" s="77"/>
      <c r="KG511" s="77"/>
      <c r="KH511" s="77"/>
      <c r="KI511" s="77"/>
      <c r="KJ511" s="77"/>
      <c r="KK511" s="77"/>
      <c r="KL511" s="77"/>
      <c r="KM511" s="77"/>
      <c r="KN511" s="77"/>
      <c r="KO511" s="77"/>
      <c r="KP511" s="77"/>
      <c r="KQ511" s="77"/>
      <c r="KR511" s="77"/>
      <c r="KS511" s="77"/>
      <c r="KT511" s="77"/>
      <c r="KU511" s="77"/>
      <c r="KV511" s="77"/>
      <c r="KW511" s="77"/>
      <c r="KX511" s="77"/>
      <c r="KY511" s="77"/>
      <c r="KZ511" s="77"/>
      <c r="LA511" s="77"/>
      <c r="LB511" s="77"/>
      <c r="LC511" s="77"/>
      <c r="LD511" s="77"/>
      <c r="LE511" s="77"/>
      <c r="LF511" s="77"/>
      <c r="LG511" s="77"/>
      <c r="LH511" s="77"/>
      <c r="LI511" s="77"/>
      <c r="LJ511" s="77"/>
      <c r="LK511" s="77"/>
      <c r="MS511" s="77"/>
    </row>
    <row r="512" spans="1:421" s="21" customFormat="1" ht="18.600000000000001" customHeight="1" x14ac:dyDescent="0.25">
      <c r="A512" s="119" t="s">
        <v>106</v>
      </c>
      <c r="B512" s="27" t="s">
        <v>1063</v>
      </c>
      <c r="C512" s="27" t="s">
        <v>1064</v>
      </c>
      <c r="D512" s="30" t="str">
        <f>HYPERLINK("https://twitter.com/SeychellesMFA","https://twitter.com/SeychellesMFA")</f>
        <v>https://twitter.com/SeychellesMFA</v>
      </c>
      <c r="E512" s="30" t="str">
        <f>HYPERLINK("http://twiplomacy.com/info/africa/Seychelles","http://twiplomacy.com/info/africa/Seychelles")</f>
        <v>http://twiplomacy.com/info/africa/Seychelles</v>
      </c>
      <c r="F512" s="10" t="s">
        <v>1</v>
      </c>
      <c r="G512" s="10" t="s">
        <v>107</v>
      </c>
      <c r="H512" s="10" t="s">
        <v>795</v>
      </c>
      <c r="I512" s="10" t="s">
        <v>782</v>
      </c>
      <c r="J512" s="27" t="s">
        <v>789</v>
      </c>
      <c r="K512" s="15" t="s">
        <v>777</v>
      </c>
      <c r="L512" s="10" t="s">
        <v>771</v>
      </c>
      <c r="M512" s="10" t="s">
        <v>770</v>
      </c>
      <c r="N512" s="30" t="str">
        <f>HYPERLINK("https://twitter.com/SeychellesMFA/statuses/392976402678423553","https://twitter.com/SeychellesMFA/statuses/392976402678423553")</f>
        <v>https://twitter.com/SeychellesMFA/statuses/392976402678423553</v>
      </c>
      <c r="O512" s="27" t="s">
        <v>6090</v>
      </c>
      <c r="P512" s="80">
        <v>16</v>
      </c>
      <c r="Q512" s="80">
        <v>10</v>
      </c>
      <c r="R512" s="27" t="s">
        <v>2995</v>
      </c>
      <c r="S512" s="10" t="s">
        <v>1065</v>
      </c>
      <c r="T512" s="10" t="s">
        <v>771</v>
      </c>
      <c r="U512" s="10" t="s">
        <v>771</v>
      </c>
      <c r="V512" s="10" t="s">
        <v>771</v>
      </c>
      <c r="W512" s="10"/>
      <c r="X512" s="27" t="s">
        <v>106</v>
      </c>
      <c r="Y512" s="27" t="s">
        <v>1063</v>
      </c>
      <c r="Z512" s="80">
        <v>670</v>
      </c>
      <c r="AA512" s="27">
        <v>164</v>
      </c>
      <c r="AB512" s="80">
        <v>2845</v>
      </c>
      <c r="AC512" s="27">
        <v>6</v>
      </c>
      <c r="AD512" s="27" t="s">
        <v>4472</v>
      </c>
      <c r="AE512" s="27">
        <v>1964097110</v>
      </c>
      <c r="AF512" s="27" t="s">
        <v>1064</v>
      </c>
      <c r="AG512" s="27" t="s">
        <v>1066</v>
      </c>
      <c r="AH512" s="79">
        <v>0.72120559741657697</v>
      </c>
      <c r="AI512" s="83">
        <v>0.73144104803493404</v>
      </c>
      <c r="AJ512" s="80">
        <v>0.54803149606299195</v>
      </c>
      <c r="AK512" s="80">
        <v>0.35590551181102398</v>
      </c>
      <c r="AL512" s="27">
        <v>7</v>
      </c>
      <c r="AM512" s="97">
        <f>SUM(AL512/Z512)</f>
        <v>1.0447761194029851E-2</v>
      </c>
      <c r="AN512" s="27" t="s">
        <v>106</v>
      </c>
      <c r="AO512" s="27">
        <v>41</v>
      </c>
      <c r="AP512" s="27">
        <v>26</v>
      </c>
      <c r="AQ512" s="27">
        <v>24</v>
      </c>
      <c r="AR512" s="27">
        <f>SUM(AO512:AQ512)</f>
        <v>91</v>
      </c>
      <c r="AS512" s="27" t="s">
        <v>5632</v>
      </c>
      <c r="AT512" s="27" t="s">
        <v>6343</v>
      </c>
      <c r="AU512" s="84" t="s">
        <v>4951</v>
      </c>
      <c r="AV512" s="71"/>
      <c r="AW512" s="71"/>
      <c r="AX512" s="71"/>
      <c r="AY512" s="71"/>
      <c r="AZ512" s="71"/>
      <c r="BA512" s="71"/>
      <c r="BB512" s="71"/>
      <c r="BC512" s="71"/>
      <c r="BD512" s="71"/>
      <c r="BE512" s="71"/>
      <c r="BF512" s="71"/>
      <c r="BG512" s="71"/>
      <c r="BH512" s="71"/>
      <c r="BI512" s="71"/>
      <c r="BJ512" s="71"/>
      <c r="BK512" s="71"/>
      <c r="BL512" s="71"/>
      <c r="BM512" s="71"/>
      <c r="BN512" s="77"/>
      <c r="BO512" s="77"/>
      <c r="BP512" s="77"/>
      <c r="BQ512" s="77"/>
      <c r="BR512" s="77"/>
      <c r="BS512" s="77"/>
      <c r="BT512" s="77"/>
      <c r="BU512" s="77"/>
      <c r="BV512" s="77"/>
      <c r="BW512" s="77"/>
      <c r="BX512" s="77"/>
      <c r="BY512" s="77"/>
      <c r="BZ512" s="77"/>
      <c r="CA512" s="77"/>
      <c r="CB512" s="77"/>
      <c r="CC512" s="77"/>
      <c r="CD512" s="77"/>
      <c r="CE512" s="77"/>
      <c r="CF512" s="77"/>
      <c r="CG512" s="77"/>
      <c r="CH512" s="77"/>
      <c r="CI512" s="77"/>
      <c r="CJ512" s="77"/>
      <c r="CK512" s="77"/>
      <c r="CL512" s="77"/>
      <c r="CM512" s="77"/>
      <c r="CN512" s="77"/>
      <c r="CO512" s="77"/>
      <c r="CP512" s="77"/>
      <c r="CQ512" s="77"/>
      <c r="CR512" s="77"/>
      <c r="CS512" s="77"/>
      <c r="CT512" s="77"/>
      <c r="CU512" s="77"/>
      <c r="CV512" s="77"/>
      <c r="CW512" s="77"/>
      <c r="CX512" s="77"/>
      <c r="CY512" s="77"/>
      <c r="CZ512" s="77"/>
      <c r="DA512" s="77"/>
      <c r="DB512" s="77"/>
      <c r="DC512" s="77"/>
      <c r="DD512" s="77"/>
      <c r="DE512" s="77"/>
      <c r="DF512" s="77"/>
      <c r="DG512" s="77"/>
      <c r="DH512" s="77"/>
      <c r="DI512" s="77"/>
      <c r="DJ512" s="77"/>
      <c r="DK512" s="77"/>
      <c r="DL512" s="77"/>
      <c r="DM512" s="77"/>
      <c r="DN512" s="77"/>
      <c r="DO512" s="77"/>
      <c r="DP512" s="77"/>
      <c r="DQ512" s="77"/>
      <c r="DR512" s="77"/>
      <c r="DS512" s="77"/>
      <c r="DT512" s="77"/>
      <c r="DU512" s="77"/>
      <c r="DV512" s="77"/>
      <c r="DW512" s="77"/>
      <c r="DX512" s="77"/>
      <c r="DY512" s="77"/>
      <c r="DZ512" s="77"/>
      <c r="EA512" s="77"/>
      <c r="EB512" s="77"/>
      <c r="EC512" s="77"/>
      <c r="ED512" s="77"/>
      <c r="EE512" s="77"/>
      <c r="EF512" s="77"/>
      <c r="EG512" s="77"/>
      <c r="EH512" s="77"/>
      <c r="EI512" s="77"/>
      <c r="EJ512" s="77"/>
      <c r="EK512" s="77"/>
      <c r="EL512" s="77"/>
      <c r="EM512" s="77"/>
      <c r="EN512" s="77"/>
      <c r="EO512" s="77"/>
      <c r="EP512" s="77"/>
      <c r="EQ512" s="77"/>
      <c r="GL512" s="77"/>
      <c r="GM512" s="77"/>
      <c r="GN512" s="77"/>
      <c r="GO512" s="77"/>
      <c r="GP512" s="77"/>
      <c r="GQ512" s="77"/>
      <c r="GR512" s="77"/>
      <c r="GS512" s="77"/>
      <c r="GT512" s="77"/>
      <c r="GU512" s="77"/>
      <c r="GV512" s="77"/>
      <c r="GW512" s="77"/>
      <c r="GX512" s="77"/>
      <c r="GY512" s="77"/>
      <c r="GZ512" s="77"/>
      <c r="HA512" s="77"/>
      <c r="HB512" s="77"/>
      <c r="HC512" s="77"/>
      <c r="HD512" s="77"/>
      <c r="HE512" s="77"/>
      <c r="HF512" s="77"/>
      <c r="HG512" s="77"/>
      <c r="HH512" s="77"/>
      <c r="HI512" s="77"/>
      <c r="HJ512" s="77"/>
      <c r="HK512" s="77"/>
      <c r="HL512" s="77"/>
      <c r="HM512" s="77"/>
      <c r="HN512" s="77"/>
      <c r="HO512" s="77"/>
      <c r="HP512" s="77"/>
      <c r="HQ512" s="77"/>
      <c r="HR512" s="77"/>
      <c r="HS512" s="77"/>
      <c r="HT512" s="77"/>
      <c r="HU512" s="77"/>
      <c r="HV512" s="77"/>
      <c r="HW512" s="77"/>
      <c r="HX512" s="77"/>
      <c r="HY512" s="77"/>
      <c r="HZ512" s="77"/>
      <c r="IA512" s="77"/>
      <c r="IB512" s="77"/>
      <c r="IC512" s="77"/>
      <c r="ID512" s="77"/>
      <c r="IE512" s="77"/>
      <c r="IF512" s="77"/>
      <c r="IG512" s="77"/>
      <c r="IH512" s="77"/>
      <c r="II512" s="77"/>
      <c r="IJ512" s="77"/>
      <c r="IK512" s="77"/>
      <c r="IL512" s="77"/>
      <c r="IM512" s="77"/>
      <c r="IN512" s="77"/>
      <c r="IO512" s="77"/>
      <c r="IP512" s="77"/>
      <c r="IQ512" s="77"/>
      <c r="IR512" s="77"/>
      <c r="IS512" s="77"/>
      <c r="IT512" s="77"/>
      <c r="IU512" s="77"/>
      <c r="IV512" s="77"/>
      <c r="IW512" s="77"/>
      <c r="IX512" s="77"/>
      <c r="IY512" s="77"/>
      <c r="IZ512" s="77"/>
      <c r="JA512" s="77"/>
      <c r="JB512" s="77"/>
      <c r="JC512" s="77"/>
      <c r="JD512" s="77"/>
      <c r="JE512" s="77"/>
      <c r="JF512" s="77"/>
      <c r="JG512" s="77"/>
      <c r="JH512" s="77"/>
      <c r="JI512" s="77"/>
      <c r="JJ512" s="77"/>
      <c r="JK512" s="77"/>
      <c r="JL512" s="77"/>
      <c r="JM512" s="77"/>
      <c r="JN512" s="77"/>
      <c r="JO512" s="77"/>
      <c r="JP512" s="77"/>
      <c r="JQ512" s="77"/>
      <c r="JR512" s="77"/>
      <c r="JS512" s="77"/>
      <c r="JT512" s="77"/>
      <c r="JU512" s="77"/>
      <c r="JV512" s="77"/>
      <c r="JW512" s="77"/>
      <c r="JX512" s="77"/>
      <c r="JY512" s="77"/>
      <c r="JZ512" s="77"/>
      <c r="KA512" s="77"/>
      <c r="KB512" s="77"/>
      <c r="KC512" s="77"/>
      <c r="KD512" s="77"/>
      <c r="KE512" s="77"/>
      <c r="KF512" s="77"/>
      <c r="KG512" s="77"/>
      <c r="KH512" s="77"/>
      <c r="KI512" s="77"/>
      <c r="KJ512" s="77"/>
      <c r="KK512" s="77"/>
      <c r="KL512" s="77"/>
      <c r="LW512" s="16"/>
      <c r="LX512" s="16"/>
      <c r="LY512" s="77"/>
      <c r="LZ512" s="77"/>
      <c r="MA512" s="77"/>
      <c r="MB512" s="77"/>
      <c r="MC512" s="77"/>
      <c r="MD512" s="77"/>
      <c r="ME512" s="77"/>
      <c r="MF512" s="77"/>
      <c r="MG512" s="77"/>
      <c r="MH512" s="77"/>
      <c r="MI512" s="77"/>
      <c r="MJ512" s="77"/>
      <c r="MK512" s="77"/>
      <c r="ML512" s="77"/>
      <c r="MM512" s="77"/>
      <c r="MN512" s="77"/>
      <c r="MO512" s="77"/>
      <c r="MP512" s="77"/>
      <c r="MQ512" s="77"/>
      <c r="MR512" s="77"/>
    </row>
    <row r="513" spans="1:421" s="49" customFormat="1" ht="18.600000000000001" customHeight="1" x14ac:dyDescent="0.25">
      <c r="A513" s="119" t="s">
        <v>570</v>
      </c>
      <c r="B513" s="27" t="s">
        <v>570</v>
      </c>
      <c r="C513" s="27" t="s">
        <v>3551</v>
      </c>
      <c r="D513" s="33" t="s">
        <v>3027</v>
      </c>
      <c r="E513" s="34" t="s">
        <v>2432</v>
      </c>
      <c r="F513" s="42" t="s">
        <v>558</v>
      </c>
      <c r="G513" s="42" t="s">
        <v>568</v>
      </c>
      <c r="H513" s="42" t="s">
        <v>776</v>
      </c>
      <c r="I513" s="42" t="s">
        <v>782</v>
      </c>
      <c r="J513" s="27" t="s">
        <v>789</v>
      </c>
      <c r="K513" s="14" t="s">
        <v>777</v>
      </c>
      <c r="L513" s="10"/>
      <c r="M513" s="42" t="s">
        <v>770</v>
      </c>
      <c r="N513" s="34" t="s">
        <v>2433</v>
      </c>
      <c r="O513" s="27" t="s">
        <v>3163</v>
      </c>
      <c r="P513" s="80">
        <v>1314</v>
      </c>
      <c r="Q513" s="80">
        <v>192</v>
      </c>
      <c r="R513" s="27" t="s">
        <v>2994</v>
      </c>
      <c r="S513" s="101" t="s">
        <v>2434</v>
      </c>
      <c r="T513" s="10" t="s">
        <v>771</v>
      </c>
      <c r="U513" s="10" t="s">
        <v>771</v>
      </c>
      <c r="V513" s="10" t="s">
        <v>771</v>
      </c>
      <c r="W513" s="42"/>
      <c r="X513" s="27" t="s">
        <v>570</v>
      </c>
      <c r="Y513" s="27" t="s">
        <v>570</v>
      </c>
      <c r="Z513" s="80">
        <v>657</v>
      </c>
      <c r="AA513" s="27">
        <v>681</v>
      </c>
      <c r="AB513" s="80">
        <v>38727</v>
      </c>
      <c r="AC513" s="27">
        <v>19</v>
      </c>
      <c r="AD513" s="27" t="s">
        <v>3552</v>
      </c>
      <c r="AE513" s="27">
        <v>14713787</v>
      </c>
      <c r="AF513" s="27" t="s">
        <v>3551</v>
      </c>
      <c r="AG513" s="27" t="s">
        <v>3553</v>
      </c>
      <c r="AH513" s="79">
        <v>0.22607204116638099</v>
      </c>
      <c r="AI513" s="83">
        <v>3.6815642458100601</v>
      </c>
      <c r="AJ513" s="80">
        <v>64.038321167883197</v>
      </c>
      <c r="AK513" s="80">
        <v>69.076642335766394</v>
      </c>
      <c r="AL513" s="27">
        <v>5</v>
      </c>
      <c r="AM513" s="97">
        <f>SUM(AL513/Z513)</f>
        <v>7.6103500761035003E-3</v>
      </c>
      <c r="AN513" s="27" t="s">
        <v>570</v>
      </c>
      <c r="AO513" s="27">
        <v>0</v>
      </c>
      <c r="AP513" s="27">
        <v>13</v>
      </c>
      <c r="AQ513" s="27">
        <v>5</v>
      </c>
      <c r="AR513" s="27">
        <f>SUM(AO513:AQ513)</f>
        <v>18</v>
      </c>
      <c r="AS513" s="27"/>
      <c r="AT513" s="27" t="s">
        <v>5057</v>
      </c>
      <c r="AU513" s="84" t="s">
        <v>4675</v>
      </c>
      <c r="AV513" s="77"/>
      <c r="AW513" s="77"/>
      <c r="AX513" s="77"/>
      <c r="AY513" s="77"/>
      <c r="AZ513" s="77"/>
      <c r="BA513" s="77"/>
      <c r="BB513" s="77"/>
      <c r="BC513" s="77"/>
      <c r="BD513" s="77"/>
      <c r="BE513" s="77"/>
      <c r="BF513" s="77"/>
      <c r="BG513" s="77"/>
      <c r="BH513" s="77"/>
      <c r="BI513" s="77"/>
      <c r="BJ513" s="77"/>
      <c r="BK513" s="77"/>
      <c r="BL513" s="77"/>
      <c r="BM513" s="77"/>
      <c r="BN513" s="77"/>
      <c r="BO513" s="77"/>
      <c r="BP513" s="77"/>
      <c r="BQ513" s="77"/>
      <c r="BR513" s="77"/>
      <c r="BS513" s="77"/>
      <c r="BT513" s="77"/>
      <c r="BU513" s="77"/>
      <c r="BV513" s="77"/>
      <c r="BW513" s="77"/>
      <c r="BX513" s="77"/>
      <c r="BY513" s="77"/>
      <c r="BZ513" s="77"/>
      <c r="CA513" s="77"/>
      <c r="CB513" s="77"/>
      <c r="CC513" s="77"/>
      <c r="CD513" s="77"/>
      <c r="CE513" s="77"/>
      <c r="CF513" s="77"/>
      <c r="CG513" s="77"/>
      <c r="CH513" s="77"/>
      <c r="CI513" s="77"/>
      <c r="CJ513" s="77"/>
      <c r="CK513" s="77"/>
      <c r="CL513" s="77"/>
      <c r="CM513" s="77"/>
      <c r="CN513" s="77"/>
      <c r="CO513" s="77"/>
      <c r="CP513" s="77"/>
      <c r="CQ513" s="77"/>
      <c r="CR513" s="77"/>
      <c r="CS513" s="77"/>
      <c r="CT513" s="77"/>
      <c r="CU513" s="77"/>
      <c r="CV513" s="77"/>
      <c r="CW513" s="77"/>
      <c r="CX513" s="77"/>
      <c r="CY513" s="77"/>
      <c r="CZ513" s="77"/>
      <c r="DA513" s="77"/>
      <c r="DB513" s="77"/>
      <c r="DC513" s="77"/>
      <c r="DD513" s="77"/>
      <c r="DE513" s="77"/>
      <c r="DF513" s="77"/>
      <c r="DG513" s="77"/>
      <c r="DH513" s="77"/>
      <c r="DI513" s="77"/>
      <c r="DJ513" s="77"/>
      <c r="DK513" s="77"/>
      <c r="DL513" s="77"/>
      <c r="DM513" s="77"/>
      <c r="DN513" s="77"/>
      <c r="DO513" s="77"/>
      <c r="DP513" s="77"/>
      <c r="DQ513" s="77"/>
      <c r="DR513" s="77"/>
      <c r="DS513" s="77"/>
      <c r="DT513" s="77"/>
      <c r="DU513" s="77"/>
      <c r="DV513" s="77"/>
      <c r="DW513" s="77"/>
      <c r="DX513" s="77"/>
      <c r="DY513" s="77"/>
      <c r="DZ513" s="77"/>
      <c r="EA513" s="77"/>
      <c r="EB513" s="77"/>
      <c r="EC513" s="77"/>
      <c r="ED513" s="77"/>
      <c r="EE513" s="77"/>
      <c r="EF513" s="77"/>
      <c r="EG513" s="77"/>
      <c r="EH513" s="77"/>
      <c r="EI513" s="77"/>
      <c r="EJ513" s="77"/>
      <c r="EK513" s="77"/>
      <c r="EL513" s="77"/>
      <c r="EM513" s="77"/>
      <c r="EN513" s="77"/>
      <c r="EO513" s="77"/>
      <c r="EQ513" s="77"/>
      <c r="ER513" s="77"/>
      <c r="ES513" s="77"/>
      <c r="ET513" s="77"/>
      <c r="EU513" s="77"/>
      <c r="EV513" s="77"/>
      <c r="EW513" s="77"/>
      <c r="EX513" s="77"/>
      <c r="EY513" s="77"/>
      <c r="EZ513" s="77"/>
      <c r="FA513" s="77"/>
      <c r="FB513" s="77"/>
      <c r="FC513" s="77"/>
      <c r="FD513" s="77"/>
      <c r="FE513" s="77"/>
      <c r="FF513" s="77"/>
      <c r="FG513" s="77"/>
      <c r="FH513" s="77"/>
      <c r="FI513" s="77"/>
      <c r="FJ513" s="77"/>
      <c r="FK513" s="77"/>
      <c r="FL513" s="77"/>
      <c r="FM513" s="77"/>
      <c r="FN513" s="77"/>
      <c r="FO513" s="77"/>
      <c r="FP513" s="77"/>
      <c r="FQ513" s="77"/>
      <c r="FR513" s="77"/>
      <c r="FS513" s="77"/>
      <c r="FT513" s="77"/>
      <c r="FU513" s="77"/>
      <c r="FV513" s="77"/>
      <c r="FW513" s="77"/>
      <c r="FX513" s="77"/>
      <c r="FY513" s="77"/>
      <c r="FZ513" s="77"/>
      <c r="GA513" s="77"/>
      <c r="GB513" s="77"/>
      <c r="GC513" s="77"/>
      <c r="GD513" s="77"/>
      <c r="GE513" s="77"/>
      <c r="GF513" s="77"/>
      <c r="GG513" s="77"/>
      <c r="GH513" s="77"/>
      <c r="GI513" s="77"/>
      <c r="GJ513" s="77"/>
      <c r="GK513" s="77"/>
      <c r="HL513" s="77"/>
      <c r="HM513" s="77"/>
      <c r="HN513" s="77"/>
      <c r="HO513" s="77"/>
      <c r="HP513" s="77"/>
      <c r="HQ513" s="77"/>
      <c r="HR513" s="77"/>
      <c r="HS513" s="77"/>
      <c r="HT513" s="77"/>
      <c r="HU513" s="77"/>
      <c r="HV513" s="77"/>
      <c r="HW513" s="77"/>
      <c r="HX513" s="77"/>
      <c r="HY513" s="77"/>
      <c r="HZ513" s="77"/>
      <c r="IA513" s="77"/>
      <c r="IB513" s="77"/>
      <c r="IC513" s="77"/>
      <c r="ID513" s="77"/>
      <c r="IE513" s="77"/>
      <c r="JY513" s="77"/>
      <c r="JZ513" s="77"/>
      <c r="KA513" s="77"/>
      <c r="KB513" s="77"/>
      <c r="KC513" s="77"/>
      <c r="KD513" s="77"/>
      <c r="KE513" s="77"/>
      <c r="KF513" s="77"/>
      <c r="KG513" s="77"/>
      <c r="KH513" s="77"/>
      <c r="KI513" s="77"/>
      <c r="KJ513" s="77"/>
      <c r="KK513" s="77"/>
      <c r="KL513" s="77"/>
      <c r="KM513" s="77"/>
      <c r="KN513" s="77"/>
      <c r="KO513" s="77"/>
      <c r="KP513" s="77"/>
      <c r="KQ513" s="77"/>
      <c r="KR513" s="77"/>
      <c r="KS513" s="77"/>
      <c r="KT513" s="77"/>
      <c r="KU513" s="77"/>
      <c r="KV513" s="77"/>
      <c r="KW513" s="77"/>
      <c r="KX513" s="77"/>
      <c r="KY513" s="77"/>
      <c r="KZ513" s="77"/>
      <c r="LA513" s="77"/>
      <c r="LB513" s="77"/>
      <c r="LC513" s="77"/>
      <c r="LD513" s="77"/>
      <c r="LE513" s="77"/>
      <c r="LF513" s="77"/>
      <c r="LG513" s="77"/>
      <c r="LH513" s="77"/>
      <c r="LI513" s="77"/>
      <c r="LJ513" s="77"/>
      <c r="LK513" s="77"/>
      <c r="LL513" s="77"/>
      <c r="LM513" s="77"/>
      <c r="LN513" s="77"/>
      <c r="LO513" s="77"/>
      <c r="LP513" s="77"/>
      <c r="LQ513" s="77"/>
      <c r="LR513" s="77"/>
      <c r="LS513" s="77"/>
      <c r="LT513" s="77"/>
      <c r="LU513" s="77"/>
      <c r="LV513" s="77"/>
      <c r="LW513" s="16"/>
      <c r="LX513" s="16"/>
      <c r="LY513" s="77"/>
      <c r="LZ513" s="77"/>
      <c r="MA513" s="77"/>
      <c r="MB513" s="77"/>
      <c r="MC513" s="77"/>
      <c r="MD513" s="77"/>
      <c r="ME513" s="77"/>
      <c r="MF513" s="77"/>
      <c r="MG513" s="77"/>
      <c r="MH513" s="77"/>
      <c r="MI513" s="77"/>
      <c r="MJ513" s="77"/>
      <c r="MK513" s="77"/>
      <c r="ML513" s="77"/>
      <c r="MM513" s="77"/>
      <c r="MN513" s="77"/>
      <c r="MO513" s="77"/>
      <c r="MP513" s="77"/>
      <c r="MQ513" s="77"/>
      <c r="MR513" s="77"/>
      <c r="MS513" s="77"/>
      <c r="MT513" s="77"/>
      <c r="MU513" s="77"/>
      <c r="MV513" s="77"/>
      <c r="MW513" s="77"/>
      <c r="MX513" s="77"/>
      <c r="MY513" s="77"/>
      <c r="MZ513" s="77"/>
      <c r="NA513" s="77"/>
      <c r="NB513" s="77"/>
      <c r="NC513" s="77"/>
    </row>
    <row r="514" spans="1:421" s="37" customFormat="1" ht="18.600000000000001" customHeight="1" x14ac:dyDescent="0.25">
      <c r="A514" s="119" t="s">
        <v>4256</v>
      </c>
      <c r="B514" s="27" t="s">
        <v>4256</v>
      </c>
      <c r="C514" s="27" t="s">
        <v>4257</v>
      </c>
      <c r="D514" s="33" t="s">
        <v>3020</v>
      </c>
      <c r="E514" s="34" t="s">
        <v>2432</v>
      </c>
      <c r="F514" s="42" t="s">
        <v>558</v>
      </c>
      <c r="G514" s="42" t="s">
        <v>568</v>
      </c>
      <c r="H514" s="42" t="s">
        <v>776</v>
      </c>
      <c r="I514" s="42" t="s">
        <v>782</v>
      </c>
      <c r="J514" s="27" t="s">
        <v>779</v>
      </c>
      <c r="K514" s="15" t="s">
        <v>777</v>
      </c>
      <c r="L514" s="10"/>
      <c r="M514" s="42" t="s">
        <v>770</v>
      </c>
      <c r="N514" s="34" t="s">
        <v>2435</v>
      </c>
      <c r="O514" s="27" t="s">
        <v>3164</v>
      </c>
      <c r="P514" s="80">
        <v>77</v>
      </c>
      <c r="Q514" s="80">
        <v>164</v>
      </c>
      <c r="R514" s="27" t="s">
        <v>2995</v>
      </c>
      <c r="S514" s="86" t="s">
        <v>2436</v>
      </c>
      <c r="T514" s="10" t="s">
        <v>771</v>
      </c>
      <c r="U514" s="10" t="s">
        <v>771</v>
      </c>
      <c r="V514" s="10" t="s">
        <v>771</v>
      </c>
      <c r="W514" s="42"/>
      <c r="X514" s="27" t="s">
        <v>4256</v>
      </c>
      <c r="Y514" s="27" t="s">
        <v>4256</v>
      </c>
      <c r="Z514" s="80">
        <v>656</v>
      </c>
      <c r="AA514" s="27">
        <v>655</v>
      </c>
      <c r="AB514" s="80">
        <v>3675</v>
      </c>
      <c r="AC514" s="27">
        <v>16</v>
      </c>
      <c r="AD514" s="27" t="s">
        <v>4258</v>
      </c>
      <c r="AE514" s="27">
        <v>14713836</v>
      </c>
      <c r="AF514" s="27" t="s">
        <v>4257</v>
      </c>
      <c r="AG514" s="27" t="s">
        <v>6439</v>
      </c>
      <c r="AH514" s="79">
        <v>0.22504288164665501</v>
      </c>
      <c r="AI514" s="83">
        <v>3.66480446927374</v>
      </c>
      <c r="AJ514" s="80">
        <v>10.366300366300401</v>
      </c>
      <c r="AK514" s="80">
        <v>7.9120879120879097</v>
      </c>
      <c r="AL514" s="27">
        <v>3</v>
      </c>
      <c r="AM514" s="97">
        <f>SUM(AL514/Z514)</f>
        <v>4.5731707317073168E-3</v>
      </c>
      <c r="AN514" s="27" t="s">
        <v>4256</v>
      </c>
      <c r="AO514" s="27">
        <v>2</v>
      </c>
      <c r="AP514" s="27">
        <v>4</v>
      </c>
      <c r="AQ514" s="27">
        <v>3</v>
      </c>
      <c r="AR514" s="27">
        <f>SUM(AO514:AQ514)</f>
        <v>9</v>
      </c>
      <c r="AS514" s="27" t="s">
        <v>5392</v>
      </c>
      <c r="AT514" s="27" t="s">
        <v>5393</v>
      </c>
      <c r="AU514" s="84" t="s">
        <v>4891</v>
      </c>
      <c r="BN514" s="77"/>
      <c r="BO514" s="77"/>
      <c r="BP514" s="77"/>
      <c r="BQ514" s="77"/>
      <c r="BR514" s="77"/>
      <c r="BS514" s="77"/>
      <c r="BT514" s="77"/>
      <c r="BU514" s="77"/>
      <c r="BV514" s="77"/>
      <c r="BW514" s="77"/>
      <c r="BX514" s="77"/>
      <c r="BY514" s="77"/>
      <c r="BZ514" s="77"/>
      <c r="CA514" s="77"/>
      <c r="CB514" s="77"/>
      <c r="CK514" s="77"/>
      <c r="CL514" s="77"/>
      <c r="CM514" s="77"/>
      <c r="CN514" s="77"/>
      <c r="CO514" s="77"/>
      <c r="CP514" s="77"/>
      <c r="CQ514" s="77"/>
      <c r="CR514" s="77"/>
      <c r="CS514" s="77"/>
      <c r="CT514" s="77"/>
      <c r="CU514" s="77"/>
      <c r="CV514" s="77"/>
      <c r="CW514" s="77"/>
      <c r="CX514" s="77"/>
      <c r="CY514" s="77"/>
      <c r="CZ514" s="77"/>
      <c r="DA514" s="77"/>
      <c r="DB514" s="77"/>
      <c r="DC514" s="77"/>
      <c r="DD514" s="77"/>
      <c r="DE514" s="77"/>
      <c r="DF514" s="77"/>
      <c r="DG514" s="77"/>
      <c r="DH514" s="77"/>
      <c r="DI514" s="77"/>
      <c r="DJ514" s="77"/>
      <c r="DK514" s="77"/>
      <c r="DL514" s="77"/>
      <c r="DM514" s="77"/>
      <c r="DN514" s="77"/>
      <c r="DO514" s="77"/>
      <c r="DP514" s="77"/>
      <c r="DQ514" s="77"/>
      <c r="DR514" s="77"/>
      <c r="DS514" s="77"/>
      <c r="DT514" s="77"/>
      <c r="DU514" s="77"/>
      <c r="DV514" s="77"/>
      <c r="DW514" s="77"/>
      <c r="DX514" s="77"/>
      <c r="DY514" s="77"/>
      <c r="DZ514" s="77"/>
      <c r="EA514" s="77"/>
      <c r="EB514" s="77"/>
      <c r="EC514" s="77"/>
      <c r="ED514" s="77"/>
      <c r="EE514" s="77"/>
      <c r="EF514" s="77"/>
      <c r="EG514" s="77"/>
      <c r="EH514" s="77"/>
      <c r="EI514" s="77"/>
      <c r="EJ514" s="77"/>
      <c r="EK514" s="77"/>
      <c r="EL514" s="77"/>
      <c r="EM514" s="77"/>
      <c r="EN514" s="77"/>
      <c r="EO514" s="77"/>
      <c r="EP514" s="77"/>
      <c r="EQ514" s="77"/>
      <c r="GL514" s="77"/>
      <c r="GM514" s="77"/>
      <c r="GN514" s="77"/>
      <c r="GO514" s="77"/>
      <c r="GP514" s="77"/>
      <c r="GQ514" s="77"/>
      <c r="GR514" s="77"/>
      <c r="GS514" s="77"/>
      <c r="GT514" s="77"/>
      <c r="GU514" s="77"/>
      <c r="GV514" s="77"/>
      <c r="GW514" s="77"/>
      <c r="GX514" s="77"/>
      <c r="GY514" s="77"/>
      <c r="GZ514" s="77"/>
      <c r="HA514" s="77"/>
      <c r="HB514" s="77"/>
      <c r="HC514" s="77"/>
      <c r="HD514" s="77"/>
      <c r="HE514" s="77"/>
      <c r="HF514" s="77"/>
      <c r="HG514" s="77"/>
      <c r="HH514" s="77"/>
      <c r="HI514" s="77"/>
      <c r="HJ514" s="77"/>
      <c r="HK514" s="77"/>
      <c r="HL514" s="16"/>
      <c r="HM514" s="16"/>
      <c r="HN514" s="16"/>
      <c r="HO514" s="16"/>
      <c r="HP514" s="16"/>
      <c r="HQ514" s="16"/>
      <c r="HR514" s="16"/>
      <c r="HS514" s="16"/>
      <c r="HT514" s="16"/>
      <c r="HU514" s="16"/>
      <c r="HV514" s="16"/>
      <c r="HW514" s="16"/>
      <c r="HX514" s="16"/>
      <c r="HY514" s="16"/>
      <c r="HZ514" s="16"/>
      <c r="IA514" s="16"/>
      <c r="IB514" s="16"/>
      <c r="IC514" s="16"/>
      <c r="ID514" s="77"/>
      <c r="IE514" s="77"/>
      <c r="KM514" s="77"/>
      <c r="KN514" s="77"/>
      <c r="KO514" s="77"/>
      <c r="KP514" s="77"/>
      <c r="KQ514" s="77"/>
      <c r="KR514" s="77"/>
      <c r="KS514" s="77"/>
      <c r="KT514" s="77"/>
      <c r="KU514" s="77"/>
      <c r="KV514" s="77"/>
      <c r="KW514" s="77"/>
      <c r="KX514" s="77"/>
      <c r="KY514" s="77"/>
      <c r="KZ514" s="77"/>
      <c r="LA514" s="77"/>
      <c r="LB514" s="77"/>
      <c r="LC514" s="77"/>
      <c r="LD514" s="77"/>
      <c r="LE514" s="77"/>
      <c r="LF514" s="77"/>
      <c r="LG514" s="77"/>
      <c r="LH514" s="77"/>
      <c r="LI514" s="77"/>
      <c r="LJ514" s="77"/>
      <c r="LK514" s="77"/>
      <c r="LL514" s="77"/>
      <c r="LM514" s="77"/>
      <c r="LN514" s="77"/>
      <c r="LO514" s="77"/>
      <c r="LP514" s="77"/>
      <c r="LQ514" s="77"/>
      <c r="LR514" s="77"/>
      <c r="LS514" s="77"/>
      <c r="LT514" s="77"/>
      <c r="LU514" s="77"/>
      <c r="LV514" s="77"/>
      <c r="LY514" s="77"/>
      <c r="LZ514" s="77"/>
      <c r="MA514" s="77"/>
      <c r="MB514" s="77"/>
      <c r="MC514" s="77"/>
      <c r="MD514" s="77"/>
      <c r="ME514" s="77"/>
      <c r="MF514" s="77"/>
      <c r="MG514" s="77"/>
      <c r="MH514" s="77"/>
      <c r="MI514" s="77"/>
      <c r="MJ514" s="77"/>
      <c r="MK514" s="77"/>
      <c r="ML514" s="77"/>
      <c r="MM514" s="77"/>
      <c r="MN514" s="77"/>
      <c r="MO514" s="77"/>
      <c r="MP514" s="77"/>
      <c r="MQ514" s="77"/>
      <c r="MR514" s="77"/>
      <c r="MS514" s="77"/>
    </row>
    <row r="515" spans="1:421" s="21" customFormat="1" ht="18.600000000000001" customHeight="1" x14ac:dyDescent="0.25">
      <c r="A515" s="119" t="s">
        <v>1155</v>
      </c>
      <c r="B515" s="27" t="s">
        <v>1156</v>
      </c>
      <c r="C515" s="27" t="s">
        <v>4218</v>
      </c>
      <c r="D515" s="30" t="str">
        <f>HYPERLINK("https://twitter.com/OPMUganda","https://twitter.com/OPMUganda")</f>
        <v>https://twitter.com/OPMUganda</v>
      </c>
      <c r="E515" s="30" t="str">
        <f>HYPERLINK("http://twiplomacy.com/info/africa/Uganda","http://twiplomacy.com/info/africa/Uganda")</f>
        <v>http://twiplomacy.com/info/africa/Uganda</v>
      </c>
      <c r="F515" s="10" t="s">
        <v>1</v>
      </c>
      <c r="G515" s="10" t="s">
        <v>142</v>
      </c>
      <c r="H515" s="10" t="s">
        <v>776</v>
      </c>
      <c r="I515" s="10" t="s">
        <v>782</v>
      </c>
      <c r="J515" s="27" t="s">
        <v>789</v>
      </c>
      <c r="K515" s="15" t="s">
        <v>777</v>
      </c>
      <c r="L515" s="10" t="s">
        <v>771</v>
      </c>
      <c r="M515" s="10" t="s">
        <v>770</v>
      </c>
      <c r="N515" s="30" t="s">
        <v>3121</v>
      </c>
      <c r="O515" s="27" t="s">
        <v>6000</v>
      </c>
      <c r="P515" s="80">
        <v>11</v>
      </c>
      <c r="Q515" s="80">
        <v>0</v>
      </c>
      <c r="R515" s="27" t="s">
        <v>2995</v>
      </c>
      <c r="S515" s="12" t="s">
        <v>1157</v>
      </c>
      <c r="T515" s="10" t="s">
        <v>771</v>
      </c>
      <c r="U515" s="10" t="s">
        <v>771</v>
      </c>
      <c r="V515" s="10" t="s">
        <v>771</v>
      </c>
      <c r="W515" s="10"/>
      <c r="X515" s="27" t="s">
        <v>1155</v>
      </c>
      <c r="Y515" s="27" t="s">
        <v>1156</v>
      </c>
      <c r="Z515" s="80">
        <v>647</v>
      </c>
      <c r="AA515" s="27">
        <v>282</v>
      </c>
      <c r="AB515" s="80">
        <v>1119</v>
      </c>
      <c r="AC515" s="27">
        <v>39</v>
      </c>
      <c r="AD515" s="27" t="s">
        <v>4219</v>
      </c>
      <c r="AE515" s="27">
        <v>1879564490</v>
      </c>
      <c r="AF515" s="27" t="s">
        <v>4218</v>
      </c>
      <c r="AG515" s="27" t="s">
        <v>4220</v>
      </c>
      <c r="AH515" s="79">
        <v>0.6760710553814</v>
      </c>
      <c r="AI515" s="83">
        <v>0.68105263157894702</v>
      </c>
      <c r="AJ515" s="80">
        <v>0.36561743341404401</v>
      </c>
      <c r="AK515" s="80">
        <v>0.19128329297820801</v>
      </c>
      <c r="AL515" s="27">
        <v>78</v>
      </c>
      <c r="AM515" s="97">
        <f>SUM(AL515/Z515)</f>
        <v>0.12055641421947449</v>
      </c>
      <c r="AN515" s="27" t="s">
        <v>1155</v>
      </c>
      <c r="AO515" s="27">
        <v>10</v>
      </c>
      <c r="AP515" s="27">
        <v>0</v>
      </c>
      <c r="AQ515" s="27">
        <v>1</v>
      </c>
      <c r="AR515" s="27">
        <f>SUM(AO515:AQ515)</f>
        <v>11</v>
      </c>
      <c r="AS515" s="27" t="s">
        <v>5373</v>
      </c>
      <c r="AT515" s="27"/>
      <c r="AU515" s="84" t="s">
        <v>145</v>
      </c>
      <c r="AV515" s="77"/>
      <c r="AW515" s="77"/>
      <c r="AX515" s="77"/>
      <c r="AY515" s="77"/>
      <c r="AZ515" s="77"/>
      <c r="BA515" s="77"/>
      <c r="BB515" s="77"/>
      <c r="BC515" s="77"/>
      <c r="BD515" s="77"/>
      <c r="BE515" s="77"/>
      <c r="BF515" s="77"/>
      <c r="BG515" s="77"/>
      <c r="BH515" s="77"/>
      <c r="BI515" s="77"/>
      <c r="BJ515" s="77"/>
      <c r="BK515" s="77"/>
      <c r="BL515" s="77"/>
      <c r="BM515" s="77"/>
      <c r="BN515" s="77"/>
      <c r="BO515" s="77"/>
      <c r="BP515" s="77"/>
      <c r="BQ515" s="77"/>
      <c r="BR515" s="77"/>
      <c r="BS515" s="77"/>
      <c r="BT515" s="77"/>
      <c r="BU515" s="77"/>
      <c r="BV515" s="77"/>
      <c r="BW515" s="77"/>
      <c r="BX515" s="77"/>
      <c r="BY515" s="77"/>
      <c r="BZ515" s="77"/>
      <c r="CA515" s="77"/>
      <c r="CB515" s="77"/>
      <c r="CC515" s="77"/>
      <c r="CD515" s="77"/>
      <c r="CE515" s="77"/>
      <c r="CF515" s="77"/>
      <c r="CG515" s="77"/>
      <c r="CH515" s="77"/>
      <c r="CI515" s="77"/>
      <c r="CJ515" s="77"/>
      <c r="CK515" s="77"/>
      <c r="CL515" s="77"/>
      <c r="CM515" s="77"/>
      <c r="CN515" s="77"/>
      <c r="CO515" s="77"/>
      <c r="CP515" s="77"/>
      <c r="CQ515" s="77"/>
      <c r="CR515" s="77"/>
      <c r="CS515" s="77"/>
      <c r="CT515" s="77"/>
      <c r="CU515" s="77"/>
      <c r="CV515" s="77"/>
      <c r="CW515" s="77"/>
      <c r="CX515" s="77"/>
      <c r="CY515" s="77"/>
      <c r="CZ515" s="77"/>
      <c r="DA515" s="77"/>
      <c r="DB515" s="77"/>
      <c r="DC515" s="77"/>
      <c r="DD515" s="77"/>
      <c r="DE515" s="77"/>
      <c r="DF515" s="77"/>
      <c r="DG515" s="77"/>
      <c r="DH515" s="77"/>
      <c r="DI515" s="77"/>
      <c r="DJ515" s="77"/>
      <c r="DK515" s="77"/>
      <c r="DL515" s="77"/>
      <c r="DM515" s="77"/>
      <c r="DN515" s="77"/>
      <c r="DO515" s="77"/>
      <c r="DP515" s="77"/>
      <c r="DQ515" s="77"/>
      <c r="DR515" s="77"/>
      <c r="DS515" s="77"/>
      <c r="DT515" s="77"/>
      <c r="DU515" s="77"/>
      <c r="DV515" s="77"/>
      <c r="DW515" s="77"/>
      <c r="DX515" s="77"/>
      <c r="DY515" s="77"/>
      <c r="DZ515" s="77"/>
      <c r="EA515" s="77"/>
      <c r="EB515" s="77"/>
      <c r="EC515" s="77"/>
      <c r="ED515" s="77"/>
      <c r="EE515" s="77"/>
      <c r="EF515" s="77"/>
      <c r="EG515" s="77"/>
      <c r="EH515" s="77"/>
      <c r="EI515" s="77"/>
      <c r="EJ515" s="77"/>
      <c r="EK515" s="77"/>
      <c r="EL515" s="77"/>
      <c r="EM515" s="77"/>
      <c r="EN515" s="77"/>
      <c r="EO515" s="77"/>
      <c r="EP515" s="16"/>
      <c r="ER515" s="77"/>
      <c r="ES515" s="77"/>
      <c r="ET515" s="77"/>
      <c r="EU515" s="77"/>
      <c r="EV515" s="77"/>
      <c r="EW515" s="77"/>
      <c r="EX515" s="77"/>
      <c r="EY515" s="77"/>
      <c r="EZ515" s="77"/>
      <c r="FA515" s="77"/>
      <c r="FB515" s="77"/>
      <c r="FC515" s="77"/>
      <c r="FD515" s="77"/>
      <c r="FE515" s="77"/>
      <c r="FF515" s="77"/>
      <c r="FG515" s="77"/>
      <c r="FH515" s="77"/>
      <c r="FI515" s="77"/>
      <c r="FJ515" s="77"/>
      <c r="FK515" s="77"/>
      <c r="FL515" s="77"/>
      <c r="FM515" s="77"/>
      <c r="FN515" s="77"/>
      <c r="FO515" s="77"/>
      <c r="FP515" s="77"/>
      <c r="FQ515" s="77"/>
      <c r="FR515" s="77"/>
      <c r="FS515" s="77"/>
      <c r="FT515" s="77"/>
      <c r="FU515" s="77"/>
      <c r="FV515" s="77"/>
      <c r="FW515" s="77"/>
      <c r="FX515" s="77"/>
      <c r="FY515" s="77"/>
      <c r="FZ515" s="77"/>
      <c r="GA515" s="77"/>
      <c r="GB515" s="77"/>
      <c r="GC515" s="77"/>
      <c r="GD515" s="77"/>
      <c r="GE515" s="77"/>
      <c r="GF515" s="77"/>
      <c r="GG515" s="77"/>
      <c r="GH515" s="77"/>
      <c r="GI515" s="77"/>
      <c r="GJ515" s="77"/>
      <c r="GK515" s="77"/>
      <c r="GL515" s="77"/>
      <c r="GM515" s="77"/>
      <c r="GN515" s="77"/>
      <c r="GO515" s="77"/>
      <c r="GP515" s="77"/>
      <c r="GQ515" s="77"/>
      <c r="GR515" s="77"/>
      <c r="GS515" s="77"/>
      <c r="GT515" s="77"/>
      <c r="GU515" s="77"/>
      <c r="GV515" s="77"/>
      <c r="GW515" s="77"/>
      <c r="GX515" s="77"/>
      <c r="GY515" s="77"/>
      <c r="GZ515" s="77"/>
      <c r="HA515" s="77"/>
      <c r="HB515" s="77"/>
      <c r="HC515" s="77"/>
      <c r="HD515" s="77"/>
      <c r="HE515" s="77"/>
      <c r="HF515" s="77"/>
      <c r="HG515" s="77"/>
      <c r="HH515" s="77"/>
      <c r="HI515" s="77"/>
      <c r="HJ515" s="77"/>
      <c r="HK515" s="77"/>
      <c r="HL515" s="77"/>
      <c r="HM515" s="77"/>
      <c r="HN515" s="77"/>
      <c r="HO515" s="77"/>
      <c r="HP515" s="77"/>
      <c r="HQ515" s="77"/>
      <c r="HR515" s="77"/>
      <c r="HS515" s="77"/>
      <c r="HT515" s="77"/>
      <c r="HU515" s="77"/>
      <c r="HV515" s="77"/>
      <c r="HW515" s="77"/>
      <c r="HX515" s="77"/>
      <c r="HY515" s="77"/>
      <c r="HZ515" s="77"/>
      <c r="IA515" s="77"/>
      <c r="IB515" s="77"/>
      <c r="IC515" s="77"/>
      <c r="ID515" s="16"/>
      <c r="IE515" s="16"/>
      <c r="IF515" s="77"/>
      <c r="IG515" s="77"/>
      <c r="IH515" s="77"/>
      <c r="II515" s="77"/>
      <c r="IJ515" s="77"/>
      <c r="IK515" s="77"/>
      <c r="IL515" s="77"/>
      <c r="IM515" s="77"/>
      <c r="IN515" s="77"/>
      <c r="IO515" s="77"/>
      <c r="IP515" s="77"/>
      <c r="IQ515" s="77"/>
      <c r="IR515" s="77"/>
      <c r="IS515" s="77"/>
      <c r="IT515" s="77"/>
      <c r="IU515" s="77"/>
      <c r="IV515" s="77"/>
      <c r="IW515" s="77"/>
      <c r="IX515" s="77"/>
      <c r="IY515" s="77"/>
      <c r="IZ515" s="77"/>
      <c r="JA515" s="77"/>
      <c r="JB515" s="77"/>
      <c r="JC515" s="77"/>
      <c r="JD515" s="77"/>
      <c r="JE515" s="77"/>
      <c r="JF515" s="77"/>
      <c r="JG515" s="77"/>
      <c r="JH515" s="77"/>
      <c r="JI515" s="77"/>
      <c r="JJ515" s="77"/>
      <c r="JK515" s="77"/>
      <c r="JL515" s="77"/>
      <c r="JM515" s="77"/>
      <c r="JN515" s="77"/>
      <c r="JO515" s="77"/>
      <c r="JP515" s="77"/>
      <c r="JQ515" s="77"/>
      <c r="JR515" s="77"/>
      <c r="JS515" s="77"/>
      <c r="JT515" s="77"/>
      <c r="JU515" s="77"/>
      <c r="JV515" s="77"/>
      <c r="JW515" s="77"/>
      <c r="JX515" s="77"/>
      <c r="JY515" s="77"/>
      <c r="JZ515" s="77"/>
      <c r="KA515" s="77"/>
      <c r="KB515" s="77"/>
      <c r="KC515" s="77"/>
      <c r="KD515" s="77"/>
      <c r="KE515" s="77"/>
      <c r="KF515" s="77"/>
      <c r="KG515" s="77"/>
      <c r="KH515" s="77"/>
      <c r="KI515" s="77"/>
      <c r="KJ515" s="77"/>
      <c r="KK515" s="77"/>
      <c r="KL515" s="77"/>
      <c r="KM515" s="77"/>
      <c r="KN515" s="77"/>
      <c r="KO515" s="77"/>
      <c r="KP515" s="77"/>
      <c r="KQ515" s="77"/>
      <c r="KR515" s="77"/>
      <c r="KS515" s="77"/>
      <c r="KT515" s="77"/>
      <c r="KU515" s="77"/>
      <c r="KV515" s="77"/>
      <c r="KW515" s="77"/>
      <c r="KX515" s="77"/>
      <c r="KY515" s="77"/>
      <c r="KZ515" s="77"/>
      <c r="LA515" s="77"/>
      <c r="LB515" s="77"/>
      <c r="LC515" s="77"/>
      <c r="LD515" s="77"/>
      <c r="LE515" s="77"/>
      <c r="LF515" s="77"/>
      <c r="LG515" s="77"/>
      <c r="LH515" s="77"/>
      <c r="LI515" s="77"/>
      <c r="LJ515" s="77"/>
      <c r="LK515" s="77"/>
      <c r="LL515" s="77"/>
      <c r="LM515" s="77"/>
      <c r="LN515" s="77"/>
      <c r="LO515" s="77"/>
      <c r="LP515" s="77"/>
      <c r="LQ515" s="77"/>
      <c r="LR515" s="77"/>
      <c r="LS515" s="77"/>
      <c r="LT515" s="77"/>
      <c r="LU515" s="77"/>
      <c r="LV515" s="77"/>
      <c r="MS515" s="77"/>
    </row>
    <row r="516" spans="1:421" s="21" customFormat="1" ht="18.600000000000001" customHeight="1" x14ac:dyDescent="0.25">
      <c r="A516" s="119" t="s">
        <v>1662</v>
      </c>
      <c r="B516" s="27" t="s">
        <v>1663</v>
      </c>
      <c r="C516" s="27" t="s">
        <v>4104</v>
      </c>
      <c r="D516" s="72" t="str">
        <f>HYPERLINK("https://twitter.com/MFAupdate","https://twitter.com/MFAupdate")</f>
        <v>https://twitter.com/MFAupdate</v>
      </c>
      <c r="E516" s="30" t="str">
        <f>HYPERLINK("http://twiplomacy.com/info/asia/Thailand","http://twiplomacy.com/info/asia/Thailand")</f>
        <v>http://twiplomacy.com/info/asia/Thailand</v>
      </c>
      <c r="F516" s="47" t="s">
        <v>154</v>
      </c>
      <c r="G516" s="47" t="s">
        <v>313</v>
      </c>
      <c r="H516" s="15" t="s">
        <v>795</v>
      </c>
      <c r="I516" s="15" t="s">
        <v>782</v>
      </c>
      <c r="J516" s="27" t="s">
        <v>789</v>
      </c>
      <c r="K516" s="15" t="s">
        <v>4624</v>
      </c>
      <c r="L516" s="10" t="s">
        <v>771</v>
      </c>
      <c r="M516" s="10" t="s">
        <v>770</v>
      </c>
      <c r="N516" s="72" t="str">
        <f>HYPERLINK("https://twitter.com/MFAupdate/status/428452910041530368","https://twitter.com/MFAupdate/status/428452910041530368")</f>
        <v>https://twitter.com/MFAupdate/status/428452910041530368</v>
      </c>
      <c r="O516" s="27" t="s">
        <v>1664</v>
      </c>
      <c r="P516" s="80">
        <v>19</v>
      </c>
      <c r="Q516" s="80">
        <v>6</v>
      </c>
      <c r="R516" s="27" t="s">
        <v>2995</v>
      </c>
      <c r="S516" s="30" t="str">
        <f>HYPERLINK("https://twitter.com/MFAupdate/lists","https://twitter.com/MFAupdate/lists")</f>
        <v>https://twitter.com/MFAupdate/lists</v>
      </c>
      <c r="T516" s="10" t="s">
        <v>771</v>
      </c>
      <c r="U516" s="10">
        <v>2</v>
      </c>
      <c r="V516" s="10" t="s">
        <v>771</v>
      </c>
      <c r="W516" s="45"/>
      <c r="X516" s="27" t="s">
        <v>1662</v>
      </c>
      <c r="Y516" s="27" t="s">
        <v>1663</v>
      </c>
      <c r="Z516" s="80">
        <v>638</v>
      </c>
      <c r="AA516" s="27">
        <v>63</v>
      </c>
      <c r="AB516" s="80">
        <v>2298</v>
      </c>
      <c r="AC516" s="27">
        <v>1</v>
      </c>
      <c r="AD516" s="27" t="s">
        <v>4105</v>
      </c>
      <c r="AE516" s="27">
        <v>2315076151</v>
      </c>
      <c r="AF516" s="27" t="s">
        <v>4104</v>
      </c>
      <c r="AG516" s="27"/>
      <c r="AH516" s="79">
        <v>0.77333333333333298</v>
      </c>
      <c r="AI516" s="83">
        <v>1.21292775665399</v>
      </c>
      <c r="AJ516" s="80">
        <v>1.06913183279743</v>
      </c>
      <c r="AK516" s="80">
        <v>0.29421221864951802</v>
      </c>
      <c r="AL516" s="27">
        <v>6</v>
      </c>
      <c r="AM516" s="97">
        <f>SUM(AL516/Z516)</f>
        <v>9.4043887147335428E-3</v>
      </c>
      <c r="AN516" s="27" t="s">
        <v>1662</v>
      </c>
      <c r="AO516" s="27">
        <v>5</v>
      </c>
      <c r="AP516" s="27">
        <v>31</v>
      </c>
      <c r="AQ516" s="27">
        <v>5</v>
      </c>
      <c r="AR516" s="27">
        <f>SUM(AO516:AQ516)</f>
        <v>41</v>
      </c>
      <c r="AS516" s="27" t="s">
        <v>5319</v>
      </c>
      <c r="AT516" s="27" t="s">
        <v>5320</v>
      </c>
      <c r="AU516" s="84" t="s">
        <v>4854</v>
      </c>
      <c r="AV516" s="77"/>
      <c r="AW516" s="77"/>
      <c r="AX516" s="77"/>
      <c r="AY516" s="77"/>
      <c r="AZ516" s="77"/>
      <c r="BA516" s="77"/>
      <c r="BB516" s="77"/>
      <c r="BC516" s="77"/>
      <c r="BD516" s="77"/>
      <c r="BE516" s="77"/>
      <c r="BF516" s="77"/>
      <c r="BG516" s="77"/>
      <c r="BH516" s="77"/>
      <c r="BI516" s="77"/>
      <c r="BJ516" s="77"/>
      <c r="BK516" s="77"/>
      <c r="BL516" s="77"/>
      <c r="BM516" s="77"/>
      <c r="BN516" s="77"/>
      <c r="BO516" s="77"/>
      <c r="BP516" s="77"/>
      <c r="BQ516" s="77"/>
      <c r="BR516" s="77"/>
      <c r="BS516" s="77"/>
      <c r="BT516" s="77"/>
      <c r="BU516" s="77"/>
      <c r="BV516" s="77"/>
      <c r="BW516" s="77"/>
      <c r="BX516" s="77"/>
      <c r="BY516" s="77"/>
      <c r="BZ516" s="77"/>
      <c r="CA516" s="77"/>
      <c r="CB516" s="77"/>
      <c r="CC516" s="77"/>
      <c r="CD516" s="77"/>
      <c r="CE516" s="77"/>
      <c r="CF516" s="77"/>
      <c r="CG516" s="77"/>
      <c r="CH516" s="77"/>
      <c r="CI516" s="77"/>
      <c r="CJ516" s="77"/>
      <c r="CK516" s="77"/>
      <c r="CL516" s="77"/>
      <c r="CM516" s="77"/>
      <c r="CN516" s="77"/>
      <c r="CO516" s="77"/>
      <c r="CP516" s="77"/>
      <c r="CQ516" s="77"/>
      <c r="CR516" s="77"/>
      <c r="CS516" s="77"/>
      <c r="CT516" s="77"/>
      <c r="CU516" s="77"/>
      <c r="CV516" s="77"/>
      <c r="CW516" s="77"/>
      <c r="CX516" s="77"/>
      <c r="CY516" s="77"/>
      <c r="CZ516" s="77"/>
      <c r="DA516" s="77"/>
      <c r="DB516" s="77"/>
      <c r="DC516" s="77"/>
      <c r="DD516" s="77"/>
      <c r="DE516" s="77"/>
      <c r="DF516" s="77"/>
      <c r="DG516" s="77"/>
      <c r="DH516" s="77"/>
      <c r="DI516" s="77"/>
      <c r="DJ516" s="77"/>
      <c r="DK516" s="77"/>
      <c r="DL516" s="77"/>
      <c r="DM516" s="77"/>
      <c r="DN516" s="77"/>
      <c r="DO516" s="77"/>
      <c r="DP516" s="77"/>
      <c r="DQ516" s="77"/>
      <c r="DR516" s="77"/>
      <c r="DS516" s="77"/>
      <c r="DT516" s="77"/>
      <c r="DU516" s="77"/>
      <c r="DV516" s="77"/>
      <c r="DW516" s="77"/>
      <c r="DX516" s="77"/>
      <c r="DY516" s="77"/>
      <c r="DZ516" s="77"/>
      <c r="EA516" s="77"/>
      <c r="EB516" s="77"/>
      <c r="EC516" s="77"/>
      <c r="ED516" s="77"/>
      <c r="EE516" s="77"/>
      <c r="EF516" s="77"/>
      <c r="EG516" s="77"/>
      <c r="EH516" s="77"/>
      <c r="EI516" s="77"/>
      <c r="EJ516" s="77"/>
      <c r="EK516" s="77"/>
      <c r="EL516" s="77"/>
      <c r="EM516" s="77"/>
      <c r="EN516" s="77"/>
      <c r="EO516" s="77"/>
      <c r="EP516" s="16"/>
      <c r="EQ516" s="77"/>
      <c r="ER516" s="77"/>
      <c r="ES516" s="77"/>
      <c r="ET516" s="77"/>
      <c r="EU516" s="77"/>
      <c r="EV516" s="77"/>
      <c r="EW516" s="77"/>
      <c r="EX516" s="77"/>
      <c r="EY516" s="77"/>
      <c r="EZ516" s="77"/>
      <c r="FA516" s="77"/>
      <c r="FB516" s="77"/>
      <c r="FC516" s="77"/>
      <c r="FD516" s="77"/>
      <c r="FE516" s="77"/>
      <c r="FF516" s="77"/>
      <c r="FG516" s="77"/>
      <c r="FH516" s="77"/>
      <c r="FI516" s="77"/>
      <c r="FJ516" s="77"/>
      <c r="FK516" s="77"/>
      <c r="FL516" s="77"/>
      <c r="FM516" s="77"/>
      <c r="FN516" s="77"/>
      <c r="FO516" s="77"/>
      <c r="FP516" s="77"/>
      <c r="FQ516" s="77"/>
      <c r="FR516" s="77"/>
      <c r="FS516" s="77"/>
      <c r="FT516" s="77"/>
      <c r="FU516" s="77"/>
      <c r="FV516" s="77"/>
      <c r="FW516" s="77"/>
      <c r="FX516" s="77"/>
      <c r="FY516" s="77"/>
      <c r="FZ516" s="77"/>
      <c r="GA516" s="77"/>
      <c r="GB516" s="77"/>
      <c r="GC516" s="77"/>
      <c r="GD516" s="77"/>
      <c r="GE516" s="77"/>
      <c r="GF516" s="77"/>
      <c r="GG516" s="77"/>
      <c r="GH516" s="77"/>
      <c r="GI516" s="77"/>
      <c r="GJ516" s="77"/>
      <c r="GK516" s="77"/>
      <c r="GL516" s="77"/>
      <c r="GM516" s="77"/>
      <c r="GN516" s="77"/>
      <c r="GO516" s="77"/>
      <c r="GP516" s="77"/>
      <c r="GQ516" s="77"/>
      <c r="GR516" s="77"/>
      <c r="GS516" s="77"/>
      <c r="GT516" s="77"/>
      <c r="GU516" s="77"/>
      <c r="GV516" s="77"/>
      <c r="GW516" s="77"/>
      <c r="GX516" s="77"/>
      <c r="GY516" s="77"/>
      <c r="GZ516" s="77"/>
      <c r="HA516" s="77"/>
      <c r="HB516" s="77"/>
      <c r="HC516" s="77"/>
      <c r="HD516" s="77"/>
      <c r="HE516" s="77"/>
      <c r="HF516" s="77"/>
      <c r="HG516" s="77"/>
      <c r="HH516" s="77"/>
      <c r="HI516" s="77"/>
      <c r="HJ516" s="77"/>
      <c r="HK516" s="77"/>
      <c r="HL516" s="77"/>
      <c r="HM516" s="77"/>
      <c r="HN516" s="77"/>
      <c r="HO516" s="77"/>
      <c r="HP516" s="77"/>
      <c r="HQ516" s="77"/>
      <c r="HR516" s="77"/>
      <c r="HS516" s="77"/>
      <c r="HT516" s="77"/>
      <c r="HU516" s="77"/>
      <c r="HV516" s="77"/>
      <c r="HW516" s="77"/>
      <c r="HX516" s="77"/>
      <c r="HY516" s="77"/>
      <c r="HZ516" s="77"/>
      <c r="IA516" s="77"/>
      <c r="IB516" s="77"/>
      <c r="IC516" s="77"/>
      <c r="ID516" s="77"/>
      <c r="IE516" s="77"/>
      <c r="JY516" s="77"/>
      <c r="JZ516" s="77"/>
      <c r="KA516" s="77"/>
      <c r="KB516" s="77"/>
      <c r="KC516" s="77"/>
      <c r="KD516" s="77"/>
      <c r="KE516" s="77"/>
      <c r="KF516" s="77"/>
      <c r="KG516" s="77"/>
      <c r="KH516" s="77"/>
      <c r="KI516" s="77"/>
      <c r="KJ516" s="77"/>
      <c r="KK516" s="77"/>
      <c r="KL516" s="77"/>
      <c r="KM516" s="77"/>
      <c r="KN516" s="77"/>
      <c r="KO516" s="77"/>
      <c r="KP516" s="77"/>
      <c r="KQ516" s="77"/>
      <c r="KR516" s="77"/>
      <c r="KS516" s="77"/>
      <c r="KT516" s="77"/>
      <c r="KU516" s="77"/>
      <c r="KV516" s="77"/>
      <c r="KW516" s="77"/>
      <c r="KX516" s="77"/>
      <c r="KY516" s="77"/>
      <c r="KZ516" s="77"/>
      <c r="LA516" s="77"/>
      <c r="LB516" s="77"/>
      <c r="LC516" s="77"/>
      <c r="LD516" s="77"/>
      <c r="LE516" s="77"/>
      <c r="LF516" s="77"/>
      <c r="LG516" s="77"/>
      <c r="LH516" s="77"/>
      <c r="LI516" s="77"/>
      <c r="LJ516" s="77"/>
      <c r="LK516" s="77"/>
      <c r="LL516" s="77"/>
      <c r="LM516" s="77"/>
      <c r="LN516" s="77"/>
      <c r="LO516" s="77"/>
      <c r="LP516" s="77"/>
      <c r="LQ516" s="77"/>
      <c r="LR516" s="77"/>
      <c r="LS516" s="77"/>
      <c r="LT516" s="77"/>
      <c r="LU516" s="77"/>
      <c r="LV516" s="77"/>
      <c r="LW516" s="77"/>
      <c r="LX516" s="77"/>
      <c r="MS516" s="77"/>
      <c r="ND516" s="77"/>
    </row>
    <row r="517" spans="1:421" s="21" customFormat="1" ht="18.600000000000001" customHeight="1" x14ac:dyDescent="0.25">
      <c r="A517" s="119" t="s">
        <v>3460</v>
      </c>
      <c r="B517" s="27" t="s">
        <v>2467</v>
      </c>
      <c r="C517" s="27" t="s">
        <v>2468</v>
      </c>
      <c r="D517" s="30" t="str">
        <f>HYPERLINK("https://twitter.com/Andresnavarrog","https://twitter.com/Andresnavarrog")</f>
        <v>https://twitter.com/Andresnavarrog</v>
      </c>
      <c r="E517" s="30" t="str">
        <f>HYPERLINK("http://twiplomacy.com/info/north-america/Dominican-Republic","http://twiplomacy.com/info/north-america/Dominican-Republic")</f>
        <v>http://twiplomacy.com/info/north-america/Dominican-Republic</v>
      </c>
      <c r="F517" s="10" t="s">
        <v>558</v>
      </c>
      <c r="G517" s="10" t="s">
        <v>584</v>
      </c>
      <c r="H517" s="10" t="s">
        <v>860</v>
      </c>
      <c r="I517" s="10" t="s">
        <v>773</v>
      </c>
      <c r="J517" s="27" t="s">
        <v>2226</v>
      </c>
      <c r="K517" s="15" t="s">
        <v>777</v>
      </c>
      <c r="L517" s="10" t="s">
        <v>771</v>
      </c>
      <c r="M517" s="10" t="s">
        <v>770</v>
      </c>
      <c r="N517" s="72" t="str">
        <f>HYPERLINK("https://twitter.com/andresnavarrog/status/14981487021","https://twitter.com/andresnavarrog/status/14981487021")</f>
        <v>https://twitter.com/andresnavarrog/status/14981487021</v>
      </c>
      <c r="O517" s="27" t="s">
        <v>5685</v>
      </c>
      <c r="P517" s="80">
        <v>95</v>
      </c>
      <c r="Q517" s="80">
        <v>57</v>
      </c>
      <c r="R517" s="27" t="s">
        <v>2995</v>
      </c>
      <c r="S517" s="30" t="str">
        <f>HYPERLINK("https://twitter.com/Andresnavarrog/lists","https://twitter.com/Andresnavarrog/lists")</f>
        <v>https://twitter.com/Andresnavarrog/lists</v>
      </c>
      <c r="T517" s="10" t="s">
        <v>771</v>
      </c>
      <c r="U517" s="10" t="s">
        <v>771</v>
      </c>
      <c r="V517" s="10" t="s">
        <v>771</v>
      </c>
      <c r="W517" s="10"/>
      <c r="X517" s="27" t="s">
        <v>3460</v>
      </c>
      <c r="Y517" s="27" t="s">
        <v>2467</v>
      </c>
      <c r="Z517" s="80">
        <v>635</v>
      </c>
      <c r="AA517" s="27">
        <v>139</v>
      </c>
      <c r="AB517" s="80">
        <v>9352</v>
      </c>
      <c r="AC517" s="27">
        <v>4</v>
      </c>
      <c r="AD517" s="27" t="s">
        <v>3461</v>
      </c>
      <c r="AE517" s="27">
        <v>148874713</v>
      </c>
      <c r="AF517" s="27" t="s">
        <v>2468</v>
      </c>
      <c r="AG517" s="27" t="s">
        <v>2464</v>
      </c>
      <c r="AH517" s="79">
        <v>0.293167128347184</v>
      </c>
      <c r="AI517" s="83">
        <v>0.29480037140204302</v>
      </c>
      <c r="AJ517" s="80">
        <v>2.57753164556962</v>
      </c>
      <c r="AK517" s="80">
        <v>2.1993670886076</v>
      </c>
      <c r="AL517" s="96">
        <v>22</v>
      </c>
      <c r="AM517" s="97">
        <f>SUM(AL517/Z517)</f>
        <v>3.4645669291338582E-2</v>
      </c>
      <c r="AN517" s="27" t="s">
        <v>3460</v>
      </c>
      <c r="AO517" s="27">
        <v>11</v>
      </c>
      <c r="AP517" s="27">
        <v>12</v>
      </c>
      <c r="AQ517" s="27">
        <v>4</v>
      </c>
      <c r="AR517" s="27">
        <f>SUM(AO517:AQ517)</f>
        <v>27</v>
      </c>
      <c r="AS517" s="27" t="s">
        <v>6635</v>
      </c>
      <c r="AT517" s="27" t="s">
        <v>6673</v>
      </c>
      <c r="AU517" s="84" t="s">
        <v>6467</v>
      </c>
      <c r="AV517" s="77"/>
      <c r="AW517" s="77"/>
      <c r="AX517" s="77"/>
      <c r="AY517" s="77"/>
      <c r="AZ517" s="77"/>
      <c r="BA517" s="77"/>
      <c r="BB517" s="77"/>
      <c r="BC517" s="77"/>
      <c r="BD517" s="77"/>
      <c r="BE517" s="77"/>
      <c r="BF517" s="77"/>
      <c r="BG517" s="77"/>
      <c r="BH517" s="77"/>
      <c r="BI517" s="77"/>
      <c r="BJ517" s="77"/>
      <c r="BK517" s="77"/>
      <c r="BL517" s="77"/>
      <c r="BM517" s="77"/>
      <c r="BN517" s="77"/>
      <c r="BO517" s="77"/>
      <c r="BP517" s="77"/>
      <c r="BQ517" s="77"/>
      <c r="BR517" s="77"/>
      <c r="BS517" s="77"/>
      <c r="BT517" s="77"/>
      <c r="BU517" s="77"/>
      <c r="BV517" s="77"/>
      <c r="BW517" s="77"/>
      <c r="BX517" s="77"/>
      <c r="BY517" s="77"/>
      <c r="BZ517" s="77"/>
      <c r="CA517" s="77"/>
      <c r="CB517" s="77"/>
      <c r="CX517" s="77"/>
      <c r="CY517" s="77"/>
      <c r="CZ517" s="77"/>
      <c r="DA517" s="77"/>
      <c r="DB517" s="77"/>
      <c r="DC517" s="77"/>
      <c r="DD517" s="77"/>
      <c r="DE517" s="77"/>
      <c r="DF517" s="77"/>
      <c r="DG517" s="77"/>
      <c r="DH517" s="77"/>
      <c r="DI517" s="77"/>
      <c r="DJ517" s="77"/>
      <c r="DK517" s="77"/>
      <c r="DL517" s="77"/>
      <c r="DM517" s="77"/>
      <c r="DN517" s="77"/>
      <c r="DO517" s="77"/>
      <c r="DP517" s="77"/>
      <c r="DQ517" s="77"/>
      <c r="DR517" s="77"/>
      <c r="DS517" s="77"/>
      <c r="DT517" s="77"/>
      <c r="DU517" s="77"/>
      <c r="DV517" s="77"/>
      <c r="DW517" s="77"/>
      <c r="DX517" s="77"/>
      <c r="DY517" s="77"/>
      <c r="DZ517" s="77"/>
      <c r="EA517" s="77"/>
      <c r="EB517" s="77"/>
      <c r="EC517" s="77"/>
      <c r="ED517" s="77"/>
      <c r="EE517" s="77"/>
      <c r="EF517" s="77"/>
      <c r="EG517" s="77"/>
      <c r="EH517" s="77"/>
      <c r="EI517" s="77"/>
      <c r="EJ517" s="77"/>
      <c r="EK517" s="77"/>
      <c r="EL517" s="77"/>
      <c r="EM517" s="77"/>
      <c r="EN517" s="77"/>
      <c r="EO517" s="77"/>
      <c r="EP517" s="77"/>
      <c r="EQ517" s="77"/>
      <c r="ER517" s="77"/>
      <c r="ES517" s="77"/>
      <c r="ET517" s="77"/>
      <c r="EU517" s="77"/>
      <c r="EV517" s="77"/>
      <c r="EW517" s="77"/>
      <c r="EX517" s="77"/>
      <c r="EY517" s="77"/>
      <c r="EZ517" s="77"/>
      <c r="FA517" s="77"/>
      <c r="FB517" s="77"/>
      <c r="FC517" s="77"/>
      <c r="FD517" s="77"/>
      <c r="FE517" s="77"/>
      <c r="FF517" s="77"/>
      <c r="FG517" s="77"/>
      <c r="FH517" s="77"/>
      <c r="FI517" s="77"/>
      <c r="FJ517" s="77"/>
      <c r="FK517" s="77"/>
      <c r="FL517" s="77"/>
      <c r="FM517" s="77"/>
      <c r="FN517" s="77"/>
      <c r="FO517" s="77"/>
      <c r="FP517" s="77"/>
      <c r="FQ517" s="77"/>
      <c r="FR517" s="77"/>
      <c r="FS517" s="77"/>
      <c r="FT517" s="77"/>
      <c r="FU517" s="77"/>
      <c r="FV517" s="77"/>
      <c r="FW517" s="77"/>
      <c r="FX517" s="77"/>
      <c r="FY517" s="77"/>
      <c r="FZ517" s="77"/>
      <c r="GA517" s="77"/>
      <c r="GB517" s="77"/>
      <c r="GC517" s="77"/>
      <c r="GD517" s="77"/>
      <c r="GE517" s="77"/>
      <c r="GF517" s="77"/>
      <c r="GG517" s="77"/>
      <c r="GH517" s="77"/>
      <c r="GI517" s="77"/>
      <c r="GJ517" s="77"/>
      <c r="GK517" s="77"/>
      <c r="GL517" s="77"/>
      <c r="GM517" s="77"/>
      <c r="GN517" s="77"/>
      <c r="GO517" s="77"/>
      <c r="GP517" s="77"/>
      <c r="GQ517" s="77"/>
      <c r="GR517" s="77"/>
      <c r="GS517" s="77"/>
      <c r="GT517" s="77"/>
      <c r="GU517" s="77"/>
      <c r="GV517" s="77"/>
      <c r="GW517" s="77"/>
      <c r="GX517" s="77"/>
      <c r="GY517" s="77"/>
      <c r="GZ517" s="77"/>
      <c r="HA517" s="77"/>
      <c r="HB517" s="77"/>
      <c r="HC517" s="77"/>
      <c r="HD517" s="77"/>
      <c r="HE517" s="77"/>
      <c r="HF517" s="77"/>
      <c r="HG517" s="77"/>
      <c r="HH517" s="77"/>
      <c r="HI517" s="77"/>
      <c r="HJ517" s="77"/>
      <c r="HK517" s="77"/>
      <c r="HL517" s="77"/>
      <c r="HM517" s="77"/>
      <c r="HN517" s="77"/>
      <c r="HO517" s="77"/>
      <c r="HP517" s="77"/>
      <c r="HQ517" s="77"/>
      <c r="HR517" s="77"/>
      <c r="HS517" s="77"/>
      <c r="HT517" s="77"/>
      <c r="HU517" s="77"/>
      <c r="HV517" s="77"/>
      <c r="HW517" s="77"/>
      <c r="HX517" s="77"/>
      <c r="HY517" s="77"/>
      <c r="HZ517" s="77"/>
      <c r="IA517" s="77"/>
      <c r="IB517" s="77"/>
      <c r="IC517" s="77"/>
      <c r="ID517" s="77"/>
      <c r="IE517" s="77"/>
      <c r="IF517" s="77"/>
      <c r="IG517" s="77"/>
      <c r="IH517" s="77"/>
      <c r="II517" s="77"/>
      <c r="IJ517" s="77"/>
      <c r="IK517" s="77"/>
      <c r="IL517" s="77"/>
      <c r="IM517" s="77"/>
      <c r="IN517" s="77"/>
      <c r="IO517" s="77"/>
      <c r="IP517" s="77"/>
      <c r="IQ517" s="77"/>
      <c r="IR517" s="77"/>
      <c r="IS517" s="77"/>
      <c r="IT517" s="77"/>
      <c r="IU517" s="77"/>
      <c r="IV517" s="77"/>
      <c r="IW517" s="77"/>
      <c r="IX517" s="77"/>
      <c r="IY517" s="77"/>
      <c r="IZ517" s="77"/>
      <c r="JA517" s="77"/>
      <c r="JB517" s="77"/>
      <c r="JC517" s="77"/>
      <c r="JD517" s="77"/>
      <c r="JE517" s="77"/>
      <c r="JF517" s="77"/>
      <c r="JG517" s="77"/>
      <c r="JH517" s="77"/>
      <c r="JI517" s="77"/>
      <c r="JJ517" s="77"/>
      <c r="JK517" s="77"/>
      <c r="JL517" s="77"/>
      <c r="JM517" s="77"/>
      <c r="JN517" s="77"/>
      <c r="JO517" s="77"/>
      <c r="JP517" s="77"/>
      <c r="JQ517" s="77"/>
      <c r="JR517" s="77"/>
      <c r="JS517" s="77"/>
      <c r="JT517" s="77"/>
      <c r="JU517" s="77"/>
      <c r="JV517" s="77"/>
      <c r="JW517" s="77"/>
      <c r="JX517" s="77"/>
      <c r="JY517" s="77"/>
      <c r="JZ517" s="77"/>
      <c r="KA517" s="77"/>
      <c r="KB517" s="77"/>
      <c r="KC517" s="77"/>
      <c r="KD517" s="77"/>
      <c r="KE517" s="77"/>
      <c r="KF517" s="77"/>
      <c r="KG517" s="77"/>
      <c r="KH517" s="77"/>
      <c r="KI517" s="77"/>
      <c r="KJ517" s="77"/>
      <c r="KK517" s="77"/>
      <c r="KL517" s="77"/>
      <c r="KM517" s="77"/>
      <c r="KN517" s="77"/>
      <c r="KO517" s="77"/>
      <c r="KP517" s="77"/>
      <c r="KQ517" s="77"/>
      <c r="KR517" s="77"/>
      <c r="KS517" s="77"/>
      <c r="KT517" s="77"/>
      <c r="KU517" s="77"/>
      <c r="KV517" s="77"/>
      <c r="KW517" s="77"/>
      <c r="KX517" s="77"/>
      <c r="KY517" s="77"/>
      <c r="KZ517" s="77"/>
      <c r="LA517" s="77"/>
      <c r="LB517" s="77"/>
      <c r="LC517" s="77"/>
      <c r="LD517" s="77"/>
      <c r="LE517" s="77"/>
      <c r="LF517" s="77"/>
      <c r="LG517" s="77"/>
      <c r="LH517" s="77"/>
      <c r="LI517" s="77"/>
      <c r="LJ517" s="77"/>
      <c r="LK517" s="77"/>
      <c r="LL517" s="77"/>
      <c r="LM517" s="77"/>
      <c r="LN517" s="77"/>
      <c r="LO517" s="77"/>
      <c r="LP517" s="77"/>
      <c r="LQ517" s="77"/>
      <c r="LR517" s="77"/>
      <c r="LS517" s="77"/>
      <c r="LT517" s="77"/>
      <c r="LU517" s="77"/>
      <c r="LV517" s="77"/>
      <c r="MS517" s="77"/>
    </row>
    <row r="518" spans="1:421" s="21" customFormat="1" ht="18.600000000000001" customHeight="1" x14ac:dyDescent="0.25">
      <c r="A518" s="119" t="s">
        <v>559</v>
      </c>
      <c r="B518" s="27" t="s">
        <v>557</v>
      </c>
      <c r="C518" s="27" t="s">
        <v>2407</v>
      </c>
      <c r="D518" s="30" t="str">
        <f>HYPERLINK("https://twitter.com/antiguagov","https://twitter.com/antiguagov")</f>
        <v>https://twitter.com/antiguagov</v>
      </c>
      <c r="E518" s="30" t="str">
        <f>HYPERLINK("http://twiplomacy.com/info/north-america/Antigua-and-Barbuda","http://twiplomacy.com/info/north-america/Antigua-and-Barbuda")</f>
        <v>http://twiplomacy.com/info/north-america/Antigua-and-Barbuda</v>
      </c>
      <c r="F518" s="10" t="s">
        <v>558</v>
      </c>
      <c r="G518" s="10" t="s">
        <v>557</v>
      </c>
      <c r="H518" s="10" t="s">
        <v>788</v>
      </c>
      <c r="I518" s="10" t="s">
        <v>782</v>
      </c>
      <c r="J518" s="27" t="s">
        <v>789</v>
      </c>
      <c r="K518" s="15" t="s">
        <v>777</v>
      </c>
      <c r="L518" s="10" t="s">
        <v>771</v>
      </c>
      <c r="M518" s="10" t="s">
        <v>771</v>
      </c>
      <c r="N518" s="30" t="str">
        <f>HYPERLINK("https://twitter.com/antiguagov/statuses/27374715446239232","https://twitter.com/antiguagov/statuses/27374715446239232")</f>
        <v>https://twitter.com/antiguagov/statuses/27374715446239232</v>
      </c>
      <c r="O518" s="27" t="s">
        <v>5686</v>
      </c>
      <c r="P518" s="80">
        <v>19</v>
      </c>
      <c r="Q518" s="80">
        <v>2</v>
      </c>
      <c r="R518" s="27" t="s">
        <v>2995</v>
      </c>
      <c r="S518" s="30" t="str">
        <f>HYPERLINK("https://twitter.com/antiguagov/lists","https://twitter.com/antiguagov/lists")</f>
        <v>https://twitter.com/antiguagov/lists</v>
      </c>
      <c r="T518" s="10" t="s">
        <v>771</v>
      </c>
      <c r="U518" s="10">
        <v>1</v>
      </c>
      <c r="V518" s="10" t="s">
        <v>771</v>
      </c>
      <c r="W518" s="10"/>
      <c r="X518" s="27" t="s">
        <v>559</v>
      </c>
      <c r="Y518" s="27" t="s">
        <v>557</v>
      </c>
      <c r="Z518" s="80">
        <v>634</v>
      </c>
      <c r="AA518" s="27">
        <v>41</v>
      </c>
      <c r="AB518" s="80">
        <v>2056</v>
      </c>
      <c r="AC518" s="27">
        <v>0</v>
      </c>
      <c r="AD518" s="27" t="s">
        <v>3469</v>
      </c>
      <c r="AE518" s="27">
        <v>166231881</v>
      </c>
      <c r="AF518" s="27" t="s">
        <v>2407</v>
      </c>
      <c r="AG518" s="27" t="s">
        <v>557</v>
      </c>
      <c r="AH518" s="79">
        <v>0.29905660377358501</v>
      </c>
      <c r="AI518" s="83">
        <v>0.36249285305889101</v>
      </c>
      <c r="AJ518" s="80">
        <v>0.31300160513643699</v>
      </c>
      <c r="AK518" s="80">
        <v>7.2231139646870002E-2</v>
      </c>
      <c r="AL518" s="13">
        <v>0</v>
      </c>
      <c r="AM518" s="97">
        <f>SUM(AL518/Z518)</f>
        <v>0</v>
      </c>
      <c r="AN518" s="27" t="s">
        <v>559</v>
      </c>
      <c r="AO518" s="27">
        <v>0</v>
      </c>
      <c r="AP518" s="27">
        <v>7</v>
      </c>
      <c r="AQ518" s="27">
        <v>0</v>
      </c>
      <c r="AR518" s="27">
        <f>SUM(AO518:AQ518)</f>
        <v>7</v>
      </c>
      <c r="AS518" s="27"/>
      <c r="AT518" s="27" t="s">
        <v>6675</v>
      </c>
      <c r="AU518" s="84"/>
      <c r="AV518" s="77"/>
      <c r="AW518" s="77"/>
      <c r="AX518" s="77"/>
      <c r="AY518" s="77"/>
      <c r="AZ518" s="77"/>
      <c r="BA518" s="77"/>
      <c r="BB518" s="77"/>
      <c r="BC518" s="77"/>
      <c r="BD518" s="77"/>
      <c r="BE518" s="77"/>
      <c r="BF518" s="77"/>
      <c r="BG518" s="77"/>
      <c r="BH518" s="77"/>
      <c r="BI518" s="77"/>
      <c r="BJ518" s="77"/>
      <c r="BK518" s="77"/>
      <c r="BL518" s="77"/>
      <c r="BM518" s="77"/>
      <c r="BN518" s="77"/>
      <c r="BO518" s="77"/>
      <c r="BP518" s="77"/>
      <c r="BQ518" s="77"/>
      <c r="BR518" s="77"/>
      <c r="BS518" s="77"/>
      <c r="BT518" s="77"/>
      <c r="BU518" s="77"/>
      <c r="BV518" s="77"/>
      <c r="BW518" s="77"/>
      <c r="BX518" s="77"/>
      <c r="BY518" s="77"/>
      <c r="BZ518" s="77"/>
      <c r="CA518" s="77"/>
      <c r="CB518" s="77"/>
      <c r="CC518" s="77"/>
      <c r="CD518" s="77"/>
      <c r="CE518" s="77"/>
      <c r="CF518" s="77"/>
      <c r="CG518" s="77"/>
      <c r="CH518" s="77"/>
      <c r="CI518" s="77"/>
      <c r="CJ518" s="77"/>
      <c r="CK518" s="77"/>
      <c r="CL518" s="77"/>
      <c r="CM518" s="77"/>
      <c r="CN518" s="77"/>
      <c r="CO518" s="77"/>
      <c r="CP518" s="77"/>
      <c r="CQ518" s="77"/>
      <c r="CR518" s="77"/>
      <c r="CS518" s="77"/>
      <c r="CT518" s="77"/>
      <c r="CU518" s="77"/>
      <c r="CV518" s="77"/>
      <c r="CW518" s="77"/>
      <c r="CX518" s="77"/>
      <c r="CY518" s="77"/>
      <c r="CZ518" s="77"/>
      <c r="DA518" s="77"/>
      <c r="DB518" s="77"/>
      <c r="DC518" s="77"/>
      <c r="DD518" s="77"/>
      <c r="DE518" s="77"/>
      <c r="DF518" s="77"/>
      <c r="DG518" s="77"/>
      <c r="DH518" s="77"/>
      <c r="DI518" s="77"/>
      <c r="DJ518" s="77"/>
      <c r="DK518" s="77"/>
      <c r="DL518" s="77"/>
      <c r="DM518" s="77"/>
      <c r="DN518" s="77"/>
      <c r="DO518" s="77"/>
      <c r="DP518" s="77"/>
      <c r="DQ518" s="77"/>
      <c r="DR518" s="77"/>
      <c r="DS518" s="77"/>
      <c r="DT518" s="77"/>
      <c r="DU518" s="77"/>
      <c r="DV518" s="77"/>
      <c r="DW518" s="77"/>
      <c r="DX518" s="77"/>
      <c r="DY518" s="77"/>
      <c r="DZ518" s="77"/>
      <c r="EA518" s="77"/>
      <c r="EB518" s="77"/>
      <c r="EC518" s="77"/>
      <c r="ED518" s="77"/>
      <c r="EE518" s="77"/>
      <c r="EF518" s="77"/>
      <c r="EG518" s="77"/>
      <c r="EH518" s="77"/>
      <c r="EI518" s="77"/>
      <c r="EJ518" s="77"/>
      <c r="EK518" s="77"/>
      <c r="EL518" s="77"/>
      <c r="EP518" s="77"/>
      <c r="ER518" s="77"/>
      <c r="ES518" s="77"/>
      <c r="ET518" s="77"/>
      <c r="EU518" s="77"/>
      <c r="EV518" s="77"/>
      <c r="EW518" s="77"/>
      <c r="EX518" s="77"/>
      <c r="EY518" s="77"/>
      <c r="EZ518" s="77"/>
      <c r="FA518" s="77"/>
      <c r="FB518" s="77"/>
      <c r="FC518" s="77"/>
      <c r="FD518" s="77"/>
      <c r="FE518" s="77"/>
      <c r="FF518" s="77"/>
      <c r="FG518" s="77"/>
      <c r="FH518" s="77"/>
      <c r="FI518" s="77"/>
      <c r="FJ518" s="77"/>
      <c r="FK518" s="77"/>
      <c r="FL518" s="77"/>
      <c r="FM518" s="77"/>
      <c r="FN518" s="77"/>
      <c r="FO518" s="77"/>
      <c r="FP518" s="77"/>
      <c r="FQ518" s="77"/>
      <c r="FR518" s="77"/>
      <c r="FS518" s="77"/>
      <c r="FT518" s="77"/>
      <c r="FU518" s="77"/>
      <c r="FV518" s="77"/>
      <c r="FW518" s="77"/>
      <c r="FX518" s="77"/>
      <c r="FY518" s="77"/>
      <c r="FZ518" s="77"/>
      <c r="GA518" s="77"/>
      <c r="GB518" s="77"/>
      <c r="GC518" s="77"/>
      <c r="GD518" s="77"/>
      <c r="GE518" s="77"/>
      <c r="GF518" s="77"/>
      <c r="GG518" s="77"/>
      <c r="GH518" s="77"/>
      <c r="GI518" s="77"/>
      <c r="GJ518" s="77"/>
      <c r="GK518" s="77"/>
      <c r="GL518" s="77"/>
      <c r="GM518" s="77"/>
      <c r="GN518" s="77"/>
      <c r="GO518" s="77"/>
      <c r="GP518" s="77"/>
      <c r="GQ518" s="77"/>
      <c r="GR518" s="77"/>
      <c r="GS518" s="77"/>
      <c r="GT518" s="77"/>
      <c r="GU518" s="77"/>
      <c r="GV518" s="77"/>
      <c r="GW518" s="77"/>
      <c r="GX518" s="77"/>
      <c r="GY518" s="77"/>
      <c r="GZ518" s="77"/>
      <c r="HA518" s="77"/>
      <c r="HB518" s="77"/>
      <c r="HC518" s="77"/>
      <c r="HD518" s="77"/>
      <c r="HE518" s="77"/>
      <c r="HF518" s="77"/>
      <c r="HG518" s="77"/>
      <c r="HH518" s="77"/>
      <c r="HI518" s="77"/>
      <c r="HJ518" s="77"/>
      <c r="HK518" s="77"/>
      <c r="HL518" s="77"/>
      <c r="HM518" s="77"/>
      <c r="HN518" s="77"/>
      <c r="HO518" s="77"/>
      <c r="HP518" s="77"/>
      <c r="HQ518" s="77"/>
      <c r="HR518" s="77"/>
      <c r="HS518" s="77"/>
      <c r="HT518" s="77"/>
      <c r="HU518" s="77"/>
      <c r="HV518" s="77"/>
      <c r="HW518" s="77"/>
      <c r="HX518" s="77"/>
      <c r="HY518" s="77"/>
      <c r="HZ518" s="77"/>
      <c r="IA518" s="77"/>
      <c r="IB518" s="77"/>
      <c r="IC518" s="77"/>
      <c r="IF518" s="77"/>
      <c r="IG518" s="77"/>
      <c r="IH518" s="77"/>
      <c r="II518" s="77"/>
      <c r="IJ518" s="77"/>
      <c r="IK518" s="77"/>
      <c r="IL518" s="77"/>
      <c r="IM518" s="77"/>
      <c r="IN518" s="77"/>
      <c r="IO518" s="77"/>
      <c r="IP518" s="77"/>
      <c r="IQ518" s="77"/>
      <c r="IR518" s="77"/>
      <c r="IS518" s="77"/>
      <c r="IT518" s="77"/>
      <c r="IU518" s="77"/>
      <c r="IV518" s="77"/>
      <c r="IW518" s="77"/>
      <c r="IX518" s="77"/>
      <c r="IY518" s="77"/>
      <c r="IZ518" s="77"/>
      <c r="JA518" s="77"/>
      <c r="JB518" s="77"/>
      <c r="JC518" s="77"/>
      <c r="JD518" s="77"/>
      <c r="JE518" s="77"/>
      <c r="JF518" s="77"/>
      <c r="JG518" s="77"/>
      <c r="JH518" s="77"/>
      <c r="JI518" s="77"/>
      <c r="JJ518" s="77"/>
      <c r="JK518" s="77"/>
      <c r="JL518" s="77"/>
      <c r="JM518" s="77"/>
      <c r="JN518" s="77"/>
      <c r="JO518" s="77"/>
      <c r="JP518" s="77"/>
      <c r="JQ518" s="77"/>
      <c r="JR518" s="77"/>
      <c r="JS518" s="77"/>
      <c r="JT518" s="77"/>
      <c r="JU518" s="77"/>
      <c r="JV518" s="77"/>
      <c r="JW518" s="77"/>
      <c r="JX518" s="77"/>
      <c r="JY518" s="77"/>
      <c r="JZ518" s="77"/>
      <c r="KA518" s="77"/>
      <c r="KB518" s="77"/>
      <c r="KC518" s="77"/>
      <c r="KD518" s="77"/>
      <c r="KE518" s="77"/>
      <c r="KF518" s="77"/>
      <c r="KG518" s="77"/>
      <c r="KH518" s="77"/>
      <c r="KI518" s="77"/>
      <c r="KJ518" s="77"/>
      <c r="KK518" s="77"/>
      <c r="KL518" s="77"/>
      <c r="LW518" s="77"/>
      <c r="LX518" s="77"/>
      <c r="LY518" s="77"/>
      <c r="LZ518" s="77"/>
      <c r="MA518" s="77"/>
      <c r="MB518" s="77"/>
      <c r="MC518" s="77"/>
      <c r="MD518" s="77"/>
      <c r="ME518" s="77"/>
      <c r="MF518" s="77"/>
      <c r="MG518" s="77"/>
      <c r="MH518" s="77"/>
      <c r="MI518" s="77"/>
      <c r="MJ518" s="77"/>
      <c r="MK518" s="77"/>
      <c r="ML518" s="77"/>
      <c r="MM518" s="77"/>
      <c r="MN518" s="77"/>
      <c r="MO518" s="77"/>
      <c r="MP518" s="77"/>
      <c r="MQ518" s="77"/>
      <c r="MR518" s="77"/>
      <c r="MS518" s="77"/>
    </row>
    <row r="519" spans="1:421" s="21" customFormat="1" ht="18.600000000000001" customHeight="1" x14ac:dyDescent="0.25">
      <c r="A519" s="119" t="s">
        <v>632</v>
      </c>
      <c r="B519" s="27" t="s">
        <v>632</v>
      </c>
      <c r="C519" s="27"/>
      <c r="D519" s="30" t="str">
        <f>HYPERLINK("https://twitter.com/mfagovtt","https://twitter.com/mfagovtt")</f>
        <v>https://twitter.com/mfagovtt</v>
      </c>
      <c r="E519" s="30" t="str">
        <f>HYPERLINK("http://twiplomacy.com/info/north-america/Trinidad-and-Tobago","http://twiplomacy.com/info/north-america/Trinidad-and-Tobago")</f>
        <v>http://twiplomacy.com/info/north-america/Trinidad-and-Tobago</v>
      </c>
      <c r="F519" s="10" t="s">
        <v>558</v>
      </c>
      <c r="G519" s="10" t="s">
        <v>629</v>
      </c>
      <c r="H519" s="10" t="s">
        <v>795</v>
      </c>
      <c r="I519" s="10" t="s">
        <v>782</v>
      </c>
      <c r="J519" s="27" t="s">
        <v>789</v>
      </c>
      <c r="K519" s="15" t="s">
        <v>777</v>
      </c>
      <c r="L519" s="10" t="s">
        <v>771</v>
      </c>
      <c r="M519" s="10" t="s">
        <v>771</v>
      </c>
      <c r="N519" s="30" t="str">
        <f>HYPERLINK("https://twitter.com/mfagovtt/statuses/16493684554","https://twitter.com/mfagovtt/statuses/16493684554")</f>
        <v>https://twitter.com/mfagovtt/statuses/16493684554</v>
      </c>
      <c r="O519" s="27" t="s">
        <v>2561</v>
      </c>
      <c r="P519" s="80">
        <v>3</v>
      </c>
      <c r="Q519" s="80">
        <v>0</v>
      </c>
      <c r="R519" s="27" t="s">
        <v>2995</v>
      </c>
      <c r="S519" s="10" t="s">
        <v>2562</v>
      </c>
      <c r="T519" s="10" t="s">
        <v>771</v>
      </c>
      <c r="U519" s="10" t="s">
        <v>771</v>
      </c>
      <c r="V519" s="10" t="s">
        <v>771</v>
      </c>
      <c r="W519" s="10"/>
      <c r="X519" s="27" t="s">
        <v>632</v>
      </c>
      <c r="Y519" s="27" t="s">
        <v>632</v>
      </c>
      <c r="Z519" s="80">
        <v>633</v>
      </c>
      <c r="AA519" s="27">
        <v>24</v>
      </c>
      <c r="AB519" s="80">
        <v>929</v>
      </c>
      <c r="AC519" s="27">
        <v>0</v>
      </c>
      <c r="AD519" s="27" t="s">
        <v>4079</v>
      </c>
      <c r="AE519" s="27">
        <v>157070433</v>
      </c>
      <c r="AF519" s="27"/>
      <c r="AG519" s="27" t="s">
        <v>629</v>
      </c>
      <c r="AH519" s="79">
        <v>0.29524253731343297</v>
      </c>
      <c r="AI519" s="83">
        <v>0.29662605435801298</v>
      </c>
      <c r="AJ519" s="80">
        <v>8.7301587301587297E-2</v>
      </c>
      <c r="AK519" s="80">
        <v>2.53968253968254E-2</v>
      </c>
      <c r="AL519" s="13">
        <v>0</v>
      </c>
      <c r="AM519" s="97">
        <f>SUM(AL519/Z519)</f>
        <v>0</v>
      </c>
      <c r="AN519" s="27" t="s">
        <v>632</v>
      </c>
      <c r="AO519" s="27">
        <v>10</v>
      </c>
      <c r="AP519" s="27">
        <v>26</v>
      </c>
      <c r="AQ519" s="27">
        <v>3</v>
      </c>
      <c r="AR519" s="27">
        <f>SUM(AO519:AQ519)</f>
        <v>39</v>
      </c>
      <c r="AS519" s="27" t="s">
        <v>5301</v>
      </c>
      <c r="AT519" s="27" t="s">
        <v>5302</v>
      </c>
      <c r="AU519" s="84" t="s">
        <v>4845</v>
      </c>
      <c r="AV519" s="77"/>
      <c r="AW519" s="77"/>
      <c r="AX519" s="77"/>
      <c r="AY519" s="77"/>
      <c r="AZ519" s="77"/>
      <c r="BA519" s="77"/>
      <c r="BB519" s="77"/>
      <c r="BC519" s="77"/>
      <c r="BD519" s="77"/>
      <c r="BE519" s="77"/>
      <c r="BF519" s="77"/>
      <c r="BG519" s="77"/>
      <c r="BH519" s="77"/>
      <c r="BI519" s="77"/>
      <c r="BJ519" s="77"/>
      <c r="BK519" s="77"/>
      <c r="BL519" s="77"/>
      <c r="BM519" s="77"/>
      <c r="BN519" s="77"/>
      <c r="BO519" s="77"/>
      <c r="BP519" s="77"/>
      <c r="BQ519" s="77"/>
      <c r="BR519" s="77"/>
      <c r="BS519" s="77"/>
      <c r="BT519" s="77"/>
      <c r="BU519" s="77"/>
      <c r="BV519" s="77"/>
      <c r="BW519" s="77"/>
      <c r="BX519" s="77"/>
      <c r="BY519" s="77"/>
      <c r="BZ519" s="77"/>
      <c r="CA519" s="77"/>
      <c r="CB519" s="77"/>
      <c r="CC519" s="77"/>
      <c r="CD519" s="77"/>
      <c r="CE519" s="77"/>
      <c r="CF519" s="77"/>
      <c r="CG519" s="77"/>
      <c r="CH519" s="77"/>
      <c r="CI519" s="77"/>
      <c r="CJ519" s="77"/>
      <c r="CK519" s="77"/>
      <c r="CL519" s="77"/>
      <c r="CM519" s="77"/>
      <c r="CN519" s="77"/>
      <c r="CO519" s="77"/>
      <c r="CP519" s="77"/>
      <c r="CQ519" s="77"/>
      <c r="CR519" s="77"/>
      <c r="CS519" s="77"/>
      <c r="CT519" s="77"/>
      <c r="CU519" s="77"/>
      <c r="CV519" s="77"/>
      <c r="CW519" s="77"/>
      <c r="CX519" s="77"/>
      <c r="CY519" s="77"/>
      <c r="CZ519" s="77"/>
      <c r="DA519" s="77"/>
      <c r="DB519" s="77"/>
      <c r="DC519" s="77"/>
      <c r="DD519" s="77"/>
      <c r="DE519" s="77"/>
      <c r="DF519" s="77"/>
      <c r="DG519" s="77"/>
      <c r="DH519" s="77"/>
      <c r="DI519" s="77"/>
      <c r="DJ519" s="77"/>
      <c r="DK519" s="77"/>
      <c r="DL519" s="77"/>
      <c r="DM519" s="77"/>
      <c r="DN519" s="77"/>
      <c r="DO519" s="77"/>
      <c r="DP519" s="77"/>
      <c r="DQ519" s="77"/>
      <c r="DR519" s="77"/>
      <c r="DS519" s="77"/>
      <c r="DT519" s="77"/>
      <c r="DU519" s="77"/>
      <c r="DV519" s="77"/>
      <c r="DW519" s="77"/>
      <c r="DX519" s="77"/>
      <c r="DY519" s="77"/>
      <c r="DZ519" s="77"/>
      <c r="EA519" s="77"/>
      <c r="EB519" s="77"/>
      <c r="EC519" s="77"/>
      <c r="ED519" s="77"/>
      <c r="EE519" s="77"/>
      <c r="EF519" s="77"/>
      <c r="EG519" s="77"/>
      <c r="EH519" s="77"/>
      <c r="EI519" s="77"/>
      <c r="EJ519" s="77"/>
      <c r="EK519" s="77"/>
      <c r="EL519" s="77"/>
      <c r="EM519" s="77"/>
      <c r="EN519" s="77"/>
      <c r="EO519" s="77"/>
      <c r="EP519" s="77"/>
      <c r="EQ519" s="77"/>
      <c r="ER519" s="77"/>
      <c r="ES519" s="77"/>
      <c r="ET519" s="77"/>
      <c r="EU519" s="77"/>
      <c r="EV519" s="77"/>
      <c r="EW519" s="77"/>
      <c r="EX519" s="77"/>
      <c r="EY519" s="77"/>
      <c r="EZ519" s="77"/>
      <c r="FA519" s="77"/>
      <c r="FB519" s="77"/>
      <c r="FC519" s="77"/>
      <c r="FD519" s="77"/>
      <c r="FE519" s="77"/>
      <c r="FF519" s="77"/>
      <c r="FG519" s="77"/>
      <c r="FH519" s="77"/>
      <c r="FI519" s="77"/>
      <c r="FJ519" s="77"/>
      <c r="FK519" s="77"/>
      <c r="FL519" s="77"/>
      <c r="FM519" s="77"/>
      <c r="FN519" s="77"/>
      <c r="FO519" s="77"/>
      <c r="FP519" s="77"/>
      <c r="FQ519" s="77"/>
      <c r="FR519" s="77"/>
      <c r="FS519" s="77"/>
      <c r="FT519" s="77"/>
      <c r="FU519" s="77"/>
      <c r="FV519" s="77"/>
      <c r="FW519" s="77"/>
      <c r="FX519" s="77"/>
      <c r="FY519" s="77"/>
      <c r="FZ519" s="77"/>
      <c r="GA519" s="77"/>
      <c r="GB519" s="77"/>
      <c r="GC519" s="77"/>
      <c r="GD519" s="77"/>
      <c r="GE519" s="77"/>
      <c r="GF519" s="77"/>
      <c r="GG519" s="77"/>
      <c r="GH519" s="77"/>
      <c r="GI519" s="77"/>
      <c r="GJ519" s="77"/>
      <c r="GK519" s="77"/>
      <c r="GL519" s="77"/>
      <c r="GM519" s="77"/>
      <c r="GN519" s="77"/>
      <c r="GO519" s="77"/>
      <c r="GP519" s="77"/>
      <c r="GQ519" s="77"/>
      <c r="GR519" s="77"/>
      <c r="GS519" s="77"/>
      <c r="GT519" s="77"/>
      <c r="GU519" s="77"/>
      <c r="GV519" s="77"/>
      <c r="GW519" s="77"/>
      <c r="GX519" s="77"/>
      <c r="GY519" s="77"/>
      <c r="GZ519" s="77"/>
      <c r="HA519" s="77"/>
      <c r="HB519" s="77"/>
      <c r="HC519" s="77"/>
      <c r="HD519" s="77"/>
      <c r="HE519" s="77"/>
      <c r="HF519" s="77"/>
      <c r="HG519" s="77"/>
      <c r="HH519" s="77"/>
      <c r="HI519" s="77"/>
      <c r="HJ519" s="77"/>
      <c r="HK519" s="77"/>
      <c r="HL519" s="77"/>
      <c r="HM519" s="77"/>
      <c r="HN519" s="77"/>
      <c r="HO519" s="77"/>
      <c r="HP519" s="77"/>
      <c r="HQ519" s="77"/>
      <c r="HR519" s="77"/>
      <c r="HS519" s="77"/>
      <c r="HT519" s="77"/>
      <c r="HU519" s="77"/>
      <c r="HV519" s="77"/>
      <c r="HW519" s="77"/>
      <c r="HX519" s="77"/>
      <c r="HY519" s="77"/>
      <c r="HZ519" s="77"/>
      <c r="IA519" s="77"/>
      <c r="IB519" s="77"/>
      <c r="IC519" s="77"/>
      <c r="ID519" s="77"/>
      <c r="IE519" s="77"/>
      <c r="IF519" s="16"/>
      <c r="IG519" s="16"/>
      <c r="IH519" s="16"/>
      <c r="II519" s="16"/>
      <c r="IJ519" s="16"/>
      <c r="IK519" s="16"/>
      <c r="IL519" s="16"/>
      <c r="IM519" s="16"/>
      <c r="IN519" s="16"/>
      <c r="IO519" s="16"/>
      <c r="IP519" s="16"/>
      <c r="IQ519" s="16"/>
      <c r="IR519" s="16"/>
      <c r="IS519" s="16"/>
      <c r="IT519" s="16"/>
      <c r="IU519" s="16"/>
      <c r="IV519" s="16"/>
      <c r="IW519" s="16"/>
      <c r="IX519" s="16"/>
      <c r="IY519" s="16"/>
      <c r="IZ519" s="16"/>
      <c r="JA519" s="16"/>
      <c r="JB519" s="16"/>
      <c r="JC519" s="16"/>
      <c r="JD519" s="16"/>
      <c r="JE519" s="16"/>
      <c r="JF519" s="16"/>
      <c r="JG519" s="16"/>
      <c r="JH519" s="16"/>
      <c r="JI519" s="16"/>
      <c r="JJ519" s="16"/>
      <c r="JK519" s="16"/>
      <c r="JL519" s="16"/>
      <c r="JM519" s="16"/>
      <c r="JN519" s="16"/>
      <c r="JO519" s="16"/>
      <c r="JP519" s="16"/>
      <c r="JQ519" s="16"/>
      <c r="JR519" s="16"/>
      <c r="JS519" s="16"/>
      <c r="JT519" s="16"/>
      <c r="JU519" s="16"/>
      <c r="JV519" s="16"/>
      <c r="JW519" s="16"/>
      <c r="JX519" s="16"/>
      <c r="KM519" s="77"/>
      <c r="KN519" s="77"/>
      <c r="KO519" s="77"/>
      <c r="KP519" s="77"/>
      <c r="KQ519" s="77"/>
      <c r="KR519" s="77"/>
      <c r="KS519" s="77"/>
      <c r="KT519" s="77"/>
      <c r="KU519" s="77"/>
      <c r="KV519" s="77"/>
      <c r="KW519" s="77"/>
      <c r="KX519" s="77"/>
      <c r="KY519" s="77"/>
      <c r="KZ519" s="77"/>
      <c r="LA519" s="77"/>
      <c r="LB519" s="77"/>
      <c r="LC519" s="77"/>
      <c r="LD519" s="77"/>
      <c r="LE519" s="77"/>
      <c r="LF519" s="77"/>
      <c r="LG519" s="77"/>
      <c r="LH519" s="77"/>
      <c r="LI519" s="77"/>
      <c r="LJ519" s="77"/>
      <c r="LK519" s="77"/>
    </row>
    <row r="520" spans="1:421" s="21" customFormat="1" ht="18.600000000000001" customHeight="1" x14ac:dyDescent="0.25">
      <c r="A520" s="119" t="s">
        <v>594</v>
      </c>
      <c r="B520" s="27" t="s">
        <v>2483</v>
      </c>
      <c r="C520" s="27"/>
      <c r="D520" s="30" t="str">
        <f>HYPERLINK("https://twitter.com/govgd","https://twitter.com/govgd")</f>
        <v>https://twitter.com/govgd</v>
      </c>
      <c r="E520" s="30" t="str">
        <f>HYPERLINK("http://twiplomacy.com/info/north-america/Grenada","http://twiplomacy.com/info/north-america/Grenada")</f>
        <v>http://twiplomacy.com/info/north-america/Grenada</v>
      </c>
      <c r="F520" s="10" t="s">
        <v>558</v>
      </c>
      <c r="G520" s="10" t="s">
        <v>592</v>
      </c>
      <c r="H520" s="10" t="s">
        <v>788</v>
      </c>
      <c r="I520" s="10" t="s">
        <v>782</v>
      </c>
      <c r="J520" s="27" t="s">
        <v>789</v>
      </c>
      <c r="K520" s="15" t="s">
        <v>969</v>
      </c>
      <c r="L520" s="10" t="s">
        <v>771</v>
      </c>
      <c r="M520" s="10" t="s">
        <v>771</v>
      </c>
      <c r="N520" s="30" t="str">
        <f>HYPERLINK("https://twitter.com/govgd/statuses/3352514928","https://twitter.com/govgd/statuses/3352514928")</f>
        <v>https://twitter.com/govgd/statuses/3352514928</v>
      </c>
      <c r="O520" s="27" t="s">
        <v>5833</v>
      </c>
      <c r="P520" s="80">
        <v>3</v>
      </c>
      <c r="Q520" s="80">
        <v>0</v>
      </c>
      <c r="R520" s="27" t="s">
        <v>2995</v>
      </c>
      <c r="S520" s="10" t="s">
        <v>2484</v>
      </c>
      <c r="T520" s="10" t="s">
        <v>771</v>
      </c>
      <c r="U520" s="10" t="s">
        <v>771</v>
      </c>
      <c r="V520" s="10" t="s">
        <v>771</v>
      </c>
      <c r="W520" s="10"/>
      <c r="X520" s="27" t="s">
        <v>594</v>
      </c>
      <c r="Y520" s="27" t="s">
        <v>2483</v>
      </c>
      <c r="Z520" s="80">
        <v>632</v>
      </c>
      <c r="AA520" s="27">
        <v>11</v>
      </c>
      <c r="AB520" s="80">
        <v>1013</v>
      </c>
      <c r="AC520" s="27">
        <v>0</v>
      </c>
      <c r="AD520" s="27" t="s">
        <v>3762</v>
      </c>
      <c r="AE520" s="27">
        <v>50030601</v>
      </c>
      <c r="AF520" s="27"/>
      <c r="AG520" s="27" t="s">
        <v>592</v>
      </c>
      <c r="AH520" s="79">
        <v>0.25229540918163701</v>
      </c>
      <c r="AI520" s="83">
        <v>0.50844730490748202</v>
      </c>
      <c r="AJ520" s="80">
        <v>6.3291139240506306E-2</v>
      </c>
      <c r="AK520" s="80">
        <v>1.4240506329113899E-2</v>
      </c>
      <c r="AL520" s="13">
        <v>0</v>
      </c>
      <c r="AM520" s="97">
        <f>SUM(AL520/Z520)</f>
        <v>0</v>
      </c>
      <c r="AN520" s="27" t="s">
        <v>594</v>
      </c>
      <c r="AO520" s="27">
        <v>0</v>
      </c>
      <c r="AP520" s="27">
        <v>6</v>
      </c>
      <c r="AQ520" s="27">
        <v>0</v>
      </c>
      <c r="AR520" s="27">
        <f>SUM(AO520:AQ520)</f>
        <v>6</v>
      </c>
      <c r="AS520" s="27"/>
      <c r="AT520" s="27" t="s">
        <v>5154</v>
      </c>
      <c r="AU520" s="84"/>
      <c r="AV520" s="77"/>
      <c r="AW520" s="77"/>
      <c r="AX520" s="77"/>
      <c r="AY520" s="77"/>
      <c r="AZ520" s="77"/>
      <c r="BA520" s="77"/>
      <c r="BB520" s="77"/>
      <c r="BC520" s="77"/>
      <c r="BD520" s="77"/>
      <c r="BE520" s="77"/>
      <c r="BF520" s="77"/>
      <c r="BG520" s="77"/>
      <c r="BH520" s="77"/>
      <c r="BI520" s="77"/>
      <c r="BJ520" s="77"/>
      <c r="BK520" s="77"/>
      <c r="BL520" s="77"/>
      <c r="BM520" s="77"/>
      <c r="BN520" s="77"/>
      <c r="BO520" s="77"/>
      <c r="BP520" s="77"/>
      <c r="BQ520" s="77"/>
      <c r="BR520" s="77"/>
      <c r="BS520" s="77"/>
      <c r="BT520" s="77"/>
      <c r="BU520" s="77"/>
      <c r="BV520" s="77"/>
      <c r="BW520" s="77"/>
      <c r="BX520" s="77"/>
      <c r="BY520" s="77"/>
      <c r="BZ520" s="77"/>
      <c r="CA520" s="77"/>
      <c r="CB520" s="77"/>
      <c r="CC520" s="77"/>
      <c r="CD520" s="77"/>
      <c r="CE520" s="77"/>
      <c r="CF520" s="77"/>
      <c r="CG520" s="77"/>
      <c r="CH520" s="77"/>
      <c r="CI520" s="77"/>
      <c r="CJ520" s="77"/>
      <c r="CK520" s="77"/>
      <c r="CL520" s="77"/>
      <c r="CM520" s="77"/>
      <c r="CN520" s="77"/>
      <c r="CO520" s="77"/>
      <c r="CP520" s="77"/>
      <c r="CQ520" s="77"/>
      <c r="CR520" s="77"/>
      <c r="CS520" s="77"/>
      <c r="CT520" s="77"/>
      <c r="CU520" s="77"/>
      <c r="CV520" s="77"/>
      <c r="CW520" s="77"/>
      <c r="CX520" s="77"/>
      <c r="CY520" s="77"/>
      <c r="CZ520" s="77"/>
      <c r="DA520" s="77"/>
      <c r="DB520" s="77"/>
      <c r="DC520" s="77"/>
      <c r="DD520" s="77"/>
      <c r="DE520" s="77"/>
      <c r="DF520" s="77"/>
      <c r="DG520" s="77"/>
      <c r="DH520" s="77"/>
      <c r="DI520" s="77"/>
      <c r="DJ520" s="77"/>
      <c r="DK520" s="77"/>
      <c r="DL520" s="77"/>
      <c r="DM520" s="77"/>
      <c r="DN520" s="77"/>
      <c r="DO520" s="77"/>
      <c r="DP520" s="77"/>
      <c r="DQ520" s="77"/>
      <c r="DR520" s="77"/>
      <c r="DS520" s="77"/>
      <c r="DT520" s="77"/>
      <c r="DU520" s="77"/>
      <c r="DV520" s="77"/>
      <c r="DW520" s="77"/>
      <c r="DX520" s="77"/>
      <c r="DY520" s="77"/>
      <c r="DZ520" s="77"/>
      <c r="EA520" s="77"/>
      <c r="EB520" s="77"/>
      <c r="EC520" s="77"/>
      <c r="ED520" s="77"/>
      <c r="EE520" s="77"/>
      <c r="EF520" s="77"/>
      <c r="EG520" s="77"/>
      <c r="EH520" s="77"/>
      <c r="EI520" s="77"/>
      <c r="EJ520" s="77"/>
      <c r="EK520" s="77"/>
      <c r="EL520" s="77"/>
      <c r="EP520" s="77"/>
      <c r="EQ520" s="16"/>
      <c r="ER520" s="77"/>
      <c r="ES520" s="77"/>
      <c r="ET520" s="77"/>
      <c r="EU520" s="77"/>
      <c r="EV520" s="77"/>
      <c r="EW520" s="77"/>
      <c r="EX520" s="77"/>
      <c r="EY520" s="77"/>
      <c r="EZ520" s="77"/>
      <c r="FA520" s="77"/>
      <c r="FB520" s="77"/>
      <c r="FC520" s="77"/>
      <c r="FD520" s="77"/>
      <c r="FE520" s="77"/>
      <c r="FF520" s="77"/>
      <c r="FG520" s="77"/>
      <c r="FH520" s="77"/>
      <c r="FI520" s="77"/>
      <c r="FJ520" s="77"/>
      <c r="FK520" s="77"/>
      <c r="FL520" s="77"/>
      <c r="FM520" s="77"/>
      <c r="FN520" s="77"/>
      <c r="FO520" s="77"/>
      <c r="FP520" s="77"/>
      <c r="FQ520" s="77"/>
      <c r="FR520" s="77"/>
      <c r="FS520" s="77"/>
      <c r="FT520" s="77"/>
      <c r="FU520" s="77"/>
      <c r="FV520" s="77"/>
      <c r="FW520" s="77"/>
      <c r="FX520" s="77"/>
      <c r="FY520" s="77"/>
      <c r="FZ520" s="77"/>
      <c r="GA520" s="77"/>
      <c r="GB520" s="77"/>
      <c r="GC520" s="77"/>
      <c r="GD520" s="77"/>
      <c r="GE520" s="77"/>
      <c r="GF520" s="77"/>
      <c r="GG520" s="77"/>
      <c r="GH520" s="77"/>
      <c r="GI520" s="77"/>
      <c r="GJ520" s="77"/>
      <c r="GK520" s="77"/>
      <c r="HL520" s="77"/>
      <c r="HM520" s="77"/>
      <c r="HN520" s="77"/>
      <c r="HO520" s="77"/>
      <c r="HP520" s="77"/>
      <c r="HQ520" s="77"/>
      <c r="HR520" s="77"/>
      <c r="HS520" s="77"/>
      <c r="HT520" s="77"/>
      <c r="HU520" s="77"/>
      <c r="HV520" s="77"/>
      <c r="HW520" s="77"/>
      <c r="HX520" s="77"/>
      <c r="HY520" s="77"/>
      <c r="HZ520" s="77"/>
      <c r="IA520" s="77"/>
      <c r="IB520" s="77"/>
      <c r="IC520" s="77"/>
      <c r="IF520" s="77"/>
      <c r="IG520" s="77"/>
      <c r="IH520" s="77"/>
      <c r="II520" s="77"/>
      <c r="IJ520" s="77"/>
      <c r="IK520" s="77"/>
      <c r="IL520" s="77"/>
      <c r="IM520" s="77"/>
      <c r="IN520" s="77"/>
      <c r="IO520" s="77"/>
      <c r="IP520" s="77"/>
      <c r="IQ520" s="77"/>
      <c r="IR520" s="77"/>
      <c r="IS520" s="77"/>
      <c r="IT520" s="77"/>
      <c r="IU520" s="77"/>
      <c r="IV520" s="77"/>
      <c r="IW520" s="77"/>
      <c r="IX520" s="77"/>
      <c r="IY520" s="77"/>
      <c r="IZ520" s="77"/>
      <c r="JA520" s="77"/>
      <c r="JB520" s="77"/>
      <c r="JC520" s="77"/>
      <c r="JD520" s="77"/>
      <c r="JE520" s="77"/>
      <c r="JF520" s="77"/>
      <c r="JG520" s="77"/>
      <c r="JH520" s="77"/>
      <c r="JI520" s="77"/>
      <c r="JJ520" s="77"/>
      <c r="JK520" s="77"/>
      <c r="JL520" s="77"/>
      <c r="JM520" s="77"/>
      <c r="JN520" s="77"/>
      <c r="JO520" s="77"/>
      <c r="JP520" s="77"/>
      <c r="JQ520" s="77"/>
      <c r="JR520" s="77"/>
      <c r="JS520" s="77"/>
      <c r="JT520" s="77"/>
      <c r="JU520" s="77"/>
      <c r="JV520" s="77"/>
      <c r="JW520" s="77"/>
      <c r="JX520" s="77"/>
      <c r="JY520" s="77"/>
      <c r="JZ520" s="77"/>
      <c r="KA520" s="77"/>
      <c r="KB520" s="77"/>
      <c r="KC520" s="77"/>
      <c r="KD520" s="77"/>
      <c r="KE520" s="77"/>
      <c r="KF520" s="77"/>
      <c r="KG520" s="77"/>
      <c r="KH520" s="77"/>
      <c r="KI520" s="77"/>
      <c r="KJ520" s="77"/>
      <c r="KK520" s="77"/>
      <c r="KL520" s="77"/>
      <c r="KM520" s="77"/>
      <c r="KN520" s="77"/>
      <c r="KO520" s="77"/>
      <c r="KP520" s="77"/>
      <c r="KQ520" s="77"/>
      <c r="KR520" s="77"/>
      <c r="KS520" s="77"/>
      <c r="KT520" s="77"/>
      <c r="KU520" s="77"/>
      <c r="KV520" s="77"/>
      <c r="KW520" s="77"/>
      <c r="KX520" s="77"/>
      <c r="KY520" s="77"/>
      <c r="KZ520" s="77"/>
      <c r="LA520" s="77"/>
      <c r="LB520" s="77"/>
      <c r="LC520" s="77"/>
      <c r="LD520" s="77"/>
      <c r="LE520" s="77"/>
      <c r="LF520" s="77"/>
      <c r="LG520" s="77"/>
      <c r="LH520" s="77"/>
      <c r="LI520" s="77"/>
      <c r="LJ520" s="77"/>
      <c r="LK520" s="77"/>
      <c r="LL520" s="77"/>
      <c r="LM520" s="77"/>
      <c r="LN520" s="77"/>
      <c r="LO520" s="77"/>
      <c r="LP520" s="77"/>
      <c r="LQ520" s="77"/>
      <c r="LR520" s="77"/>
      <c r="LS520" s="77"/>
      <c r="LT520" s="77"/>
      <c r="LU520" s="77"/>
      <c r="LV520" s="77"/>
      <c r="MS520" s="77"/>
    </row>
    <row r="521" spans="1:421" s="21" customFormat="1" ht="18.600000000000001" customHeight="1" x14ac:dyDescent="0.25">
      <c r="A521" s="119" t="s">
        <v>237</v>
      </c>
      <c r="B521" s="27" t="s">
        <v>1459</v>
      </c>
      <c r="C521" s="27" t="s">
        <v>1460</v>
      </c>
      <c r="D521" s="30" t="str">
        <f>HYPERLINK("https://twitter.com/SalamTammam","https://twitter.com/SalamTammam")</f>
        <v>https://twitter.com/SalamTammam</v>
      </c>
      <c r="E521" s="30" t="str">
        <f>HYPERLINK("http://twiplomacy.com/info/asia/Lebanon","http://twiplomacy.com/info/asia/Lebanon")</f>
        <v>http://twiplomacy.com/info/asia/Lebanon</v>
      </c>
      <c r="F521" s="10" t="s">
        <v>154</v>
      </c>
      <c r="G521" s="10" t="s">
        <v>236</v>
      </c>
      <c r="H521" s="10" t="s">
        <v>776</v>
      </c>
      <c r="I521" s="10" t="s">
        <v>773</v>
      </c>
      <c r="J521" s="27" t="s">
        <v>789</v>
      </c>
      <c r="K521" s="15" t="s">
        <v>777</v>
      </c>
      <c r="L521" s="10" t="s">
        <v>1020</v>
      </c>
      <c r="M521" s="10" t="s">
        <v>770</v>
      </c>
      <c r="N521" s="30" t="str">
        <f>HYPERLINK("https://twitter.com/SalamTammam/statuses/228143274395856898","https://twitter.com/SalamTammam/statuses/228143274395856898")</f>
        <v>https://twitter.com/SalamTammam/statuses/228143274395856898</v>
      </c>
      <c r="O521" s="27" t="s">
        <v>6082</v>
      </c>
      <c r="P521" s="80">
        <v>57</v>
      </c>
      <c r="Q521" s="80">
        <v>24</v>
      </c>
      <c r="R521" s="27" t="s">
        <v>2994</v>
      </c>
      <c r="S521" s="30" t="str">
        <f>HYPERLINK("https://twitter.com/SalamTammam/lists","https://twitter.com/SalamTammam/lists")</f>
        <v>https://twitter.com/SalamTammam/lists</v>
      </c>
      <c r="T521" s="10" t="s">
        <v>771</v>
      </c>
      <c r="U521" s="10" t="s">
        <v>771</v>
      </c>
      <c r="V521" s="10" t="s">
        <v>771</v>
      </c>
      <c r="W521" s="10"/>
      <c r="X521" s="27" t="s">
        <v>237</v>
      </c>
      <c r="Y521" s="27" t="s">
        <v>1459</v>
      </c>
      <c r="Z521" s="80">
        <v>631</v>
      </c>
      <c r="AA521" s="27">
        <v>198</v>
      </c>
      <c r="AB521" s="80">
        <v>95610</v>
      </c>
      <c r="AC521" s="27">
        <v>2</v>
      </c>
      <c r="AD521" s="27" t="s">
        <v>4453</v>
      </c>
      <c r="AE521" s="27">
        <v>599985251</v>
      </c>
      <c r="AF521" s="27" t="s">
        <v>1460</v>
      </c>
      <c r="AG521" s="27" t="s">
        <v>236</v>
      </c>
      <c r="AH521" s="79">
        <v>0.44218640504555001</v>
      </c>
      <c r="AI521" s="83">
        <v>0.46086320409656201</v>
      </c>
      <c r="AJ521" s="80">
        <v>3.56810035842294</v>
      </c>
      <c r="AK521" s="80">
        <v>4.6362007168458801</v>
      </c>
      <c r="AL521" s="27">
        <v>44</v>
      </c>
      <c r="AM521" s="97">
        <f>SUM(AL521/Z521)</f>
        <v>6.9730586370839939E-2</v>
      </c>
      <c r="AN521" s="27" t="s">
        <v>237</v>
      </c>
      <c r="AO521" s="27">
        <v>27</v>
      </c>
      <c r="AP521" s="27">
        <v>8</v>
      </c>
      <c r="AQ521" s="27">
        <v>4</v>
      </c>
      <c r="AR521" s="27">
        <f>SUM(AO521:AQ521)</f>
        <v>39</v>
      </c>
      <c r="AS521" s="27" t="s">
        <v>5484</v>
      </c>
      <c r="AT521" s="27" t="s">
        <v>5485</v>
      </c>
      <c r="AU521" s="84" t="s">
        <v>4945</v>
      </c>
      <c r="AV521" s="77"/>
      <c r="AW521" s="77"/>
      <c r="AX521" s="77"/>
      <c r="AY521" s="77"/>
      <c r="AZ521" s="77"/>
      <c r="BA521" s="77"/>
      <c r="BB521" s="77"/>
      <c r="BC521" s="77"/>
      <c r="BD521" s="77"/>
      <c r="BE521" s="77"/>
      <c r="BF521" s="77"/>
      <c r="BG521" s="77"/>
      <c r="BH521" s="77"/>
      <c r="BI521" s="77"/>
      <c r="BJ521" s="77"/>
      <c r="BK521" s="77"/>
      <c r="BL521" s="77"/>
      <c r="BM521" s="77"/>
      <c r="BN521" s="77"/>
      <c r="BO521" s="77"/>
      <c r="BP521" s="77"/>
      <c r="BQ521" s="77"/>
      <c r="BR521" s="77"/>
      <c r="BS521" s="77"/>
      <c r="BT521" s="77"/>
      <c r="BU521" s="77"/>
      <c r="BV521" s="77"/>
      <c r="BW521" s="77"/>
      <c r="BX521" s="77"/>
      <c r="BY521" s="77"/>
      <c r="BZ521" s="77"/>
      <c r="CA521" s="77"/>
      <c r="CB521" s="77"/>
      <c r="CC521" s="77"/>
      <c r="CD521" s="77"/>
      <c r="CE521" s="77"/>
      <c r="CF521" s="77"/>
      <c r="CG521" s="77"/>
      <c r="CH521" s="77"/>
      <c r="CI521" s="77"/>
      <c r="CJ521" s="77"/>
      <c r="CK521" s="77"/>
      <c r="CL521" s="77"/>
      <c r="CM521" s="77"/>
      <c r="CN521" s="77"/>
      <c r="CO521" s="77"/>
      <c r="CP521" s="77"/>
      <c r="CQ521" s="77"/>
      <c r="CR521" s="77"/>
      <c r="CS521" s="77"/>
      <c r="CT521" s="77"/>
      <c r="CU521" s="77"/>
      <c r="CV521" s="77"/>
      <c r="CW521" s="77"/>
      <c r="CX521" s="77"/>
      <c r="CY521" s="77"/>
      <c r="CZ521" s="77"/>
      <c r="DA521" s="77"/>
      <c r="DB521" s="77"/>
      <c r="DC521" s="77"/>
      <c r="DD521" s="77"/>
      <c r="DE521" s="77"/>
      <c r="DF521" s="77"/>
      <c r="DG521" s="77"/>
      <c r="DH521" s="77"/>
      <c r="DI521" s="77"/>
      <c r="DJ521" s="77"/>
      <c r="DK521" s="77"/>
      <c r="DL521" s="77"/>
      <c r="DM521" s="77"/>
      <c r="DN521" s="77"/>
      <c r="DO521" s="77"/>
      <c r="DP521" s="77"/>
      <c r="DQ521" s="77"/>
      <c r="DR521" s="77"/>
      <c r="DS521" s="77"/>
      <c r="DT521" s="77"/>
      <c r="DU521" s="77"/>
      <c r="DV521" s="77"/>
      <c r="DW521" s="77"/>
      <c r="DX521" s="77"/>
      <c r="DY521" s="77"/>
      <c r="DZ521" s="77"/>
      <c r="EA521" s="77"/>
      <c r="EB521" s="77"/>
      <c r="EC521" s="77"/>
      <c r="ED521" s="77"/>
      <c r="EE521" s="77"/>
      <c r="EF521" s="77"/>
      <c r="EG521" s="77"/>
      <c r="EH521" s="77"/>
      <c r="EI521" s="77"/>
      <c r="EJ521" s="77"/>
      <c r="EK521" s="77"/>
      <c r="EL521" s="77"/>
      <c r="EM521" s="77"/>
      <c r="EN521" s="77"/>
      <c r="EO521" s="77"/>
      <c r="EQ521" s="77"/>
      <c r="ER521" s="77"/>
      <c r="ES521" s="77"/>
      <c r="ET521" s="77"/>
      <c r="EU521" s="77"/>
      <c r="EV521" s="77"/>
      <c r="EW521" s="77"/>
      <c r="EX521" s="77"/>
      <c r="EY521" s="77"/>
      <c r="EZ521" s="77"/>
      <c r="FA521" s="77"/>
      <c r="FB521" s="77"/>
      <c r="FC521" s="77"/>
      <c r="FD521" s="77"/>
      <c r="FE521" s="77"/>
      <c r="FF521" s="77"/>
      <c r="FG521" s="77"/>
      <c r="FH521" s="77"/>
      <c r="FI521" s="77"/>
      <c r="FJ521" s="77"/>
      <c r="FK521" s="77"/>
      <c r="FL521" s="77"/>
      <c r="FM521" s="77"/>
      <c r="FN521" s="77"/>
      <c r="FO521" s="77"/>
      <c r="FP521" s="77"/>
      <c r="FQ521" s="77"/>
      <c r="FR521" s="77"/>
      <c r="FS521" s="77"/>
      <c r="FT521" s="77"/>
      <c r="FU521" s="77"/>
      <c r="FV521" s="77"/>
      <c r="FW521" s="77"/>
      <c r="FX521" s="77"/>
      <c r="FY521" s="77"/>
      <c r="FZ521" s="77"/>
      <c r="GA521" s="77"/>
      <c r="GB521" s="77"/>
      <c r="GC521" s="77"/>
      <c r="GD521" s="77"/>
      <c r="GE521" s="77"/>
      <c r="GF521" s="77"/>
      <c r="GG521" s="77"/>
      <c r="GH521" s="77"/>
      <c r="GI521" s="77"/>
      <c r="GJ521" s="77"/>
      <c r="GK521" s="77"/>
      <c r="ID521" s="77"/>
      <c r="IE521" s="77"/>
      <c r="IF521" s="77"/>
      <c r="IG521" s="77"/>
      <c r="IH521" s="77"/>
      <c r="II521" s="77"/>
      <c r="IJ521" s="77"/>
      <c r="IK521" s="77"/>
      <c r="IL521" s="77"/>
      <c r="IM521" s="77"/>
      <c r="IN521" s="77"/>
      <c r="IO521" s="77"/>
      <c r="IP521" s="77"/>
      <c r="IQ521" s="77"/>
      <c r="IR521" s="77"/>
      <c r="IS521" s="77"/>
      <c r="IT521" s="77"/>
      <c r="IU521" s="77"/>
      <c r="IV521" s="77"/>
      <c r="IW521" s="77"/>
      <c r="IX521" s="77"/>
      <c r="IY521" s="77"/>
      <c r="IZ521" s="77"/>
      <c r="JA521" s="77"/>
      <c r="JB521" s="77"/>
      <c r="JC521" s="77"/>
      <c r="JD521" s="77"/>
      <c r="JE521" s="77"/>
      <c r="JF521" s="77"/>
      <c r="JG521" s="77"/>
      <c r="JH521" s="77"/>
      <c r="JI521" s="77"/>
      <c r="JJ521" s="77"/>
      <c r="JK521" s="77"/>
      <c r="JL521" s="77"/>
      <c r="JM521" s="77"/>
      <c r="JN521" s="77"/>
      <c r="JO521" s="77"/>
      <c r="JP521" s="77"/>
      <c r="JQ521" s="77"/>
      <c r="JR521" s="77"/>
      <c r="JS521" s="77"/>
      <c r="JT521" s="77"/>
      <c r="JU521" s="77"/>
      <c r="JV521" s="77"/>
      <c r="JW521" s="77"/>
      <c r="JX521" s="77"/>
      <c r="KM521" s="77"/>
      <c r="KN521" s="77"/>
      <c r="KO521" s="77"/>
      <c r="KP521" s="77"/>
      <c r="KQ521" s="77"/>
      <c r="KR521" s="77"/>
      <c r="KS521" s="77"/>
      <c r="KT521" s="77"/>
      <c r="KU521" s="77"/>
      <c r="KV521" s="77"/>
      <c r="KW521" s="77"/>
      <c r="KX521" s="77"/>
      <c r="KY521" s="77"/>
      <c r="KZ521" s="77"/>
      <c r="LA521" s="77"/>
      <c r="LB521" s="77"/>
      <c r="LC521" s="77"/>
      <c r="LD521" s="77"/>
      <c r="LE521" s="77"/>
      <c r="LF521" s="77"/>
      <c r="LG521" s="77"/>
      <c r="LH521" s="77"/>
      <c r="LI521" s="77"/>
      <c r="LJ521" s="77"/>
      <c r="LK521" s="77"/>
      <c r="LL521" s="77"/>
      <c r="LM521" s="77"/>
      <c r="LN521" s="77"/>
      <c r="LO521" s="77"/>
      <c r="LP521" s="77"/>
      <c r="LQ521" s="77"/>
      <c r="LR521" s="77"/>
      <c r="LS521" s="77"/>
      <c r="LT521" s="77"/>
      <c r="LU521" s="77"/>
      <c r="LV521" s="77"/>
      <c r="LY521" s="77"/>
      <c r="LZ521" s="77"/>
      <c r="MA521" s="77"/>
      <c r="MB521" s="77"/>
      <c r="MC521" s="77"/>
      <c r="MD521" s="77"/>
      <c r="ME521" s="77"/>
      <c r="MF521" s="77"/>
      <c r="MG521" s="77"/>
      <c r="MH521" s="77"/>
      <c r="MI521" s="77"/>
      <c r="MJ521" s="77"/>
      <c r="MK521" s="77"/>
      <c r="ML521" s="77"/>
      <c r="MM521" s="77"/>
      <c r="MN521" s="77"/>
      <c r="MO521" s="77"/>
      <c r="MP521" s="77"/>
      <c r="MQ521" s="77"/>
      <c r="MR521" s="77"/>
    </row>
    <row r="522" spans="1:421" s="21" customFormat="1" ht="18.600000000000001" customHeight="1" x14ac:dyDescent="0.25">
      <c r="A522" s="119" t="s">
        <v>437</v>
      </c>
      <c r="B522" s="27" t="s">
        <v>1999</v>
      </c>
      <c r="C522" s="27"/>
      <c r="D522" s="30" t="str">
        <f>HYPERLINK("https://twitter.com/regierung_fl","https://twitter.com/regierung_fl")</f>
        <v>https://twitter.com/regierung_fl</v>
      </c>
      <c r="E522" s="30" t="str">
        <f>HYPERLINK("http://twiplomacy.com/info/europe/Liechtenstein","http://twiplomacy.com/info/europe/Liechtenstein")</f>
        <v>http://twiplomacy.com/info/europe/Liechtenstein</v>
      </c>
      <c r="F522" s="10" t="s">
        <v>332</v>
      </c>
      <c r="G522" s="10" t="s">
        <v>435</v>
      </c>
      <c r="H522" s="10" t="s">
        <v>788</v>
      </c>
      <c r="I522" s="10" t="s">
        <v>782</v>
      </c>
      <c r="J522" s="27" t="s">
        <v>1716</v>
      </c>
      <c r="K522" s="15" t="s">
        <v>2000</v>
      </c>
      <c r="L522" s="10" t="s">
        <v>771</v>
      </c>
      <c r="M522" s="10" t="s">
        <v>771</v>
      </c>
      <c r="N522" s="30" t="str">
        <f>HYPERLINK("https://twitter.com/regierung_fl/statuses/15111347587","https://twitter.com/regierung_fl/statuses/15111347587")</f>
        <v>https://twitter.com/regierung_fl/statuses/15111347587</v>
      </c>
      <c r="O522" s="27" t="s">
        <v>6066</v>
      </c>
      <c r="P522" s="80">
        <v>1</v>
      </c>
      <c r="Q522" s="80">
        <v>2</v>
      </c>
      <c r="R522" s="27" t="s">
        <v>2995</v>
      </c>
      <c r="S522" s="10" t="s">
        <v>2001</v>
      </c>
      <c r="T522" s="10" t="s">
        <v>771</v>
      </c>
      <c r="U522" s="10" t="s">
        <v>771</v>
      </c>
      <c r="V522" s="10" t="s">
        <v>771</v>
      </c>
      <c r="W522" s="10"/>
      <c r="X522" s="27" t="s">
        <v>437</v>
      </c>
      <c r="Y522" s="27" t="s">
        <v>1999</v>
      </c>
      <c r="Z522" s="80">
        <v>628</v>
      </c>
      <c r="AA522" s="27">
        <v>0</v>
      </c>
      <c r="AB522" s="80">
        <v>528</v>
      </c>
      <c r="AC522" s="27">
        <v>0</v>
      </c>
      <c r="AD522" s="27" t="s">
        <v>4409</v>
      </c>
      <c r="AE522" s="27">
        <v>116202030</v>
      </c>
      <c r="AF522" s="27"/>
      <c r="AG522" s="27"/>
      <c r="AH522" s="79">
        <v>0.27763041556145002</v>
      </c>
      <c r="AI522" s="83">
        <v>0.60911736178467502</v>
      </c>
      <c r="AJ522" s="80">
        <v>3.5031847133758003E-2</v>
      </c>
      <c r="AK522" s="80">
        <v>1.4331210191082799E-2</v>
      </c>
      <c r="AL522" s="13">
        <v>0</v>
      </c>
      <c r="AM522" s="97">
        <f>SUM(AL522/Z522)</f>
        <v>0</v>
      </c>
      <c r="AN522" s="27" t="s">
        <v>437</v>
      </c>
      <c r="AO522" s="27">
        <v>0</v>
      </c>
      <c r="AP522" s="27">
        <v>5</v>
      </c>
      <c r="AQ522" s="27">
        <v>0</v>
      </c>
      <c r="AR522" s="27">
        <f>SUM(AO522:AQ522)</f>
        <v>5</v>
      </c>
      <c r="AS522" s="27"/>
      <c r="AT522" s="27" t="s">
        <v>5462</v>
      </c>
      <c r="AU522" s="84"/>
      <c r="AV522" s="77"/>
      <c r="AW522" s="77"/>
      <c r="AX522" s="77"/>
      <c r="AY522" s="77"/>
      <c r="AZ522" s="77"/>
      <c r="BA522" s="77"/>
      <c r="BB522" s="77"/>
      <c r="BC522" s="77"/>
      <c r="BD522" s="77"/>
      <c r="BE522" s="77"/>
      <c r="BF522" s="77"/>
      <c r="BG522" s="77"/>
      <c r="BH522" s="77"/>
      <c r="BI522" s="77"/>
      <c r="BJ522" s="77"/>
      <c r="BK522" s="77"/>
      <c r="BL522" s="77"/>
      <c r="BM522" s="77"/>
      <c r="BN522" s="77"/>
      <c r="BO522" s="77"/>
      <c r="BP522" s="77"/>
      <c r="BQ522" s="77"/>
      <c r="BR522" s="77"/>
      <c r="BS522" s="77"/>
      <c r="BT522" s="77"/>
      <c r="BU522" s="77"/>
      <c r="BV522" s="77"/>
      <c r="BW522" s="77"/>
      <c r="BX522" s="77"/>
      <c r="BY522" s="77"/>
      <c r="BZ522" s="77"/>
      <c r="CA522" s="77"/>
      <c r="CB522" s="77"/>
      <c r="CC522" s="77"/>
      <c r="CD522" s="77"/>
      <c r="CE522" s="77"/>
      <c r="CF522" s="77"/>
      <c r="CG522" s="77"/>
      <c r="CH522" s="77"/>
      <c r="CI522" s="77"/>
      <c r="CJ522" s="77"/>
      <c r="CK522" s="77"/>
      <c r="CL522" s="77"/>
      <c r="CM522" s="77"/>
      <c r="CN522" s="77"/>
      <c r="CO522" s="77"/>
      <c r="CP522" s="77"/>
      <c r="CQ522" s="77"/>
      <c r="CR522" s="77"/>
      <c r="CS522" s="77"/>
      <c r="CT522" s="77"/>
      <c r="CU522" s="77"/>
      <c r="CV522" s="77"/>
      <c r="CW522" s="77"/>
      <c r="CX522" s="77"/>
      <c r="CY522" s="77"/>
      <c r="CZ522" s="77"/>
      <c r="DA522" s="77"/>
      <c r="DB522" s="77"/>
      <c r="DC522" s="77"/>
      <c r="DD522" s="77"/>
      <c r="DE522" s="77"/>
      <c r="DF522" s="77"/>
      <c r="DG522" s="77"/>
      <c r="DH522" s="77"/>
      <c r="DI522" s="77"/>
      <c r="DJ522" s="77"/>
      <c r="DK522" s="77"/>
      <c r="DL522" s="77"/>
      <c r="DM522" s="77"/>
      <c r="DN522" s="77"/>
      <c r="DO522" s="77"/>
      <c r="DP522" s="77"/>
      <c r="DQ522" s="77"/>
      <c r="DR522" s="77"/>
      <c r="DS522" s="77"/>
      <c r="DT522" s="77"/>
      <c r="DU522" s="77"/>
      <c r="DV522" s="77"/>
      <c r="DW522" s="77"/>
      <c r="DX522" s="77"/>
      <c r="DY522" s="77"/>
      <c r="DZ522" s="77"/>
      <c r="EA522" s="77"/>
      <c r="EB522" s="77"/>
      <c r="EC522" s="77"/>
      <c r="ED522" s="77"/>
      <c r="EE522" s="77"/>
      <c r="EF522" s="77"/>
      <c r="EG522" s="77"/>
      <c r="EH522" s="77"/>
      <c r="EI522" s="77"/>
      <c r="EJ522" s="77"/>
      <c r="EK522" s="77"/>
      <c r="EL522" s="77"/>
      <c r="EM522" s="77"/>
      <c r="EN522" s="77"/>
      <c r="EO522" s="77"/>
      <c r="EP522" s="77"/>
      <c r="ER522" s="77"/>
      <c r="ES522" s="77"/>
      <c r="ET522" s="77"/>
      <c r="EU522" s="77"/>
      <c r="EV522" s="77"/>
      <c r="EW522" s="77"/>
      <c r="EX522" s="77"/>
      <c r="EY522" s="77"/>
      <c r="EZ522" s="77"/>
      <c r="FA522" s="77"/>
      <c r="FB522" s="77"/>
      <c r="FC522" s="77"/>
      <c r="FD522" s="77"/>
      <c r="FE522" s="77"/>
      <c r="FF522" s="77"/>
      <c r="FG522" s="77"/>
      <c r="FH522" s="77"/>
      <c r="FI522" s="77"/>
      <c r="FJ522" s="77"/>
      <c r="FK522" s="77"/>
      <c r="FL522" s="77"/>
      <c r="FM522" s="77"/>
      <c r="FN522" s="77"/>
      <c r="FO522" s="77"/>
      <c r="FP522" s="77"/>
      <c r="FQ522" s="77"/>
      <c r="FR522" s="77"/>
      <c r="FS522" s="77"/>
      <c r="FT522" s="77"/>
      <c r="FU522" s="77"/>
      <c r="FV522" s="77"/>
      <c r="FW522" s="77"/>
      <c r="FX522" s="77"/>
      <c r="FY522" s="77"/>
      <c r="FZ522" s="77"/>
      <c r="GA522" s="77"/>
      <c r="GB522" s="77"/>
      <c r="GC522" s="77"/>
      <c r="GD522" s="77"/>
      <c r="GE522" s="77"/>
      <c r="GF522" s="77"/>
      <c r="GG522" s="77"/>
      <c r="GH522" s="77"/>
      <c r="GI522" s="77"/>
      <c r="GJ522" s="77"/>
      <c r="GK522" s="77"/>
      <c r="GL522" s="77"/>
      <c r="GM522" s="77"/>
      <c r="GN522" s="77"/>
      <c r="GO522" s="77"/>
      <c r="GP522" s="77"/>
      <c r="GQ522" s="77"/>
      <c r="GR522" s="77"/>
      <c r="GS522" s="77"/>
      <c r="GT522" s="77"/>
      <c r="GU522" s="77"/>
      <c r="GV522" s="77"/>
      <c r="GW522" s="77"/>
      <c r="GX522" s="77"/>
      <c r="GY522" s="77"/>
      <c r="GZ522" s="77"/>
      <c r="HA522" s="77"/>
      <c r="HB522" s="77"/>
      <c r="HC522" s="77"/>
      <c r="HD522" s="77"/>
      <c r="HE522" s="77"/>
      <c r="HF522" s="77"/>
      <c r="HG522" s="77"/>
      <c r="HH522" s="77"/>
      <c r="HI522" s="77"/>
      <c r="HJ522" s="77"/>
      <c r="HK522" s="77"/>
      <c r="ID522" s="77"/>
      <c r="IE522" s="77"/>
      <c r="IF522" s="77"/>
      <c r="IG522" s="77"/>
      <c r="IH522" s="77"/>
      <c r="II522" s="77"/>
      <c r="IJ522" s="77"/>
      <c r="IK522" s="77"/>
      <c r="IL522" s="77"/>
      <c r="IM522" s="77"/>
      <c r="IN522" s="77"/>
      <c r="IO522" s="77"/>
      <c r="IP522" s="77"/>
      <c r="IQ522" s="77"/>
      <c r="IR522" s="77"/>
      <c r="IS522" s="77"/>
      <c r="IT522" s="77"/>
      <c r="IU522" s="77"/>
      <c r="IV522" s="77"/>
      <c r="IW522" s="77"/>
      <c r="IX522" s="77"/>
      <c r="IY522" s="77"/>
      <c r="IZ522" s="77"/>
      <c r="JA522" s="77"/>
      <c r="JB522" s="77"/>
      <c r="JC522" s="77"/>
      <c r="JD522" s="77"/>
      <c r="JE522" s="77"/>
      <c r="JF522" s="77"/>
      <c r="JG522" s="77"/>
      <c r="JH522" s="77"/>
      <c r="JI522" s="77"/>
      <c r="JJ522" s="77"/>
      <c r="JK522" s="77"/>
      <c r="JL522" s="77"/>
      <c r="JM522" s="77"/>
      <c r="JN522" s="77"/>
      <c r="JO522" s="77"/>
      <c r="JP522" s="77"/>
      <c r="JQ522" s="77"/>
      <c r="JR522" s="77"/>
      <c r="JS522" s="77"/>
      <c r="JT522" s="77"/>
      <c r="JU522" s="77"/>
      <c r="JV522" s="77"/>
      <c r="JW522" s="77"/>
      <c r="JX522" s="77"/>
      <c r="JY522" s="77"/>
      <c r="JZ522" s="77"/>
      <c r="KA522" s="77"/>
      <c r="KB522" s="77"/>
      <c r="KC522" s="77"/>
      <c r="KD522" s="77"/>
      <c r="KE522" s="77"/>
      <c r="KF522" s="77"/>
      <c r="KG522" s="77"/>
      <c r="KH522" s="77"/>
      <c r="KI522" s="77"/>
      <c r="KJ522" s="77"/>
      <c r="KK522" s="77"/>
      <c r="KL522" s="77"/>
      <c r="KM522" s="77"/>
      <c r="KN522" s="77"/>
      <c r="KO522" s="77"/>
      <c r="KP522" s="77"/>
      <c r="KQ522" s="77"/>
      <c r="KR522" s="77"/>
      <c r="KS522" s="77"/>
      <c r="KT522" s="77"/>
      <c r="KU522" s="77"/>
      <c r="KV522" s="77"/>
      <c r="KW522" s="77"/>
      <c r="KX522" s="77"/>
      <c r="KY522" s="77"/>
      <c r="KZ522" s="77"/>
      <c r="LA522" s="77"/>
      <c r="LB522" s="77"/>
      <c r="LC522" s="77"/>
      <c r="LD522" s="77"/>
      <c r="LE522" s="77"/>
      <c r="LF522" s="77"/>
      <c r="LG522" s="77"/>
      <c r="LH522" s="77"/>
      <c r="LI522" s="77"/>
      <c r="LJ522" s="77"/>
      <c r="LK522" s="77"/>
      <c r="LL522" s="77"/>
      <c r="LM522" s="77"/>
      <c r="LN522" s="77"/>
      <c r="LO522" s="77"/>
      <c r="LP522" s="77"/>
      <c r="LQ522" s="77"/>
      <c r="LR522" s="77"/>
      <c r="LS522" s="77"/>
      <c r="LT522" s="77"/>
      <c r="LU522" s="77"/>
      <c r="LV522" s="77"/>
      <c r="LW522" s="77"/>
      <c r="LX522" s="77"/>
    </row>
    <row r="523" spans="1:421" s="21" customFormat="1" ht="18.600000000000001" customHeight="1" x14ac:dyDescent="0.25">
      <c r="A523" s="119" t="s">
        <v>367</v>
      </c>
      <c r="B523" s="27" t="s">
        <v>1784</v>
      </c>
      <c r="C523" s="27" t="s">
        <v>1785</v>
      </c>
      <c r="D523" s="30" t="str">
        <f>HYPERLINK("https://twitter.com/CyprusMFA","https://twitter.com/CyprusMFA")</f>
        <v>https://twitter.com/CyprusMFA</v>
      </c>
      <c r="E523" s="30" t="str">
        <f>HYPERLINK("http://twiplomacy.com/info/europe/Cyprus","http://twiplomacy.com/info/europe/Cyprus")</f>
        <v>http://twiplomacy.com/info/europe/Cyprus</v>
      </c>
      <c r="F523" s="10" t="s">
        <v>332</v>
      </c>
      <c r="G523" s="10" t="s">
        <v>362</v>
      </c>
      <c r="H523" s="10" t="s">
        <v>795</v>
      </c>
      <c r="I523" s="10" t="s">
        <v>782</v>
      </c>
      <c r="J523" s="27" t="s">
        <v>789</v>
      </c>
      <c r="K523" s="15" t="s">
        <v>777</v>
      </c>
      <c r="L523" s="10" t="s">
        <v>771</v>
      </c>
      <c r="M523" s="10" t="s">
        <v>770</v>
      </c>
      <c r="N523" s="30" t="str">
        <f>HYPERLINK("https://twitter.com/CyprusMFA/statuses/336934266279702528","https://twitter.com/CyprusMFA/statuses/336934266279702528")</f>
        <v>https://twitter.com/CyprusMFA/statuses/336934266279702528</v>
      </c>
      <c r="O523" s="27" t="s">
        <v>5788</v>
      </c>
      <c r="P523" s="80">
        <v>1740</v>
      </c>
      <c r="Q523" s="80">
        <v>761</v>
      </c>
      <c r="R523" s="27" t="s">
        <v>2995</v>
      </c>
      <c r="S523" s="12" t="s">
        <v>1786</v>
      </c>
      <c r="T523" s="10" t="s">
        <v>771</v>
      </c>
      <c r="U523" s="10" t="s">
        <v>771</v>
      </c>
      <c r="V523" s="10" t="s">
        <v>771</v>
      </c>
      <c r="W523" s="10"/>
      <c r="X523" s="27" t="s">
        <v>367</v>
      </c>
      <c r="Y523" s="27" t="s">
        <v>1784</v>
      </c>
      <c r="Z523" s="80">
        <v>623</v>
      </c>
      <c r="AA523" s="27">
        <v>381</v>
      </c>
      <c r="AB523" s="80">
        <v>7135</v>
      </c>
      <c r="AC523" s="27">
        <v>417</v>
      </c>
      <c r="AD523" s="27" t="s">
        <v>3597</v>
      </c>
      <c r="AE523" s="27">
        <v>1446632138</v>
      </c>
      <c r="AF523" s="27" t="s">
        <v>1785</v>
      </c>
      <c r="AG523" s="27" t="s">
        <v>1787</v>
      </c>
      <c r="AH523" s="79">
        <v>0.57845868152274804</v>
      </c>
      <c r="AI523" s="83">
        <v>0.58076563958916905</v>
      </c>
      <c r="AJ523" s="80">
        <v>8.8426395939086309</v>
      </c>
      <c r="AK523" s="80">
        <v>4.9923857868020303</v>
      </c>
      <c r="AL523" s="27">
        <v>48</v>
      </c>
      <c r="AM523" s="97">
        <f>SUM(AL523/Z523)</f>
        <v>7.7046548956661312E-2</v>
      </c>
      <c r="AN523" s="27" t="s">
        <v>367</v>
      </c>
      <c r="AO523" s="27">
        <v>48</v>
      </c>
      <c r="AP523" s="27">
        <v>25</v>
      </c>
      <c r="AQ523" s="27">
        <v>53</v>
      </c>
      <c r="AR523" s="27">
        <f>SUM(AO523:AQ523)</f>
        <v>126</v>
      </c>
      <c r="AS523" s="27" t="s">
        <v>6556</v>
      </c>
      <c r="AT523" s="27" t="s">
        <v>6281</v>
      </c>
      <c r="AU523" s="84" t="s">
        <v>6150</v>
      </c>
      <c r="AV523" s="77"/>
      <c r="AW523" s="77"/>
      <c r="AX523" s="77"/>
      <c r="AY523" s="77"/>
      <c r="AZ523" s="77"/>
      <c r="BA523" s="77"/>
      <c r="BB523" s="77"/>
      <c r="BC523" s="77"/>
      <c r="BD523" s="77"/>
      <c r="BE523" s="77"/>
      <c r="BF523" s="77"/>
      <c r="BG523" s="77"/>
      <c r="BH523" s="77"/>
      <c r="BI523" s="77"/>
      <c r="BJ523" s="77"/>
      <c r="BK523" s="77"/>
      <c r="BL523" s="77"/>
      <c r="BM523" s="77"/>
      <c r="BN523" s="77"/>
      <c r="BO523" s="77"/>
      <c r="BP523" s="77"/>
      <c r="BQ523" s="77"/>
      <c r="BR523" s="77"/>
      <c r="BS523" s="77"/>
      <c r="BT523" s="77"/>
      <c r="BU523" s="77"/>
      <c r="BV523" s="77"/>
      <c r="BW523" s="77"/>
      <c r="BX523" s="77"/>
      <c r="BY523" s="77"/>
      <c r="BZ523" s="77"/>
      <c r="CA523" s="77"/>
      <c r="CB523" s="77"/>
      <c r="CC523" s="77"/>
      <c r="CD523" s="77"/>
      <c r="CE523" s="77"/>
      <c r="CF523" s="77"/>
      <c r="CG523" s="77"/>
      <c r="CH523" s="77"/>
      <c r="CI523" s="77"/>
      <c r="CJ523" s="77"/>
      <c r="CK523" s="77"/>
      <c r="CL523" s="77"/>
      <c r="CM523" s="77"/>
      <c r="CN523" s="77"/>
      <c r="CO523" s="77"/>
      <c r="CP523" s="77"/>
      <c r="CQ523" s="77"/>
      <c r="CR523" s="77"/>
      <c r="CS523" s="77"/>
      <c r="CT523" s="77"/>
      <c r="CU523" s="77"/>
      <c r="CV523" s="77"/>
      <c r="CW523" s="77"/>
      <c r="CX523" s="77"/>
      <c r="CY523" s="77"/>
      <c r="CZ523" s="77"/>
      <c r="DA523" s="77"/>
      <c r="DB523" s="77"/>
      <c r="DC523" s="77"/>
      <c r="DD523" s="77"/>
      <c r="DE523" s="77"/>
      <c r="DF523" s="77"/>
      <c r="DG523" s="77"/>
      <c r="DH523" s="77"/>
      <c r="DI523" s="77"/>
      <c r="DJ523" s="77"/>
      <c r="DK523" s="77"/>
      <c r="DL523" s="77"/>
      <c r="DM523" s="77"/>
      <c r="DN523" s="77"/>
      <c r="DO523" s="77"/>
      <c r="DP523" s="77"/>
      <c r="DQ523" s="77"/>
      <c r="DR523" s="77"/>
      <c r="DS523" s="77"/>
      <c r="DT523" s="77"/>
      <c r="DU523" s="77"/>
      <c r="DV523" s="77"/>
      <c r="DW523" s="77"/>
      <c r="DX523" s="77"/>
      <c r="DY523" s="77"/>
      <c r="DZ523" s="77"/>
      <c r="EA523" s="77"/>
      <c r="EB523" s="77"/>
      <c r="EC523" s="77"/>
      <c r="ED523" s="77"/>
      <c r="EE523" s="77"/>
      <c r="EF523" s="77"/>
      <c r="EG523" s="77"/>
      <c r="EH523" s="77"/>
      <c r="EI523" s="77"/>
      <c r="EJ523" s="77"/>
      <c r="EK523" s="77"/>
      <c r="EL523" s="77"/>
      <c r="EM523" s="77"/>
      <c r="EN523" s="77"/>
      <c r="EO523" s="77"/>
      <c r="EP523" s="77"/>
      <c r="EQ523" s="77"/>
      <c r="HL523" s="77"/>
      <c r="HM523" s="77"/>
      <c r="HN523" s="77"/>
      <c r="HO523" s="77"/>
      <c r="HP523" s="77"/>
      <c r="HQ523" s="77"/>
      <c r="HR523" s="77"/>
      <c r="HS523" s="77"/>
      <c r="HT523" s="77"/>
      <c r="HU523" s="77"/>
      <c r="HV523" s="77"/>
      <c r="HW523" s="77"/>
      <c r="HX523" s="77"/>
      <c r="HY523" s="77"/>
      <c r="HZ523" s="77"/>
      <c r="IA523" s="77"/>
      <c r="IB523" s="77"/>
      <c r="IC523" s="77"/>
      <c r="ID523" s="77"/>
      <c r="IE523" s="77"/>
      <c r="IF523" s="77"/>
      <c r="IG523" s="77"/>
      <c r="IH523" s="77"/>
      <c r="II523" s="77"/>
      <c r="IJ523" s="77"/>
      <c r="IK523" s="77"/>
      <c r="IL523" s="77"/>
      <c r="IM523" s="77"/>
      <c r="IN523" s="77"/>
      <c r="IO523" s="77"/>
      <c r="IP523" s="77"/>
      <c r="IQ523" s="77"/>
      <c r="IR523" s="77"/>
      <c r="IS523" s="77"/>
      <c r="IT523" s="77"/>
      <c r="IU523" s="77"/>
      <c r="IV523" s="77"/>
      <c r="IW523" s="77"/>
      <c r="IX523" s="77"/>
      <c r="IY523" s="77"/>
      <c r="IZ523" s="77"/>
      <c r="JA523" s="77"/>
      <c r="JB523" s="77"/>
      <c r="JC523" s="77"/>
      <c r="JD523" s="77"/>
      <c r="JE523" s="77"/>
      <c r="JF523" s="77"/>
      <c r="JG523" s="77"/>
      <c r="JH523" s="77"/>
      <c r="JI523" s="77"/>
      <c r="JJ523" s="77"/>
      <c r="JK523" s="77"/>
      <c r="JL523" s="77"/>
      <c r="JM523" s="77"/>
      <c r="JN523" s="77"/>
      <c r="JO523" s="77"/>
      <c r="JP523" s="77"/>
      <c r="JQ523" s="77"/>
      <c r="JR523" s="77"/>
      <c r="JS523" s="77"/>
      <c r="JT523" s="77"/>
      <c r="JU523" s="77"/>
      <c r="JV523" s="77"/>
      <c r="JW523" s="77"/>
      <c r="JX523" s="77"/>
      <c r="JY523" s="77"/>
      <c r="JZ523" s="77"/>
      <c r="KA523" s="77"/>
      <c r="KB523" s="77"/>
      <c r="KC523" s="77"/>
      <c r="KD523" s="77"/>
      <c r="KE523" s="77"/>
      <c r="KF523" s="77"/>
      <c r="KG523" s="77"/>
      <c r="KH523" s="77"/>
      <c r="KI523" s="77"/>
      <c r="KJ523" s="77"/>
      <c r="KK523" s="77"/>
      <c r="KL523" s="77"/>
      <c r="LL523" s="77"/>
      <c r="LM523" s="77"/>
      <c r="LN523" s="77"/>
      <c r="LO523" s="77"/>
      <c r="LP523" s="77"/>
      <c r="LQ523" s="77"/>
      <c r="LR523" s="77"/>
      <c r="LS523" s="77"/>
      <c r="LT523" s="77"/>
      <c r="LU523" s="77"/>
      <c r="LV523" s="77"/>
    </row>
    <row r="524" spans="1:421" s="21" customFormat="1" ht="18.600000000000001" customHeight="1" x14ac:dyDescent="0.25">
      <c r="A524" s="119" t="s">
        <v>670</v>
      </c>
      <c r="B524" s="27" t="s">
        <v>2685</v>
      </c>
      <c r="C524" s="27" t="s">
        <v>3000</v>
      </c>
      <c r="D524" s="31" t="s">
        <v>3003</v>
      </c>
      <c r="E524" s="30" t="str">
        <f>HYPERLINK("http://twiplomacy.com/info/south-america/Argentina","http://twiplomacy.com/info/south-america/Argentina")</f>
        <v>http://twiplomacy.com/info/south-america/Argentina</v>
      </c>
      <c r="F524" s="10" t="s">
        <v>668</v>
      </c>
      <c r="G524" s="10" t="s">
        <v>667</v>
      </c>
      <c r="H524" s="10" t="s">
        <v>788</v>
      </c>
      <c r="I524" s="10" t="s">
        <v>782</v>
      </c>
      <c r="J524" s="27" t="s">
        <v>2226</v>
      </c>
      <c r="K524" s="15" t="s">
        <v>777</v>
      </c>
      <c r="L524" s="10" t="s">
        <v>771</v>
      </c>
      <c r="M524" s="10" t="s">
        <v>770</v>
      </c>
      <c r="N524" s="30" t="s">
        <v>3005</v>
      </c>
      <c r="O524" s="27" t="s">
        <v>3156</v>
      </c>
      <c r="P524" s="80">
        <v>4684</v>
      </c>
      <c r="Q524" s="80">
        <v>7869</v>
      </c>
      <c r="R524" s="27" t="s">
        <v>2994</v>
      </c>
      <c r="S524" s="31" t="s">
        <v>3006</v>
      </c>
      <c r="T524" s="10" t="s">
        <v>771</v>
      </c>
      <c r="U524" s="10" t="s">
        <v>771</v>
      </c>
      <c r="V524" s="10" t="s">
        <v>771</v>
      </c>
      <c r="W524" s="10"/>
      <c r="X524" s="27" t="s">
        <v>670</v>
      </c>
      <c r="Y524" s="27" t="s">
        <v>2685</v>
      </c>
      <c r="Z524" s="80">
        <v>621</v>
      </c>
      <c r="AA524" s="27">
        <v>50</v>
      </c>
      <c r="AB524" s="80">
        <v>235894</v>
      </c>
      <c r="AC524" s="27">
        <v>5</v>
      </c>
      <c r="AD524" s="27" t="s">
        <v>3574</v>
      </c>
      <c r="AE524" s="27">
        <v>4515126989</v>
      </c>
      <c r="AF524" s="27" t="s">
        <v>3000</v>
      </c>
      <c r="AG524" s="27" t="s">
        <v>3575</v>
      </c>
      <c r="AH524" s="79">
        <v>4.5401459854014599</v>
      </c>
      <c r="AI524" s="83">
        <v>4.7121212121212102</v>
      </c>
      <c r="AJ524" s="80">
        <v>431.03818181818201</v>
      </c>
      <c r="AK524" s="80">
        <v>822.26727272727305</v>
      </c>
      <c r="AL524" s="27">
        <v>1</v>
      </c>
      <c r="AM524" s="97">
        <f>SUM(AL524/Z524)</f>
        <v>1.6103059581320451E-3</v>
      </c>
      <c r="AN524" s="27" t="s">
        <v>670</v>
      </c>
      <c r="AO524" s="27">
        <v>1</v>
      </c>
      <c r="AP524" s="27">
        <v>12</v>
      </c>
      <c r="AQ524" s="27">
        <v>3</v>
      </c>
      <c r="AR524" s="27">
        <f>SUM(AO524:AQ524)</f>
        <v>16</v>
      </c>
      <c r="AS524" s="27" t="s">
        <v>2366</v>
      </c>
      <c r="AT524" s="27" t="s">
        <v>5065</v>
      </c>
      <c r="AU524" s="84" t="s">
        <v>4679</v>
      </c>
      <c r="AV524" s="77"/>
      <c r="AW524" s="77"/>
      <c r="AX524" s="77"/>
      <c r="AY524" s="77"/>
      <c r="AZ524" s="77"/>
      <c r="BA524" s="77"/>
      <c r="BB524" s="77"/>
      <c r="BC524" s="77"/>
      <c r="BD524" s="77"/>
      <c r="BE524" s="77"/>
      <c r="BF524" s="77"/>
      <c r="BG524" s="77"/>
      <c r="BH524" s="77"/>
      <c r="BI524" s="77"/>
      <c r="BJ524" s="77"/>
      <c r="BK524" s="77"/>
      <c r="BL524" s="77"/>
      <c r="BM524" s="71"/>
      <c r="BN524" s="77"/>
      <c r="BO524" s="77"/>
      <c r="BP524" s="77"/>
      <c r="BQ524" s="77"/>
      <c r="BR524" s="77"/>
      <c r="BS524" s="77"/>
      <c r="BT524" s="77"/>
      <c r="BU524" s="77"/>
      <c r="BV524" s="77"/>
      <c r="BW524" s="77"/>
      <c r="BX524" s="77"/>
      <c r="BY524" s="77"/>
      <c r="BZ524" s="77"/>
      <c r="CA524" s="77"/>
      <c r="CB524" s="77"/>
      <c r="CC524" s="77"/>
      <c r="CD524" s="77"/>
      <c r="CE524" s="77"/>
      <c r="CF524" s="77"/>
      <c r="CG524" s="77"/>
      <c r="CH524" s="77"/>
      <c r="CI524" s="77"/>
      <c r="CJ524" s="77"/>
      <c r="CK524" s="77"/>
      <c r="CL524" s="77"/>
      <c r="CM524" s="77"/>
      <c r="CN524" s="77"/>
      <c r="CO524" s="77"/>
      <c r="CP524" s="77"/>
      <c r="CQ524" s="77"/>
      <c r="CR524" s="77"/>
      <c r="CS524" s="77"/>
      <c r="CT524" s="77"/>
      <c r="CU524" s="77"/>
      <c r="CV524" s="77"/>
      <c r="CW524" s="77"/>
      <c r="CX524" s="77"/>
      <c r="CY524" s="77"/>
      <c r="CZ524" s="77"/>
      <c r="DA524" s="77"/>
      <c r="DB524" s="77"/>
      <c r="DC524" s="77"/>
      <c r="DD524" s="77"/>
      <c r="DE524" s="77"/>
      <c r="DF524" s="77"/>
      <c r="DG524" s="77"/>
      <c r="DH524" s="77"/>
      <c r="DI524" s="77"/>
      <c r="DJ524" s="77"/>
      <c r="DK524" s="77"/>
      <c r="DL524" s="77"/>
      <c r="DM524" s="77"/>
      <c r="DN524" s="77"/>
      <c r="DO524" s="77"/>
      <c r="DP524" s="77"/>
      <c r="DQ524" s="77"/>
      <c r="DR524" s="77"/>
      <c r="DS524" s="77"/>
      <c r="DT524" s="77"/>
      <c r="DU524" s="77"/>
      <c r="DV524" s="77"/>
      <c r="DW524" s="77"/>
      <c r="DX524" s="77"/>
      <c r="DY524" s="77"/>
      <c r="DZ524" s="77"/>
      <c r="EA524" s="77"/>
      <c r="EB524" s="77"/>
      <c r="EC524" s="77"/>
      <c r="ED524" s="77"/>
      <c r="EE524" s="77"/>
      <c r="EF524" s="77"/>
      <c r="EG524" s="77"/>
      <c r="EH524" s="77"/>
      <c r="EI524" s="77"/>
      <c r="EJ524" s="77"/>
      <c r="EK524" s="77"/>
      <c r="EL524" s="77"/>
      <c r="EM524" s="77"/>
      <c r="EN524" s="77"/>
      <c r="EO524" s="77"/>
      <c r="EQ524" s="77"/>
      <c r="ER524" s="16"/>
      <c r="ES524" s="16"/>
      <c r="ET524" s="16"/>
      <c r="EU524" s="16"/>
      <c r="EV524" s="16"/>
      <c r="EW524" s="16"/>
      <c r="EX524" s="16"/>
      <c r="EY524" s="16"/>
      <c r="EZ524" s="16"/>
      <c r="FA524" s="16"/>
      <c r="FB524" s="16"/>
      <c r="FC524" s="16"/>
      <c r="FD524" s="16"/>
      <c r="FE524" s="16"/>
      <c r="FF524" s="16"/>
      <c r="FG524" s="16"/>
      <c r="FH524" s="16"/>
      <c r="FI524" s="16"/>
      <c r="FJ524" s="16"/>
      <c r="FK524" s="16"/>
      <c r="FL524" s="16"/>
      <c r="FM524" s="16"/>
      <c r="FN524" s="16"/>
      <c r="FO524" s="16"/>
      <c r="FP524" s="16"/>
      <c r="FQ524" s="16"/>
      <c r="FR524" s="16"/>
      <c r="FS524" s="16"/>
      <c r="FT524" s="16"/>
      <c r="FU524" s="16"/>
      <c r="FV524" s="16"/>
      <c r="FW524" s="16"/>
      <c r="FX524" s="16"/>
      <c r="FY524" s="16"/>
      <c r="FZ524" s="16"/>
      <c r="GA524" s="16"/>
      <c r="GB524" s="16"/>
      <c r="GC524" s="16"/>
      <c r="GD524" s="16"/>
      <c r="GE524" s="16"/>
      <c r="GF524" s="16"/>
      <c r="GG524" s="16"/>
      <c r="GH524" s="16"/>
      <c r="GI524" s="16"/>
      <c r="GJ524" s="16"/>
      <c r="GK524" s="16"/>
      <c r="GL524" s="77"/>
      <c r="GM524" s="77"/>
      <c r="GN524" s="77"/>
      <c r="GO524" s="77"/>
      <c r="GP524" s="77"/>
      <c r="GQ524" s="77"/>
      <c r="GR524" s="77"/>
      <c r="GS524" s="77"/>
      <c r="GT524" s="77"/>
      <c r="GU524" s="77"/>
      <c r="GV524" s="77"/>
      <c r="GW524" s="77"/>
      <c r="GX524" s="77"/>
      <c r="GY524" s="77"/>
      <c r="GZ524" s="77"/>
      <c r="HA524" s="77"/>
      <c r="HB524" s="77"/>
      <c r="HC524" s="77"/>
      <c r="HD524" s="77"/>
      <c r="HE524" s="77"/>
      <c r="HF524" s="77"/>
      <c r="HG524" s="77"/>
      <c r="HH524" s="77"/>
      <c r="HI524" s="77"/>
      <c r="HJ524" s="77"/>
      <c r="HK524" s="77"/>
      <c r="HL524" s="77"/>
      <c r="HM524" s="77"/>
      <c r="HN524" s="77"/>
      <c r="HO524" s="77"/>
      <c r="HP524" s="77"/>
      <c r="HQ524" s="77"/>
      <c r="HR524" s="77"/>
      <c r="HS524" s="77"/>
      <c r="HT524" s="77"/>
      <c r="HU524" s="77"/>
      <c r="HV524" s="77"/>
      <c r="HW524" s="77"/>
      <c r="HX524" s="77"/>
      <c r="HY524" s="77"/>
      <c r="HZ524" s="77"/>
      <c r="IA524" s="77"/>
      <c r="IB524" s="77"/>
      <c r="IC524" s="77"/>
      <c r="ID524" s="77"/>
      <c r="IE524" s="77"/>
      <c r="IF524" s="77"/>
      <c r="IG524" s="77"/>
      <c r="IH524" s="77"/>
      <c r="II524" s="77"/>
      <c r="IJ524" s="77"/>
      <c r="IK524" s="77"/>
      <c r="IL524" s="77"/>
      <c r="IM524" s="77"/>
      <c r="IN524" s="77"/>
      <c r="IO524" s="77"/>
      <c r="IP524" s="77"/>
      <c r="IQ524" s="77"/>
      <c r="IR524" s="77"/>
      <c r="IS524" s="77"/>
      <c r="IT524" s="77"/>
      <c r="IU524" s="77"/>
      <c r="IV524" s="77"/>
      <c r="IW524" s="77"/>
      <c r="IX524" s="77"/>
      <c r="IY524" s="77"/>
      <c r="IZ524" s="77"/>
      <c r="JA524" s="77"/>
      <c r="JB524" s="77"/>
      <c r="JC524" s="77"/>
      <c r="JD524" s="77"/>
      <c r="JE524" s="77"/>
      <c r="JF524" s="77"/>
      <c r="JG524" s="77"/>
      <c r="JH524" s="77"/>
      <c r="JI524" s="77"/>
      <c r="JJ524" s="77"/>
      <c r="JK524" s="77"/>
      <c r="JL524" s="77"/>
      <c r="JM524" s="77"/>
      <c r="JN524" s="77"/>
      <c r="JO524" s="77"/>
      <c r="JP524" s="77"/>
      <c r="JQ524" s="77"/>
      <c r="JR524" s="77"/>
      <c r="JS524" s="77"/>
      <c r="JT524" s="77"/>
      <c r="JU524" s="77"/>
      <c r="JV524" s="77"/>
      <c r="JW524" s="77"/>
      <c r="JX524" s="77"/>
      <c r="JY524" s="77"/>
      <c r="JZ524" s="77"/>
      <c r="KA524" s="77"/>
      <c r="KB524" s="77"/>
      <c r="KC524" s="77"/>
      <c r="KD524" s="77"/>
      <c r="KE524" s="77"/>
      <c r="KF524" s="77"/>
      <c r="KG524" s="77"/>
      <c r="KH524" s="77"/>
      <c r="KI524" s="77"/>
      <c r="KJ524" s="77"/>
      <c r="KK524" s="77"/>
      <c r="KL524" s="77"/>
      <c r="KM524" s="77"/>
      <c r="KN524" s="77"/>
      <c r="KO524" s="77"/>
      <c r="KP524" s="77"/>
      <c r="KQ524" s="77"/>
      <c r="KR524" s="77"/>
      <c r="KS524" s="77"/>
      <c r="KT524" s="77"/>
      <c r="KU524" s="77"/>
      <c r="KV524" s="77"/>
      <c r="KW524" s="77"/>
      <c r="KX524" s="77"/>
      <c r="KY524" s="77"/>
      <c r="KZ524" s="77"/>
      <c r="LA524" s="77"/>
      <c r="LB524" s="77"/>
      <c r="LC524" s="77"/>
      <c r="LD524" s="77"/>
      <c r="LE524" s="77"/>
      <c r="LF524" s="77"/>
      <c r="LG524" s="77"/>
      <c r="LH524" s="77"/>
      <c r="LI524" s="77"/>
      <c r="LJ524" s="77"/>
      <c r="LK524" s="77"/>
      <c r="LL524" s="77"/>
      <c r="LM524" s="77"/>
      <c r="LN524" s="77"/>
      <c r="LO524" s="77"/>
      <c r="LP524" s="77"/>
      <c r="LQ524" s="77"/>
      <c r="LR524" s="77"/>
      <c r="LS524" s="77"/>
      <c r="LT524" s="77"/>
      <c r="LU524" s="77"/>
      <c r="LV524" s="77"/>
      <c r="LW524" s="77"/>
      <c r="LX524" s="77"/>
      <c r="LY524" s="77"/>
      <c r="LZ524" s="77"/>
      <c r="MA524" s="77"/>
      <c r="MB524" s="77"/>
      <c r="MC524" s="77"/>
      <c r="MD524" s="77"/>
      <c r="ME524" s="77"/>
      <c r="MF524" s="77"/>
      <c r="MG524" s="77"/>
      <c r="MH524" s="77"/>
      <c r="MI524" s="77"/>
      <c r="MJ524" s="77"/>
      <c r="MK524" s="77"/>
      <c r="ML524" s="77"/>
      <c r="MM524" s="77"/>
      <c r="MN524" s="77"/>
      <c r="MO524" s="77"/>
      <c r="MP524" s="77"/>
      <c r="MQ524" s="77"/>
      <c r="MR524" s="77"/>
      <c r="MS524" s="77"/>
      <c r="ND524" s="77"/>
    </row>
    <row r="525" spans="1:421" s="21" customFormat="1" ht="18.600000000000001" customHeight="1" x14ac:dyDescent="0.25">
      <c r="A525" s="119" t="s">
        <v>145</v>
      </c>
      <c r="B525" s="27" t="s">
        <v>1153</v>
      </c>
      <c r="C525" s="27" t="s">
        <v>4435</v>
      </c>
      <c r="D525" s="30" t="str">
        <f>HYPERLINK("https://twitter.com/RuhakanaR","https://twitter.com/RuhakanaR")</f>
        <v>https://twitter.com/RuhakanaR</v>
      </c>
      <c r="E525" s="30" t="str">
        <f>HYPERLINK("http://twiplomacy.com/info/africa/Uganda","http://twiplomacy.com/info/africa/Uganda")</f>
        <v>http://twiplomacy.com/info/africa/Uganda</v>
      </c>
      <c r="F525" s="10" t="s">
        <v>1</v>
      </c>
      <c r="G525" s="10" t="s">
        <v>142</v>
      </c>
      <c r="H525" s="10" t="s">
        <v>776</v>
      </c>
      <c r="I525" s="10" t="s">
        <v>773</v>
      </c>
      <c r="J525" s="27" t="s">
        <v>789</v>
      </c>
      <c r="K525" s="15" t="s">
        <v>777</v>
      </c>
      <c r="L525" s="10" t="s">
        <v>771</v>
      </c>
      <c r="M525" s="10" t="s">
        <v>770</v>
      </c>
      <c r="N525" s="30" t="s">
        <v>3126</v>
      </c>
      <c r="O525" s="27" t="s">
        <v>3208</v>
      </c>
      <c r="P525" s="80">
        <v>111</v>
      </c>
      <c r="Q525" s="80">
        <v>53</v>
      </c>
      <c r="R525" s="27" t="s">
        <v>2995</v>
      </c>
      <c r="S525" s="12" t="s">
        <v>1154</v>
      </c>
      <c r="T525" s="10" t="s">
        <v>771</v>
      </c>
      <c r="U525" s="10" t="s">
        <v>771</v>
      </c>
      <c r="V525" s="10" t="s">
        <v>771</v>
      </c>
      <c r="W525" s="10"/>
      <c r="X525" s="27" t="s">
        <v>145</v>
      </c>
      <c r="Y525" s="27" t="s">
        <v>1153</v>
      </c>
      <c r="Z525" s="80">
        <v>620</v>
      </c>
      <c r="AA525" s="27">
        <v>68</v>
      </c>
      <c r="AB525" s="80">
        <v>24056</v>
      </c>
      <c r="AC525" s="27">
        <v>16</v>
      </c>
      <c r="AD525" s="27" t="s">
        <v>4436</v>
      </c>
      <c r="AE525" s="27">
        <v>2776823057</v>
      </c>
      <c r="AF525" s="27" t="s">
        <v>4435</v>
      </c>
      <c r="AG525" s="27"/>
      <c r="AH525" s="79">
        <v>1.0508474576271201</v>
      </c>
      <c r="AI525" s="83">
        <v>1.0526315789473699</v>
      </c>
      <c r="AJ525" s="80">
        <v>8.2417962003454193</v>
      </c>
      <c r="AK525" s="80">
        <v>6.5371329879101898</v>
      </c>
      <c r="AL525" s="27">
        <v>188</v>
      </c>
      <c r="AM525" s="97">
        <f>SUM(AL525/Z525)</f>
        <v>0.3032258064516129</v>
      </c>
      <c r="AN525" s="27" t="s">
        <v>145</v>
      </c>
      <c r="AO525" s="27">
        <v>3</v>
      </c>
      <c r="AP525" s="27">
        <v>2</v>
      </c>
      <c r="AQ525" s="27">
        <v>3</v>
      </c>
      <c r="AR525" s="27">
        <f>SUM(AO525:AQ525)</f>
        <v>8</v>
      </c>
      <c r="AS525" s="27" t="s">
        <v>5476</v>
      </c>
      <c r="AT525" s="27" t="s">
        <v>5477</v>
      </c>
      <c r="AU525" s="84" t="s">
        <v>4940</v>
      </c>
      <c r="AV525" s="77"/>
      <c r="AW525" s="77"/>
      <c r="AX525" s="77"/>
      <c r="AY525" s="77"/>
      <c r="AZ525" s="77"/>
      <c r="BA525" s="77"/>
      <c r="BB525" s="77"/>
      <c r="BC525" s="77"/>
      <c r="BD525" s="77"/>
      <c r="BE525" s="77"/>
      <c r="BF525" s="77"/>
      <c r="BG525" s="77"/>
      <c r="BH525" s="77"/>
      <c r="BI525" s="77"/>
      <c r="BJ525" s="77"/>
      <c r="BK525" s="77"/>
      <c r="BL525" s="77"/>
      <c r="BM525" s="77"/>
      <c r="BN525" s="77"/>
      <c r="BO525" s="77"/>
      <c r="BP525" s="77"/>
      <c r="CC525" s="16"/>
      <c r="CD525" s="16"/>
      <c r="CE525" s="16"/>
      <c r="CF525" s="16"/>
      <c r="CG525" s="16"/>
      <c r="CH525" s="16"/>
      <c r="CI525" s="16"/>
      <c r="CJ525" s="16"/>
      <c r="CK525" s="16"/>
      <c r="CL525" s="16"/>
      <c r="CM525" s="16"/>
      <c r="CN525" s="16"/>
      <c r="CO525" s="16"/>
      <c r="CP525" s="16"/>
      <c r="CQ525" s="16"/>
      <c r="CR525" s="16"/>
      <c r="CS525" s="16"/>
      <c r="CT525" s="16"/>
      <c r="CU525" s="16"/>
      <c r="CV525" s="16"/>
      <c r="CW525" s="16"/>
      <c r="CX525" s="77"/>
      <c r="CY525" s="77"/>
      <c r="CZ525" s="77"/>
      <c r="DA525" s="77"/>
      <c r="DB525" s="77"/>
      <c r="DC525" s="77"/>
      <c r="DD525" s="77"/>
      <c r="DE525" s="77"/>
      <c r="DF525" s="77"/>
      <c r="DG525" s="77"/>
      <c r="DH525" s="77"/>
      <c r="DI525" s="77"/>
      <c r="DJ525" s="77"/>
      <c r="DK525" s="77"/>
      <c r="DL525" s="77"/>
      <c r="DM525" s="77"/>
      <c r="DN525" s="77"/>
      <c r="DO525" s="77"/>
      <c r="DP525" s="77"/>
      <c r="DQ525" s="77"/>
      <c r="DR525" s="77"/>
      <c r="DS525" s="77"/>
      <c r="DT525" s="77"/>
      <c r="DU525" s="77"/>
      <c r="DV525" s="77"/>
      <c r="DW525" s="77"/>
      <c r="DX525" s="77"/>
      <c r="DY525" s="77"/>
      <c r="DZ525" s="77"/>
      <c r="EA525" s="77"/>
      <c r="EB525" s="77"/>
      <c r="EC525" s="77"/>
      <c r="ED525" s="77"/>
      <c r="EE525" s="77"/>
      <c r="EF525" s="77"/>
      <c r="EG525" s="77"/>
      <c r="EH525" s="77"/>
      <c r="EI525" s="77"/>
      <c r="EJ525" s="77"/>
      <c r="EK525" s="77"/>
      <c r="EL525" s="77"/>
      <c r="EM525" s="77"/>
      <c r="EN525" s="77"/>
      <c r="EO525" s="77"/>
      <c r="EP525" s="77"/>
      <c r="EQ525" s="77"/>
      <c r="ER525" s="77"/>
      <c r="ES525" s="77"/>
      <c r="ET525" s="77"/>
      <c r="EU525" s="77"/>
      <c r="EV525" s="77"/>
      <c r="EW525" s="77"/>
      <c r="EX525" s="77"/>
      <c r="EY525" s="77"/>
      <c r="EZ525" s="77"/>
      <c r="FA525" s="77"/>
      <c r="FB525" s="77"/>
      <c r="FC525" s="77"/>
      <c r="FD525" s="77"/>
      <c r="FE525" s="77"/>
      <c r="FF525" s="77"/>
      <c r="FG525" s="77"/>
      <c r="FH525" s="77"/>
      <c r="FI525" s="77"/>
      <c r="FJ525" s="77"/>
      <c r="FK525" s="77"/>
      <c r="FL525" s="77"/>
      <c r="FM525" s="77"/>
      <c r="FN525" s="77"/>
      <c r="FO525" s="77"/>
      <c r="FP525" s="77"/>
      <c r="FQ525" s="77"/>
      <c r="FR525" s="77"/>
      <c r="FS525" s="77"/>
      <c r="FT525" s="77"/>
      <c r="FU525" s="77"/>
      <c r="FV525" s="77"/>
      <c r="FW525" s="77"/>
      <c r="FX525" s="77"/>
      <c r="FY525" s="77"/>
      <c r="FZ525" s="77"/>
      <c r="GA525" s="77"/>
      <c r="GB525" s="77"/>
      <c r="GC525" s="77"/>
      <c r="GD525" s="77"/>
      <c r="GE525" s="77"/>
      <c r="GF525" s="77"/>
      <c r="GG525" s="77"/>
      <c r="GH525" s="77"/>
      <c r="GI525" s="77"/>
      <c r="GJ525" s="77"/>
      <c r="GK525" s="77"/>
      <c r="GL525" s="77"/>
      <c r="GM525" s="77"/>
      <c r="GN525" s="77"/>
      <c r="GO525" s="77"/>
      <c r="GP525" s="77"/>
      <c r="GQ525" s="77"/>
      <c r="GR525" s="77"/>
      <c r="GS525" s="77"/>
      <c r="GT525" s="77"/>
      <c r="GU525" s="77"/>
      <c r="GV525" s="77"/>
      <c r="GW525" s="77"/>
      <c r="GX525" s="77"/>
      <c r="GY525" s="77"/>
      <c r="GZ525" s="77"/>
      <c r="HA525" s="77"/>
      <c r="HB525" s="77"/>
      <c r="HC525" s="77"/>
      <c r="HD525" s="77"/>
      <c r="HE525" s="77"/>
      <c r="HF525" s="77"/>
      <c r="HG525" s="77"/>
      <c r="HH525" s="77"/>
      <c r="HI525" s="77"/>
      <c r="HJ525" s="77"/>
      <c r="HK525" s="77"/>
      <c r="HL525" s="77"/>
      <c r="HM525" s="77"/>
      <c r="HN525" s="77"/>
      <c r="HO525" s="77"/>
      <c r="HP525" s="77"/>
      <c r="HQ525" s="77"/>
      <c r="HR525" s="77"/>
      <c r="HS525" s="77"/>
      <c r="HT525" s="77"/>
      <c r="HU525" s="77"/>
      <c r="HV525" s="77"/>
      <c r="HW525" s="77"/>
      <c r="HX525" s="77"/>
      <c r="HY525" s="77"/>
      <c r="HZ525" s="77"/>
      <c r="IA525" s="77"/>
      <c r="IB525" s="77"/>
      <c r="IC525" s="77"/>
      <c r="ID525" s="77"/>
      <c r="IE525" s="77"/>
      <c r="IF525" s="77"/>
      <c r="IG525" s="77"/>
      <c r="IH525" s="77"/>
      <c r="II525" s="77"/>
      <c r="IJ525" s="77"/>
      <c r="IK525" s="77"/>
      <c r="IL525" s="77"/>
      <c r="IM525" s="77"/>
      <c r="IN525" s="77"/>
      <c r="IO525" s="77"/>
      <c r="IP525" s="77"/>
      <c r="IQ525" s="77"/>
      <c r="IR525" s="77"/>
      <c r="IS525" s="77"/>
      <c r="IT525" s="77"/>
      <c r="IU525" s="77"/>
      <c r="IV525" s="77"/>
      <c r="IW525" s="77"/>
      <c r="IX525" s="77"/>
      <c r="IY525" s="77"/>
      <c r="IZ525" s="77"/>
      <c r="JA525" s="77"/>
      <c r="JB525" s="77"/>
      <c r="JC525" s="77"/>
      <c r="JD525" s="77"/>
      <c r="JE525" s="77"/>
      <c r="JF525" s="77"/>
      <c r="JG525" s="77"/>
      <c r="JH525" s="77"/>
      <c r="JI525" s="77"/>
      <c r="JJ525" s="77"/>
      <c r="JK525" s="77"/>
      <c r="JL525" s="77"/>
      <c r="JM525" s="77"/>
      <c r="JN525" s="77"/>
      <c r="JO525" s="77"/>
      <c r="JP525" s="77"/>
      <c r="JQ525" s="77"/>
      <c r="JR525" s="77"/>
      <c r="JS525" s="77"/>
      <c r="JT525" s="77"/>
      <c r="JU525" s="77"/>
      <c r="JV525" s="77"/>
      <c r="JW525" s="77"/>
      <c r="JX525" s="77"/>
      <c r="LL525" s="77"/>
      <c r="LM525" s="77"/>
      <c r="LN525" s="77"/>
      <c r="LO525" s="77"/>
      <c r="LP525" s="77"/>
      <c r="LQ525" s="77"/>
      <c r="LR525" s="77"/>
      <c r="LS525" s="77"/>
      <c r="LT525" s="77"/>
      <c r="LU525" s="77"/>
      <c r="LV525" s="77"/>
      <c r="LW525" s="77"/>
      <c r="LX525" s="77"/>
      <c r="LY525" s="77"/>
      <c r="LZ525" s="77"/>
      <c r="MA525" s="77"/>
      <c r="MB525" s="77"/>
      <c r="MC525" s="77"/>
      <c r="MD525" s="77"/>
      <c r="ME525" s="77"/>
      <c r="MF525" s="77"/>
      <c r="MG525" s="77"/>
      <c r="MH525" s="77"/>
      <c r="MI525" s="77"/>
      <c r="MJ525" s="77"/>
      <c r="MK525" s="77"/>
      <c r="ML525" s="77"/>
      <c r="MM525" s="77"/>
      <c r="MN525" s="77"/>
      <c r="MO525" s="77"/>
      <c r="MP525" s="77"/>
      <c r="MQ525" s="77"/>
      <c r="MR525" s="77"/>
    </row>
    <row r="526" spans="1:421" s="21" customFormat="1" ht="18.600000000000001" customHeight="1" x14ac:dyDescent="0.25">
      <c r="A526" s="119" t="s">
        <v>264</v>
      </c>
      <c r="B526" s="27" t="s">
        <v>1234</v>
      </c>
      <c r="C526" s="27" t="s">
        <v>1527</v>
      </c>
      <c r="D526" s="30" t="str">
        <f>HYPERLINK("https://twitter.com/MofaOman","https://twitter.com/MofaOman")</f>
        <v>https://twitter.com/MofaOman</v>
      </c>
      <c r="E526" s="30" t="str">
        <f>HYPERLINK("http://twiplomacy.com/info/asia/Oman","http://twiplomacy.com/info/asia/Oman")</f>
        <v>http://twiplomacy.com/info/asia/Oman</v>
      </c>
      <c r="F526" s="10" t="s">
        <v>154</v>
      </c>
      <c r="G526" s="10" t="s">
        <v>263</v>
      </c>
      <c r="H526" s="10" t="s">
        <v>795</v>
      </c>
      <c r="I526" s="10" t="s">
        <v>782</v>
      </c>
      <c r="J526" s="27" t="s">
        <v>789</v>
      </c>
      <c r="K526" s="15" t="s">
        <v>777</v>
      </c>
      <c r="L526" s="10" t="s">
        <v>771</v>
      </c>
      <c r="M526" s="10" t="s">
        <v>770</v>
      </c>
      <c r="N526" s="30" t="str">
        <f>HYPERLINK("https://twitter.com/MofaOman/statuses/420808628036042752","https://twitter.com/MofaOman/statuses/420808628036042752")</f>
        <v>https://twitter.com/MofaOman/statuses/420808628036042752</v>
      </c>
      <c r="O526" s="27" t="s">
        <v>5974</v>
      </c>
      <c r="P526" s="80">
        <v>2088</v>
      </c>
      <c r="Q526" s="80">
        <v>644</v>
      </c>
      <c r="R526" s="27" t="s">
        <v>2994</v>
      </c>
      <c r="S526" s="10" t="s">
        <v>1529</v>
      </c>
      <c r="T526" s="10" t="s">
        <v>771</v>
      </c>
      <c r="U526" s="10" t="s">
        <v>771</v>
      </c>
      <c r="V526" s="10" t="s">
        <v>771</v>
      </c>
      <c r="W526" s="10"/>
      <c r="X526" s="27" t="s">
        <v>264</v>
      </c>
      <c r="Y526" s="27" t="s">
        <v>1234</v>
      </c>
      <c r="Z526" s="80">
        <v>620</v>
      </c>
      <c r="AA526" s="27">
        <v>1</v>
      </c>
      <c r="AB526" s="80">
        <v>94730</v>
      </c>
      <c r="AC526" s="27">
        <v>1</v>
      </c>
      <c r="AD526" s="27" t="s">
        <v>4156</v>
      </c>
      <c r="AE526" s="27">
        <v>2199182563</v>
      </c>
      <c r="AF526" s="27" t="s">
        <v>1527</v>
      </c>
      <c r="AG526" s="27" t="s">
        <v>1530</v>
      </c>
      <c r="AH526" s="79">
        <v>0.69119286510590905</v>
      </c>
      <c r="AI526" s="83">
        <v>0.73634204275534398</v>
      </c>
      <c r="AJ526" s="80">
        <v>47.718855218855197</v>
      </c>
      <c r="AK526" s="80">
        <v>35.762626262626299</v>
      </c>
      <c r="AL526" s="27">
        <v>97</v>
      </c>
      <c r="AM526" s="97">
        <f>SUM(AL526/Z526)</f>
        <v>0.15645161290322582</v>
      </c>
      <c r="AN526" s="27" t="s">
        <v>264</v>
      </c>
      <c r="AO526" s="27">
        <v>0</v>
      </c>
      <c r="AP526" s="27">
        <v>24</v>
      </c>
      <c r="AQ526" s="27">
        <v>0</v>
      </c>
      <c r="AR526" s="27">
        <f>SUM(AO526:AQ526)</f>
        <v>24</v>
      </c>
      <c r="AS526" s="27"/>
      <c r="AT526" s="39" t="s">
        <v>6907</v>
      </c>
      <c r="AU526" s="84"/>
      <c r="AV526" s="77"/>
      <c r="AW526" s="77"/>
      <c r="AX526" s="77"/>
      <c r="AY526" s="77"/>
      <c r="AZ526" s="77"/>
      <c r="BA526" s="77"/>
      <c r="BB526" s="77"/>
      <c r="BC526" s="77"/>
      <c r="BD526" s="77"/>
      <c r="BE526" s="77"/>
      <c r="BF526" s="77"/>
      <c r="BG526" s="77"/>
      <c r="BH526" s="77"/>
      <c r="BI526" s="77"/>
      <c r="BJ526" s="77"/>
      <c r="BK526" s="77"/>
      <c r="BL526" s="77"/>
      <c r="BM526" s="77"/>
      <c r="BN526" s="77"/>
      <c r="BO526" s="77"/>
      <c r="BP526" s="77"/>
      <c r="BQ526" s="77"/>
      <c r="BR526" s="77"/>
      <c r="BS526" s="77"/>
      <c r="BT526" s="77"/>
      <c r="BU526" s="77"/>
      <c r="BV526" s="77"/>
      <c r="BW526" s="77"/>
      <c r="BX526" s="77"/>
      <c r="BY526" s="77"/>
      <c r="BZ526" s="77"/>
      <c r="CA526" s="77"/>
      <c r="CB526" s="77"/>
      <c r="CX526" s="77"/>
      <c r="CY526" s="77"/>
      <c r="CZ526" s="77"/>
      <c r="DA526" s="77"/>
      <c r="DB526" s="77"/>
      <c r="DC526" s="77"/>
      <c r="DD526" s="77"/>
      <c r="DE526" s="77"/>
      <c r="DF526" s="77"/>
      <c r="DG526" s="77"/>
      <c r="DH526" s="77"/>
      <c r="DI526" s="77"/>
      <c r="DJ526" s="77"/>
      <c r="DK526" s="77"/>
      <c r="DL526" s="77"/>
      <c r="DM526" s="77"/>
      <c r="DN526" s="77"/>
      <c r="DO526" s="77"/>
      <c r="DP526" s="77"/>
      <c r="DQ526" s="77"/>
      <c r="DR526" s="77"/>
      <c r="DS526" s="77"/>
      <c r="DT526" s="77"/>
      <c r="DU526" s="77"/>
      <c r="DV526" s="77"/>
      <c r="DW526" s="77"/>
      <c r="DX526" s="77"/>
      <c r="DY526" s="77"/>
      <c r="DZ526" s="77"/>
      <c r="EA526" s="77"/>
      <c r="EB526" s="77"/>
      <c r="EC526" s="77"/>
      <c r="ED526" s="77"/>
      <c r="EE526" s="77"/>
      <c r="EF526" s="77"/>
      <c r="EG526" s="77"/>
      <c r="EH526" s="77"/>
      <c r="EI526" s="77"/>
      <c r="EJ526" s="77"/>
      <c r="EK526" s="77"/>
      <c r="EL526" s="77"/>
      <c r="EM526" s="77"/>
      <c r="EN526" s="77"/>
      <c r="EO526" s="77"/>
      <c r="EP526" s="77"/>
      <c r="EQ526" s="77"/>
      <c r="ER526" s="77"/>
      <c r="ES526" s="77"/>
      <c r="ET526" s="77"/>
      <c r="EU526" s="77"/>
      <c r="EV526" s="77"/>
      <c r="EW526" s="77"/>
      <c r="EX526" s="77"/>
      <c r="EY526" s="77"/>
      <c r="EZ526" s="77"/>
      <c r="FA526" s="77"/>
      <c r="FB526" s="77"/>
      <c r="FC526" s="77"/>
      <c r="FD526" s="77"/>
      <c r="FE526" s="77"/>
      <c r="FF526" s="77"/>
      <c r="FG526" s="77"/>
      <c r="FH526" s="77"/>
      <c r="FI526" s="77"/>
      <c r="FJ526" s="77"/>
      <c r="FK526" s="77"/>
      <c r="FL526" s="77"/>
      <c r="FM526" s="77"/>
      <c r="FN526" s="77"/>
      <c r="FO526" s="77"/>
      <c r="FP526" s="77"/>
      <c r="FQ526" s="77"/>
      <c r="FR526" s="77"/>
      <c r="FS526" s="77"/>
      <c r="FT526" s="77"/>
      <c r="FU526" s="77"/>
      <c r="FV526" s="77"/>
      <c r="FW526" s="77"/>
      <c r="FX526" s="77"/>
      <c r="FY526" s="77"/>
      <c r="FZ526" s="77"/>
      <c r="GA526" s="77"/>
      <c r="GB526" s="77"/>
      <c r="GC526" s="77"/>
      <c r="GD526" s="77"/>
      <c r="GE526" s="77"/>
      <c r="GF526" s="77"/>
      <c r="GG526" s="77"/>
      <c r="GH526" s="77"/>
      <c r="GI526" s="77"/>
      <c r="GJ526" s="77"/>
      <c r="GK526" s="77"/>
      <c r="GL526" s="77"/>
      <c r="GM526" s="77"/>
      <c r="GN526" s="77"/>
      <c r="GO526" s="77"/>
      <c r="GP526" s="77"/>
      <c r="GQ526" s="77"/>
      <c r="GR526" s="77"/>
      <c r="GS526" s="77"/>
      <c r="GT526" s="77"/>
      <c r="GU526" s="77"/>
      <c r="GV526" s="77"/>
      <c r="GW526" s="77"/>
      <c r="GX526" s="77"/>
      <c r="GY526" s="77"/>
      <c r="GZ526" s="77"/>
      <c r="HA526" s="77"/>
      <c r="HB526" s="77"/>
      <c r="HC526" s="77"/>
      <c r="HD526" s="77"/>
      <c r="HE526" s="77"/>
      <c r="HF526" s="77"/>
      <c r="HG526" s="77"/>
      <c r="HH526" s="77"/>
      <c r="HI526" s="77"/>
      <c r="HJ526" s="77"/>
      <c r="HK526" s="77"/>
      <c r="HL526" s="77"/>
      <c r="HM526" s="77"/>
      <c r="HN526" s="77"/>
      <c r="HO526" s="77"/>
      <c r="HP526" s="77"/>
      <c r="HQ526" s="77"/>
      <c r="HR526" s="77"/>
      <c r="HS526" s="77"/>
      <c r="HT526" s="77"/>
      <c r="HU526" s="77"/>
      <c r="HV526" s="77"/>
      <c r="HW526" s="77"/>
      <c r="HX526" s="77"/>
      <c r="HY526" s="77"/>
      <c r="HZ526" s="77"/>
      <c r="IA526" s="77"/>
      <c r="IB526" s="77"/>
      <c r="IC526" s="77"/>
      <c r="ID526" s="16"/>
      <c r="IE526" s="16"/>
      <c r="IF526" s="77"/>
      <c r="IG526" s="77"/>
      <c r="IH526" s="77"/>
      <c r="II526" s="77"/>
      <c r="IJ526" s="77"/>
      <c r="IK526" s="77"/>
      <c r="IL526" s="77"/>
      <c r="IM526" s="77"/>
      <c r="IN526" s="77"/>
      <c r="IO526" s="77"/>
      <c r="IP526" s="77"/>
      <c r="IQ526" s="77"/>
      <c r="IR526" s="77"/>
      <c r="IS526" s="77"/>
      <c r="IT526" s="77"/>
      <c r="IU526" s="77"/>
      <c r="IV526" s="77"/>
      <c r="IW526" s="77"/>
      <c r="IX526" s="77"/>
      <c r="IY526" s="77"/>
      <c r="IZ526" s="77"/>
      <c r="JA526" s="77"/>
      <c r="JB526" s="77"/>
      <c r="JC526" s="77"/>
      <c r="JD526" s="77"/>
      <c r="JE526" s="77"/>
      <c r="JF526" s="77"/>
      <c r="JG526" s="77"/>
      <c r="JH526" s="77"/>
      <c r="JI526" s="77"/>
      <c r="JJ526" s="77"/>
      <c r="JK526" s="77"/>
      <c r="JL526" s="77"/>
      <c r="JM526" s="77"/>
      <c r="JN526" s="77"/>
      <c r="JO526" s="77"/>
      <c r="JP526" s="77"/>
      <c r="JQ526" s="77"/>
      <c r="JR526" s="77"/>
      <c r="JS526" s="77"/>
      <c r="JT526" s="77"/>
      <c r="JU526" s="77"/>
      <c r="JV526" s="77"/>
      <c r="JW526" s="77"/>
      <c r="JX526" s="77"/>
      <c r="JY526" s="16"/>
      <c r="JZ526" s="16"/>
      <c r="KA526" s="16"/>
      <c r="KB526" s="16"/>
      <c r="KC526" s="16"/>
      <c r="KD526" s="16"/>
      <c r="KE526" s="16"/>
      <c r="KF526" s="16"/>
      <c r="KG526" s="16"/>
      <c r="KH526" s="16"/>
      <c r="KI526" s="16"/>
      <c r="KJ526" s="16"/>
      <c r="KK526" s="16"/>
      <c r="KL526" s="16"/>
      <c r="KM526" s="77"/>
      <c r="KN526" s="77"/>
      <c r="KO526" s="77"/>
      <c r="KP526" s="77"/>
      <c r="KQ526" s="77"/>
      <c r="KR526" s="77"/>
      <c r="KS526" s="77"/>
      <c r="KT526" s="77"/>
      <c r="KU526" s="77"/>
      <c r="KV526" s="77"/>
      <c r="KW526" s="77"/>
      <c r="KX526" s="77"/>
      <c r="KY526" s="77"/>
      <c r="KZ526" s="77"/>
      <c r="LA526" s="77"/>
      <c r="LB526" s="77"/>
      <c r="LC526" s="77"/>
      <c r="LD526" s="77"/>
      <c r="LE526" s="77"/>
      <c r="LF526" s="77"/>
      <c r="LG526" s="77"/>
      <c r="LH526" s="77"/>
      <c r="LI526" s="77"/>
      <c r="LJ526" s="77"/>
      <c r="LK526" s="77"/>
      <c r="LW526" s="77"/>
      <c r="LX526" s="77"/>
      <c r="NE526" s="77"/>
      <c r="NF526" s="77"/>
      <c r="NG526" s="77"/>
      <c r="NH526" s="77"/>
      <c r="NI526" s="77"/>
      <c r="NJ526" s="77"/>
      <c r="NK526" s="77"/>
      <c r="NL526" s="77"/>
      <c r="NM526" s="77"/>
      <c r="NN526" s="77"/>
      <c r="NO526" s="77"/>
      <c r="NP526" s="77"/>
      <c r="NQ526" s="77"/>
      <c r="NR526" s="77"/>
      <c r="NS526" s="77"/>
      <c r="NT526" s="77"/>
      <c r="NU526" s="77"/>
      <c r="NV526" s="77"/>
      <c r="NW526" s="77"/>
      <c r="NX526" s="77"/>
      <c r="NY526" s="77"/>
      <c r="NZ526" s="77"/>
      <c r="OA526" s="77"/>
      <c r="OB526" s="77"/>
      <c r="OC526" s="77"/>
      <c r="OD526" s="77"/>
      <c r="OE526" s="77"/>
      <c r="OF526" s="77"/>
      <c r="OG526" s="77"/>
      <c r="OH526" s="77"/>
      <c r="OI526" s="77"/>
      <c r="OJ526" s="77"/>
      <c r="OK526" s="77"/>
      <c r="OL526" s="77"/>
      <c r="OM526" s="77"/>
      <c r="ON526" s="77"/>
      <c r="OO526" s="77"/>
      <c r="OP526" s="77"/>
      <c r="OQ526" s="77"/>
      <c r="OR526" s="77"/>
      <c r="OS526" s="77"/>
      <c r="OT526" s="77"/>
      <c r="OU526" s="77"/>
      <c r="OV526" s="77"/>
      <c r="OW526" s="77"/>
      <c r="OX526" s="77"/>
      <c r="OY526" s="77"/>
      <c r="OZ526" s="77"/>
      <c r="PA526" s="77"/>
      <c r="PB526" s="77"/>
      <c r="PC526" s="77"/>
      <c r="PD526" s="77"/>
      <c r="PE526" s="77"/>
    </row>
    <row r="527" spans="1:421" s="21" customFormat="1" ht="18.600000000000001" customHeight="1" x14ac:dyDescent="0.25">
      <c r="A527" s="119" t="s">
        <v>28</v>
      </c>
      <c r="B527" s="27" t="s">
        <v>838</v>
      </c>
      <c r="C527" s="27" t="s">
        <v>4460</v>
      </c>
      <c r="D527" s="72" t="str">
        <f>HYPERLINK("https://twitter.com/SassouCG","https://twitter.com/SassouCG")</f>
        <v>https://twitter.com/SassouCG</v>
      </c>
      <c r="E527" s="72" t="str">
        <f>HYPERLINK("http://twiplomacy.com/info/africa/Congo","http://twiplomacy.com/info/africa/Congo")</f>
        <v>http://twiplomacy.com/info/africa/Congo</v>
      </c>
      <c r="F527" s="10" t="s">
        <v>1</v>
      </c>
      <c r="G527" s="10" t="s">
        <v>840</v>
      </c>
      <c r="H527" s="10" t="s">
        <v>772</v>
      </c>
      <c r="I527" s="10" t="s">
        <v>773</v>
      </c>
      <c r="J527" s="27" t="s">
        <v>779</v>
      </c>
      <c r="K527" s="10" t="s">
        <v>777</v>
      </c>
      <c r="L527" s="10" t="s">
        <v>771</v>
      </c>
      <c r="M527" s="10" t="s">
        <v>770</v>
      </c>
      <c r="N527" s="30" t="str">
        <f>HYPERLINK("https://twitter.com/SassouCG/statuses/296159094019067905","https://twitter.com/SassouCG/statuses/296159094019067905")</f>
        <v>https://twitter.com/SassouCG/statuses/296159094019067905</v>
      </c>
      <c r="O527" s="27" t="s">
        <v>6084</v>
      </c>
      <c r="P527" s="80">
        <v>60</v>
      </c>
      <c r="Q527" s="80">
        <v>35</v>
      </c>
      <c r="R527" s="27" t="s">
        <v>2995</v>
      </c>
      <c r="S527" s="10" t="s">
        <v>841</v>
      </c>
      <c r="T527" s="10" t="s">
        <v>771</v>
      </c>
      <c r="U527" s="10" t="s">
        <v>771</v>
      </c>
      <c r="V527" s="10" t="s">
        <v>771</v>
      </c>
      <c r="W527" s="10"/>
      <c r="X527" s="27" t="s">
        <v>28</v>
      </c>
      <c r="Y527" s="27" t="s">
        <v>838</v>
      </c>
      <c r="Z527" s="80">
        <v>615</v>
      </c>
      <c r="AA527" s="27">
        <v>2</v>
      </c>
      <c r="AB527" s="80">
        <v>6713</v>
      </c>
      <c r="AC527" s="27">
        <v>2</v>
      </c>
      <c r="AD527" s="27" t="s">
        <v>4461</v>
      </c>
      <c r="AE527" s="27">
        <v>1106069527</v>
      </c>
      <c r="AF527" s="27" t="s">
        <v>4460</v>
      </c>
      <c r="AG527" s="27" t="s">
        <v>839</v>
      </c>
      <c r="AH527" s="79">
        <v>0.51335559265442399</v>
      </c>
      <c r="AI527" s="83">
        <v>0.51767676767676796</v>
      </c>
      <c r="AJ527" s="80">
        <v>2.97635135135135</v>
      </c>
      <c r="AK527" s="80">
        <v>2.8800675675675702</v>
      </c>
      <c r="AL527" s="27">
        <v>3</v>
      </c>
      <c r="AM527" s="97">
        <f>SUM(AL527/Z527)</f>
        <v>4.8780487804878049E-3</v>
      </c>
      <c r="AN527" s="27" t="s">
        <v>28</v>
      </c>
      <c r="AO527" s="27">
        <v>0</v>
      </c>
      <c r="AP527" s="27">
        <v>9</v>
      </c>
      <c r="AQ527" s="27">
        <v>0</v>
      </c>
      <c r="AR527" s="27">
        <f>SUM(AO527:AQ527)</f>
        <v>9</v>
      </c>
      <c r="AS527" s="27"/>
      <c r="AT527" s="27" t="s">
        <v>6342</v>
      </c>
      <c r="AU527" s="84"/>
      <c r="AV527" s="77"/>
      <c r="AW527" s="77"/>
      <c r="AX527" s="77"/>
      <c r="AY527" s="77"/>
      <c r="AZ527" s="77"/>
      <c r="BA527" s="77"/>
      <c r="BB527" s="77"/>
      <c r="BC527" s="77"/>
      <c r="BD527" s="77"/>
      <c r="BE527" s="77"/>
      <c r="BF527" s="77"/>
      <c r="BG527" s="77"/>
      <c r="BH527" s="77"/>
      <c r="BI527" s="77"/>
      <c r="BJ527" s="77"/>
      <c r="BK527" s="77"/>
      <c r="BL527" s="77"/>
      <c r="BM527" s="77"/>
      <c r="BN527" s="77"/>
      <c r="BO527" s="77"/>
      <c r="BP527" s="77"/>
      <c r="BQ527" s="77"/>
      <c r="BR527" s="77"/>
      <c r="BS527" s="77"/>
      <c r="BT527" s="77"/>
      <c r="BU527" s="77"/>
      <c r="BV527" s="77"/>
      <c r="BW527" s="77"/>
      <c r="BX527" s="77"/>
      <c r="BY527" s="77"/>
      <c r="BZ527" s="77"/>
      <c r="CA527" s="77"/>
      <c r="CB527" s="77"/>
      <c r="CC527" s="77"/>
      <c r="CD527" s="77"/>
      <c r="CE527" s="77"/>
      <c r="CF527" s="77"/>
      <c r="CG527" s="77"/>
      <c r="CH527" s="77"/>
      <c r="CI527" s="77"/>
      <c r="CJ527" s="77"/>
      <c r="CK527" s="77"/>
      <c r="CL527" s="77"/>
      <c r="CM527" s="77"/>
      <c r="CN527" s="77"/>
      <c r="CO527" s="77"/>
      <c r="CP527" s="77"/>
      <c r="CQ527" s="77"/>
      <c r="CR527" s="77"/>
      <c r="CS527" s="77"/>
      <c r="CT527" s="77"/>
      <c r="CU527" s="77"/>
      <c r="CV527" s="77"/>
      <c r="CW527" s="77"/>
      <c r="CX527" s="77"/>
      <c r="CY527" s="77"/>
      <c r="CZ527" s="77"/>
      <c r="DA527" s="77"/>
      <c r="DB527" s="77"/>
      <c r="DC527" s="77"/>
      <c r="DD527" s="77"/>
      <c r="DE527" s="77"/>
      <c r="DF527" s="77"/>
      <c r="DG527" s="77"/>
      <c r="DH527" s="77"/>
      <c r="DI527" s="77"/>
      <c r="DJ527" s="77"/>
      <c r="DK527" s="77"/>
      <c r="DL527" s="77"/>
      <c r="DM527" s="77"/>
      <c r="DN527" s="77"/>
      <c r="DO527" s="77"/>
      <c r="DP527" s="77"/>
      <c r="DQ527" s="77"/>
      <c r="DR527" s="77"/>
      <c r="DS527" s="77"/>
      <c r="DT527" s="77"/>
      <c r="DU527" s="77"/>
      <c r="DV527" s="77"/>
      <c r="DW527" s="77"/>
      <c r="DX527" s="77"/>
      <c r="DY527" s="77"/>
      <c r="DZ527" s="77"/>
      <c r="EA527" s="77"/>
      <c r="EB527" s="77"/>
      <c r="EC527" s="77"/>
      <c r="ED527" s="77"/>
      <c r="EE527" s="77"/>
      <c r="EF527" s="77"/>
      <c r="EG527" s="77"/>
      <c r="EH527" s="77"/>
      <c r="EI527" s="77"/>
      <c r="EJ527" s="77"/>
      <c r="EK527" s="77"/>
      <c r="EL527" s="77"/>
      <c r="EP527" s="77"/>
      <c r="ER527" s="77"/>
      <c r="ES527" s="77"/>
      <c r="ET527" s="77"/>
      <c r="EU527" s="77"/>
      <c r="EV527" s="77"/>
      <c r="EW527" s="77"/>
      <c r="EX527" s="77"/>
      <c r="EY527" s="77"/>
      <c r="EZ527" s="77"/>
      <c r="FA527" s="77"/>
      <c r="FB527" s="77"/>
      <c r="FC527" s="77"/>
      <c r="FD527" s="77"/>
      <c r="FE527" s="77"/>
      <c r="FF527" s="77"/>
      <c r="FG527" s="77"/>
      <c r="FH527" s="77"/>
      <c r="FI527" s="77"/>
      <c r="FJ527" s="77"/>
      <c r="FK527" s="77"/>
      <c r="FL527" s="77"/>
      <c r="FM527" s="77"/>
      <c r="FN527" s="77"/>
      <c r="FO527" s="77"/>
      <c r="FP527" s="77"/>
      <c r="FQ527" s="77"/>
      <c r="FR527" s="77"/>
      <c r="FS527" s="77"/>
      <c r="FT527" s="77"/>
      <c r="FU527" s="77"/>
      <c r="FV527" s="77"/>
      <c r="FW527" s="77"/>
      <c r="FX527" s="77"/>
      <c r="FY527" s="77"/>
      <c r="FZ527" s="77"/>
      <c r="GA527" s="77"/>
      <c r="GB527" s="77"/>
      <c r="GC527" s="77"/>
      <c r="GD527" s="77"/>
      <c r="GE527" s="77"/>
      <c r="GF527" s="77"/>
      <c r="GG527" s="77"/>
      <c r="GH527" s="77"/>
      <c r="GI527" s="77"/>
      <c r="GJ527" s="77"/>
      <c r="GK527" s="77"/>
      <c r="GL527" s="77"/>
      <c r="GM527" s="77"/>
      <c r="GN527" s="77"/>
      <c r="GO527" s="77"/>
      <c r="GP527" s="77"/>
      <c r="GQ527" s="77"/>
      <c r="GR527" s="77"/>
      <c r="GS527" s="77"/>
      <c r="GT527" s="77"/>
      <c r="GU527" s="77"/>
      <c r="GV527" s="77"/>
      <c r="GW527" s="77"/>
      <c r="GX527" s="77"/>
      <c r="GY527" s="77"/>
      <c r="GZ527" s="77"/>
      <c r="HA527" s="77"/>
      <c r="HB527" s="77"/>
      <c r="HC527" s="77"/>
      <c r="HD527" s="77"/>
      <c r="HE527" s="77"/>
      <c r="HF527" s="77"/>
      <c r="HG527" s="77"/>
      <c r="HH527" s="77"/>
      <c r="HI527" s="77"/>
      <c r="HJ527" s="77"/>
      <c r="HK527" s="77"/>
      <c r="HL527" s="77"/>
      <c r="HM527" s="77"/>
      <c r="HN527" s="77"/>
      <c r="HO527" s="77"/>
      <c r="HP527" s="77"/>
      <c r="HQ527" s="77"/>
      <c r="HR527" s="77"/>
      <c r="HS527" s="77"/>
      <c r="HT527" s="77"/>
      <c r="HU527" s="77"/>
      <c r="HV527" s="77"/>
      <c r="HW527" s="77"/>
      <c r="HX527" s="77"/>
      <c r="HY527" s="77"/>
      <c r="HZ527" s="77"/>
      <c r="IA527" s="77"/>
      <c r="IB527" s="77"/>
      <c r="IC527" s="77"/>
      <c r="IF527" s="77"/>
      <c r="IG527" s="77"/>
      <c r="IH527" s="77"/>
      <c r="II527" s="77"/>
      <c r="IJ527" s="77"/>
      <c r="IK527" s="77"/>
      <c r="IL527" s="77"/>
      <c r="IM527" s="77"/>
      <c r="IN527" s="77"/>
      <c r="IO527" s="77"/>
      <c r="IP527" s="77"/>
      <c r="IQ527" s="77"/>
      <c r="IR527" s="77"/>
      <c r="IS527" s="77"/>
      <c r="IT527" s="77"/>
      <c r="IU527" s="77"/>
      <c r="IV527" s="77"/>
      <c r="IW527" s="77"/>
      <c r="IX527" s="77"/>
      <c r="IY527" s="77"/>
      <c r="IZ527" s="77"/>
      <c r="JA527" s="77"/>
      <c r="JB527" s="77"/>
      <c r="JC527" s="77"/>
      <c r="JD527" s="77"/>
      <c r="JE527" s="77"/>
      <c r="JF527" s="77"/>
      <c r="JG527" s="77"/>
      <c r="JH527" s="77"/>
      <c r="JI527" s="77"/>
      <c r="JJ527" s="77"/>
      <c r="JK527" s="77"/>
      <c r="JL527" s="77"/>
      <c r="JM527" s="77"/>
      <c r="JN527" s="77"/>
      <c r="JO527" s="77"/>
      <c r="JP527" s="77"/>
      <c r="JQ527" s="77"/>
      <c r="JR527" s="77"/>
      <c r="JS527" s="77"/>
      <c r="JT527" s="77"/>
      <c r="JU527" s="77"/>
      <c r="JV527" s="77"/>
      <c r="JW527" s="77"/>
      <c r="JX527" s="77"/>
      <c r="JY527" s="77"/>
      <c r="JZ527" s="77"/>
      <c r="KA527" s="77"/>
      <c r="KB527" s="77"/>
      <c r="KC527" s="77"/>
      <c r="KD527" s="77"/>
      <c r="KE527" s="77"/>
      <c r="KF527" s="77"/>
      <c r="KG527" s="77"/>
      <c r="KH527" s="77"/>
      <c r="KI527" s="77"/>
      <c r="KJ527" s="77"/>
      <c r="KK527" s="77"/>
      <c r="KL527" s="77"/>
      <c r="LY527" s="77"/>
      <c r="LZ527" s="77"/>
      <c r="MA527" s="77"/>
      <c r="MB527" s="77"/>
      <c r="MC527" s="77"/>
      <c r="MD527" s="77"/>
      <c r="ME527" s="77"/>
      <c r="MF527" s="77"/>
      <c r="MG527" s="77"/>
      <c r="MH527" s="77"/>
      <c r="MI527" s="77"/>
      <c r="MJ527" s="77"/>
      <c r="MK527" s="77"/>
      <c r="ML527" s="77"/>
      <c r="MM527" s="77"/>
      <c r="MN527" s="77"/>
      <c r="MO527" s="77"/>
      <c r="MP527" s="77"/>
      <c r="MQ527" s="77"/>
      <c r="MR527" s="77"/>
      <c r="MS527" s="16"/>
    </row>
    <row r="528" spans="1:421" s="21" customFormat="1" ht="18.600000000000001" customHeight="1" x14ac:dyDescent="0.25">
      <c r="A528" s="119" t="s">
        <v>655</v>
      </c>
      <c r="B528" s="27" t="s">
        <v>4413</v>
      </c>
      <c r="C528" s="27" t="s">
        <v>4414</v>
      </c>
      <c r="D528" s="33" t="s">
        <v>3029</v>
      </c>
      <c r="E528" s="34" t="s">
        <v>2646</v>
      </c>
      <c r="F528" s="42" t="s">
        <v>643</v>
      </c>
      <c r="G528" s="42" t="s">
        <v>654</v>
      </c>
      <c r="H528" s="42" t="s">
        <v>788</v>
      </c>
      <c r="I528" s="42" t="s">
        <v>782</v>
      </c>
      <c r="J528" s="27" t="s">
        <v>789</v>
      </c>
      <c r="K528" s="98" t="s">
        <v>777</v>
      </c>
      <c r="L528" s="15" t="s">
        <v>771</v>
      </c>
      <c r="M528" s="10" t="s">
        <v>770</v>
      </c>
      <c r="N528" s="34" t="s">
        <v>2647</v>
      </c>
      <c r="O528" s="27" t="s">
        <v>3187</v>
      </c>
      <c r="P528" s="80">
        <v>202</v>
      </c>
      <c r="Q528" s="80">
        <v>118</v>
      </c>
      <c r="R528" s="27" t="s">
        <v>2995</v>
      </c>
      <c r="S528" s="86" t="s">
        <v>2648</v>
      </c>
      <c r="T528" s="10" t="s">
        <v>771</v>
      </c>
      <c r="U528" s="10" t="s">
        <v>771</v>
      </c>
      <c r="V528" s="10" t="s">
        <v>771</v>
      </c>
      <c r="W528" s="42"/>
      <c r="X528" s="27" t="s">
        <v>655</v>
      </c>
      <c r="Y528" s="27" t="s">
        <v>4413</v>
      </c>
      <c r="Z528" s="80">
        <v>606</v>
      </c>
      <c r="AA528" s="27">
        <v>315</v>
      </c>
      <c r="AB528" s="80">
        <v>1618</v>
      </c>
      <c r="AC528" s="27">
        <v>10</v>
      </c>
      <c r="AD528" s="27" t="s">
        <v>4415</v>
      </c>
      <c r="AE528" s="27">
        <v>3297036199</v>
      </c>
      <c r="AF528" s="27" t="s">
        <v>4414</v>
      </c>
      <c r="AG528" s="27" t="s">
        <v>654</v>
      </c>
      <c r="AH528" s="79">
        <v>2.1642857142857101</v>
      </c>
      <c r="AI528" s="83">
        <v>2.18772563176895</v>
      </c>
      <c r="AJ528" s="80">
        <v>7.7104795737122602</v>
      </c>
      <c r="AK528" s="80">
        <v>4.7531083481349903</v>
      </c>
      <c r="AL528" s="27">
        <v>32</v>
      </c>
      <c r="AM528" s="97">
        <f>SUM(AL528/Z528)</f>
        <v>5.2805280528052806E-2</v>
      </c>
      <c r="AN528" s="27" t="s">
        <v>655</v>
      </c>
      <c r="AO528" s="27">
        <v>2</v>
      </c>
      <c r="AP528" s="27">
        <v>1</v>
      </c>
      <c r="AQ528" s="27">
        <v>0</v>
      </c>
      <c r="AR528" s="27">
        <f>SUM(AO528:AQ528)</f>
        <v>3</v>
      </c>
      <c r="AS528" s="27" t="s">
        <v>5466</v>
      </c>
      <c r="AT528" s="27" t="s">
        <v>705</v>
      </c>
      <c r="AU528" s="84"/>
      <c r="AV528" s="77"/>
      <c r="AW528" s="77"/>
      <c r="AX528" s="77"/>
      <c r="AY528" s="77"/>
      <c r="AZ528" s="77"/>
      <c r="BA528" s="77"/>
      <c r="BB528" s="77"/>
      <c r="BC528" s="77"/>
      <c r="BD528" s="77"/>
      <c r="BE528" s="77"/>
      <c r="BF528" s="77"/>
      <c r="BG528" s="77"/>
      <c r="BH528" s="77"/>
      <c r="BI528" s="77"/>
      <c r="BJ528" s="77"/>
      <c r="BK528" s="77"/>
      <c r="BL528" s="77"/>
      <c r="BM528" s="77"/>
      <c r="BN528" s="77"/>
      <c r="BO528" s="77"/>
      <c r="BP528" s="77"/>
      <c r="BQ528" s="77"/>
      <c r="BR528" s="77"/>
      <c r="BS528" s="77"/>
      <c r="BT528" s="77"/>
      <c r="BU528" s="77"/>
      <c r="BV528" s="77"/>
      <c r="BW528" s="77"/>
      <c r="BX528" s="77"/>
      <c r="BY528" s="77"/>
      <c r="BZ528" s="77"/>
      <c r="CA528" s="77"/>
      <c r="CB528" s="77"/>
      <c r="CX528" s="77"/>
      <c r="CY528" s="77"/>
      <c r="CZ528" s="77"/>
      <c r="DA528" s="77"/>
      <c r="DB528" s="77"/>
      <c r="DC528" s="77"/>
      <c r="DD528" s="77"/>
      <c r="DE528" s="77"/>
      <c r="DF528" s="77"/>
      <c r="DG528" s="77"/>
      <c r="DH528" s="77"/>
      <c r="DI528" s="77"/>
      <c r="DJ528" s="77"/>
      <c r="DK528" s="77"/>
      <c r="DL528" s="77"/>
      <c r="DM528" s="77"/>
      <c r="DN528" s="77"/>
      <c r="DO528" s="77"/>
      <c r="DP528" s="77"/>
      <c r="DQ528" s="77"/>
      <c r="DR528" s="77"/>
      <c r="DS528" s="77"/>
      <c r="DT528" s="77"/>
      <c r="DU528" s="77"/>
      <c r="DV528" s="77"/>
      <c r="DW528" s="77"/>
      <c r="DX528" s="77"/>
      <c r="DY528" s="77"/>
      <c r="DZ528" s="77"/>
      <c r="EA528" s="77"/>
      <c r="EB528" s="77"/>
      <c r="EC528" s="77"/>
      <c r="ED528" s="77"/>
      <c r="EE528" s="77"/>
      <c r="EF528" s="77"/>
      <c r="EG528" s="77"/>
      <c r="EH528" s="77"/>
      <c r="EI528" s="77"/>
      <c r="EJ528" s="77"/>
      <c r="EK528" s="77"/>
      <c r="EL528" s="77"/>
      <c r="EM528" s="77"/>
      <c r="EN528" s="77"/>
      <c r="EO528" s="77"/>
      <c r="EP528" s="77"/>
      <c r="EQ528" s="77"/>
      <c r="ID528" s="77"/>
      <c r="IE528" s="77"/>
      <c r="IF528" s="77"/>
      <c r="IG528" s="77"/>
      <c r="IH528" s="77"/>
      <c r="II528" s="77"/>
      <c r="IJ528" s="77"/>
      <c r="IK528" s="77"/>
      <c r="IL528" s="77"/>
      <c r="IM528" s="77"/>
      <c r="IN528" s="77"/>
      <c r="IO528" s="77"/>
      <c r="IP528" s="77"/>
      <c r="IQ528" s="77"/>
      <c r="IR528" s="77"/>
      <c r="IS528" s="77"/>
      <c r="IT528" s="77"/>
      <c r="IU528" s="77"/>
      <c r="IV528" s="77"/>
      <c r="IW528" s="77"/>
      <c r="IX528" s="77"/>
      <c r="IY528" s="77"/>
      <c r="IZ528" s="77"/>
      <c r="JA528" s="77"/>
      <c r="JB528" s="77"/>
      <c r="JC528" s="77"/>
      <c r="JD528" s="77"/>
      <c r="JE528" s="77"/>
      <c r="JF528" s="77"/>
      <c r="JG528" s="77"/>
      <c r="JH528" s="77"/>
      <c r="JI528" s="77"/>
      <c r="JJ528" s="77"/>
      <c r="JK528" s="77"/>
      <c r="JL528" s="77"/>
      <c r="JM528" s="77"/>
      <c r="JN528" s="77"/>
      <c r="JO528" s="77"/>
      <c r="JP528" s="77"/>
      <c r="JQ528" s="77"/>
      <c r="JR528" s="77"/>
      <c r="JS528" s="77"/>
      <c r="JT528" s="77"/>
      <c r="JU528" s="77"/>
      <c r="JV528" s="77"/>
      <c r="JW528" s="77"/>
      <c r="JX528" s="77"/>
      <c r="JY528" s="77"/>
      <c r="JZ528" s="77"/>
      <c r="KA528" s="77"/>
      <c r="KB528" s="77"/>
      <c r="KC528" s="77"/>
      <c r="KD528" s="77"/>
      <c r="KE528" s="77"/>
      <c r="KF528" s="77"/>
      <c r="KG528" s="77"/>
      <c r="KH528" s="77"/>
      <c r="KI528" s="77"/>
      <c r="KJ528" s="77"/>
      <c r="KK528" s="77"/>
      <c r="KL528" s="77"/>
      <c r="KM528" s="77"/>
      <c r="KN528" s="77"/>
      <c r="KO528" s="77"/>
      <c r="KP528" s="77"/>
      <c r="KQ528" s="77"/>
      <c r="KR528" s="77"/>
      <c r="KS528" s="77"/>
      <c r="KT528" s="77"/>
      <c r="KU528" s="77"/>
      <c r="KV528" s="77"/>
      <c r="KW528" s="77"/>
      <c r="KX528" s="77"/>
      <c r="KY528" s="77"/>
      <c r="KZ528" s="77"/>
      <c r="LA528" s="77"/>
      <c r="LB528" s="77"/>
      <c r="LC528" s="77"/>
      <c r="LD528" s="77"/>
      <c r="LE528" s="77"/>
      <c r="LF528" s="77"/>
      <c r="LG528" s="77"/>
      <c r="LH528" s="77"/>
      <c r="LI528" s="77"/>
      <c r="LJ528" s="77"/>
      <c r="LK528" s="77"/>
      <c r="LL528" s="77"/>
      <c r="LM528" s="77"/>
      <c r="LN528" s="77"/>
      <c r="LO528" s="77"/>
      <c r="LP528" s="77"/>
      <c r="LQ528" s="77"/>
      <c r="LR528" s="77"/>
      <c r="LS528" s="77"/>
      <c r="LT528" s="77"/>
      <c r="LU528" s="77"/>
      <c r="LV528" s="77"/>
      <c r="LW528" s="77"/>
      <c r="LX528" s="77"/>
      <c r="LY528" s="77"/>
      <c r="LZ528" s="77"/>
      <c r="MA528" s="77"/>
      <c r="MB528" s="77"/>
      <c r="MC528" s="77"/>
      <c r="MD528" s="77"/>
      <c r="ME528" s="77"/>
      <c r="MF528" s="77"/>
      <c r="MG528" s="77"/>
      <c r="MH528" s="77"/>
      <c r="MI528" s="77"/>
      <c r="MJ528" s="77"/>
      <c r="MK528" s="77"/>
      <c r="ML528" s="77"/>
      <c r="MM528" s="77"/>
      <c r="MN528" s="77"/>
      <c r="MO528" s="77"/>
      <c r="MP528" s="77"/>
      <c r="MQ528" s="77"/>
      <c r="MR528" s="77"/>
      <c r="NE528" s="77"/>
      <c r="NF528" s="77"/>
      <c r="NG528" s="77"/>
      <c r="NH528" s="77"/>
      <c r="NI528" s="77"/>
      <c r="NJ528" s="77"/>
      <c r="NK528" s="77"/>
      <c r="NL528" s="77"/>
      <c r="NM528" s="77"/>
      <c r="NN528" s="77"/>
      <c r="NO528" s="77"/>
      <c r="NP528" s="77"/>
      <c r="NQ528" s="77"/>
      <c r="NR528" s="77"/>
      <c r="NS528" s="77"/>
      <c r="NT528" s="77"/>
      <c r="NU528" s="77"/>
      <c r="NV528" s="77"/>
      <c r="NW528" s="77"/>
      <c r="NX528" s="77"/>
      <c r="NY528" s="77"/>
      <c r="NZ528" s="77"/>
      <c r="OA528" s="77"/>
      <c r="OB528" s="77"/>
      <c r="OC528" s="77"/>
      <c r="OD528" s="77"/>
      <c r="OE528" s="77"/>
      <c r="OF528" s="77"/>
      <c r="OG528" s="77"/>
      <c r="OH528" s="77"/>
      <c r="OI528" s="77"/>
      <c r="OJ528" s="77"/>
      <c r="OK528" s="77"/>
      <c r="OL528" s="77"/>
      <c r="OM528" s="77"/>
      <c r="ON528" s="77"/>
      <c r="OO528" s="77"/>
      <c r="OP528" s="77"/>
      <c r="OQ528" s="77"/>
      <c r="OR528" s="77"/>
      <c r="OS528" s="77"/>
      <c r="OT528" s="77"/>
      <c r="OU528" s="77"/>
      <c r="OV528" s="77"/>
      <c r="OW528" s="77"/>
      <c r="OX528" s="77"/>
      <c r="OY528" s="77"/>
      <c r="OZ528" s="77"/>
      <c r="PA528" s="77"/>
      <c r="PB528" s="77"/>
      <c r="PC528" s="77"/>
      <c r="PD528" s="77"/>
      <c r="PE528" s="77"/>
    </row>
    <row r="529" spans="1:421" s="21" customFormat="1" ht="18.600000000000001" customHeight="1" x14ac:dyDescent="0.25">
      <c r="A529" s="119" t="s">
        <v>45</v>
      </c>
      <c r="B529" s="27" t="s">
        <v>877</v>
      </c>
      <c r="C529" s="27" t="s">
        <v>878</v>
      </c>
      <c r="D529" s="72" t="str">
        <f>HYPERLINK("https://twitter.com/PresidentABO","https://twitter.com/PresidentABO")</f>
        <v>https://twitter.com/PresidentABO</v>
      </c>
      <c r="E529" s="72" t="str">
        <f>HYPERLINK("http://twiplomacy.com/info/africa/Gabon","http://twiplomacy.com/info/africa/Gabon")</f>
        <v>http://twiplomacy.com/info/africa/Gabon</v>
      </c>
      <c r="F529" s="10" t="s">
        <v>1</v>
      </c>
      <c r="G529" s="10" t="s">
        <v>44</v>
      </c>
      <c r="H529" s="10" t="s">
        <v>772</v>
      </c>
      <c r="I529" s="10" t="s">
        <v>773</v>
      </c>
      <c r="J529" s="27" t="s">
        <v>779</v>
      </c>
      <c r="K529" s="10" t="s">
        <v>777</v>
      </c>
      <c r="L529" s="10" t="s">
        <v>771</v>
      </c>
      <c r="M529" s="10" t="s">
        <v>770</v>
      </c>
      <c r="N529" s="30" t="str">
        <f>HYPERLINK("https://twitter.com/PresidentABO/status/564688019828248576","https://twitter.com/PresidentABO/status/564688019828248576")</f>
        <v>https://twitter.com/PresidentABO/status/564688019828248576</v>
      </c>
      <c r="O529" s="27" t="s">
        <v>6046</v>
      </c>
      <c r="P529" s="80">
        <v>465</v>
      </c>
      <c r="Q529" s="80">
        <v>479</v>
      </c>
      <c r="R529" s="27" t="s">
        <v>2994</v>
      </c>
      <c r="S529" s="30" t="str">
        <f>HYPERLINK("https://twitter.com/PresidentABO/lists","https://twitter.com/PresidentABO/lists")</f>
        <v>https://twitter.com/PresidentABO/lists</v>
      </c>
      <c r="T529" s="10" t="s">
        <v>771</v>
      </c>
      <c r="U529" s="10" t="s">
        <v>771</v>
      </c>
      <c r="V529" s="10" t="s">
        <v>771</v>
      </c>
      <c r="W529" s="10"/>
      <c r="X529" s="27" t="s">
        <v>45</v>
      </c>
      <c r="Y529" s="27" t="s">
        <v>877</v>
      </c>
      <c r="Z529" s="80">
        <v>605</v>
      </c>
      <c r="AA529" s="27">
        <v>2</v>
      </c>
      <c r="AB529" s="80">
        <v>24536</v>
      </c>
      <c r="AC529" s="27">
        <v>3</v>
      </c>
      <c r="AD529" s="27" t="s">
        <v>4351</v>
      </c>
      <c r="AE529" s="27">
        <v>3013693201</v>
      </c>
      <c r="AF529" s="27" t="s">
        <v>878</v>
      </c>
      <c r="AG529" s="27" t="s">
        <v>44</v>
      </c>
      <c r="AH529" s="79">
        <v>1.34743875278396</v>
      </c>
      <c r="AI529" s="83">
        <v>1.3504464285714299</v>
      </c>
      <c r="AJ529" s="80">
        <v>50.539682539682502</v>
      </c>
      <c r="AK529" s="80">
        <v>26.761904761904798</v>
      </c>
      <c r="AL529" s="13">
        <v>0</v>
      </c>
      <c r="AM529" s="97">
        <f>SUM(AL529/Z529)</f>
        <v>0</v>
      </c>
      <c r="AN529" s="27" t="s">
        <v>45</v>
      </c>
      <c r="AO529" s="27">
        <v>0</v>
      </c>
      <c r="AP529" s="27">
        <v>11</v>
      </c>
      <c r="AQ529" s="27">
        <v>1</v>
      </c>
      <c r="AR529" s="27">
        <f>SUM(AO529:AQ529)</f>
        <v>12</v>
      </c>
      <c r="AS529" s="27"/>
      <c r="AT529" s="27" t="s">
        <v>6333</v>
      </c>
      <c r="AU529" s="84" t="s">
        <v>46</v>
      </c>
      <c r="AV529" s="77"/>
      <c r="AW529" s="77"/>
      <c r="AX529" s="77"/>
      <c r="AY529" s="77"/>
      <c r="AZ529" s="77"/>
      <c r="BA529" s="77"/>
      <c r="BB529" s="77"/>
      <c r="BC529" s="77"/>
      <c r="BD529" s="77"/>
      <c r="BE529" s="77"/>
      <c r="BF529" s="77"/>
      <c r="BG529" s="77"/>
      <c r="BH529" s="77"/>
      <c r="BI529" s="77"/>
      <c r="BJ529" s="77"/>
      <c r="BK529" s="77"/>
      <c r="BL529" s="77"/>
      <c r="BM529" s="77"/>
      <c r="BN529" s="77"/>
      <c r="BO529" s="77"/>
      <c r="BP529" s="77"/>
      <c r="BQ529" s="77"/>
      <c r="BR529" s="77"/>
      <c r="BS529" s="77"/>
      <c r="BT529" s="77"/>
      <c r="BU529" s="77"/>
      <c r="BV529" s="77"/>
      <c r="BW529" s="77"/>
      <c r="BX529" s="77"/>
      <c r="BY529" s="77"/>
      <c r="BZ529" s="77"/>
      <c r="CA529" s="77"/>
      <c r="CB529" s="77"/>
      <c r="CC529" s="77"/>
      <c r="CD529" s="77"/>
      <c r="CE529" s="77"/>
      <c r="CF529" s="77"/>
      <c r="CG529" s="77"/>
      <c r="CH529" s="77"/>
      <c r="CI529" s="77"/>
      <c r="CJ529" s="77"/>
      <c r="CK529" s="77"/>
      <c r="CL529" s="77"/>
      <c r="CM529" s="77"/>
      <c r="CN529" s="77"/>
      <c r="CO529" s="77"/>
      <c r="CP529" s="77"/>
      <c r="CQ529" s="77"/>
      <c r="CR529" s="77"/>
      <c r="CS529" s="77"/>
      <c r="CT529" s="77"/>
      <c r="CU529" s="77"/>
      <c r="CV529" s="77"/>
      <c r="CW529" s="77"/>
      <c r="CX529" s="77"/>
      <c r="CY529" s="77"/>
      <c r="CZ529" s="77"/>
      <c r="DA529" s="77"/>
      <c r="DB529" s="77"/>
      <c r="DC529" s="77"/>
      <c r="DD529" s="77"/>
      <c r="DE529" s="77"/>
      <c r="DF529" s="77"/>
      <c r="DG529" s="77"/>
      <c r="DH529" s="77"/>
      <c r="DI529" s="77"/>
      <c r="DJ529" s="77"/>
      <c r="DK529" s="77"/>
      <c r="DL529" s="77"/>
      <c r="DM529" s="77"/>
      <c r="DN529" s="77"/>
      <c r="DO529" s="77"/>
      <c r="DP529" s="77"/>
      <c r="DQ529" s="77"/>
      <c r="DR529" s="77"/>
      <c r="DS529" s="77"/>
      <c r="DT529" s="77"/>
      <c r="DU529" s="77"/>
      <c r="DV529" s="77"/>
      <c r="DW529" s="77"/>
      <c r="DX529" s="77"/>
      <c r="DY529" s="77"/>
      <c r="DZ529" s="77"/>
      <c r="EA529" s="77"/>
      <c r="EB529" s="77"/>
      <c r="EC529" s="77"/>
      <c r="ED529" s="77"/>
      <c r="EE529" s="77"/>
      <c r="EF529" s="77"/>
      <c r="EG529" s="77"/>
      <c r="EH529" s="77"/>
      <c r="EI529" s="77"/>
      <c r="EJ529" s="77"/>
      <c r="EK529" s="77"/>
      <c r="EL529" s="77"/>
      <c r="EM529" s="77"/>
      <c r="EN529" s="77"/>
      <c r="EO529" s="77"/>
      <c r="EP529" s="77"/>
      <c r="EQ529" s="77"/>
      <c r="ER529" s="77"/>
      <c r="ES529" s="77"/>
      <c r="ET529" s="77"/>
      <c r="EU529" s="77"/>
      <c r="EV529" s="77"/>
      <c r="EW529" s="77"/>
      <c r="EX529" s="77"/>
      <c r="EY529" s="77"/>
      <c r="EZ529" s="77"/>
      <c r="FA529" s="77"/>
      <c r="FB529" s="77"/>
      <c r="FC529" s="77"/>
      <c r="FD529" s="77"/>
      <c r="FE529" s="77"/>
      <c r="FF529" s="77"/>
      <c r="FG529" s="77"/>
      <c r="FH529" s="77"/>
      <c r="FI529" s="77"/>
      <c r="FJ529" s="77"/>
      <c r="FK529" s="77"/>
      <c r="FL529" s="77"/>
      <c r="FM529" s="77"/>
      <c r="FN529" s="77"/>
      <c r="FO529" s="77"/>
      <c r="FP529" s="77"/>
      <c r="FQ529" s="77"/>
      <c r="FR529" s="77"/>
      <c r="FS529" s="77"/>
      <c r="FT529" s="77"/>
      <c r="FU529" s="77"/>
      <c r="FV529" s="77"/>
      <c r="FW529" s="77"/>
      <c r="FX529" s="77"/>
      <c r="FY529" s="77"/>
      <c r="FZ529" s="77"/>
      <c r="GA529" s="77"/>
      <c r="GB529" s="77"/>
      <c r="GC529" s="77"/>
      <c r="GD529" s="77"/>
      <c r="GE529" s="77"/>
      <c r="GF529" s="77"/>
      <c r="GG529" s="77"/>
      <c r="GH529" s="77"/>
      <c r="GI529" s="77"/>
      <c r="GJ529" s="77"/>
      <c r="GK529" s="77"/>
      <c r="HL529" s="77"/>
      <c r="HM529" s="77"/>
      <c r="HN529" s="77"/>
      <c r="HO529" s="77"/>
      <c r="HP529" s="77"/>
      <c r="HQ529" s="77"/>
      <c r="HR529" s="77"/>
      <c r="HS529" s="77"/>
      <c r="HT529" s="77"/>
      <c r="HU529" s="77"/>
      <c r="HV529" s="77"/>
      <c r="HW529" s="77"/>
      <c r="HX529" s="77"/>
      <c r="HY529" s="77"/>
      <c r="HZ529" s="77"/>
      <c r="IA529" s="77"/>
      <c r="IB529" s="77"/>
      <c r="IC529" s="77"/>
      <c r="ID529" s="77"/>
      <c r="IE529" s="77"/>
      <c r="JY529" s="77"/>
      <c r="JZ529" s="77"/>
      <c r="KA529" s="77"/>
      <c r="KB529" s="77"/>
      <c r="KC529" s="77"/>
      <c r="KD529" s="77"/>
      <c r="KE529" s="77"/>
      <c r="KF529" s="77"/>
      <c r="KG529" s="77"/>
      <c r="KH529" s="77"/>
      <c r="KI529" s="77"/>
      <c r="KJ529" s="77"/>
      <c r="KK529" s="77"/>
      <c r="KL529" s="77"/>
      <c r="KM529" s="77"/>
      <c r="KN529" s="77"/>
      <c r="KO529" s="77"/>
      <c r="KP529" s="77"/>
      <c r="KQ529" s="77"/>
      <c r="KR529" s="77"/>
      <c r="KS529" s="77"/>
      <c r="KT529" s="77"/>
      <c r="KU529" s="77"/>
      <c r="KV529" s="77"/>
      <c r="KW529" s="77"/>
      <c r="KX529" s="77"/>
      <c r="KY529" s="77"/>
      <c r="KZ529" s="77"/>
      <c r="LA529" s="77"/>
      <c r="LB529" s="77"/>
      <c r="LC529" s="77"/>
      <c r="LD529" s="77"/>
      <c r="LE529" s="77"/>
      <c r="LF529" s="77"/>
      <c r="LG529" s="77"/>
      <c r="LH529" s="77"/>
      <c r="LI529" s="77"/>
      <c r="LJ529" s="77"/>
      <c r="LK529" s="77"/>
      <c r="LY529" s="77"/>
      <c r="LZ529" s="77"/>
      <c r="MA529" s="77"/>
      <c r="MB529" s="77"/>
      <c r="MC529" s="77"/>
      <c r="MD529" s="77"/>
      <c r="ME529" s="77"/>
      <c r="MF529" s="77"/>
      <c r="MG529" s="77"/>
      <c r="MH529" s="77"/>
      <c r="MI529" s="77"/>
      <c r="MJ529" s="77"/>
      <c r="MK529" s="77"/>
      <c r="ML529" s="77"/>
      <c r="MM529" s="77"/>
      <c r="MN529" s="77"/>
      <c r="MO529" s="77"/>
      <c r="MP529" s="77"/>
      <c r="MQ529" s="77"/>
      <c r="MR529" s="77"/>
      <c r="MS529" s="77"/>
    </row>
    <row r="530" spans="1:421" s="21" customFormat="1" ht="18.600000000000001" customHeight="1" x14ac:dyDescent="0.25">
      <c r="A530" s="119" t="s">
        <v>3336</v>
      </c>
      <c r="B530" s="27" t="s">
        <v>3888</v>
      </c>
      <c r="C530" s="27" t="s">
        <v>3891</v>
      </c>
      <c r="D530" s="12" t="s">
        <v>3335</v>
      </c>
      <c r="E530" s="30" t="str">
        <f>HYPERLINK("http://twiplomacy.com/info/north-america/Haiti","http://twiplomacy.com/info/north-america/Haiti")</f>
        <v>http://twiplomacy.com/info/north-america/Haiti</v>
      </c>
      <c r="F530" s="10" t="s">
        <v>558</v>
      </c>
      <c r="G530" s="10" t="s">
        <v>599</v>
      </c>
      <c r="H530" s="10" t="s">
        <v>772</v>
      </c>
      <c r="I530" s="10" t="s">
        <v>773</v>
      </c>
      <c r="J530" s="27" t="s">
        <v>789</v>
      </c>
      <c r="K530" s="10" t="s">
        <v>777</v>
      </c>
      <c r="L530" s="10"/>
      <c r="M530" s="10"/>
      <c r="N530" s="30" t="s">
        <v>3390</v>
      </c>
      <c r="O530" s="27" t="s">
        <v>5889</v>
      </c>
      <c r="P530" s="80">
        <v>50</v>
      </c>
      <c r="Q530" s="80">
        <v>47</v>
      </c>
      <c r="R530" s="27" t="s">
        <v>2995</v>
      </c>
      <c r="S530" s="12" t="s">
        <v>3411</v>
      </c>
      <c r="T530" s="10" t="s">
        <v>771</v>
      </c>
      <c r="U530" s="10" t="s">
        <v>771</v>
      </c>
      <c r="V530" s="10" t="s">
        <v>771</v>
      </c>
      <c r="W530" s="10"/>
      <c r="X530" s="27" t="s">
        <v>3336</v>
      </c>
      <c r="Y530" s="27" t="s">
        <v>3888</v>
      </c>
      <c r="Z530" s="80">
        <v>597</v>
      </c>
      <c r="AA530" s="27">
        <v>818</v>
      </c>
      <c r="AB530" s="80">
        <v>2777</v>
      </c>
      <c r="AC530" s="27">
        <v>3744</v>
      </c>
      <c r="AD530" s="27" t="s">
        <v>3892</v>
      </c>
      <c r="AE530" s="27">
        <v>439136711</v>
      </c>
      <c r="AF530" s="27" t="s">
        <v>3891</v>
      </c>
      <c r="AG530" s="27" t="s">
        <v>6406</v>
      </c>
      <c r="AH530" s="79">
        <v>0.373591989987484</v>
      </c>
      <c r="AI530" s="83">
        <v>0.36170212765957399</v>
      </c>
      <c r="AJ530" s="80">
        <v>2.2428571428571402</v>
      </c>
      <c r="AK530" s="80">
        <v>2.52</v>
      </c>
      <c r="AL530" s="27">
        <v>13</v>
      </c>
      <c r="AM530" s="97">
        <f>SUM(AL530/Z530)</f>
        <v>2.1775544388609715E-2</v>
      </c>
      <c r="AN530" s="27" t="s">
        <v>3336</v>
      </c>
      <c r="AO530" s="27">
        <v>0</v>
      </c>
      <c r="AP530" s="27">
        <v>1</v>
      </c>
      <c r="AQ530" s="27">
        <v>3</v>
      </c>
      <c r="AR530" s="27">
        <f>SUM(AO530:AQ530)</f>
        <v>4</v>
      </c>
      <c r="AS530" s="27"/>
      <c r="AT530" s="27" t="s">
        <v>705</v>
      </c>
      <c r="AU530" s="84" t="s">
        <v>4778</v>
      </c>
      <c r="AV530" s="77"/>
      <c r="AW530" s="77"/>
      <c r="AX530" s="77"/>
      <c r="AY530" s="77"/>
      <c r="AZ530" s="77"/>
      <c r="BA530" s="77"/>
      <c r="BB530" s="77"/>
      <c r="BC530" s="77"/>
      <c r="BD530" s="77"/>
      <c r="BE530" s="77"/>
      <c r="BF530" s="77"/>
      <c r="BG530" s="77"/>
      <c r="BH530" s="77"/>
      <c r="BI530" s="77"/>
      <c r="BJ530" s="77"/>
      <c r="BK530" s="77"/>
      <c r="BL530" s="77"/>
      <c r="BM530" s="77"/>
      <c r="BN530" s="77"/>
      <c r="BO530" s="77"/>
      <c r="BP530" s="77"/>
      <c r="BQ530" s="77"/>
      <c r="BR530" s="77"/>
      <c r="BS530" s="77"/>
      <c r="BT530" s="77"/>
      <c r="BU530" s="77"/>
      <c r="BV530" s="77"/>
      <c r="BW530" s="77"/>
      <c r="BX530" s="77"/>
      <c r="BY530" s="77"/>
      <c r="BZ530" s="77"/>
      <c r="CA530" s="77"/>
      <c r="CB530" s="77"/>
      <c r="CC530" s="77"/>
      <c r="CD530" s="77"/>
      <c r="CE530" s="77"/>
      <c r="CF530" s="77"/>
      <c r="CG530" s="77"/>
      <c r="CH530" s="77"/>
      <c r="CI530" s="77"/>
      <c r="CJ530" s="77"/>
      <c r="CK530" s="77"/>
      <c r="CL530" s="77"/>
      <c r="CM530" s="77"/>
      <c r="CN530" s="77"/>
      <c r="CO530" s="77"/>
      <c r="CP530" s="77"/>
      <c r="CQ530" s="77"/>
      <c r="CR530" s="77"/>
      <c r="CS530" s="77"/>
      <c r="CT530" s="77"/>
      <c r="CU530" s="77"/>
      <c r="CV530" s="77"/>
      <c r="CW530" s="77"/>
      <c r="CX530" s="77"/>
      <c r="CY530" s="77"/>
      <c r="CZ530" s="77"/>
      <c r="DA530" s="77"/>
      <c r="DB530" s="77"/>
      <c r="DC530" s="77"/>
      <c r="DD530" s="77"/>
      <c r="DE530" s="77"/>
      <c r="DF530" s="77"/>
      <c r="DG530" s="77"/>
      <c r="DH530" s="77"/>
      <c r="DI530" s="77"/>
      <c r="DJ530" s="77"/>
      <c r="DK530" s="77"/>
      <c r="DL530" s="77"/>
      <c r="DM530" s="77"/>
      <c r="DN530" s="77"/>
      <c r="DO530" s="77"/>
      <c r="DP530" s="77"/>
      <c r="DQ530" s="77"/>
      <c r="DR530" s="77"/>
      <c r="DS530" s="77"/>
      <c r="DT530" s="77"/>
      <c r="DU530" s="77"/>
      <c r="DV530" s="77"/>
      <c r="DW530" s="77"/>
      <c r="DX530" s="77"/>
      <c r="DY530" s="77"/>
      <c r="DZ530" s="77"/>
      <c r="EA530" s="77"/>
      <c r="EB530" s="77"/>
      <c r="EC530" s="77"/>
      <c r="ED530" s="77"/>
      <c r="EE530" s="77"/>
      <c r="EF530" s="77"/>
      <c r="EG530" s="77"/>
      <c r="EH530" s="77"/>
      <c r="EI530" s="77"/>
      <c r="EJ530" s="77"/>
      <c r="EK530" s="77"/>
      <c r="EL530" s="77"/>
      <c r="EP530" s="77"/>
      <c r="EQ530" s="77"/>
      <c r="ER530" s="77"/>
      <c r="ES530" s="77"/>
      <c r="ET530" s="77"/>
      <c r="EU530" s="77"/>
      <c r="EV530" s="77"/>
      <c r="EW530" s="77"/>
      <c r="EX530" s="77"/>
      <c r="EY530" s="77"/>
      <c r="EZ530" s="77"/>
      <c r="FA530" s="77"/>
      <c r="FB530" s="77"/>
      <c r="FC530" s="77"/>
      <c r="FD530" s="77"/>
      <c r="FE530" s="77"/>
      <c r="FF530" s="77"/>
      <c r="FG530" s="77"/>
      <c r="FH530" s="77"/>
      <c r="FI530" s="77"/>
      <c r="FJ530" s="77"/>
      <c r="FK530" s="77"/>
      <c r="FL530" s="77"/>
      <c r="FM530" s="77"/>
      <c r="FN530" s="77"/>
      <c r="FO530" s="77"/>
      <c r="FP530" s="77"/>
      <c r="FQ530" s="77"/>
      <c r="FR530" s="77"/>
      <c r="FS530" s="77"/>
      <c r="FT530" s="77"/>
      <c r="FU530" s="77"/>
      <c r="FV530" s="77"/>
      <c r="FW530" s="77"/>
      <c r="FX530" s="77"/>
      <c r="FY530" s="77"/>
      <c r="FZ530" s="77"/>
      <c r="GA530" s="77"/>
      <c r="GB530" s="77"/>
      <c r="GC530" s="77"/>
      <c r="GD530" s="77"/>
      <c r="GE530" s="77"/>
      <c r="GF530" s="77"/>
      <c r="GG530" s="77"/>
      <c r="GH530" s="77"/>
      <c r="GI530" s="77"/>
      <c r="GJ530" s="77"/>
      <c r="GK530" s="77"/>
      <c r="HL530" s="77"/>
      <c r="HM530" s="77"/>
      <c r="HN530" s="77"/>
      <c r="HO530" s="77"/>
      <c r="HP530" s="77"/>
      <c r="HQ530" s="77"/>
      <c r="HR530" s="77"/>
      <c r="HS530" s="77"/>
      <c r="HT530" s="77"/>
      <c r="HU530" s="77"/>
      <c r="HV530" s="77"/>
      <c r="HW530" s="77"/>
      <c r="HX530" s="77"/>
      <c r="HY530" s="77"/>
      <c r="HZ530" s="77"/>
      <c r="IA530" s="77"/>
      <c r="IB530" s="77"/>
      <c r="IC530" s="77"/>
      <c r="LW530" s="16"/>
      <c r="LX530" s="16"/>
      <c r="MT530" s="77"/>
      <c r="MU530" s="77"/>
      <c r="MV530" s="77"/>
      <c r="MW530" s="77"/>
      <c r="MX530" s="77"/>
      <c r="MY530" s="77"/>
      <c r="MZ530" s="77"/>
      <c r="NA530" s="77"/>
      <c r="NB530" s="77"/>
      <c r="NC530" s="77"/>
    </row>
    <row r="531" spans="1:421" s="21" customFormat="1" ht="18.600000000000001" customHeight="1" x14ac:dyDescent="0.25">
      <c r="A531" s="119" t="s">
        <v>3338</v>
      </c>
      <c r="B531" s="27" t="s">
        <v>3651</v>
      </c>
      <c r="C531" s="27" t="s">
        <v>3652</v>
      </c>
      <c r="D531" s="12" t="s">
        <v>3340</v>
      </c>
      <c r="E531" s="30" t="str">
        <f>HYPERLINK("http://twiplomacy.com/info/north-america/Haiti","http://twiplomacy.com/info/north-america/Haiti")</f>
        <v>http://twiplomacy.com/info/north-america/Haiti</v>
      </c>
      <c r="F531" s="10" t="s">
        <v>558</v>
      </c>
      <c r="G531" s="10" t="s">
        <v>599</v>
      </c>
      <c r="H531" s="10" t="s">
        <v>776</v>
      </c>
      <c r="I531" s="10" t="s">
        <v>773</v>
      </c>
      <c r="J531" s="27" t="s">
        <v>789</v>
      </c>
      <c r="K531" s="10" t="s">
        <v>777</v>
      </c>
      <c r="L531" s="10"/>
      <c r="M531" s="10"/>
      <c r="N531" s="30" t="s">
        <v>3393</v>
      </c>
      <c r="O531" s="27" t="s">
        <v>5742</v>
      </c>
      <c r="P531" s="80">
        <v>32</v>
      </c>
      <c r="Q531" s="80">
        <v>30</v>
      </c>
      <c r="R531" s="27" t="s">
        <v>2995</v>
      </c>
      <c r="S531" s="12" t="s">
        <v>3413</v>
      </c>
      <c r="T531" s="10">
        <v>1</v>
      </c>
      <c r="U531" s="10">
        <v>1</v>
      </c>
      <c r="V531" s="10" t="s">
        <v>771</v>
      </c>
      <c r="W531" s="10"/>
      <c r="X531" s="27" t="s">
        <v>3338</v>
      </c>
      <c r="Y531" s="27" t="s">
        <v>3651</v>
      </c>
      <c r="Z531" s="80">
        <v>591</v>
      </c>
      <c r="AA531" s="27">
        <v>31</v>
      </c>
      <c r="AB531" s="80">
        <v>2019</v>
      </c>
      <c r="AC531" s="27">
        <v>860</v>
      </c>
      <c r="AD531" s="27" t="s">
        <v>3653</v>
      </c>
      <c r="AE531" s="27">
        <v>441034829</v>
      </c>
      <c r="AF531" s="27" t="s">
        <v>3652</v>
      </c>
      <c r="AG531" s="27" t="s">
        <v>3654</v>
      </c>
      <c r="AH531" s="79">
        <v>0.37030075187969902</v>
      </c>
      <c r="AI531" s="83">
        <v>0.33040752351097202</v>
      </c>
      <c r="AJ531" s="80">
        <v>1.55645161290323</v>
      </c>
      <c r="AK531" s="80">
        <v>1.7782258064516101</v>
      </c>
      <c r="AL531" s="27">
        <v>3</v>
      </c>
      <c r="AM531" s="97">
        <f>SUM(AL531/Z531)</f>
        <v>5.076142131979695E-3</v>
      </c>
      <c r="AN531" s="27" t="s">
        <v>3338</v>
      </c>
      <c r="AO531" s="27">
        <v>0</v>
      </c>
      <c r="AP531" s="27">
        <v>2</v>
      </c>
      <c r="AQ531" s="27">
        <v>1</v>
      </c>
      <c r="AR531" s="27">
        <f>SUM(AO531:AQ531)</f>
        <v>3</v>
      </c>
      <c r="AS531" s="27"/>
      <c r="AT531" s="27" t="s">
        <v>6161</v>
      </c>
      <c r="AU531" s="84" t="s">
        <v>3336</v>
      </c>
      <c r="AV531" s="77"/>
      <c r="AW531" s="77"/>
      <c r="AX531" s="77"/>
      <c r="AY531" s="77"/>
      <c r="AZ531" s="77"/>
      <c r="BA531" s="77"/>
      <c r="BB531" s="77"/>
      <c r="BC531" s="77"/>
      <c r="BD531" s="77"/>
      <c r="BE531" s="77"/>
      <c r="BF531" s="77"/>
      <c r="BG531" s="77"/>
      <c r="BH531" s="77"/>
      <c r="BI531" s="77"/>
      <c r="BJ531" s="77"/>
      <c r="BK531" s="77"/>
      <c r="BL531" s="77"/>
      <c r="BM531" s="77"/>
      <c r="BN531" s="77"/>
      <c r="BO531" s="77"/>
      <c r="BP531" s="77"/>
      <c r="BQ531" s="71"/>
      <c r="BR531" s="71"/>
      <c r="BS531" s="71"/>
      <c r="BT531" s="71"/>
      <c r="BU531" s="71"/>
      <c r="BV531" s="71"/>
      <c r="BW531" s="71"/>
      <c r="BX531" s="71"/>
      <c r="BY531" s="71"/>
      <c r="BZ531" s="71"/>
      <c r="CA531" s="71"/>
      <c r="CB531" s="71"/>
      <c r="CC531" s="77"/>
      <c r="CD531" s="77"/>
      <c r="CE531" s="77"/>
      <c r="CF531" s="77"/>
      <c r="CG531" s="77"/>
      <c r="CH531" s="77"/>
      <c r="CI531" s="77"/>
      <c r="CJ531" s="77"/>
      <c r="CX531" s="77"/>
      <c r="CY531" s="77"/>
      <c r="CZ531" s="77"/>
      <c r="DA531" s="77"/>
      <c r="DB531" s="77"/>
      <c r="DC531" s="77"/>
      <c r="DD531" s="77"/>
      <c r="DE531" s="77"/>
      <c r="DF531" s="77"/>
      <c r="DG531" s="77"/>
      <c r="DH531" s="77"/>
      <c r="DI531" s="77"/>
      <c r="DJ531" s="77"/>
      <c r="DK531" s="77"/>
      <c r="DL531" s="77"/>
      <c r="DM531" s="77"/>
      <c r="DN531" s="77"/>
      <c r="DO531" s="77"/>
      <c r="DP531" s="77"/>
      <c r="DQ531" s="77"/>
      <c r="DR531" s="77"/>
      <c r="DS531" s="77"/>
      <c r="DT531" s="77"/>
      <c r="DU531" s="77"/>
      <c r="DV531" s="77"/>
      <c r="DW531" s="77"/>
      <c r="DX531" s="77"/>
      <c r="DY531" s="77"/>
      <c r="DZ531" s="77"/>
      <c r="EA531" s="77"/>
      <c r="EB531" s="77"/>
      <c r="EC531" s="77"/>
      <c r="ED531" s="77"/>
      <c r="EE531" s="77"/>
      <c r="EF531" s="77"/>
      <c r="EG531" s="77"/>
      <c r="EH531" s="77"/>
      <c r="EI531" s="77"/>
      <c r="EJ531" s="77"/>
      <c r="EK531" s="77"/>
      <c r="EL531" s="77"/>
      <c r="EP531" s="77"/>
      <c r="EQ531" s="77"/>
      <c r="GL531" s="77"/>
      <c r="GM531" s="77"/>
      <c r="GN531" s="77"/>
      <c r="GO531" s="77"/>
      <c r="GP531" s="77"/>
      <c r="GQ531" s="77"/>
      <c r="GR531" s="77"/>
      <c r="GS531" s="77"/>
      <c r="GT531" s="77"/>
      <c r="GU531" s="77"/>
      <c r="GV531" s="77"/>
      <c r="GW531" s="77"/>
      <c r="GX531" s="77"/>
      <c r="GY531" s="77"/>
      <c r="GZ531" s="77"/>
      <c r="HA531" s="77"/>
      <c r="HB531" s="77"/>
      <c r="HC531" s="77"/>
      <c r="HD531" s="77"/>
      <c r="HE531" s="77"/>
      <c r="HF531" s="77"/>
      <c r="HG531" s="77"/>
      <c r="HH531" s="77"/>
      <c r="HI531" s="77"/>
      <c r="HJ531" s="77"/>
      <c r="HK531" s="77"/>
      <c r="HL531" s="16"/>
      <c r="HM531" s="16"/>
      <c r="HN531" s="16"/>
      <c r="HO531" s="16"/>
      <c r="HP531" s="16"/>
      <c r="HQ531" s="16"/>
      <c r="HR531" s="16"/>
      <c r="HS531" s="16"/>
      <c r="HT531" s="16"/>
      <c r="HU531" s="16"/>
      <c r="HV531" s="16"/>
      <c r="HW531" s="16"/>
      <c r="HX531" s="16"/>
      <c r="HY531" s="16"/>
      <c r="HZ531" s="16"/>
      <c r="IA531" s="16"/>
      <c r="IB531" s="16"/>
      <c r="IC531" s="16"/>
      <c r="ID531" s="77"/>
      <c r="IE531" s="77"/>
      <c r="IF531" s="77"/>
      <c r="IG531" s="77"/>
      <c r="IH531" s="77"/>
      <c r="II531" s="77"/>
      <c r="IJ531" s="77"/>
      <c r="IK531" s="77"/>
      <c r="IL531" s="77"/>
      <c r="IM531" s="77"/>
      <c r="IN531" s="77"/>
      <c r="IO531" s="77"/>
      <c r="IP531" s="77"/>
      <c r="IQ531" s="77"/>
      <c r="IR531" s="77"/>
      <c r="IS531" s="77"/>
      <c r="IT531" s="77"/>
      <c r="IU531" s="77"/>
      <c r="IV531" s="77"/>
      <c r="IW531" s="77"/>
      <c r="IX531" s="77"/>
      <c r="IY531" s="77"/>
      <c r="IZ531" s="77"/>
      <c r="JA531" s="77"/>
      <c r="JB531" s="77"/>
      <c r="JC531" s="77"/>
      <c r="JD531" s="77"/>
      <c r="JE531" s="77"/>
      <c r="JF531" s="77"/>
      <c r="JG531" s="77"/>
      <c r="JH531" s="77"/>
      <c r="JI531" s="77"/>
      <c r="JJ531" s="77"/>
      <c r="JK531" s="77"/>
      <c r="JL531" s="77"/>
      <c r="JM531" s="77"/>
      <c r="JN531" s="77"/>
      <c r="JO531" s="77"/>
      <c r="JP531" s="77"/>
      <c r="JQ531" s="77"/>
      <c r="JR531" s="77"/>
      <c r="JS531" s="77"/>
      <c r="JT531" s="77"/>
      <c r="JU531" s="77"/>
      <c r="JV531" s="77"/>
      <c r="JW531" s="77"/>
      <c r="JX531" s="77"/>
      <c r="JY531" s="77"/>
      <c r="JZ531" s="77"/>
      <c r="KA531" s="77"/>
      <c r="KB531" s="77"/>
      <c r="KC531" s="77"/>
      <c r="KD531" s="77"/>
      <c r="KE531" s="77"/>
      <c r="KF531" s="77"/>
      <c r="KG531" s="77"/>
      <c r="KH531" s="77"/>
      <c r="KI531" s="77"/>
      <c r="KJ531" s="77"/>
      <c r="KK531" s="77"/>
      <c r="KL531" s="77"/>
      <c r="LL531" s="77"/>
      <c r="LM531" s="77"/>
      <c r="LN531" s="77"/>
      <c r="LO531" s="77"/>
      <c r="LP531" s="77"/>
      <c r="LQ531" s="77"/>
      <c r="LR531" s="77"/>
      <c r="LS531" s="77"/>
      <c r="LT531" s="77"/>
      <c r="LU531" s="77"/>
      <c r="LV531" s="77"/>
      <c r="LW531" s="77"/>
      <c r="LX531" s="77"/>
    </row>
    <row r="532" spans="1:421" s="21" customFormat="1" ht="18.600000000000001" customHeight="1" x14ac:dyDescent="0.25">
      <c r="A532" s="119" t="s">
        <v>3077</v>
      </c>
      <c r="B532" s="27" t="s">
        <v>4591</v>
      </c>
      <c r="C532" s="27" t="s">
        <v>4592</v>
      </c>
      <c r="D532" s="12" t="s">
        <v>3069</v>
      </c>
      <c r="E532" s="72" t="str">
        <f>HYPERLINK("http://twiplomacy.com/info/africa/Guinea","http://twiplomacy.com/info/africa/Guinea")</f>
        <v>http://twiplomacy.com/info/africa/Guinea</v>
      </c>
      <c r="F532" s="10" t="s">
        <v>1</v>
      </c>
      <c r="G532" s="10" t="s">
        <v>55</v>
      </c>
      <c r="H532" s="10" t="s">
        <v>772</v>
      </c>
      <c r="I532" s="10" t="s">
        <v>773</v>
      </c>
      <c r="J532" s="27" t="s">
        <v>779</v>
      </c>
      <c r="K532" s="15" t="s">
        <v>777</v>
      </c>
      <c r="L532" s="15"/>
      <c r="M532" s="10" t="s">
        <v>770</v>
      </c>
      <c r="N532" s="30" t="s">
        <v>3130</v>
      </c>
      <c r="O532" s="27" t="s">
        <v>6132</v>
      </c>
      <c r="P532" s="80">
        <v>6</v>
      </c>
      <c r="Q532" s="80">
        <v>4</v>
      </c>
      <c r="R532" s="27" t="s">
        <v>2995</v>
      </c>
      <c r="S532" s="12" t="s">
        <v>3084</v>
      </c>
      <c r="T532" s="10" t="s">
        <v>771</v>
      </c>
      <c r="U532" s="10" t="s">
        <v>771</v>
      </c>
      <c r="V532" s="10" t="s">
        <v>771</v>
      </c>
      <c r="W532" s="10"/>
      <c r="X532" s="27" t="s">
        <v>3077</v>
      </c>
      <c r="Y532" s="27" t="s">
        <v>4591</v>
      </c>
      <c r="Z532" s="80">
        <v>590</v>
      </c>
      <c r="AA532" s="27">
        <v>7</v>
      </c>
      <c r="AB532" s="80">
        <v>534</v>
      </c>
      <c r="AC532" s="27">
        <v>17</v>
      </c>
      <c r="AD532" s="27" t="s">
        <v>4593</v>
      </c>
      <c r="AE532" s="27">
        <v>3613105701</v>
      </c>
      <c r="AF532" s="27" t="s">
        <v>4592</v>
      </c>
      <c r="AG532" s="27" t="s">
        <v>915</v>
      </c>
      <c r="AH532" s="79">
        <v>2.52136752136752</v>
      </c>
      <c r="AI532" s="83">
        <v>10.925925925925901</v>
      </c>
      <c r="AJ532" s="80">
        <v>0.550644567219153</v>
      </c>
      <c r="AK532" s="80">
        <v>0.57090239410681398</v>
      </c>
      <c r="AL532" s="96">
        <v>99</v>
      </c>
      <c r="AM532" s="97">
        <f>SUM(AL532/Z532)</f>
        <v>0.16779661016949152</v>
      </c>
      <c r="AN532" s="27" t="s">
        <v>3077</v>
      </c>
      <c r="AO532" s="27">
        <v>3</v>
      </c>
      <c r="AP532" s="27">
        <v>0</v>
      </c>
      <c r="AQ532" s="27">
        <v>0</v>
      </c>
      <c r="AR532" s="27">
        <f>SUM(AO532:AQ532)</f>
        <v>3</v>
      </c>
      <c r="AS532" s="27" t="s">
        <v>5562</v>
      </c>
      <c r="AT532" s="27"/>
      <c r="AU532" s="84"/>
      <c r="AV532" s="77"/>
      <c r="AW532" s="77"/>
      <c r="AX532" s="77"/>
      <c r="AY532" s="77"/>
      <c r="AZ532" s="77"/>
      <c r="BA532" s="77"/>
      <c r="BB532" s="77"/>
      <c r="BC532" s="77"/>
      <c r="BD532" s="77"/>
      <c r="BE532" s="77"/>
      <c r="BF532" s="77"/>
      <c r="BG532" s="77"/>
      <c r="BH532" s="77"/>
      <c r="BI532" s="77"/>
      <c r="BJ532" s="77"/>
      <c r="BK532" s="77"/>
      <c r="BL532" s="77"/>
      <c r="BM532" s="77"/>
      <c r="BN532" s="77"/>
      <c r="BO532" s="77"/>
      <c r="BP532" s="77"/>
      <c r="BQ532" s="77"/>
      <c r="BR532" s="77"/>
      <c r="BS532" s="77"/>
      <c r="BT532" s="77"/>
      <c r="BU532" s="77"/>
      <c r="BV532" s="77"/>
      <c r="BW532" s="77"/>
      <c r="BX532" s="77"/>
      <c r="BY532" s="77"/>
      <c r="BZ532" s="77"/>
      <c r="CA532" s="77"/>
      <c r="CB532" s="77"/>
      <c r="CC532" s="77"/>
      <c r="CD532" s="77"/>
      <c r="CE532" s="77"/>
      <c r="CF532" s="77"/>
      <c r="CG532" s="77"/>
      <c r="CH532" s="77"/>
      <c r="CI532" s="77"/>
      <c r="CJ532" s="77"/>
      <c r="CK532" s="77"/>
      <c r="CL532" s="77"/>
      <c r="CM532" s="77"/>
      <c r="CN532" s="77"/>
      <c r="CO532" s="77"/>
      <c r="CP532" s="77"/>
      <c r="CQ532" s="77"/>
      <c r="CR532" s="77"/>
      <c r="CS532" s="77"/>
      <c r="CT532" s="77"/>
      <c r="CU532" s="77"/>
      <c r="CV532" s="77"/>
      <c r="CW532" s="77"/>
      <c r="CX532" s="77"/>
      <c r="CY532" s="77"/>
      <c r="CZ532" s="77"/>
      <c r="DA532" s="77"/>
      <c r="DB532" s="77"/>
      <c r="DC532" s="77"/>
      <c r="DD532" s="77"/>
      <c r="DE532" s="77"/>
      <c r="DF532" s="77"/>
      <c r="DG532" s="77"/>
      <c r="DH532" s="77"/>
      <c r="DI532" s="77"/>
      <c r="DJ532" s="77"/>
      <c r="DK532" s="77"/>
      <c r="DL532" s="77"/>
      <c r="DM532" s="77"/>
      <c r="DN532" s="77"/>
      <c r="DO532" s="77"/>
      <c r="DP532" s="77"/>
      <c r="DQ532" s="77"/>
      <c r="DR532" s="77"/>
      <c r="DS532" s="77"/>
      <c r="DT532" s="77"/>
      <c r="DU532" s="77"/>
      <c r="DV532" s="77"/>
      <c r="DW532" s="77"/>
      <c r="DX532" s="77"/>
      <c r="DY532" s="77"/>
      <c r="DZ532" s="77"/>
      <c r="EA532" s="77"/>
      <c r="EB532" s="77"/>
      <c r="EC532" s="77"/>
      <c r="ED532" s="77"/>
      <c r="EE532" s="77"/>
      <c r="EF532" s="77"/>
      <c r="EG532" s="77"/>
      <c r="EH532" s="77"/>
      <c r="EI532" s="77"/>
      <c r="EJ532" s="77"/>
      <c r="EK532" s="77"/>
      <c r="EL532" s="77"/>
      <c r="EM532" s="77"/>
      <c r="EN532" s="77"/>
      <c r="EO532" s="77"/>
      <c r="EP532" s="77"/>
      <c r="EQ532" s="77"/>
      <c r="GL532" s="77"/>
      <c r="GM532" s="77"/>
      <c r="GN532" s="77"/>
      <c r="GO532" s="77"/>
      <c r="GP532" s="77"/>
      <c r="GQ532" s="77"/>
      <c r="GR532" s="77"/>
      <c r="GS532" s="77"/>
      <c r="GT532" s="77"/>
      <c r="GU532" s="77"/>
      <c r="GV532" s="77"/>
      <c r="GW532" s="77"/>
      <c r="GX532" s="77"/>
      <c r="GY532" s="77"/>
      <c r="GZ532" s="77"/>
      <c r="HA532" s="77"/>
      <c r="HB532" s="77"/>
      <c r="HC532" s="77"/>
      <c r="HD532" s="77"/>
      <c r="HE532" s="77"/>
      <c r="HF532" s="77"/>
      <c r="HG532" s="77"/>
      <c r="HH532" s="77"/>
      <c r="HI532" s="77"/>
      <c r="HJ532" s="77"/>
      <c r="HK532" s="77"/>
      <c r="HL532" s="77"/>
      <c r="HM532" s="77"/>
      <c r="HN532" s="77"/>
      <c r="HO532" s="77"/>
      <c r="HP532" s="77"/>
      <c r="HQ532" s="77"/>
      <c r="HR532" s="77"/>
      <c r="HS532" s="77"/>
      <c r="HT532" s="77"/>
      <c r="HU532" s="77"/>
      <c r="HV532" s="77"/>
      <c r="HW532" s="77"/>
      <c r="HX532" s="77"/>
      <c r="HY532" s="77"/>
      <c r="HZ532" s="77"/>
      <c r="IA532" s="77"/>
      <c r="IB532" s="77"/>
      <c r="IC532" s="77"/>
      <c r="ID532" s="77"/>
      <c r="IE532" s="77"/>
      <c r="IF532" s="77"/>
      <c r="IG532" s="77"/>
      <c r="IH532" s="77"/>
      <c r="II532" s="77"/>
      <c r="IJ532" s="77"/>
      <c r="IK532" s="77"/>
      <c r="IL532" s="77"/>
      <c r="IM532" s="77"/>
      <c r="IN532" s="77"/>
      <c r="IO532" s="77"/>
      <c r="IP532" s="77"/>
      <c r="IQ532" s="77"/>
      <c r="IR532" s="77"/>
      <c r="IS532" s="77"/>
      <c r="IT532" s="77"/>
      <c r="IU532" s="77"/>
      <c r="IV532" s="77"/>
      <c r="IW532" s="77"/>
      <c r="IX532" s="77"/>
      <c r="IY532" s="77"/>
      <c r="IZ532" s="77"/>
      <c r="JA532" s="77"/>
      <c r="JB532" s="77"/>
      <c r="JC532" s="77"/>
      <c r="JD532" s="77"/>
      <c r="JE532" s="77"/>
      <c r="JF532" s="77"/>
      <c r="JG532" s="77"/>
      <c r="JH532" s="77"/>
      <c r="JI532" s="77"/>
      <c r="JJ532" s="77"/>
      <c r="JK532" s="77"/>
      <c r="JL532" s="77"/>
      <c r="JM532" s="77"/>
      <c r="JN532" s="77"/>
      <c r="JO532" s="77"/>
      <c r="JP532" s="77"/>
      <c r="JQ532" s="77"/>
      <c r="JR532" s="77"/>
      <c r="JS532" s="77"/>
      <c r="JT532" s="77"/>
      <c r="JU532" s="77"/>
      <c r="JV532" s="77"/>
      <c r="JW532" s="77"/>
      <c r="JX532" s="77"/>
      <c r="JY532" s="77"/>
      <c r="JZ532" s="77"/>
      <c r="KA532" s="77"/>
      <c r="KB532" s="77"/>
      <c r="KC532" s="77"/>
      <c r="KD532" s="77"/>
      <c r="KE532" s="77"/>
      <c r="KF532" s="77"/>
      <c r="KG532" s="77"/>
      <c r="KH532" s="77"/>
      <c r="KI532" s="77"/>
      <c r="KJ532" s="77"/>
      <c r="KK532" s="77"/>
      <c r="KL532" s="77"/>
      <c r="KM532" s="77"/>
      <c r="KN532" s="77"/>
      <c r="KO532" s="77"/>
      <c r="KP532" s="77"/>
      <c r="KQ532" s="77"/>
      <c r="KR532" s="77"/>
      <c r="KS532" s="77"/>
      <c r="KT532" s="77"/>
      <c r="KU532" s="77"/>
      <c r="KV532" s="77"/>
      <c r="KW532" s="77"/>
      <c r="KX532" s="77"/>
      <c r="KY532" s="77"/>
      <c r="KZ532" s="77"/>
      <c r="LA532" s="77"/>
      <c r="LB532" s="77"/>
      <c r="LC532" s="77"/>
      <c r="LD532" s="77"/>
      <c r="LE532" s="77"/>
      <c r="LF532" s="77"/>
      <c r="LG532" s="77"/>
      <c r="LH532" s="77"/>
      <c r="LI532" s="77"/>
      <c r="LJ532" s="77"/>
      <c r="LK532" s="77"/>
      <c r="LL532" s="77"/>
      <c r="LM532" s="77"/>
      <c r="LN532" s="77"/>
      <c r="LO532" s="77"/>
      <c r="LP532" s="77"/>
      <c r="LQ532" s="77"/>
      <c r="LR532" s="77"/>
      <c r="LS532" s="77"/>
      <c r="LT532" s="77"/>
      <c r="LU532" s="77"/>
      <c r="LV532" s="77"/>
      <c r="LY532" s="77"/>
      <c r="LZ532" s="77"/>
      <c r="MA532" s="77"/>
      <c r="MB532" s="77"/>
      <c r="MC532" s="77"/>
      <c r="MD532" s="77"/>
      <c r="ME532" s="77"/>
      <c r="MF532" s="77"/>
      <c r="MG532" s="77"/>
      <c r="MH532" s="77"/>
      <c r="MI532" s="77"/>
      <c r="MJ532" s="77"/>
      <c r="MK532" s="77"/>
      <c r="ML532" s="77"/>
      <c r="MM532" s="77"/>
      <c r="MN532" s="77"/>
      <c r="MO532" s="77"/>
      <c r="MP532" s="77"/>
      <c r="MQ532" s="77"/>
      <c r="MR532" s="77"/>
      <c r="MS532" s="77"/>
      <c r="ND532" s="77"/>
    </row>
    <row r="533" spans="1:421" s="21" customFormat="1" ht="18.600000000000001" customHeight="1" x14ac:dyDescent="0.25">
      <c r="A533" s="119" t="s">
        <v>354</v>
      </c>
      <c r="B533" s="27" t="s">
        <v>1755</v>
      </c>
      <c r="C533" s="27" t="s">
        <v>1756</v>
      </c>
      <c r="D533" s="30" t="str">
        <f>HYPERLINK("https://twitter.com/BoykoBorissov","https://twitter.com/BoykoBorissov")</f>
        <v>https://twitter.com/BoykoBorissov</v>
      </c>
      <c r="E533" s="30" t="str">
        <f>HYPERLINK("http://twiplomacy.com/info/europe/Bulgaria","http://twiplomacy.com/info/europe/Bulgaria")</f>
        <v>http://twiplomacy.com/info/europe/Bulgaria</v>
      </c>
      <c r="F533" s="10" t="s">
        <v>332</v>
      </c>
      <c r="G533" s="10" t="s">
        <v>353</v>
      </c>
      <c r="H533" s="10" t="s">
        <v>776</v>
      </c>
      <c r="I533" s="10" t="s">
        <v>773</v>
      </c>
      <c r="J533" s="27" t="s">
        <v>789</v>
      </c>
      <c r="K533" s="15" t="s">
        <v>777</v>
      </c>
      <c r="L533" s="10"/>
      <c r="M533" s="10" t="s">
        <v>770</v>
      </c>
      <c r="N533" s="30" t="str">
        <f>HYPERLINK("https://twitter.com/BoykoBorissov/status/18072267942526976","https://twitter.com/BoykoBorissov/status/18072267942526976")</f>
        <v>https://twitter.com/BoykoBorissov/status/18072267942526976</v>
      </c>
      <c r="O533" s="27" t="s">
        <v>5715</v>
      </c>
      <c r="P533" s="80">
        <v>120</v>
      </c>
      <c r="Q533" s="80">
        <v>79</v>
      </c>
      <c r="R533" s="27" t="s">
        <v>2994</v>
      </c>
      <c r="S533" s="30" t="str">
        <f>HYPERLINK("https://twitter.com/BoykoBorissov/lists","https://twitter.com/BoykoBorissov/lists")</f>
        <v>https://twitter.com/BoykoBorissov/lists</v>
      </c>
      <c r="T533" s="10" t="s">
        <v>771</v>
      </c>
      <c r="U533" s="10">
        <v>1</v>
      </c>
      <c r="V533" s="10" t="s">
        <v>771</v>
      </c>
      <c r="W533" s="10"/>
      <c r="X533" s="27" t="s">
        <v>354</v>
      </c>
      <c r="Y533" s="27" t="s">
        <v>1755</v>
      </c>
      <c r="Z533" s="80">
        <v>588</v>
      </c>
      <c r="AA533" s="27">
        <v>191</v>
      </c>
      <c r="AB533" s="80">
        <v>24766</v>
      </c>
      <c r="AC533" s="27">
        <v>54</v>
      </c>
      <c r="AD533" s="27" t="s">
        <v>3523</v>
      </c>
      <c r="AE533" s="27">
        <v>1718459486</v>
      </c>
      <c r="AF533" s="27" t="s">
        <v>1756</v>
      </c>
      <c r="AG533" s="27" t="s">
        <v>353</v>
      </c>
      <c r="AH533" s="79">
        <v>0.60369609856262796</v>
      </c>
      <c r="AI533" s="83">
        <v>0.60431654676258995</v>
      </c>
      <c r="AJ533" s="80">
        <v>5.5247148288973396</v>
      </c>
      <c r="AK533" s="80">
        <v>11.747148288973399</v>
      </c>
      <c r="AL533" s="27">
        <v>57</v>
      </c>
      <c r="AM533" s="97">
        <f>SUM(AL533/Z533)</f>
        <v>9.6938775510204078E-2</v>
      </c>
      <c r="AN533" s="27" t="s">
        <v>354</v>
      </c>
      <c r="AO533" s="27">
        <v>9</v>
      </c>
      <c r="AP533" s="27">
        <v>13</v>
      </c>
      <c r="AQ533" s="27">
        <v>14</v>
      </c>
      <c r="AR533" s="27">
        <f>SUM(AO533:AQ533)</f>
        <v>36</v>
      </c>
      <c r="AS533" s="27" t="s">
        <v>5043</v>
      </c>
      <c r="AT533" s="27" t="s">
        <v>6682</v>
      </c>
      <c r="AU533" s="84" t="s">
        <v>4663</v>
      </c>
      <c r="AV533" s="77"/>
      <c r="AW533" s="77"/>
      <c r="AX533" s="77"/>
      <c r="AY533" s="77"/>
      <c r="AZ533" s="77"/>
      <c r="BA533" s="77"/>
      <c r="BB533" s="77"/>
      <c r="BC533" s="77"/>
      <c r="BD533" s="77"/>
      <c r="BE533" s="77"/>
      <c r="BF533" s="77"/>
      <c r="BG533" s="77"/>
      <c r="BH533" s="77"/>
      <c r="BI533" s="77"/>
      <c r="BJ533" s="77"/>
      <c r="BK533" s="77"/>
      <c r="BL533" s="77"/>
      <c r="BM533" s="77"/>
      <c r="BN533" s="77"/>
      <c r="BO533" s="77"/>
      <c r="BP533" s="77"/>
      <c r="BQ533" s="77"/>
      <c r="BR533" s="77"/>
      <c r="BS533" s="77"/>
      <c r="BT533" s="77"/>
      <c r="BU533" s="77"/>
      <c r="BV533" s="77"/>
      <c r="BW533" s="77"/>
      <c r="BX533" s="77"/>
      <c r="BY533" s="77"/>
      <c r="BZ533" s="77"/>
      <c r="CA533" s="77"/>
      <c r="CB533" s="77"/>
      <c r="CC533" s="77"/>
      <c r="CD533" s="77"/>
      <c r="CE533" s="77"/>
      <c r="CF533" s="77"/>
      <c r="CG533" s="77"/>
      <c r="CH533" s="77"/>
      <c r="CI533" s="77"/>
      <c r="CJ533" s="77"/>
      <c r="CK533" s="77"/>
      <c r="CL533" s="77"/>
      <c r="CM533" s="77"/>
      <c r="CN533" s="77"/>
      <c r="CO533" s="77"/>
      <c r="CP533" s="77"/>
      <c r="CQ533" s="77"/>
      <c r="CR533" s="77"/>
      <c r="CS533" s="77"/>
      <c r="CT533" s="77"/>
      <c r="CU533" s="77"/>
      <c r="CV533" s="77"/>
      <c r="CW533" s="77"/>
      <c r="CX533" s="77"/>
      <c r="CY533" s="77"/>
      <c r="CZ533" s="77"/>
      <c r="DA533" s="77"/>
      <c r="DB533" s="77"/>
      <c r="DC533" s="77"/>
      <c r="DD533" s="77"/>
      <c r="DE533" s="77"/>
      <c r="DF533" s="77"/>
      <c r="DG533" s="77"/>
      <c r="DH533" s="77"/>
      <c r="DI533" s="77"/>
      <c r="DJ533" s="77"/>
      <c r="DK533" s="77"/>
      <c r="DL533" s="77"/>
      <c r="DM533" s="77"/>
      <c r="DN533" s="77"/>
      <c r="DO533" s="77"/>
      <c r="DP533" s="77"/>
      <c r="DQ533" s="77"/>
      <c r="DR533" s="77"/>
      <c r="DS533" s="77"/>
      <c r="DT533" s="77"/>
      <c r="DU533" s="77"/>
      <c r="DV533" s="77"/>
      <c r="DW533" s="77"/>
      <c r="DX533" s="77"/>
      <c r="DY533" s="77"/>
      <c r="DZ533" s="77"/>
      <c r="EA533" s="77"/>
      <c r="EB533" s="77"/>
      <c r="EC533" s="77"/>
      <c r="ED533" s="77"/>
      <c r="EE533" s="77"/>
      <c r="EF533" s="77"/>
      <c r="EG533" s="77"/>
      <c r="EH533" s="77"/>
      <c r="EI533" s="77"/>
      <c r="EJ533" s="77"/>
      <c r="EK533" s="77"/>
      <c r="EL533" s="77"/>
      <c r="EM533" s="77"/>
      <c r="EN533" s="77"/>
      <c r="EO533" s="77"/>
      <c r="EP533" s="77"/>
      <c r="EQ533" s="77"/>
      <c r="GL533" s="16"/>
      <c r="GM533" s="16"/>
      <c r="GN533" s="16"/>
      <c r="GO533" s="16"/>
      <c r="GP533" s="16"/>
      <c r="GQ533" s="16"/>
      <c r="GR533" s="16"/>
      <c r="GS533" s="16"/>
      <c r="GT533" s="16"/>
      <c r="GU533" s="16"/>
      <c r="GV533" s="16"/>
      <c r="GW533" s="16"/>
      <c r="GX533" s="16"/>
      <c r="GY533" s="16"/>
      <c r="GZ533" s="16"/>
      <c r="HA533" s="16"/>
      <c r="HB533" s="16"/>
      <c r="HC533" s="16"/>
      <c r="HD533" s="16"/>
      <c r="HE533" s="16"/>
      <c r="HF533" s="16"/>
      <c r="HG533" s="16"/>
      <c r="HH533" s="16"/>
      <c r="HI533" s="16"/>
      <c r="HJ533" s="16"/>
      <c r="HK533" s="16"/>
      <c r="HL533" s="77"/>
      <c r="HM533" s="77"/>
      <c r="HN533" s="77"/>
      <c r="HO533" s="77"/>
      <c r="HP533" s="77"/>
      <c r="HQ533" s="77"/>
      <c r="HR533" s="77"/>
      <c r="HS533" s="77"/>
      <c r="HT533" s="77"/>
      <c r="HU533" s="77"/>
      <c r="HV533" s="77"/>
      <c r="HW533" s="77"/>
      <c r="HX533" s="77"/>
      <c r="HY533" s="77"/>
      <c r="HZ533" s="77"/>
      <c r="IA533" s="77"/>
      <c r="IB533" s="77"/>
      <c r="IC533" s="77"/>
      <c r="ID533" s="77"/>
      <c r="IE533" s="77"/>
      <c r="KM533" s="77"/>
      <c r="KN533" s="77"/>
      <c r="KO533" s="77"/>
      <c r="KP533" s="77"/>
      <c r="KQ533" s="77"/>
      <c r="KR533" s="77"/>
      <c r="KS533" s="77"/>
      <c r="KT533" s="77"/>
      <c r="KU533" s="77"/>
      <c r="KV533" s="77"/>
      <c r="KW533" s="77"/>
      <c r="KX533" s="77"/>
      <c r="KY533" s="77"/>
      <c r="KZ533" s="77"/>
      <c r="LA533" s="77"/>
      <c r="LB533" s="77"/>
      <c r="LC533" s="77"/>
      <c r="LD533" s="77"/>
      <c r="LE533" s="77"/>
      <c r="LF533" s="77"/>
      <c r="LG533" s="77"/>
      <c r="LH533" s="77"/>
      <c r="LI533" s="77"/>
      <c r="LJ533" s="77"/>
      <c r="LK533" s="77"/>
      <c r="LY533" s="77"/>
      <c r="LZ533" s="77"/>
      <c r="MA533" s="77"/>
      <c r="MB533" s="77"/>
      <c r="MC533" s="77"/>
      <c r="MD533" s="77"/>
      <c r="ME533" s="77"/>
      <c r="MF533" s="77"/>
      <c r="MG533" s="77"/>
      <c r="MH533" s="77"/>
      <c r="MI533" s="77"/>
      <c r="MJ533" s="77"/>
      <c r="MK533" s="77"/>
      <c r="ML533" s="77"/>
      <c r="MM533" s="77"/>
      <c r="MN533" s="77"/>
      <c r="MO533" s="77"/>
      <c r="MP533" s="77"/>
      <c r="MQ533" s="77"/>
      <c r="MR533" s="77"/>
      <c r="MT533" s="16"/>
      <c r="MU533" s="16"/>
      <c r="MV533" s="16"/>
      <c r="MW533" s="16"/>
      <c r="MX533" s="16"/>
      <c r="MY533" s="16"/>
      <c r="MZ533" s="16"/>
      <c r="NA533" s="16"/>
      <c r="NB533" s="16"/>
      <c r="NC533" s="16"/>
    </row>
    <row r="534" spans="1:421" s="16" customFormat="1" ht="18.600000000000001" customHeight="1" x14ac:dyDescent="0.25">
      <c r="A534" s="119" t="s">
        <v>2281</v>
      </c>
      <c r="B534" s="27" t="s">
        <v>2258</v>
      </c>
      <c r="C534" s="27" t="s">
        <v>2282</v>
      </c>
      <c r="D534" s="30" t="str">
        <f>HYPERLINK("https://twitter.com/A_Davutoglu_eng","https://twitter.com/A_Davutoglu_eng")</f>
        <v>https://twitter.com/A_Davutoglu_eng</v>
      </c>
      <c r="E534" s="30" t="str">
        <f>HYPERLINK("http://twiplomacy.com/info/europe/Turkey","http://twiplomacy.com/info/europe/Turkey")</f>
        <v>http://twiplomacy.com/info/europe/Turkey</v>
      </c>
      <c r="F534" s="10" t="s">
        <v>332</v>
      </c>
      <c r="G534" s="10" t="s">
        <v>536</v>
      </c>
      <c r="H534" s="10" t="s">
        <v>776</v>
      </c>
      <c r="I534" s="10" t="s">
        <v>773</v>
      </c>
      <c r="J534" s="27" t="s">
        <v>2254</v>
      </c>
      <c r="K534" s="15" t="s">
        <v>5584</v>
      </c>
      <c r="L534" s="10" t="s">
        <v>771</v>
      </c>
      <c r="M534" s="10" t="s">
        <v>771</v>
      </c>
      <c r="N534" s="30" t="str">
        <f>HYPERLINK("https://twitter.com/A_Davutoglu_eng/statuses/164311291165544450","https://twitter.com/A_Davutoglu_eng/statuses/164311291165544450")</f>
        <v>https://twitter.com/A_Davutoglu_eng/statuses/164311291165544450</v>
      </c>
      <c r="O534" s="27" t="s">
        <v>5666</v>
      </c>
      <c r="P534" s="80">
        <v>586</v>
      </c>
      <c r="Q534" s="80">
        <v>151</v>
      </c>
      <c r="R534" s="27" t="s">
        <v>2994</v>
      </c>
      <c r="S534" s="10" t="s">
        <v>2283</v>
      </c>
      <c r="T534" s="10" t="s">
        <v>771</v>
      </c>
      <c r="U534" s="10" t="s">
        <v>771</v>
      </c>
      <c r="V534" s="10" t="s">
        <v>771</v>
      </c>
      <c r="W534" s="10"/>
      <c r="X534" s="27" t="s">
        <v>2281</v>
      </c>
      <c r="Y534" s="27" t="s">
        <v>2258</v>
      </c>
      <c r="Z534" s="80">
        <v>583</v>
      </c>
      <c r="AA534" s="27">
        <v>2</v>
      </c>
      <c r="AB534" s="80">
        <v>102805</v>
      </c>
      <c r="AC534" s="27">
        <v>0</v>
      </c>
      <c r="AD534" s="27" t="s">
        <v>3420</v>
      </c>
      <c r="AE534" s="27">
        <v>434829567</v>
      </c>
      <c r="AF534" s="27" t="s">
        <v>2282</v>
      </c>
      <c r="AG534" s="27" t="s">
        <v>2257</v>
      </c>
      <c r="AH534" s="79">
        <v>0.36369307548346902</v>
      </c>
      <c r="AI534" s="83">
        <v>0.62891046386191995</v>
      </c>
      <c r="AJ534" s="80">
        <v>25.577391304347799</v>
      </c>
      <c r="AK534" s="80">
        <v>14.323478260869599</v>
      </c>
      <c r="AL534" s="13">
        <v>0</v>
      </c>
      <c r="AM534" s="97">
        <f>SUM(AL534/Z534)</f>
        <v>0</v>
      </c>
      <c r="AN534" s="27" t="s">
        <v>2281</v>
      </c>
      <c r="AO534" s="27">
        <v>0</v>
      </c>
      <c r="AP534" s="27">
        <v>44</v>
      </c>
      <c r="AQ534" s="27">
        <v>1</v>
      </c>
      <c r="AR534" s="27">
        <f>SUM(AO534:AQ534)</f>
        <v>45</v>
      </c>
      <c r="AS534" s="27"/>
      <c r="AT534" s="27" t="s">
        <v>6267</v>
      </c>
      <c r="AU534" s="84" t="s">
        <v>541</v>
      </c>
      <c r="AV534" s="77"/>
      <c r="AW534" s="77"/>
      <c r="AX534" s="77"/>
      <c r="AY534" s="77"/>
      <c r="AZ534" s="77"/>
      <c r="BA534" s="77"/>
      <c r="BB534" s="77"/>
      <c r="BC534" s="77"/>
      <c r="BD534" s="77"/>
      <c r="BE534" s="77"/>
      <c r="BF534" s="77"/>
      <c r="BG534" s="77"/>
      <c r="BH534" s="77"/>
      <c r="BI534" s="77"/>
      <c r="BJ534" s="77"/>
      <c r="BK534" s="77"/>
      <c r="BL534" s="77"/>
      <c r="BM534" s="77"/>
      <c r="BN534" s="77"/>
      <c r="BO534" s="77"/>
      <c r="BP534" s="77"/>
      <c r="BQ534" s="77"/>
      <c r="BR534" s="77"/>
      <c r="BS534" s="77"/>
      <c r="BT534" s="77"/>
      <c r="BU534" s="77"/>
      <c r="BV534" s="77"/>
      <c r="BW534" s="77"/>
      <c r="BX534" s="77"/>
      <c r="BY534" s="77"/>
      <c r="BZ534" s="77"/>
      <c r="CA534" s="77"/>
      <c r="CB534" s="77"/>
      <c r="CC534" s="77"/>
      <c r="CD534" s="77"/>
      <c r="CE534" s="77"/>
      <c r="CF534" s="77"/>
      <c r="CG534" s="77"/>
      <c r="CH534" s="77"/>
      <c r="CI534" s="77"/>
      <c r="CJ534" s="77"/>
      <c r="CK534" s="77"/>
      <c r="CL534" s="77"/>
      <c r="CM534" s="77"/>
      <c r="CN534" s="77"/>
      <c r="CO534" s="77"/>
      <c r="CP534" s="77"/>
      <c r="CQ534" s="77"/>
      <c r="CR534" s="77"/>
      <c r="CS534" s="77"/>
      <c r="CT534" s="77"/>
      <c r="CU534" s="77"/>
      <c r="CV534" s="77"/>
      <c r="CW534" s="77"/>
      <c r="CX534" s="77"/>
      <c r="CY534" s="77"/>
      <c r="CZ534" s="77"/>
      <c r="DA534" s="77"/>
      <c r="DB534" s="77"/>
      <c r="DC534" s="77"/>
      <c r="DD534" s="77"/>
      <c r="DE534" s="77"/>
      <c r="DF534" s="77"/>
      <c r="DG534" s="77"/>
      <c r="DH534" s="77"/>
      <c r="DI534" s="77"/>
      <c r="DJ534" s="77"/>
      <c r="DK534" s="77"/>
      <c r="DL534" s="77"/>
      <c r="DM534" s="77"/>
      <c r="DN534" s="77"/>
      <c r="DO534" s="77"/>
      <c r="DP534" s="77"/>
      <c r="DQ534" s="77"/>
      <c r="DR534" s="77"/>
      <c r="DS534" s="77"/>
      <c r="DT534" s="77"/>
      <c r="DU534" s="77"/>
      <c r="DV534" s="77"/>
      <c r="DW534" s="77"/>
      <c r="DX534" s="77"/>
      <c r="DY534" s="77"/>
      <c r="DZ534" s="77"/>
      <c r="EA534" s="77"/>
      <c r="EB534" s="77"/>
      <c r="EC534" s="77"/>
      <c r="ED534" s="77"/>
      <c r="EE534" s="77"/>
      <c r="EF534" s="77"/>
      <c r="EG534" s="77"/>
      <c r="EH534" s="77"/>
      <c r="EI534" s="77"/>
      <c r="EJ534" s="77"/>
      <c r="EK534" s="77"/>
      <c r="EL534" s="77"/>
      <c r="EM534" s="77"/>
      <c r="EN534" s="77"/>
      <c r="EO534" s="77"/>
      <c r="EP534" s="77"/>
      <c r="EQ534" s="77"/>
      <c r="ER534" s="77"/>
      <c r="ES534" s="77"/>
      <c r="ET534" s="77"/>
      <c r="EU534" s="77"/>
      <c r="EV534" s="77"/>
      <c r="EW534" s="77"/>
      <c r="EX534" s="77"/>
      <c r="EY534" s="77"/>
      <c r="EZ534" s="77"/>
      <c r="FA534" s="77"/>
      <c r="FB534" s="77"/>
      <c r="FC534" s="77"/>
      <c r="FD534" s="77"/>
      <c r="FE534" s="77"/>
      <c r="FF534" s="77"/>
      <c r="FG534" s="77"/>
      <c r="FH534" s="77"/>
      <c r="FI534" s="77"/>
      <c r="FJ534" s="77"/>
      <c r="FK534" s="77"/>
      <c r="FL534" s="77"/>
      <c r="FM534" s="77"/>
      <c r="FN534" s="77"/>
      <c r="FO534" s="77"/>
      <c r="FP534" s="77"/>
      <c r="FQ534" s="77"/>
      <c r="FR534" s="77"/>
      <c r="FS534" s="77"/>
      <c r="FT534" s="77"/>
      <c r="FU534" s="77"/>
      <c r="FV534" s="77"/>
      <c r="FW534" s="77"/>
      <c r="FX534" s="77"/>
      <c r="FY534" s="77"/>
      <c r="FZ534" s="77"/>
      <c r="GA534" s="77"/>
      <c r="GB534" s="77"/>
      <c r="GC534" s="77"/>
      <c r="GD534" s="77"/>
      <c r="GE534" s="77"/>
      <c r="GF534" s="77"/>
      <c r="GG534" s="77"/>
      <c r="GH534" s="77"/>
      <c r="GI534" s="77"/>
      <c r="GJ534" s="77"/>
      <c r="GK534" s="77"/>
      <c r="GL534" s="77"/>
      <c r="GM534" s="77"/>
      <c r="GN534" s="77"/>
      <c r="GO534" s="77"/>
      <c r="GP534" s="77"/>
      <c r="GQ534" s="77"/>
      <c r="GR534" s="77"/>
      <c r="GS534" s="77"/>
      <c r="GT534" s="77"/>
      <c r="GU534" s="77"/>
      <c r="GV534" s="77"/>
      <c r="GW534" s="77"/>
      <c r="GX534" s="77"/>
      <c r="GY534" s="77"/>
      <c r="GZ534" s="77"/>
      <c r="HA534" s="77"/>
      <c r="HB534" s="77"/>
      <c r="HC534" s="77"/>
      <c r="HD534" s="77"/>
      <c r="HE534" s="77"/>
      <c r="HF534" s="77"/>
      <c r="HG534" s="77"/>
      <c r="HH534" s="77"/>
      <c r="HI534" s="77"/>
      <c r="HJ534" s="77"/>
      <c r="HK534" s="77"/>
      <c r="HL534" s="77"/>
      <c r="HM534" s="77"/>
      <c r="HN534" s="77"/>
      <c r="HO534" s="77"/>
      <c r="HP534" s="77"/>
      <c r="HQ534" s="77"/>
      <c r="HR534" s="77"/>
      <c r="HS534" s="77"/>
      <c r="HT534" s="77"/>
      <c r="HU534" s="77"/>
      <c r="HV534" s="77"/>
      <c r="HW534" s="77"/>
      <c r="HX534" s="77"/>
      <c r="HY534" s="77"/>
      <c r="HZ534" s="77"/>
      <c r="IA534" s="77"/>
      <c r="IB534" s="77"/>
      <c r="IC534" s="77"/>
      <c r="ID534" s="77"/>
      <c r="IE534" s="77"/>
      <c r="IF534" s="77"/>
      <c r="IG534" s="77"/>
      <c r="IH534" s="77"/>
      <c r="II534" s="77"/>
      <c r="IJ534" s="77"/>
      <c r="IK534" s="77"/>
      <c r="IL534" s="77"/>
      <c r="IM534" s="77"/>
      <c r="IN534" s="77"/>
      <c r="IO534" s="77"/>
      <c r="IP534" s="77"/>
      <c r="IQ534" s="77"/>
      <c r="IR534" s="77"/>
      <c r="IS534" s="77"/>
      <c r="IT534" s="77"/>
      <c r="IU534" s="77"/>
      <c r="IV534" s="77"/>
      <c r="IW534" s="77"/>
      <c r="IX534" s="77"/>
      <c r="IY534" s="77"/>
      <c r="IZ534" s="77"/>
      <c r="JA534" s="77"/>
      <c r="JB534" s="77"/>
      <c r="JC534" s="77"/>
      <c r="JD534" s="77"/>
      <c r="JE534" s="77"/>
      <c r="JF534" s="77"/>
      <c r="JG534" s="77"/>
      <c r="JH534" s="77"/>
      <c r="JI534" s="77"/>
      <c r="JJ534" s="77"/>
      <c r="JK534" s="77"/>
      <c r="JL534" s="77"/>
      <c r="JM534" s="77"/>
      <c r="JN534" s="77"/>
      <c r="JO534" s="77"/>
      <c r="JP534" s="77"/>
      <c r="JQ534" s="77"/>
      <c r="JR534" s="77"/>
      <c r="JS534" s="77"/>
      <c r="JT534" s="77"/>
      <c r="JU534" s="77"/>
      <c r="JV534" s="77"/>
      <c r="JW534" s="77"/>
      <c r="JX534" s="77"/>
      <c r="JY534" s="77"/>
      <c r="JZ534" s="77"/>
      <c r="KA534" s="77"/>
      <c r="KB534" s="77"/>
      <c r="KC534" s="77"/>
      <c r="KD534" s="77"/>
      <c r="KE534" s="77"/>
      <c r="KF534" s="77"/>
      <c r="KG534" s="77"/>
      <c r="KH534" s="77"/>
      <c r="KI534" s="77"/>
      <c r="KJ534" s="77"/>
      <c r="KK534" s="77"/>
      <c r="KL534" s="77"/>
      <c r="KM534" s="77"/>
      <c r="KN534" s="77"/>
      <c r="KO534" s="77"/>
      <c r="KP534" s="77"/>
      <c r="KQ534" s="77"/>
      <c r="KR534" s="77"/>
      <c r="KS534" s="77"/>
      <c r="KT534" s="77"/>
      <c r="KU534" s="77"/>
      <c r="KV534" s="77"/>
      <c r="KW534" s="77"/>
      <c r="KX534" s="77"/>
      <c r="KY534" s="77"/>
      <c r="KZ534" s="77"/>
      <c r="LA534" s="77"/>
      <c r="LB534" s="77"/>
      <c r="LC534" s="77"/>
      <c r="LD534" s="77"/>
      <c r="LE534" s="77"/>
      <c r="LF534" s="77"/>
      <c r="LG534" s="77"/>
      <c r="LH534" s="77"/>
      <c r="LI534" s="77"/>
      <c r="LJ534" s="77"/>
      <c r="LK534" s="77"/>
      <c r="LL534" s="77"/>
      <c r="LM534" s="77"/>
      <c r="LN534" s="77"/>
      <c r="LO534" s="77"/>
      <c r="LP534" s="77"/>
      <c r="LQ534" s="77"/>
      <c r="LR534" s="77"/>
      <c r="LS534" s="77"/>
      <c r="LT534" s="77"/>
      <c r="LU534" s="77"/>
      <c r="LV534" s="77"/>
      <c r="LW534" s="77"/>
      <c r="LX534" s="77"/>
      <c r="LY534" s="77"/>
      <c r="LZ534" s="77"/>
      <c r="MA534" s="77"/>
      <c r="MB534" s="77"/>
      <c r="MC534" s="77"/>
      <c r="MD534" s="77"/>
      <c r="ME534" s="77"/>
      <c r="MF534" s="77"/>
      <c r="MG534" s="77"/>
      <c r="MH534" s="77"/>
      <c r="MI534" s="77"/>
      <c r="MJ534" s="77"/>
      <c r="MK534" s="77"/>
      <c r="ML534" s="77"/>
      <c r="MM534" s="77"/>
      <c r="MN534" s="77"/>
      <c r="MO534" s="77"/>
      <c r="MP534" s="77"/>
      <c r="MQ534" s="77"/>
      <c r="MR534" s="77"/>
      <c r="MS534" s="77"/>
      <c r="MT534" s="77"/>
      <c r="MU534" s="77"/>
      <c r="MV534" s="77"/>
      <c r="MW534" s="77"/>
      <c r="MX534" s="77"/>
      <c r="MY534" s="77"/>
      <c r="MZ534" s="77"/>
      <c r="NA534" s="77"/>
      <c r="NB534" s="77"/>
      <c r="NC534" s="77"/>
      <c r="ND534" s="77"/>
      <c r="NE534" s="77"/>
      <c r="NF534" s="77"/>
      <c r="NG534" s="77"/>
      <c r="NH534" s="77"/>
      <c r="NI534" s="77"/>
      <c r="NJ534" s="77"/>
      <c r="NK534" s="77"/>
      <c r="NL534" s="77"/>
      <c r="NM534" s="77"/>
      <c r="NN534" s="77"/>
      <c r="NO534" s="77"/>
      <c r="NP534" s="77"/>
      <c r="NQ534" s="77"/>
      <c r="NR534" s="77"/>
      <c r="NS534" s="77"/>
      <c r="NT534" s="77"/>
      <c r="NU534" s="77"/>
      <c r="NV534" s="77"/>
      <c r="NW534" s="77"/>
      <c r="NX534" s="77"/>
      <c r="NY534" s="77"/>
      <c r="NZ534" s="77"/>
      <c r="OA534" s="77"/>
      <c r="OB534" s="77"/>
      <c r="OC534" s="77"/>
      <c r="OD534" s="77"/>
      <c r="OE534" s="77"/>
      <c r="OF534" s="77"/>
      <c r="OG534" s="77"/>
      <c r="OH534" s="77"/>
      <c r="OI534" s="77"/>
      <c r="OJ534" s="77"/>
      <c r="OK534" s="77"/>
      <c r="OL534" s="77"/>
      <c r="OM534" s="77"/>
      <c r="ON534" s="77"/>
      <c r="OO534" s="77"/>
      <c r="OP534" s="77"/>
      <c r="OQ534" s="77"/>
      <c r="OR534" s="77"/>
      <c r="OS534" s="77"/>
      <c r="OT534" s="77"/>
      <c r="OU534" s="77"/>
      <c r="OV534" s="77"/>
      <c r="OW534" s="77"/>
      <c r="OX534" s="77"/>
      <c r="OY534" s="77"/>
      <c r="OZ534" s="77"/>
      <c r="PA534" s="77"/>
      <c r="PB534" s="77"/>
      <c r="PC534" s="77"/>
      <c r="PD534" s="77"/>
      <c r="PE534" s="77"/>
    </row>
    <row r="535" spans="1:421" s="21" customFormat="1" ht="18.600000000000001" customHeight="1" x14ac:dyDescent="0.25">
      <c r="A535" s="119" t="s">
        <v>180</v>
      </c>
      <c r="B535" s="27" t="s">
        <v>2887</v>
      </c>
      <c r="C535" s="27" t="s">
        <v>1274</v>
      </c>
      <c r="D535" s="30" t="str">
        <f>HYPERLINK("https://twitter.com/GovernmentGeo","https://twitter.com/GovernmentGeo")</f>
        <v>https://twitter.com/GovernmentGeo</v>
      </c>
      <c r="E535" s="30" t="str">
        <f>HYPERLINK("http://twiplomacy.com/info/asia/Georgia","http://twiplomacy.com/info/asia/Georgia")</f>
        <v>http://twiplomacy.com/info/asia/Georgia</v>
      </c>
      <c r="F535" s="10" t="s">
        <v>154</v>
      </c>
      <c r="G535" s="10" t="s">
        <v>178</v>
      </c>
      <c r="H535" s="10" t="s">
        <v>788</v>
      </c>
      <c r="I535" s="10" t="s">
        <v>782</v>
      </c>
      <c r="J535" s="27" t="s">
        <v>789</v>
      </c>
      <c r="K535" s="15" t="s">
        <v>777</v>
      </c>
      <c r="L535" s="10" t="s">
        <v>771</v>
      </c>
      <c r="M535" s="10" t="s">
        <v>770</v>
      </c>
      <c r="N535" s="30" t="str">
        <f>HYPERLINK("https://twitter.com/GovernmentGeo/statuses/407849984982151168","https://twitter.com/GovernmentGeo/statuses/407849984982151168")</f>
        <v>https://twitter.com/GovernmentGeo/statuses/407849984982151168</v>
      </c>
      <c r="O535" s="27" t="s">
        <v>5830</v>
      </c>
      <c r="P535" s="80">
        <v>20</v>
      </c>
      <c r="Q535" s="80">
        <v>0</v>
      </c>
      <c r="R535" s="27" t="s">
        <v>2995</v>
      </c>
      <c r="S535" s="10" t="s">
        <v>1275</v>
      </c>
      <c r="T535" s="10" t="s">
        <v>771</v>
      </c>
      <c r="U535" s="10" t="s">
        <v>771</v>
      </c>
      <c r="V535" s="10" t="s">
        <v>771</v>
      </c>
      <c r="W535" s="10"/>
      <c r="X535" s="27" t="s">
        <v>180</v>
      </c>
      <c r="Y535" s="27" t="s">
        <v>2887</v>
      </c>
      <c r="Z535" s="80">
        <v>579</v>
      </c>
      <c r="AA535" s="27">
        <v>38</v>
      </c>
      <c r="AB535" s="80">
        <v>4202</v>
      </c>
      <c r="AC535" s="27">
        <v>2</v>
      </c>
      <c r="AD535" s="27" t="s">
        <v>3753</v>
      </c>
      <c r="AE535" s="27">
        <v>2228188470</v>
      </c>
      <c r="AF535" s="27" t="s">
        <v>1274</v>
      </c>
      <c r="AG535" s="27"/>
      <c r="AH535" s="79">
        <v>0.65720771850170301</v>
      </c>
      <c r="AI535" s="83">
        <v>0.65795454545454501</v>
      </c>
      <c r="AJ535" s="80">
        <v>1.96518987341772</v>
      </c>
      <c r="AK535" s="80">
        <v>1.18354430379747</v>
      </c>
      <c r="AL535" s="27">
        <v>138</v>
      </c>
      <c r="AM535" s="97">
        <f>SUM(AL535/Z535)</f>
        <v>0.23834196891191708</v>
      </c>
      <c r="AN535" s="27" t="s">
        <v>180</v>
      </c>
      <c r="AO535" s="27">
        <v>3</v>
      </c>
      <c r="AP535" s="27">
        <v>9</v>
      </c>
      <c r="AQ535" s="27">
        <v>3</v>
      </c>
      <c r="AR535" s="27">
        <f>SUM(AO535:AQ535)</f>
        <v>15</v>
      </c>
      <c r="AS535" s="27" t="s">
        <v>5151</v>
      </c>
      <c r="AT535" s="27" t="s">
        <v>6738</v>
      </c>
      <c r="AU535" s="84" t="s">
        <v>4740</v>
      </c>
      <c r="AV535" s="77"/>
      <c r="AW535" s="77"/>
      <c r="AX535" s="77"/>
      <c r="AY535" s="77"/>
      <c r="AZ535" s="77"/>
      <c r="BA535" s="77"/>
      <c r="BB535" s="77"/>
      <c r="BC535" s="77"/>
      <c r="BD535" s="77"/>
      <c r="BE535" s="77"/>
      <c r="BF535" s="77"/>
      <c r="BG535" s="77"/>
      <c r="BH535" s="77"/>
      <c r="BI535" s="77"/>
      <c r="BJ535" s="77"/>
      <c r="BK535" s="77"/>
      <c r="BL535" s="77"/>
      <c r="BM535" s="77"/>
      <c r="BN535" s="77"/>
      <c r="BO535" s="77"/>
      <c r="BP535" s="77"/>
      <c r="BQ535" s="77"/>
      <c r="BR535" s="77"/>
      <c r="BS535" s="77"/>
      <c r="BT535" s="77"/>
      <c r="BU535" s="77"/>
      <c r="BV535" s="77"/>
      <c r="BW535" s="77"/>
      <c r="BX535" s="77"/>
      <c r="BY535" s="77"/>
      <c r="BZ535" s="77"/>
      <c r="CA535" s="77"/>
      <c r="CB535" s="77"/>
      <c r="CC535" s="77"/>
      <c r="CD535" s="77"/>
      <c r="CE535" s="77"/>
      <c r="CF535" s="77"/>
      <c r="CG535" s="77"/>
      <c r="CH535" s="77"/>
      <c r="CI535" s="77"/>
      <c r="CJ535" s="77"/>
      <c r="CK535" s="77"/>
      <c r="CL535" s="77"/>
      <c r="CM535" s="77"/>
      <c r="CN535" s="77"/>
      <c r="CO535" s="77"/>
      <c r="CP535" s="77"/>
      <c r="CQ535" s="77"/>
      <c r="CR535" s="77"/>
      <c r="CS535" s="77"/>
      <c r="CT535" s="77"/>
      <c r="CU535" s="77"/>
      <c r="CV535" s="77"/>
      <c r="CW535" s="77"/>
      <c r="CX535" s="77"/>
      <c r="CY535" s="77"/>
      <c r="CZ535" s="77"/>
      <c r="DA535" s="77"/>
      <c r="DB535" s="77"/>
      <c r="DC535" s="77"/>
      <c r="DD535" s="77"/>
      <c r="DE535" s="77"/>
      <c r="DF535" s="77"/>
      <c r="DG535" s="77"/>
      <c r="DH535" s="77"/>
      <c r="DI535" s="77"/>
      <c r="DJ535" s="77"/>
      <c r="DK535" s="77"/>
      <c r="DL535" s="77"/>
      <c r="DM535" s="77"/>
      <c r="DN535" s="77"/>
      <c r="DO535" s="77"/>
      <c r="DP535" s="77"/>
      <c r="DQ535" s="77"/>
      <c r="DR535" s="77"/>
      <c r="DS535" s="77"/>
      <c r="DT535" s="77"/>
      <c r="DU535" s="77"/>
      <c r="DV535" s="77"/>
      <c r="DW535" s="77"/>
      <c r="DX535" s="77"/>
      <c r="DY535" s="77"/>
      <c r="DZ535" s="77"/>
      <c r="EA535" s="77"/>
      <c r="EB535" s="77"/>
      <c r="EC535" s="77"/>
      <c r="ED535" s="77"/>
      <c r="EE535" s="77"/>
      <c r="EF535" s="77"/>
      <c r="EG535" s="77"/>
      <c r="EH535" s="77"/>
      <c r="EI535" s="77"/>
      <c r="EJ535" s="77"/>
      <c r="EK535" s="77"/>
      <c r="EL535" s="77"/>
      <c r="EM535" s="77"/>
      <c r="EN535" s="77"/>
      <c r="EO535" s="77"/>
      <c r="EP535" s="77"/>
      <c r="EQ535" s="16"/>
      <c r="ER535" s="77"/>
      <c r="ES535" s="77"/>
      <c r="ET535" s="77"/>
      <c r="EU535" s="77"/>
      <c r="EV535" s="77"/>
      <c r="EW535" s="77"/>
      <c r="EX535" s="77"/>
      <c r="EY535" s="77"/>
      <c r="EZ535" s="77"/>
      <c r="FA535" s="77"/>
      <c r="FB535" s="77"/>
      <c r="FC535" s="77"/>
      <c r="FD535" s="77"/>
      <c r="FE535" s="77"/>
      <c r="FF535" s="77"/>
      <c r="FG535" s="77"/>
      <c r="FH535" s="77"/>
      <c r="FI535" s="77"/>
      <c r="FJ535" s="77"/>
      <c r="FK535" s="77"/>
      <c r="FL535" s="77"/>
      <c r="FM535" s="77"/>
      <c r="FN535" s="77"/>
      <c r="FO535" s="77"/>
      <c r="FP535" s="77"/>
      <c r="FQ535" s="77"/>
      <c r="FR535" s="77"/>
      <c r="FS535" s="77"/>
      <c r="FT535" s="77"/>
      <c r="FU535" s="77"/>
      <c r="FV535" s="77"/>
      <c r="FW535" s="77"/>
      <c r="FX535" s="77"/>
      <c r="FY535" s="77"/>
      <c r="FZ535" s="77"/>
      <c r="GA535" s="77"/>
      <c r="GB535" s="77"/>
      <c r="GC535" s="77"/>
      <c r="GD535" s="77"/>
      <c r="GE535" s="77"/>
      <c r="GF535" s="77"/>
      <c r="GG535" s="77"/>
      <c r="GH535" s="77"/>
      <c r="GI535" s="77"/>
      <c r="GJ535" s="77"/>
      <c r="GK535" s="77"/>
      <c r="GL535" s="77"/>
      <c r="GM535" s="77"/>
      <c r="GN535" s="77"/>
      <c r="GO535" s="77"/>
      <c r="GP535" s="77"/>
      <c r="GQ535" s="77"/>
      <c r="GR535" s="77"/>
      <c r="GS535" s="77"/>
      <c r="GT535" s="77"/>
      <c r="GU535" s="77"/>
      <c r="GV535" s="77"/>
      <c r="GW535" s="77"/>
      <c r="GX535" s="77"/>
      <c r="GY535" s="77"/>
      <c r="GZ535" s="77"/>
      <c r="HA535" s="77"/>
      <c r="HB535" s="77"/>
      <c r="HC535" s="77"/>
      <c r="HD535" s="77"/>
      <c r="HE535" s="77"/>
      <c r="HF535" s="77"/>
      <c r="HG535" s="77"/>
      <c r="HH535" s="77"/>
      <c r="HI535" s="77"/>
      <c r="HJ535" s="77"/>
      <c r="HK535" s="77"/>
      <c r="HL535" s="77"/>
      <c r="HM535" s="77"/>
      <c r="HN535" s="77"/>
      <c r="HO535" s="77"/>
      <c r="HP535" s="77"/>
      <c r="HQ535" s="77"/>
      <c r="HR535" s="77"/>
      <c r="HS535" s="77"/>
      <c r="HT535" s="77"/>
      <c r="HU535" s="77"/>
      <c r="HV535" s="77"/>
      <c r="HW535" s="77"/>
      <c r="HX535" s="77"/>
      <c r="HY535" s="77"/>
      <c r="HZ535" s="77"/>
      <c r="IA535" s="77"/>
      <c r="IB535" s="77"/>
      <c r="IC535" s="77"/>
    </row>
    <row r="536" spans="1:421" s="21" customFormat="1" ht="18.600000000000001" customHeight="1" x14ac:dyDescent="0.25">
      <c r="A536" s="119" t="s">
        <v>1452</v>
      </c>
      <c r="B536" s="27" t="s">
        <v>1453</v>
      </c>
      <c r="C536" s="27" t="s">
        <v>1455</v>
      </c>
      <c r="D536" s="30" t="str">
        <f>HYPERLINK("https://twitter.com/OkmotKG","https://twitter.com/OkmotKG")</f>
        <v>https://twitter.com/OkmotKG</v>
      </c>
      <c r="E536" s="30" t="str">
        <f>HYPERLINK("http://twiplomacy.com/info/asia/Kyrgyzstan","http://twiplomacy.com/info/asia/Kyrgyzstan")</f>
        <v>http://twiplomacy.com/info/asia/Kyrgyzstan</v>
      </c>
      <c r="F536" s="10" t="s">
        <v>154</v>
      </c>
      <c r="G536" s="10" t="s">
        <v>233</v>
      </c>
      <c r="H536" s="10" t="s">
        <v>788</v>
      </c>
      <c r="I536" s="10" t="s">
        <v>782</v>
      </c>
      <c r="J536" s="27" t="s">
        <v>1420</v>
      </c>
      <c r="K536" s="15" t="s">
        <v>2121</v>
      </c>
      <c r="L536" s="10" t="s">
        <v>771</v>
      </c>
      <c r="M536" s="10" t="s">
        <v>770</v>
      </c>
      <c r="N536" s="30" t="s">
        <v>1454</v>
      </c>
      <c r="O536" s="27" t="s">
        <v>5996</v>
      </c>
      <c r="P536" s="80">
        <v>2</v>
      </c>
      <c r="Q536" s="80">
        <v>1</v>
      </c>
      <c r="R536" s="27" t="s">
        <v>2995</v>
      </c>
      <c r="S536" s="30" t="str">
        <f>HYPERLINK("https://twitter.com/OkmotKG/lists","https://twitter.com/OkmotKG/lists")</f>
        <v>https://twitter.com/OkmotKG/lists</v>
      </c>
      <c r="T536" s="10" t="s">
        <v>771</v>
      </c>
      <c r="U536" s="10" t="s">
        <v>771</v>
      </c>
      <c r="V536" s="10" t="s">
        <v>771</v>
      </c>
      <c r="W536" s="10"/>
      <c r="X536" s="27" t="s">
        <v>1452</v>
      </c>
      <c r="Y536" s="27" t="s">
        <v>1453</v>
      </c>
      <c r="Z536" s="80">
        <v>578</v>
      </c>
      <c r="AA536" s="27">
        <v>56</v>
      </c>
      <c r="AB536" s="80">
        <v>345</v>
      </c>
      <c r="AC536" s="27">
        <v>0</v>
      </c>
      <c r="AD536" s="27" t="s">
        <v>4208</v>
      </c>
      <c r="AE536" s="27">
        <v>2365272686</v>
      </c>
      <c r="AF536" s="27" t="s">
        <v>1455</v>
      </c>
      <c r="AG536" s="27"/>
      <c r="AH536" s="79">
        <v>0.72795969773299796</v>
      </c>
      <c r="AI536" s="83">
        <v>1.27312775330396</v>
      </c>
      <c r="AJ536" s="80">
        <v>5.89254766031196E-2</v>
      </c>
      <c r="AK536" s="80">
        <v>1.7331022530329299E-2</v>
      </c>
      <c r="AL536" s="13">
        <v>0</v>
      </c>
      <c r="AM536" s="97">
        <f>SUM(AL536/Z536)</f>
        <v>0</v>
      </c>
      <c r="AN536" s="27" t="s">
        <v>1452</v>
      </c>
      <c r="AO536" s="27">
        <v>1</v>
      </c>
      <c r="AP536" s="27">
        <v>1</v>
      </c>
      <c r="AQ536" s="27">
        <v>1</v>
      </c>
      <c r="AR536" s="27">
        <f>SUM(AO536:AQ536)</f>
        <v>3</v>
      </c>
      <c r="AS536" s="27" t="s">
        <v>234</v>
      </c>
      <c r="AT536" s="27" t="s">
        <v>705</v>
      </c>
      <c r="AU536" s="84" t="s">
        <v>235</v>
      </c>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X536" s="77"/>
      <c r="CY536" s="77"/>
      <c r="CZ536" s="77"/>
      <c r="DA536" s="77"/>
      <c r="DB536" s="77"/>
      <c r="DC536" s="77"/>
      <c r="DD536" s="77"/>
      <c r="DE536" s="77"/>
      <c r="DF536" s="77"/>
      <c r="DG536" s="77"/>
      <c r="DH536" s="77"/>
      <c r="DI536" s="77"/>
      <c r="DJ536" s="77"/>
      <c r="DK536" s="77"/>
      <c r="DL536" s="77"/>
      <c r="DM536" s="77"/>
      <c r="DN536" s="77"/>
      <c r="DO536" s="77"/>
      <c r="DP536" s="77"/>
      <c r="DQ536" s="77"/>
      <c r="DR536" s="77"/>
      <c r="DS536" s="77"/>
      <c r="DT536" s="77"/>
      <c r="DU536" s="77"/>
      <c r="DV536" s="77"/>
      <c r="DW536" s="77"/>
      <c r="DX536" s="77"/>
      <c r="DY536" s="77"/>
      <c r="DZ536" s="77"/>
      <c r="EA536" s="77"/>
      <c r="EB536" s="77"/>
      <c r="EC536" s="77"/>
      <c r="ED536" s="77"/>
      <c r="EE536" s="77"/>
      <c r="EF536" s="77"/>
      <c r="EG536" s="77"/>
      <c r="EH536" s="77"/>
      <c r="EI536" s="77"/>
      <c r="EJ536" s="77"/>
      <c r="EK536" s="77"/>
      <c r="EL536" s="77"/>
      <c r="EM536" s="77"/>
      <c r="EN536" s="77"/>
      <c r="EO536" s="77"/>
      <c r="EP536" s="77"/>
      <c r="ER536" s="77"/>
      <c r="ES536" s="77"/>
      <c r="ET536" s="77"/>
      <c r="EU536" s="77"/>
      <c r="EV536" s="77"/>
      <c r="EW536" s="77"/>
      <c r="EX536" s="77"/>
      <c r="EY536" s="77"/>
      <c r="EZ536" s="77"/>
      <c r="FA536" s="77"/>
      <c r="FB536" s="77"/>
      <c r="FC536" s="77"/>
      <c r="FD536" s="77"/>
      <c r="FE536" s="77"/>
      <c r="FF536" s="77"/>
      <c r="FG536" s="77"/>
      <c r="FH536" s="77"/>
      <c r="FI536" s="77"/>
      <c r="FJ536" s="77"/>
      <c r="FK536" s="77"/>
      <c r="FL536" s="77"/>
      <c r="FM536" s="77"/>
      <c r="FN536" s="77"/>
      <c r="FO536" s="77"/>
      <c r="FP536" s="77"/>
      <c r="FQ536" s="77"/>
      <c r="FR536" s="77"/>
      <c r="FS536" s="77"/>
      <c r="FT536" s="77"/>
      <c r="FU536" s="77"/>
      <c r="FV536" s="77"/>
      <c r="FW536" s="77"/>
      <c r="FX536" s="77"/>
      <c r="FY536" s="77"/>
      <c r="FZ536" s="77"/>
      <c r="GA536" s="77"/>
      <c r="GB536" s="77"/>
      <c r="GC536" s="77"/>
      <c r="GD536" s="77"/>
      <c r="GE536" s="77"/>
      <c r="GF536" s="77"/>
      <c r="GG536" s="77"/>
      <c r="GH536" s="77"/>
      <c r="GI536" s="77"/>
      <c r="GJ536" s="77"/>
      <c r="GK536" s="77"/>
      <c r="GL536" s="77"/>
      <c r="GM536" s="77"/>
      <c r="GN536" s="77"/>
      <c r="GO536" s="77"/>
      <c r="GP536" s="77"/>
      <c r="GQ536" s="77"/>
      <c r="GR536" s="77"/>
      <c r="GS536" s="77"/>
      <c r="GT536" s="77"/>
      <c r="GU536" s="77"/>
      <c r="GV536" s="77"/>
      <c r="GW536" s="77"/>
      <c r="GX536" s="77"/>
      <c r="GY536" s="77"/>
      <c r="GZ536" s="77"/>
      <c r="HA536" s="77"/>
      <c r="HB536" s="77"/>
      <c r="HC536" s="77"/>
      <c r="HD536" s="77"/>
      <c r="HE536" s="77"/>
      <c r="HF536" s="77"/>
      <c r="HG536" s="77"/>
      <c r="HH536" s="77"/>
      <c r="HI536" s="77"/>
      <c r="HJ536" s="77"/>
      <c r="HK536" s="77"/>
      <c r="HL536" s="77"/>
      <c r="HM536" s="77"/>
      <c r="HN536" s="77"/>
      <c r="HO536" s="77"/>
      <c r="HP536" s="77"/>
      <c r="HQ536" s="77"/>
      <c r="HR536" s="77"/>
      <c r="HS536" s="77"/>
      <c r="HT536" s="77"/>
      <c r="HU536" s="77"/>
      <c r="HV536" s="77"/>
      <c r="HW536" s="77"/>
      <c r="HX536" s="77"/>
      <c r="HY536" s="77"/>
      <c r="HZ536" s="77"/>
      <c r="IA536" s="77"/>
      <c r="IB536" s="77"/>
      <c r="IC536" s="77"/>
      <c r="IF536" s="77"/>
      <c r="IG536" s="77"/>
      <c r="IH536" s="77"/>
      <c r="II536" s="77"/>
      <c r="IJ536" s="77"/>
      <c r="IK536" s="77"/>
      <c r="IL536" s="77"/>
      <c r="IM536" s="77"/>
      <c r="IN536" s="77"/>
      <c r="IO536" s="77"/>
      <c r="IP536" s="77"/>
      <c r="IQ536" s="77"/>
      <c r="IR536" s="77"/>
      <c r="IS536" s="77"/>
      <c r="IT536" s="77"/>
      <c r="IU536" s="77"/>
      <c r="IV536" s="77"/>
      <c r="IW536" s="77"/>
      <c r="IX536" s="77"/>
      <c r="IY536" s="77"/>
      <c r="IZ536" s="77"/>
      <c r="JA536" s="77"/>
      <c r="JB536" s="77"/>
      <c r="JC536" s="77"/>
      <c r="JD536" s="77"/>
      <c r="JE536" s="77"/>
      <c r="JF536" s="77"/>
      <c r="JG536" s="77"/>
      <c r="JH536" s="77"/>
      <c r="JI536" s="77"/>
      <c r="JJ536" s="77"/>
      <c r="JK536" s="77"/>
      <c r="JL536" s="77"/>
      <c r="JM536" s="77"/>
      <c r="JN536" s="77"/>
      <c r="JO536" s="77"/>
      <c r="JP536" s="77"/>
      <c r="JQ536" s="77"/>
      <c r="JR536" s="77"/>
      <c r="JS536" s="77"/>
      <c r="JT536" s="77"/>
      <c r="JU536" s="77"/>
      <c r="JV536" s="77"/>
      <c r="JW536" s="77"/>
      <c r="JX536" s="77"/>
      <c r="KM536" s="77"/>
      <c r="KN536" s="77"/>
      <c r="KO536" s="77"/>
      <c r="KP536" s="77"/>
      <c r="KQ536" s="77"/>
      <c r="KR536" s="77"/>
      <c r="KS536" s="77"/>
      <c r="KT536" s="77"/>
      <c r="KU536" s="77"/>
      <c r="KV536" s="77"/>
      <c r="KW536" s="77"/>
      <c r="KX536" s="77"/>
      <c r="KY536" s="77"/>
      <c r="KZ536" s="77"/>
      <c r="LA536" s="77"/>
      <c r="LB536" s="77"/>
      <c r="LC536" s="77"/>
      <c r="LD536" s="77"/>
      <c r="LE536" s="77"/>
      <c r="LF536" s="77"/>
      <c r="LG536" s="77"/>
      <c r="LH536" s="77"/>
      <c r="LI536" s="77"/>
      <c r="LJ536" s="77"/>
      <c r="LK536" s="77"/>
      <c r="MS536" s="77"/>
    </row>
    <row r="537" spans="1:421" s="21" customFormat="1" ht="18.600000000000001" customHeight="1" x14ac:dyDescent="0.25">
      <c r="A537" s="119" t="s">
        <v>1329</v>
      </c>
      <c r="B537" s="27" t="s">
        <v>1330</v>
      </c>
      <c r="C537" s="27" t="s">
        <v>1331</v>
      </c>
      <c r="D537" s="30" t="str">
        <f>HYPERLINK("https://twitter.com/Khamenei_es","https://twitter.com/Khamenei_es")</f>
        <v>https://twitter.com/Khamenei_es</v>
      </c>
      <c r="E537" s="30" t="str">
        <f>HYPERLINK("http://twiplomacy.com/info/asia/Iran","http://twiplomacy.com/info/asia/Iran")</f>
        <v>http://twiplomacy.com/info/asia/Iran</v>
      </c>
      <c r="F537" s="10" t="s">
        <v>154</v>
      </c>
      <c r="G537" s="10" t="s">
        <v>194</v>
      </c>
      <c r="H537" s="10" t="s">
        <v>1313</v>
      </c>
      <c r="I537" s="10" t="s">
        <v>773</v>
      </c>
      <c r="J537" s="27" t="s">
        <v>789</v>
      </c>
      <c r="K537" s="10" t="s">
        <v>777</v>
      </c>
      <c r="L537" s="10" t="s">
        <v>771</v>
      </c>
      <c r="M537" s="10" t="s">
        <v>770</v>
      </c>
      <c r="N537" s="30" t="str">
        <f>HYPERLINK("https://twitter.com/Khamenei_es/status/554259848544940032","https://twitter.com/Khamenei_es/status/554259848544940032")</f>
        <v>https://twitter.com/Khamenei_es/status/554259848544940032</v>
      </c>
      <c r="O537" s="27" t="s">
        <v>5900</v>
      </c>
      <c r="P537" s="80">
        <v>163</v>
      </c>
      <c r="Q537" s="80">
        <v>126</v>
      </c>
      <c r="R537" s="27" t="s">
        <v>2995</v>
      </c>
      <c r="S537" s="30" t="str">
        <f>HYPERLINK("https://twitter.com/Khamenei_es/lists","https://twitter.com/Khamenei_es/lists")</f>
        <v>https://twitter.com/Khamenei_es/lists</v>
      </c>
      <c r="T537" s="10" t="s">
        <v>771</v>
      </c>
      <c r="U537" s="10" t="s">
        <v>771</v>
      </c>
      <c r="V537" s="10" t="s">
        <v>771</v>
      </c>
      <c r="W537" s="10"/>
      <c r="X537" s="27" t="s">
        <v>1329</v>
      </c>
      <c r="Y537" s="27" t="s">
        <v>1330</v>
      </c>
      <c r="Z537" s="80">
        <v>568</v>
      </c>
      <c r="AA537" s="27">
        <v>4</v>
      </c>
      <c r="AB537" s="80">
        <v>9199</v>
      </c>
      <c r="AC537" s="27">
        <v>0</v>
      </c>
      <c r="AD537" s="27" t="s">
        <v>3934</v>
      </c>
      <c r="AE537" s="27">
        <v>2870782718</v>
      </c>
      <c r="AF537" s="27" t="s">
        <v>1331</v>
      </c>
      <c r="AG537" s="27" t="s">
        <v>1332</v>
      </c>
      <c r="AH537" s="79">
        <v>1.01792114695341</v>
      </c>
      <c r="AI537" s="83">
        <v>1.1907756813417201</v>
      </c>
      <c r="AJ537" s="80">
        <v>6.4850088183421501</v>
      </c>
      <c r="AK537" s="80">
        <v>11.3192239858907</v>
      </c>
      <c r="AL537" s="13">
        <v>0</v>
      </c>
      <c r="AM537" s="97">
        <f>SUM(AL537/Z537)</f>
        <v>0</v>
      </c>
      <c r="AN537" s="27" t="s">
        <v>1329</v>
      </c>
      <c r="AO537" s="27">
        <v>0</v>
      </c>
      <c r="AP537" s="27">
        <v>1</v>
      </c>
      <c r="AQ537" s="27">
        <v>3</v>
      </c>
      <c r="AR537" s="27">
        <f>SUM(AO537:AQ537)</f>
        <v>4</v>
      </c>
      <c r="AS537" s="27"/>
      <c r="AT537" s="27" t="s">
        <v>198</v>
      </c>
      <c r="AU537" s="84" t="s">
        <v>4795</v>
      </c>
      <c r="AV537" s="77"/>
      <c r="AW537" s="77"/>
      <c r="AX537" s="77"/>
      <c r="AY537" s="77"/>
      <c r="AZ537" s="77"/>
      <c r="BA537" s="77"/>
      <c r="BB537" s="77"/>
      <c r="BC537" s="77"/>
      <c r="BD537" s="77"/>
      <c r="BE537" s="77"/>
      <c r="BF537" s="77"/>
      <c r="BG537" s="77"/>
      <c r="BH537" s="77"/>
      <c r="BI537" s="77"/>
      <c r="BJ537" s="77"/>
      <c r="BK537" s="77"/>
      <c r="BL537" s="77"/>
      <c r="BM537" s="77"/>
      <c r="BN537" s="77"/>
      <c r="BO537" s="77"/>
      <c r="BP537" s="77"/>
      <c r="BQ537" s="77"/>
      <c r="BR537" s="77"/>
      <c r="BS537" s="77"/>
      <c r="BT537" s="77"/>
      <c r="BU537" s="77"/>
      <c r="BV537" s="77"/>
      <c r="BW537" s="77"/>
      <c r="BX537" s="77"/>
      <c r="BY537" s="77"/>
      <c r="BZ537" s="77"/>
      <c r="CA537" s="77"/>
      <c r="CB537" s="77"/>
      <c r="CC537" s="77"/>
      <c r="CD537" s="77"/>
      <c r="CE537" s="77"/>
      <c r="CF537" s="77"/>
      <c r="CG537" s="77"/>
      <c r="CH537" s="77"/>
      <c r="CI537" s="77"/>
      <c r="CJ537" s="77"/>
      <c r="CK537" s="77"/>
      <c r="CL537" s="77"/>
      <c r="CM537" s="77"/>
      <c r="CN537" s="77"/>
      <c r="CO537" s="77"/>
      <c r="CP537" s="77"/>
      <c r="CQ537" s="77"/>
      <c r="CR537" s="77"/>
      <c r="CS537" s="77"/>
      <c r="CT537" s="77"/>
      <c r="CU537" s="77"/>
      <c r="CV537" s="77"/>
      <c r="CW537" s="77"/>
      <c r="CX537" s="77"/>
      <c r="CY537" s="77"/>
      <c r="CZ537" s="77"/>
      <c r="DA537" s="77"/>
      <c r="DB537" s="77"/>
      <c r="DC537" s="77"/>
      <c r="DD537" s="77"/>
      <c r="DE537" s="77"/>
      <c r="DF537" s="77"/>
      <c r="DG537" s="77"/>
      <c r="DH537" s="77"/>
      <c r="DI537" s="77"/>
      <c r="DJ537" s="77"/>
      <c r="DK537" s="77"/>
      <c r="DL537" s="77"/>
      <c r="DM537" s="77"/>
      <c r="DN537" s="77"/>
      <c r="DO537" s="77"/>
      <c r="DP537" s="77"/>
      <c r="DQ537" s="77"/>
      <c r="DR537" s="77"/>
      <c r="DS537" s="77"/>
      <c r="DT537" s="77"/>
      <c r="DU537" s="77"/>
      <c r="DV537" s="77"/>
      <c r="DW537" s="77"/>
      <c r="DX537" s="77"/>
      <c r="DY537" s="77"/>
      <c r="DZ537" s="77"/>
      <c r="EA537" s="77"/>
      <c r="EB537" s="77"/>
      <c r="EC537" s="77"/>
      <c r="ED537" s="77"/>
      <c r="EE537" s="77"/>
      <c r="EF537" s="77"/>
      <c r="EG537" s="77"/>
      <c r="EH537" s="77"/>
      <c r="EI537" s="77"/>
      <c r="EJ537" s="77"/>
      <c r="EK537" s="77"/>
      <c r="EL537" s="77"/>
      <c r="EM537" s="77"/>
      <c r="EN537" s="77"/>
      <c r="EO537" s="77"/>
      <c r="EP537" s="77"/>
      <c r="ER537" s="77"/>
      <c r="ES537" s="77"/>
      <c r="ET537" s="77"/>
      <c r="EU537" s="77"/>
      <c r="EV537" s="77"/>
      <c r="EW537" s="77"/>
      <c r="EX537" s="77"/>
      <c r="EY537" s="77"/>
      <c r="EZ537" s="77"/>
      <c r="FA537" s="77"/>
      <c r="FB537" s="77"/>
      <c r="FC537" s="77"/>
      <c r="FD537" s="77"/>
      <c r="FE537" s="77"/>
      <c r="FF537" s="77"/>
      <c r="FG537" s="77"/>
      <c r="FH537" s="77"/>
      <c r="FI537" s="77"/>
      <c r="FJ537" s="77"/>
      <c r="FK537" s="77"/>
      <c r="FL537" s="77"/>
      <c r="FM537" s="77"/>
      <c r="FN537" s="77"/>
      <c r="FO537" s="77"/>
      <c r="FP537" s="77"/>
      <c r="FQ537" s="77"/>
      <c r="FR537" s="77"/>
      <c r="FS537" s="77"/>
      <c r="FT537" s="77"/>
      <c r="FU537" s="77"/>
      <c r="FV537" s="77"/>
      <c r="FW537" s="77"/>
      <c r="FX537" s="77"/>
      <c r="FY537" s="77"/>
      <c r="FZ537" s="77"/>
      <c r="GA537" s="77"/>
      <c r="GB537" s="77"/>
      <c r="GC537" s="77"/>
      <c r="GD537" s="77"/>
      <c r="GE537" s="77"/>
      <c r="GF537" s="77"/>
      <c r="GG537" s="77"/>
      <c r="GH537" s="77"/>
      <c r="GI537" s="77"/>
      <c r="GJ537" s="77"/>
      <c r="GK537" s="77"/>
      <c r="GL537" s="77"/>
      <c r="GM537" s="77"/>
      <c r="GN537" s="77"/>
      <c r="GO537" s="77"/>
      <c r="GP537" s="77"/>
      <c r="GQ537" s="77"/>
      <c r="GR537" s="77"/>
      <c r="GS537" s="77"/>
      <c r="GT537" s="77"/>
      <c r="GU537" s="77"/>
      <c r="GV537" s="77"/>
      <c r="GW537" s="77"/>
      <c r="GX537" s="77"/>
      <c r="GY537" s="77"/>
      <c r="GZ537" s="77"/>
      <c r="HA537" s="77"/>
      <c r="HB537" s="77"/>
      <c r="HC537" s="77"/>
      <c r="HD537" s="77"/>
      <c r="HE537" s="77"/>
      <c r="HF537" s="77"/>
      <c r="HG537" s="77"/>
      <c r="HH537" s="77"/>
      <c r="HI537" s="77"/>
      <c r="HJ537" s="77"/>
      <c r="HK537" s="77"/>
      <c r="IF537" s="77"/>
      <c r="IG537" s="77"/>
      <c r="IH537" s="77"/>
      <c r="II537" s="77"/>
      <c r="IJ537" s="77"/>
      <c r="IK537" s="77"/>
      <c r="IL537" s="77"/>
      <c r="IM537" s="77"/>
      <c r="IN537" s="77"/>
      <c r="IO537" s="77"/>
      <c r="IP537" s="77"/>
      <c r="IQ537" s="77"/>
      <c r="IR537" s="77"/>
      <c r="IS537" s="77"/>
      <c r="IT537" s="77"/>
      <c r="IU537" s="77"/>
      <c r="IV537" s="77"/>
      <c r="IW537" s="77"/>
      <c r="IX537" s="77"/>
      <c r="IY537" s="77"/>
      <c r="IZ537" s="77"/>
      <c r="JA537" s="77"/>
      <c r="JB537" s="77"/>
      <c r="JC537" s="77"/>
      <c r="JD537" s="77"/>
      <c r="JE537" s="77"/>
      <c r="JF537" s="77"/>
      <c r="JG537" s="77"/>
      <c r="JH537" s="77"/>
      <c r="JI537" s="77"/>
      <c r="JJ537" s="77"/>
      <c r="JK537" s="77"/>
      <c r="JL537" s="77"/>
      <c r="JM537" s="77"/>
      <c r="JN537" s="77"/>
      <c r="JO537" s="77"/>
      <c r="JP537" s="77"/>
      <c r="JQ537" s="77"/>
      <c r="JR537" s="77"/>
      <c r="JS537" s="77"/>
      <c r="JT537" s="77"/>
      <c r="JU537" s="77"/>
      <c r="JV537" s="77"/>
      <c r="JW537" s="77"/>
      <c r="JX537" s="77"/>
      <c r="JY537" s="77"/>
      <c r="JZ537" s="77"/>
      <c r="KA537" s="77"/>
      <c r="KB537" s="77"/>
      <c r="KC537" s="77"/>
      <c r="KD537" s="77"/>
      <c r="KE537" s="77"/>
      <c r="KF537" s="77"/>
      <c r="KG537" s="77"/>
      <c r="KH537" s="77"/>
      <c r="KI537" s="77"/>
      <c r="KJ537" s="77"/>
      <c r="KK537" s="77"/>
      <c r="KL537" s="77"/>
      <c r="KM537" s="77"/>
      <c r="KN537" s="77"/>
      <c r="KO537" s="77"/>
      <c r="KP537" s="77"/>
      <c r="KQ537" s="77"/>
      <c r="KR537" s="77"/>
      <c r="KS537" s="77"/>
      <c r="KT537" s="77"/>
      <c r="KU537" s="77"/>
      <c r="KV537" s="77"/>
      <c r="KW537" s="77"/>
      <c r="KX537" s="77"/>
      <c r="KY537" s="77"/>
      <c r="KZ537" s="77"/>
      <c r="LA537" s="77"/>
      <c r="LB537" s="77"/>
      <c r="LC537" s="77"/>
      <c r="LD537" s="77"/>
      <c r="LE537" s="77"/>
      <c r="LF537" s="77"/>
      <c r="LG537" s="77"/>
      <c r="LH537" s="77"/>
      <c r="LI537" s="77"/>
      <c r="LJ537" s="77"/>
      <c r="LK537" s="77"/>
      <c r="LL537" s="77"/>
      <c r="LM537" s="77"/>
      <c r="LN537" s="77"/>
      <c r="LO537" s="77"/>
      <c r="LP537" s="77"/>
      <c r="LQ537" s="77"/>
      <c r="LR537" s="77"/>
      <c r="LS537" s="77"/>
      <c r="LT537" s="77"/>
      <c r="LU537" s="77"/>
      <c r="LV537" s="77"/>
      <c r="LW537" s="77"/>
      <c r="LX537" s="77"/>
      <c r="LY537" s="77"/>
      <c r="LZ537" s="77"/>
      <c r="MA537" s="77"/>
      <c r="MB537" s="77"/>
      <c r="MC537" s="77"/>
      <c r="MD537" s="77"/>
      <c r="ME537" s="77"/>
      <c r="MF537" s="77"/>
      <c r="MG537" s="77"/>
      <c r="MH537" s="77"/>
      <c r="MI537" s="77"/>
      <c r="MJ537" s="77"/>
      <c r="MK537" s="77"/>
      <c r="ML537" s="77"/>
      <c r="MM537" s="77"/>
      <c r="MN537" s="77"/>
      <c r="MO537" s="77"/>
      <c r="MP537" s="77"/>
      <c r="MQ537" s="77"/>
      <c r="MR537" s="77"/>
      <c r="MS537" s="77"/>
      <c r="MT537" s="77"/>
      <c r="MU537" s="77"/>
      <c r="MV537" s="77"/>
      <c r="MW537" s="77"/>
      <c r="MX537" s="77"/>
      <c r="MY537" s="77"/>
      <c r="MZ537" s="77"/>
      <c r="NA537" s="77"/>
      <c r="NB537" s="77"/>
      <c r="NC537" s="77"/>
    </row>
    <row r="538" spans="1:421" s="21" customFormat="1" ht="18.600000000000001" customHeight="1" x14ac:dyDescent="0.25">
      <c r="A538" s="119" t="s">
        <v>375</v>
      </c>
      <c r="B538" s="27" t="s">
        <v>1810</v>
      </c>
      <c r="C538" s="27" t="s">
        <v>3967</v>
      </c>
      <c r="D538" s="30" t="str">
        <f>HYPERLINK("https://twitter.com/larsloekke","https://twitter.com/larsloekke")</f>
        <v>https://twitter.com/larsloekke</v>
      </c>
      <c r="E538" s="30" t="str">
        <f>HYPERLINK("http://twiplomacy.com/info/europe/Denmark","http://twiplomacy.com/info/europe/Denmark")</f>
        <v>http://twiplomacy.com/info/europe/Denmark</v>
      </c>
      <c r="F538" s="10" t="s">
        <v>332</v>
      </c>
      <c r="G538" s="10" t="s">
        <v>374</v>
      </c>
      <c r="H538" s="10" t="s">
        <v>776</v>
      </c>
      <c r="I538" s="10" t="s">
        <v>773</v>
      </c>
      <c r="J538" s="27" t="s">
        <v>789</v>
      </c>
      <c r="K538" s="15" t="s">
        <v>777</v>
      </c>
      <c r="L538" s="10"/>
      <c r="M538" s="10" t="s">
        <v>770</v>
      </c>
      <c r="N538" s="10" t="s">
        <v>3113</v>
      </c>
      <c r="O538" s="27" t="s">
        <v>3167</v>
      </c>
      <c r="P538" s="80">
        <v>318</v>
      </c>
      <c r="Q538" s="80">
        <v>308</v>
      </c>
      <c r="R538" s="27" t="s">
        <v>2994</v>
      </c>
      <c r="S538" s="12" t="s">
        <v>1811</v>
      </c>
      <c r="T538" s="10" t="s">
        <v>771</v>
      </c>
      <c r="U538" s="10" t="s">
        <v>771</v>
      </c>
      <c r="V538" s="10" t="s">
        <v>771</v>
      </c>
      <c r="W538" s="10"/>
      <c r="X538" s="27" t="s">
        <v>375</v>
      </c>
      <c r="Y538" s="27" t="s">
        <v>1810</v>
      </c>
      <c r="Z538" s="80">
        <v>568</v>
      </c>
      <c r="AA538" s="27">
        <v>283</v>
      </c>
      <c r="AB538" s="80">
        <v>69509</v>
      </c>
      <c r="AC538" s="27">
        <v>222</v>
      </c>
      <c r="AD538" s="27" t="s">
        <v>3968</v>
      </c>
      <c r="AE538" s="27">
        <v>26201346</v>
      </c>
      <c r="AF538" s="27" t="s">
        <v>3967</v>
      </c>
      <c r="AG538" s="27" t="s">
        <v>1817</v>
      </c>
      <c r="AH538" s="79">
        <v>0.21879815100154101</v>
      </c>
      <c r="AI538" s="83">
        <v>0.690157958687728</v>
      </c>
      <c r="AJ538" s="80">
        <v>10.9658314350797</v>
      </c>
      <c r="AK538" s="80">
        <v>24.619589977221001</v>
      </c>
      <c r="AL538" s="27">
        <v>249</v>
      </c>
      <c r="AM538" s="97">
        <f>SUM(AL538/Z538)</f>
        <v>0.43838028169014087</v>
      </c>
      <c r="AN538" s="27" t="s">
        <v>375</v>
      </c>
      <c r="AO538" s="27">
        <v>6</v>
      </c>
      <c r="AP538" s="27">
        <v>9</v>
      </c>
      <c r="AQ538" s="27">
        <v>3</v>
      </c>
      <c r="AR538" s="27">
        <f>SUM(AO538:AQ538)</f>
        <v>18</v>
      </c>
      <c r="AS538" s="27" t="s">
        <v>5250</v>
      </c>
      <c r="AT538" s="27" t="s">
        <v>6307</v>
      </c>
      <c r="AU538" s="84" t="s">
        <v>4803</v>
      </c>
      <c r="AV538" s="77"/>
      <c r="AW538" s="77"/>
      <c r="AX538" s="77"/>
      <c r="AY538" s="77"/>
      <c r="AZ538" s="77"/>
      <c r="BA538" s="77"/>
      <c r="BB538" s="77"/>
      <c r="BC538" s="77"/>
      <c r="BD538" s="77"/>
      <c r="BE538" s="77"/>
      <c r="BF538" s="77"/>
      <c r="BG538" s="77"/>
      <c r="BH538" s="77"/>
      <c r="BI538" s="77"/>
      <c r="BJ538" s="77"/>
      <c r="BK538" s="77"/>
      <c r="BL538" s="77"/>
      <c r="BM538" s="77"/>
      <c r="BN538" s="16"/>
      <c r="BO538" s="16"/>
      <c r="BP538" s="16"/>
      <c r="CC538" s="77"/>
      <c r="CD538" s="77"/>
      <c r="CE538" s="77"/>
      <c r="CF538" s="77"/>
      <c r="CG538" s="77"/>
      <c r="CH538" s="77"/>
      <c r="CI538" s="77"/>
      <c r="CJ538" s="77"/>
      <c r="CK538" s="77"/>
      <c r="CL538" s="77"/>
      <c r="CM538" s="77"/>
      <c r="CN538" s="77"/>
      <c r="CO538" s="77"/>
      <c r="CP538" s="77"/>
      <c r="CQ538" s="77"/>
      <c r="CR538" s="77"/>
      <c r="CS538" s="77"/>
      <c r="CT538" s="77"/>
      <c r="CU538" s="77"/>
      <c r="CV538" s="77"/>
      <c r="CW538" s="77"/>
      <c r="CX538" s="77"/>
      <c r="CY538" s="77"/>
      <c r="CZ538" s="77"/>
      <c r="DA538" s="77"/>
      <c r="DB538" s="77"/>
      <c r="DC538" s="77"/>
      <c r="DD538" s="77"/>
      <c r="DE538" s="77"/>
      <c r="DF538" s="77"/>
      <c r="DG538" s="77"/>
      <c r="DH538" s="77"/>
      <c r="DI538" s="77"/>
      <c r="DJ538" s="77"/>
      <c r="DK538" s="77"/>
      <c r="DL538" s="77"/>
      <c r="DM538" s="77"/>
      <c r="DN538" s="77"/>
      <c r="DO538" s="77"/>
      <c r="DP538" s="77"/>
      <c r="DQ538" s="77"/>
      <c r="DR538" s="77"/>
      <c r="DS538" s="77"/>
      <c r="DT538" s="77"/>
      <c r="DU538" s="77"/>
      <c r="DV538" s="77"/>
      <c r="DW538" s="77"/>
      <c r="DX538" s="77"/>
      <c r="DY538" s="77"/>
      <c r="DZ538" s="77"/>
      <c r="EA538" s="77"/>
      <c r="EB538" s="77"/>
      <c r="EC538" s="77"/>
      <c r="ED538" s="77"/>
      <c r="EE538" s="77"/>
      <c r="EF538" s="77"/>
      <c r="EG538" s="77"/>
      <c r="EH538" s="77"/>
      <c r="EI538" s="77"/>
      <c r="EJ538" s="77"/>
      <c r="EK538" s="77"/>
      <c r="EL538" s="77"/>
      <c r="EM538" s="77"/>
      <c r="EN538" s="77"/>
      <c r="EO538" s="77"/>
      <c r="EP538" s="77"/>
      <c r="EQ538" s="77"/>
      <c r="ER538" s="77"/>
      <c r="ES538" s="77"/>
      <c r="ET538" s="77"/>
      <c r="EU538" s="77"/>
      <c r="EV538" s="77"/>
      <c r="EW538" s="77"/>
      <c r="EX538" s="77"/>
      <c r="EY538" s="77"/>
      <c r="EZ538" s="77"/>
      <c r="FA538" s="77"/>
      <c r="FB538" s="77"/>
      <c r="FC538" s="77"/>
      <c r="FD538" s="77"/>
      <c r="FE538" s="77"/>
      <c r="FF538" s="77"/>
      <c r="FG538" s="77"/>
      <c r="FH538" s="77"/>
      <c r="FI538" s="77"/>
      <c r="FJ538" s="77"/>
      <c r="FK538" s="77"/>
      <c r="FL538" s="77"/>
      <c r="FM538" s="77"/>
      <c r="FN538" s="77"/>
      <c r="FO538" s="77"/>
      <c r="FP538" s="77"/>
      <c r="FQ538" s="77"/>
      <c r="FR538" s="77"/>
      <c r="FS538" s="77"/>
      <c r="FT538" s="77"/>
      <c r="FU538" s="77"/>
      <c r="FV538" s="77"/>
      <c r="FW538" s="77"/>
      <c r="FX538" s="77"/>
      <c r="FY538" s="77"/>
      <c r="FZ538" s="77"/>
      <c r="GA538" s="77"/>
      <c r="GB538" s="77"/>
      <c r="GC538" s="77"/>
      <c r="GD538" s="77"/>
      <c r="GE538" s="77"/>
      <c r="GF538" s="77"/>
      <c r="GG538" s="77"/>
      <c r="GH538" s="77"/>
      <c r="GI538" s="77"/>
      <c r="GJ538" s="77"/>
      <c r="GK538" s="77"/>
      <c r="GL538" s="77"/>
      <c r="GM538" s="77"/>
      <c r="GN538" s="77"/>
      <c r="GO538" s="77"/>
      <c r="GP538" s="77"/>
      <c r="GQ538" s="77"/>
      <c r="GR538" s="77"/>
      <c r="GS538" s="77"/>
      <c r="GT538" s="77"/>
      <c r="GU538" s="77"/>
      <c r="GV538" s="77"/>
      <c r="GW538" s="77"/>
      <c r="GX538" s="77"/>
      <c r="GY538" s="77"/>
      <c r="GZ538" s="77"/>
      <c r="HA538" s="77"/>
      <c r="HB538" s="77"/>
      <c r="HC538" s="77"/>
      <c r="HD538" s="77"/>
      <c r="HE538" s="77"/>
      <c r="HF538" s="77"/>
      <c r="HG538" s="77"/>
      <c r="HH538" s="77"/>
      <c r="HI538" s="77"/>
      <c r="HJ538" s="77"/>
      <c r="HK538" s="77"/>
      <c r="ID538" s="77"/>
      <c r="IE538" s="77"/>
      <c r="LY538" s="16"/>
      <c r="LZ538" s="16"/>
      <c r="MA538" s="16"/>
      <c r="MB538" s="16"/>
      <c r="MC538" s="16"/>
      <c r="MD538" s="16"/>
      <c r="ME538" s="16"/>
      <c r="MF538" s="16"/>
      <c r="MG538" s="16"/>
      <c r="MH538" s="16"/>
      <c r="MI538" s="16"/>
      <c r="MJ538" s="16"/>
      <c r="MK538" s="16"/>
      <c r="ML538" s="16"/>
      <c r="MM538" s="16"/>
      <c r="MN538" s="16"/>
      <c r="MO538" s="16"/>
      <c r="MP538" s="16"/>
      <c r="MQ538" s="16"/>
      <c r="MR538" s="16"/>
    </row>
    <row r="539" spans="1:421" s="21" customFormat="1" ht="18.600000000000001" customHeight="1" x14ac:dyDescent="0.25">
      <c r="A539" s="119" t="s">
        <v>1539</v>
      </c>
      <c r="B539" s="27" t="s">
        <v>1540</v>
      </c>
      <c r="C539" s="27" t="s">
        <v>6389</v>
      </c>
      <c r="D539" s="30" t="str">
        <f>HYPERLINK("https://twitter.com/ForeignOfficePk","https://twitter.com/ForeignOfficePk")</f>
        <v>https://twitter.com/ForeignOfficePk</v>
      </c>
      <c r="E539" s="30" t="str">
        <f>HYPERLINK("http://twiplomacy.com/info/asia/Pakistan","http://twiplomacy.com/info/asia/Pakistan")</f>
        <v>http://twiplomacy.com/info/asia/Pakistan</v>
      </c>
      <c r="F539" s="10" t="s">
        <v>154</v>
      </c>
      <c r="G539" s="10" t="s">
        <v>265</v>
      </c>
      <c r="H539" s="10" t="s">
        <v>795</v>
      </c>
      <c r="I539" s="10" t="s">
        <v>782</v>
      </c>
      <c r="J539" s="27" t="s">
        <v>789</v>
      </c>
      <c r="K539" s="15" t="s">
        <v>777</v>
      </c>
      <c r="L539" s="10" t="s">
        <v>771</v>
      </c>
      <c r="M539" s="10" t="s">
        <v>770</v>
      </c>
      <c r="N539" s="30" t="s">
        <v>1541</v>
      </c>
      <c r="O539" s="27" t="s">
        <v>5770</v>
      </c>
      <c r="P539" s="80">
        <v>120</v>
      </c>
      <c r="Q539" s="80">
        <v>59</v>
      </c>
      <c r="R539" s="27" t="s">
        <v>2995</v>
      </c>
      <c r="S539" s="30" t="str">
        <f>HYPERLINK("https://twitter.com/ForeignOfficePk/lists","https://twitter.com/ForeignOfficePk/lists")</f>
        <v>https://twitter.com/ForeignOfficePk/lists</v>
      </c>
      <c r="T539" s="10" t="s">
        <v>771</v>
      </c>
      <c r="U539" s="10" t="s">
        <v>771</v>
      </c>
      <c r="V539" s="10" t="s">
        <v>771</v>
      </c>
      <c r="W539" s="10"/>
      <c r="X539" s="27" t="s">
        <v>1539</v>
      </c>
      <c r="Y539" s="27" t="s">
        <v>1540</v>
      </c>
      <c r="Z539" s="80">
        <v>559</v>
      </c>
      <c r="AA539" s="27">
        <v>71</v>
      </c>
      <c r="AB539" s="80">
        <v>28405</v>
      </c>
      <c r="AC539" s="27">
        <v>12</v>
      </c>
      <c r="AD539" s="27" t="s">
        <v>3698</v>
      </c>
      <c r="AE539" s="27">
        <v>314479335</v>
      </c>
      <c r="AF539" s="27" t="s">
        <v>6389</v>
      </c>
      <c r="AG539" s="27" t="s">
        <v>265</v>
      </c>
      <c r="AH539" s="79">
        <v>0.312639821029083</v>
      </c>
      <c r="AI539" s="83">
        <v>0.79656160458452696</v>
      </c>
      <c r="AJ539" s="80">
        <v>15.4430379746835</v>
      </c>
      <c r="AK539" s="80">
        <v>12.875226039783</v>
      </c>
      <c r="AL539" s="27">
        <v>55</v>
      </c>
      <c r="AM539" s="97">
        <f>SUM(AL539/Z539)</f>
        <v>9.838998211091235E-2</v>
      </c>
      <c r="AN539" s="27" t="s">
        <v>1539</v>
      </c>
      <c r="AO539" s="27">
        <v>3</v>
      </c>
      <c r="AP539" s="27">
        <v>31</v>
      </c>
      <c r="AQ539" s="27">
        <v>3</v>
      </c>
      <c r="AR539" s="27">
        <f>SUM(AO539:AQ539)</f>
        <v>37</v>
      </c>
      <c r="AS539" s="27" t="s">
        <v>5122</v>
      </c>
      <c r="AT539" s="27" t="s">
        <v>5123</v>
      </c>
      <c r="AU539" s="84" t="s">
        <v>4721</v>
      </c>
      <c r="AV539" s="77"/>
      <c r="AW539" s="77"/>
      <c r="AX539" s="77"/>
      <c r="AY539" s="77"/>
      <c r="AZ539" s="77"/>
      <c r="BA539" s="77"/>
      <c r="BB539" s="77"/>
      <c r="BC539" s="77"/>
      <c r="BD539" s="77"/>
      <c r="BE539" s="77"/>
      <c r="BF539" s="77"/>
      <c r="BG539" s="77"/>
      <c r="BH539" s="77"/>
      <c r="BI539" s="77"/>
      <c r="BJ539" s="77"/>
      <c r="BK539" s="77"/>
      <c r="BL539" s="77"/>
      <c r="BM539" s="77"/>
      <c r="BN539" s="77"/>
      <c r="BO539" s="77"/>
      <c r="BP539" s="77"/>
      <c r="BQ539" s="71"/>
      <c r="BR539" s="71"/>
      <c r="BS539" s="71"/>
      <c r="BT539" s="71"/>
      <c r="BU539" s="71"/>
      <c r="BV539" s="71"/>
      <c r="BW539" s="71"/>
      <c r="BX539" s="71"/>
      <c r="BY539" s="71"/>
      <c r="BZ539" s="71"/>
      <c r="CA539" s="71"/>
      <c r="CB539" s="71"/>
      <c r="CC539" s="77"/>
      <c r="CD539" s="77"/>
      <c r="CE539" s="77"/>
      <c r="CF539" s="77"/>
      <c r="CG539" s="77"/>
      <c r="CH539" s="77"/>
      <c r="CI539" s="77"/>
      <c r="CJ539" s="77"/>
      <c r="CK539" s="77"/>
      <c r="CL539" s="77"/>
      <c r="CM539" s="77"/>
      <c r="CN539" s="77"/>
      <c r="CO539" s="77"/>
      <c r="CP539" s="77"/>
      <c r="CQ539" s="77"/>
      <c r="CR539" s="77"/>
      <c r="CS539" s="77"/>
      <c r="CT539" s="77"/>
      <c r="CU539" s="77"/>
      <c r="CV539" s="77"/>
      <c r="CW539" s="77"/>
      <c r="CX539" s="77"/>
      <c r="CY539" s="77"/>
      <c r="CZ539" s="77"/>
      <c r="DA539" s="77"/>
      <c r="DB539" s="77"/>
      <c r="DC539" s="77"/>
      <c r="DD539" s="77"/>
      <c r="DE539" s="77"/>
      <c r="DF539" s="77"/>
      <c r="DG539" s="77"/>
      <c r="DH539" s="77"/>
      <c r="DI539" s="77"/>
      <c r="DJ539" s="77"/>
      <c r="DK539" s="77"/>
      <c r="DL539" s="77"/>
      <c r="DM539" s="77"/>
      <c r="DN539" s="77"/>
      <c r="DO539" s="77"/>
      <c r="DP539" s="77"/>
      <c r="DQ539" s="77"/>
      <c r="DR539" s="77"/>
      <c r="DS539" s="77"/>
      <c r="DT539" s="77"/>
      <c r="DU539" s="77"/>
      <c r="DV539" s="77"/>
      <c r="DW539" s="77"/>
      <c r="DX539" s="77"/>
      <c r="DY539" s="77"/>
      <c r="DZ539" s="77"/>
      <c r="EA539" s="77"/>
      <c r="EB539" s="77"/>
      <c r="EC539" s="77"/>
      <c r="ED539" s="77"/>
      <c r="EE539" s="77"/>
      <c r="EF539" s="77"/>
      <c r="EG539" s="77"/>
      <c r="EH539" s="77"/>
      <c r="EI539" s="77"/>
      <c r="EJ539" s="77"/>
      <c r="EK539" s="77"/>
      <c r="EL539" s="77"/>
      <c r="EM539" s="77"/>
      <c r="EN539" s="77"/>
      <c r="EO539" s="77"/>
      <c r="EP539" s="77"/>
      <c r="EQ539" s="77"/>
      <c r="ER539" s="77"/>
      <c r="ES539" s="77"/>
      <c r="ET539" s="77"/>
      <c r="EU539" s="77"/>
      <c r="EV539" s="77"/>
      <c r="EW539" s="77"/>
      <c r="EX539" s="77"/>
      <c r="EY539" s="77"/>
      <c r="EZ539" s="77"/>
      <c r="FA539" s="77"/>
      <c r="FB539" s="77"/>
      <c r="FC539" s="77"/>
      <c r="FD539" s="77"/>
      <c r="FE539" s="77"/>
      <c r="FF539" s="77"/>
      <c r="FG539" s="77"/>
      <c r="FH539" s="77"/>
      <c r="FI539" s="77"/>
      <c r="FJ539" s="77"/>
      <c r="FK539" s="77"/>
      <c r="FL539" s="77"/>
      <c r="FM539" s="77"/>
      <c r="FN539" s="77"/>
      <c r="FO539" s="77"/>
      <c r="FP539" s="77"/>
      <c r="FQ539" s="77"/>
      <c r="FR539" s="77"/>
      <c r="FS539" s="77"/>
      <c r="FT539" s="77"/>
      <c r="FU539" s="77"/>
      <c r="FV539" s="77"/>
      <c r="FW539" s="77"/>
      <c r="FX539" s="77"/>
      <c r="FY539" s="77"/>
      <c r="FZ539" s="77"/>
      <c r="GA539" s="77"/>
      <c r="GB539" s="77"/>
      <c r="GC539" s="77"/>
      <c r="GD539" s="77"/>
      <c r="GE539" s="77"/>
      <c r="GF539" s="77"/>
      <c r="GG539" s="77"/>
      <c r="GH539" s="77"/>
      <c r="GI539" s="77"/>
      <c r="GJ539" s="77"/>
      <c r="GK539" s="77"/>
      <c r="GL539" s="77"/>
      <c r="GM539" s="77"/>
      <c r="GN539" s="77"/>
      <c r="GO539" s="77"/>
      <c r="GP539" s="77"/>
      <c r="GQ539" s="77"/>
      <c r="GR539" s="77"/>
      <c r="GS539" s="77"/>
      <c r="GT539" s="77"/>
      <c r="GU539" s="77"/>
      <c r="GV539" s="77"/>
      <c r="GW539" s="77"/>
      <c r="GX539" s="77"/>
      <c r="GY539" s="77"/>
      <c r="GZ539" s="77"/>
      <c r="HA539" s="77"/>
      <c r="HB539" s="77"/>
      <c r="HC539" s="77"/>
      <c r="HD539" s="77"/>
      <c r="HE539" s="77"/>
      <c r="HF539" s="77"/>
      <c r="HG539" s="77"/>
      <c r="HH539" s="77"/>
      <c r="HI539" s="77"/>
      <c r="HJ539" s="77"/>
      <c r="HK539" s="77"/>
      <c r="HL539" s="77"/>
      <c r="HM539" s="77"/>
      <c r="HN539" s="77"/>
      <c r="HO539" s="77"/>
      <c r="HP539" s="77"/>
      <c r="HQ539" s="77"/>
      <c r="HR539" s="77"/>
      <c r="HS539" s="77"/>
      <c r="HT539" s="77"/>
      <c r="HU539" s="77"/>
      <c r="HV539" s="77"/>
      <c r="HW539" s="77"/>
      <c r="HX539" s="77"/>
      <c r="HY539" s="77"/>
      <c r="HZ539" s="77"/>
      <c r="IA539" s="77"/>
      <c r="IB539" s="77"/>
      <c r="IC539" s="77"/>
      <c r="ID539" s="77"/>
      <c r="IE539" s="77"/>
      <c r="JY539" s="77"/>
      <c r="JZ539" s="77"/>
      <c r="KA539" s="77"/>
      <c r="KB539" s="77"/>
      <c r="KC539" s="77"/>
      <c r="KD539" s="77"/>
      <c r="KE539" s="77"/>
      <c r="KF539" s="77"/>
      <c r="KG539" s="77"/>
      <c r="KH539" s="77"/>
      <c r="KI539" s="77"/>
      <c r="KJ539" s="77"/>
      <c r="KK539" s="77"/>
      <c r="KL539" s="77"/>
      <c r="LL539" s="77"/>
      <c r="LM539" s="77"/>
      <c r="LN539" s="77"/>
      <c r="LO539" s="77"/>
      <c r="LP539" s="77"/>
      <c r="LQ539" s="77"/>
      <c r="LR539" s="77"/>
      <c r="LS539" s="77"/>
      <c r="LT539" s="77"/>
      <c r="LU539" s="77"/>
      <c r="LV539" s="77"/>
      <c r="LW539" s="77"/>
      <c r="LX539" s="77"/>
      <c r="LY539" s="77"/>
      <c r="LZ539" s="77"/>
      <c r="MA539" s="77"/>
      <c r="MB539" s="77"/>
      <c r="MC539" s="77"/>
      <c r="MD539" s="77"/>
      <c r="ME539" s="77"/>
      <c r="MF539" s="77"/>
      <c r="MG539" s="77"/>
      <c r="MH539" s="77"/>
      <c r="MI539" s="77"/>
      <c r="MJ539" s="77"/>
      <c r="MK539" s="77"/>
      <c r="ML539" s="77"/>
      <c r="MM539" s="77"/>
      <c r="MN539" s="77"/>
      <c r="MO539" s="77"/>
      <c r="MP539" s="77"/>
      <c r="MQ539" s="77"/>
      <c r="MR539" s="77"/>
      <c r="MS539" s="77"/>
      <c r="ND539" s="77"/>
    </row>
    <row r="540" spans="1:421" s="21" customFormat="1" ht="18.600000000000001" customHeight="1" x14ac:dyDescent="0.25">
      <c r="A540" s="119" t="s">
        <v>1908</v>
      </c>
      <c r="B540" s="27" t="s">
        <v>1909</v>
      </c>
      <c r="C540" s="27" t="s">
        <v>1910</v>
      </c>
      <c r="D540" s="30" t="str">
        <f>HYPERLINK("https://twitter.com/French_Gov","https://twitter.com/French_Gov")</f>
        <v>https://twitter.com/French_Gov</v>
      </c>
      <c r="E540" s="30" t="str">
        <f>HYPERLINK("http://twiplomacy.com/info/europe/France","http://twiplomacy.com/info/europe/France")</f>
        <v>http://twiplomacy.com/info/europe/France</v>
      </c>
      <c r="F540" s="10" t="s">
        <v>332</v>
      </c>
      <c r="G540" s="10" t="s">
        <v>395</v>
      </c>
      <c r="H540" s="10" t="s">
        <v>788</v>
      </c>
      <c r="I540" s="10" t="s">
        <v>782</v>
      </c>
      <c r="J540" s="27" t="s">
        <v>779</v>
      </c>
      <c r="K540" s="10" t="s">
        <v>777</v>
      </c>
      <c r="L540" s="10" t="s">
        <v>771</v>
      </c>
      <c r="M540" s="10" t="s">
        <v>770</v>
      </c>
      <c r="N540" s="30" t="str">
        <f>HYPERLINK("https://twitter.com/French_Gov/status/546973620275531776","https://twitter.com/French_Gov/status/546973620275531776")</f>
        <v>https://twitter.com/French_Gov/status/546973620275531776</v>
      </c>
      <c r="O540" s="27" t="s">
        <v>5778</v>
      </c>
      <c r="P540" s="80">
        <v>588</v>
      </c>
      <c r="Q540" s="80">
        <v>297</v>
      </c>
      <c r="R540" s="27" t="s">
        <v>2994</v>
      </c>
      <c r="S540" s="30" t="str">
        <f>HYPERLINK("https://twitter.com/French_Gov/lists","https://twitter.com/French_Gov/lists")</f>
        <v>https://twitter.com/French_Gov/lists</v>
      </c>
      <c r="T540" s="10" t="s">
        <v>771</v>
      </c>
      <c r="U540" s="10" t="s">
        <v>771</v>
      </c>
      <c r="V540" s="10" t="s">
        <v>771</v>
      </c>
      <c r="W540" s="10"/>
      <c r="X540" s="27" t="s">
        <v>1908</v>
      </c>
      <c r="Y540" s="27" t="s">
        <v>1909</v>
      </c>
      <c r="Z540" s="80">
        <v>556</v>
      </c>
      <c r="AA540" s="27">
        <v>81</v>
      </c>
      <c r="AB540" s="80">
        <v>7002</v>
      </c>
      <c r="AC540" s="27">
        <v>9</v>
      </c>
      <c r="AD540" s="27" t="s">
        <v>3712</v>
      </c>
      <c r="AE540" s="27">
        <v>2902364734</v>
      </c>
      <c r="AF540" s="27" t="s">
        <v>1910</v>
      </c>
      <c r="AG540" s="27" t="s">
        <v>1897</v>
      </c>
      <c r="AH540" s="79">
        <v>1.07543520309478</v>
      </c>
      <c r="AI540" s="83">
        <v>1.12121212121212</v>
      </c>
      <c r="AJ540" s="80">
        <v>39.732142857142897</v>
      </c>
      <c r="AK540" s="80">
        <v>24.0107142857143</v>
      </c>
      <c r="AL540" s="27">
        <v>4</v>
      </c>
      <c r="AM540" s="97">
        <f>SUM(AL540/Z540)</f>
        <v>7.1942446043165471E-3</v>
      </c>
      <c r="AN540" s="27" t="s">
        <v>1908</v>
      </c>
      <c r="AO540" s="27">
        <v>8</v>
      </c>
      <c r="AP540" s="27">
        <v>10</v>
      </c>
      <c r="AQ540" s="27">
        <v>4</v>
      </c>
      <c r="AR540" s="27">
        <f>SUM(AO540:AQ540)</f>
        <v>22</v>
      </c>
      <c r="AS540" s="27" t="s">
        <v>5131</v>
      </c>
      <c r="AT540" s="27" t="s">
        <v>6728</v>
      </c>
      <c r="AU540" s="84" t="s">
        <v>4728</v>
      </c>
      <c r="AV540" s="77"/>
      <c r="AW540" s="77"/>
      <c r="AX540" s="77"/>
      <c r="AY540" s="77"/>
      <c r="AZ540" s="77"/>
      <c r="BA540" s="77"/>
      <c r="BB540" s="77"/>
      <c r="BC540" s="77"/>
      <c r="BD540" s="77"/>
      <c r="BE540" s="77"/>
      <c r="BF540" s="77"/>
      <c r="BG540" s="77"/>
      <c r="BH540" s="77"/>
      <c r="BI540" s="77"/>
      <c r="BJ540" s="77"/>
      <c r="BK540" s="77"/>
      <c r="BL540" s="77"/>
      <c r="BM540" s="77"/>
      <c r="BN540" s="77"/>
      <c r="BO540" s="77"/>
      <c r="BP540" s="77"/>
      <c r="BQ540" s="77"/>
      <c r="BR540" s="77"/>
      <c r="BS540" s="77"/>
      <c r="BT540" s="77"/>
      <c r="BU540" s="77"/>
      <c r="BV540" s="77"/>
      <c r="BW540" s="77"/>
      <c r="BX540" s="77"/>
      <c r="BY540" s="77"/>
      <c r="BZ540" s="77"/>
      <c r="CA540" s="77"/>
      <c r="CB540" s="77"/>
      <c r="CC540" s="77"/>
      <c r="CD540" s="77"/>
      <c r="CE540" s="77"/>
      <c r="CF540" s="77"/>
      <c r="CG540" s="77"/>
      <c r="CH540" s="77"/>
      <c r="CI540" s="77"/>
      <c r="CJ540" s="77"/>
      <c r="CK540" s="77"/>
      <c r="CL540" s="77"/>
      <c r="CM540" s="77"/>
      <c r="CN540" s="77"/>
      <c r="CO540" s="77"/>
      <c r="CP540" s="77"/>
      <c r="CQ540" s="77"/>
      <c r="CR540" s="77"/>
      <c r="CS540" s="77"/>
      <c r="CT540" s="77"/>
      <c r="CU540" s="77"/>
      <c r="CV540" s="77"/>
      <c r="CW540" s="77"/>
      <c r="CX540" s="77"/>
      <c r="CY540" s="77"/>
      <c r="CZ540" s="77"/>
      <c r="DA540" s="77"/>
      <c r="DB540" s="77"/>
      <c r="DC540" s="77"/>
      <c r="DD540" s="77"/>
      <c r="DE540" s="77"/>
      <c r="DF540" s="77"/>
      <c r="DG540" s="77"/>
      <c r="DH540" s="77"/>
      <c r="DI540" s="77"/>
      <c r="DJ540" s="77"/>
      <c r="DK540" s="77"/>
      <c r="DL540" s="77"/>
      <c r="DM540" s="77"/>
      <c r="DN540" s="77"/>
      <c r="DO540" s="77"/>
      <c r="DP540" s="77"/>
      <c r="DQ540" s="77"/>
      <c r="DR540" s="77"/>
      <c r="DS540" s="77"/>
      <c r="DT540" s="77"/>
      <c r="DU540" s="77"/>
      <c r="DV540" s="77"/>
      <c r="DW540" s="77"/>
      <c r="DX540" s="77"/>
      <c r="DY540" s="77"/>
      <c r="DZ540" s="77"/>
      <c r="EA540" s="77"/>
      <c r="EB540" s="77"/>
      <c r="EC540" s="77"/>
      <c r="ED540" s="77"/>
      <c r="EE540" s="77"/>
      <c r="EF540" s="77"/>
      <c r="EG540" s="77"/>
      <c r="EH540" s="77"/>
      <c r="EI540" s="77"/>
      <c r="EJ540" s="77"/>
      <c r="EK540" s="77"/>
      <c r="EL540" s="77"/>
      <c r="EP540" s="77"/>
      <c r="EQ540" s="77"/>
      <c r="GL540" s="77"/>
      <c r="GM540" s="77"/>
      <c r="GN540" s="77"/>
      <c r="GO540" s="77"/>
      <c r="GP540" s="77"/>
      <c r="GQ540" s="77"/>
      <c r="GR540" s="77"/>
      <c r="GS540" s="77"/>
      <c r="GT540" s="77"/>
      <c r="GU540" s="77"/>
      <c r="GV540" s="77"/>
      <c r="GW540" s="77"/>
      <c r="GX540" s="77"/>
      <c r="GY540" s="77"/>
      <c r="GZ540" s="77"/>
      <c r="HA540" s="77"/>
      <c r="HB540" s="77"/>
      <c r="HC540" s="77"/>
      <c r="HD540" s="77"/>
      <c r="HE540" s="77"/>
      <c r="HF540" s="77"/>
      <c r="HG540" s="77"/>
      <c r="HH540" s="77"/>
      <c r="HI540" s="77"/>
      <c r="HJ540" s="77"/>
      <c r="HK540" s="77"/>
      <c r="IF540" s="77"/>
      <c r="IG540" s="77"/>
      <c r="IH540" s="77"/>
      <c r="II540" s="77"/>
      <c r="IJ540" s="77"/>
      <c r="IK540" s="77"/>
      <c r="IL540" s="77"/>
      <c r="IM540" s="77"/>
      <c r="IN540" s="77"/>
      <c r="IO540" s="77"/>
      <c r="IP540" s="77"/>
      <c r="IQ540" s="77"/>
      <c r="IR540" s="77"/>
      <c r="IS540" s="77"/>
      <c r="IT540" s="77"/>
      <c r="IU540" s="77"/>
      <c r="IV540" s="77"/>
      <c r="IW540" s="77"/>
      <c r="IX540" s="77"/>
      <c r="IY540" s="77"/>
      <c r="IZ540" s="77"/>
      <c r="JA540" s="77"/>
      <c r="JB540" s="77"/>
      <c r="JC540" s="77"/>
      <c r="JD540" s="77"/>
      <c r="JE540" s="77"/>
      <c r="JF540" s="77"/>
      <c r="JG540" s="77"/>
      <c r="JH540" s="77"/>
      <c r="JI540" s="77"/>
      <c r="JJ540" s="77"/>
      <c r="JK540" s="77"/>
      <c r="JL540" s="77"/>
      <c r="JM540" s="77"/>
      <c r="JN540" s="77"/>
      <c r="JO540" s="77"/>
      <c r="JP540" s="77"/>
      <c r="JQ540" s="77"/>
      <c r="JR540" s="77"/>
      <c r="JS540" s="77"/>
      <c r="JT540" s="77"/>
      <c r="JU540" s="77"/>
      <c r="JV540" s="77"/>
      <c r="JW540" s="77"/>
      <c r="JX540" s="77"/>
      <c r="JY540" s="77"/>
      <c r="JZ540" s="77"/>
      <c r="KA540" s="77"/>
      <c r="KB540" s="77"/>
      <c r="KC540" s="77"/>
      <c r="KD540" s="77"/>
      <c r="KE540" s="77"/>
      <c r="KF540" s="77"/>
      <c r="KG540" s="77"/>
      <c r="KH540" s="77"/>
      <c r="KI540" s="77"/>
      <c r="KJ540" s="77"/>
      <c r="KK540" s="77"/>
      <c r="KL540" s="77"/>
      <c r="KM540" s="77"/>
      <c r="KN540" s="77"/>
      <c r="KO540" s="77"/>
      <c r="KP540" s="77"/>
      <c r="KQ540" s="77"/>
      <c r="KR540" s="77"/>
      <c r="KS540" s="77"/>
      <c r="KT540" s="77"/>
      <c r="KU540" s="77"/>
      <c r="KV540" s="77"/>
      <c r="KW540" s="77"/>
      <c r="KX540" s="77"/>
      <c r="KY540" s="77"/>
      <c r="KZ540" s="77"/>
      <c r="LA540" s="77"/>
      <c r="LB540" s="77"/>
      <c r="LC540" s="77"/>
      <c r="LD540" s="77"/>
      <c r="LE540" s="77"/>
      <c r="LF540" s="77"/>
      <c r="LG540" s="77"/>
      <c r="LH540" s="77"/>
      <c r="LI540" s="77"/>
      <c r="LJ540" s="77"/>
      <c r="LK540" s="77"/>
      <c r="LL540" s="77"/>
      <c r="LM540" s="77"/>
      <c r="LN540" s="77"/>
      <c r="LO540" s="77"/>
      <c r="LP540" s="77"/>
      <c r="LQ540" s="77"/>
      <c r="LR540" s="77"/>
      <c r="LS540" s="77"/>
      <c r="LT540" s="77"/>
      <c r="LU540" s="77"/>
      <c r="LV540" s="77"/>
      <c r="LY540" s="77"/>
      <c r="LZ540" s="77"/>
      <c r="MA540" s="77"/>
      <c r="MB540" s="77"/>
      <c r="MC540" s="77"/>
      <c r="MD540" s="77"/>
      <c r="ME540" s="77"/>
      <c r="MF540" s="77"/>
      <c r="MG540" s="77"/>
      <c r="MH540" s="77"/>
      <c r="MI540" s="77"/>
      <c r="MJ540" s="77"/>
      <c r="MK540" s="77"/>
      <c r="ML540" s="77"/>
      <c r="MM540" s="77"/>
      <c r="MN540" s="77"/>
      <c r="MO540" s="77"/>
      <c r="MP540" s="77"/>
      <c r="MQ540" s="77"/>
      <c r="MR540" s="77"/>
      <c r="ND540" s="77"/>
    </row>
    <row r="541" spans="1:421" s="59" customFormat="1" ht="18.600000000000001" customHeight="1" x14ac:dyDescent="0.25">
      <c r="A541" s="119" t="s">
        <v>84</v>
      </c>
      <c r="B541" s="27" t="s">
        <v>990</v>
      </c>
      <c r="C541" s="27" t="s">
        <v>6365</v>
      </c>
      <c r="D541" s="30" t="str">
        <f>HYPERLINK("https://twitter.com/AbdoulayeDiop8","https://twitter.com/AbdoulayeDiop8")</f>
        <v>https://twitter.com/AbdoulayeDiop8</v>
      </c>
      <c r="E541" s="30" t="s">
        <v>989</v>
      </c>
      <c r="F541" s="10" t="s">
        <v>1</v>
      </c>
      <c r="G541" s="10" t="s">
        <v>80</v>
      </c>
      <c r="H541" s="10" t="s">
        <v>860</v>
      </c>
      <c r="I541" s="10" t="s">
        <v>773</v>
      </c>
      <c r="J541" s="27" t="s">
        <v>779</v>
      </c>
      <c r="K541" s="15" t="s">
        <v>777</v>
      </c>
      <c r="L541" s="15"/>
      <c r="M541" s="10" t="s">
        <v>771</v>
      </c>
      <c r="N541" s="30" t="str">
        <f>HYPERLINK("https://twitter.com/AbdoulayeDiop8/status/141991785420423168","https://twitter.com/AbdoulayeDiop8/status/141991785420423168")</f>
        <v>https://twitter.com/AbdoulayeDiop8/status/141991785420423168</v>
      </c>
      <c r="O541" s="27" t="s">
        <v>5667</v>
      </c>
      <c r="P541" s="80">
        <v>94</v>
      </c>
      <c r="Q541" s="80">
        <v>49</v>
      </c>
      <c r="R541" s="27" t="s">
        <v>2995</v>
      </c>
      <c r="S541" s="30" t="str">
        <f>HYPERLINK("https://twitter.com/AbdoulayeDiop8/lists","https://twitter.com/AbdoulayeDiop8/lists")</f>
        <v>https://twitter.com/AbdoulayeDiop8/lists</v>
      </c>
      <c r="T541" s="10" t="s">
        <v>771</v>
      </c>
      <c r="U541" s="10" t="s">
        <v>771</v>
      </c>
      <c r="V541" s="10" t="s">
        <v>771</v>
      </c>
      <c r="W541" s="10"/>
      <c r="X541" s="27" t="s">
        <v>84</v>
      </c>
      <c r="Y541" s="27" t="s">
        <v>990</v>
      </c>
      <c r="Z541" s="80">
        <v>550</v>
      </c>
      <c r="AA541" s="27">
        <v>2265</v>
      </c>
      <c r="AB541" s="80">
        <v>7483</v>
      </c>
      <c r="AC541" s="27">
        <v>8</v>
      </c>
      <c r="AD541" s="27" t="s">
        <v>3424</v>
      </c>
      <c r="AE541" s="27">
        <v>398833806</v>
      </c>
      <c r="AF541" s="27" t="s">
        <v>6365</v>
      </c>
      <c r="AG541" s="27" t="s">
        <v>986</v>
      </c>
      <c r="AH541" s="79">
        <v>0.33333333333333298</v>
      </c>
      <c r="AI541" s="83">
        <v>0.340768277571252</v>
      </c>
      <c r="AJ541" s="80">
        <v>7</v>
      </c>
      <c r="AK541" s="80">
        <v>4.1261261261261302</v>
      </c>
      <c r="AL541" s="96">
        <v>25</v>
      </c>
      <c r="AM541" s="97">
        <f>SUM(AL541/Z541)</f>
        <v>4.5454545454545456E-2</v>
      </c>
      <c r="AN541" s="27" t="s">
        <v>84</v>
      </c>
      <c r="AO541" s="27">
        <v>39</v>
      </c>
      <c r="AP541" s="27">
        <v>12</v>
      </c>
      <c r="AQ541" s="27">
        <v>11</v>
      </c>
      <c r="AR541" s="27">
        <f>SUM(AO541:AQ541)</f>
        <v>62</v>
      </c>
      <c r="AS541" s="27" t="s">
        <v>6542</v>
      </c>
      <c r="AT541" s="27" t="s">
        <v>6667</v>
      </c>
      <c r="AU541" s="84" t="s">
        <v>4640</v>
      </c>
      <c r="AV541" s="77"/>
      <c r="AW541" s="77"/>
      <c r="AX541" s="77"/>
      <c r="AY541" s="77"/>
      <c r="AZ541" s="77"/>
      <c r="BA541" s="77"/>
      <c r="BB541" s="77"/>
      <c r="BC541" s="77"/>
      <c r="BD541" s="77"/>
      <c r="BE541" s="77"/>
      <c r="BF541" s="77"/>
      <c r="BG541" s="77"/>
      <c r="BH541" s="77"/>
      <c r="BI541" s="77"/>
      <c r="BJ541" s="77"/>
      <c r="BK541" s="77"/>
      <c r="BL541" s="77"/>
      <c r="BM541" s="77"/>
      <c r="BN541" s="77"/>
      <c r="BO541" s="77"/>
      <c r="BP541" s="77"/>
      <c r="CC541" s="77"/>
      <c r="CD541" s="77"/>
      <c r="CE541" s="77"/>
      <c r="CF541" s="77"/>
      <c r="CG541" s="77"/>
      <c r="CH541" s="77"/>
      <c r="CI541" s="77"/>
      <c r="CJ541" s="77"/>
      <c r="CK541" s="77"/>
      <c r="CL541" s="77"/>
      <c r="CM541" s="77"/>
      <c r="CN541" s="77"/>
      <c r="CO541" s="77"/>
      <c r="CP541" s="77"/>
      <c r="CQ541" s="77"/>
      <c r="CR541" s="77"/>
      <c r="CS541" s="77"/>
      <c r="CT541" s="77"/>
      <c r="CU541" s="77"/>
      <c r="CV541" s="77"/>
      <c r="CW541" s="77"/>
      <c r="CX541" s="77"/>
      <c r="CY541" s="77"/>
      <c r="CZ541" s="77"/>
      <c r="DA541" s="77"/>
      <c r="DB541" s="77"/>
      <c r="DC541" s="77"/>
      <c r="DD541" s="77"/>
      <c r="DE541" s="77"/>
      <c r="DF541" s="77"/>
      <c r="DG541" s="77"/>
      <c r="DH541" s="77"/>
      <c r="DI541" s="77"/>
      <c r="DJ541" s="77"/>
      <c r="DK541" s="77"/>
      <c r="DL541" s="77"/>
      <c r="DM541" s="77"/>
      <c r="DN541" s="77"/>
      <c r="DO541" s="77"/>
      <c r="DP541" s="77"/>
      <c r="DQ541" s="77"/>
      <c r="DR541" s="77"/>
      <c r="DS541" s="77"/>
      <c r="DT541" s="77"/>
      <c r="DU541" s="77"/>
      <c r="DV541" s="77"/>
      <c r="DW541" s="77"/>
      <c r="DX541" s="77"/>
      <c r="DY541" s="77"/>
      <c r="DZ541" s="77"/>
      <c r="EA541" s="77"/>
      <c r="EB541" s="77"/>
      <c r="EC541" s="77"/>
      <c r="ED541" s="77"/>
      <c r="EE541" s="77"/>
      <c r="EF541" s="77"/>
      <c r="EG541" s="77"/>
      <c r="EH541" s="77"/>
      <c r="EI541" s="77"/>
      <c r="EJ541" s="77"/>
      <c r="EK541" s="77"/>
      <c r="EL541" s="77"/>
      <c r="EM541" s="77"/>
      <c r="EN541" s="77"/>
      <c r="EO541" s="77"/>
      <c r="EP541" s="16"/>
      <c r="EQ541" s="77"/>
      <c r="ER541" s="77"/>
      <c r="ES541" s="77"/>
      <c r="ET541" s="77"/>
      <c r="EU541" s="77"/>
      <c r="EV541" s="77"/>
      <c r="EW541" s="77"/>
      <c r="EX541" s="77"/>
      <c r="EY541" s="77"/>
      <c r="EZ541" s="77"/>
      <c r="FA541" s="77"/>
      <c r="FB541" s="77"/>
      <c r="FC541" s="77"/>
      <c r="FD541" s="77"/>
      <c r="FE541" s="77"/>
      <c r="FF541" s="77"/>
      <c r="FG541" s="77"/>
      <c r="FH541" s="77"/>
      <c r="FI541" s="77"/>
      <c r="FJ541" s="77"/>
      <c r="FK541" s="77"/>
      <c r="FL541" s="77"/>
      <c r="FM541" s="77"/>
      <c r="FN541" s="77"/>
      <c r="FO541" s="77"/>
      <c r="FP541" s="77"/>
      <c r="FQ541" s="77"/>
      <c r="FR541" s="77"/>
      <c r="FS541" s="77"/>
      <c r="FT541" s="77"/>
      <c r="FU541" s="77"/>
      <c r="FV541" s="77"/>
      <c r="FW541" s="77"/>
      <c r="FX541" s="77"/>
      <c r="FY541" s="77"/>
      <c r="FZ541" s="77"/>
      <c r="GA541" s="77"/>
      <c r="GB541" s="77"/>
      <c r="GC541" s="77"/>
      <c r="GD541" s="77"/>
      <c r="GE541" s="77"/>
      <c r="GF541" s="77"/>
      <c r="GG541" s="77"/>
      <c r="GH541" s="77"/>
      <c r="GI541" s="77"/>
      <c r="GJ541" s="77"/>
      <c r="GK541" s="77"/>
      <c r="GL541" s="77"/>
      <c r="GM541" s="77"/>
      <c r="GN541" s="77"/>
      <c r="GO541" s="77"/>
      <c r="GP541" s="77"/>
      <c r="GQ541" s="77"/>
      <c r="GR541" s="77"/>
      <c r="GS541" s="77"/>
      <c r="GT541" s="77"/>
      <c r="GU541" s="77"/>
      <c r="GV541" s="77"/>
      <c r="GW541" s="77"/>
      <c r="GX541" s="77"/>
      <c r="GY541" s="77"/>
      <c r="GZ541" s="77"/>
      <c r="HA541" s="77"/>
      <c r="HB541" s="77"/>
      <c r="HC541" s="77"/>
      <c r="HD541" s="77"/>
      <c r="HE541" s="77"/>
      <c r="HF541" s="77"/>
      <c r="HG541" s="77"/>
      <c r="HH541" s="77"/>
      <c r="HI541" s="77"/>
      <c r="HJ541" s="77"/>
      <c r="HK541" s="77"/>
      <c r="HL541" s="77"/>
      <c r="HM541" s="77"/>
      <c r="HN541" s="77"/>
      <c r="HO541" s="77"/>
      <c r="HP541" s="77"/>
      <c r="HQ541" s="77"/>
      <c r="HR541" s="77"/>
      <c r="HS541" s="77"/>
      <c r="HT541" s="77"/>
      <c r="HU541" s="77"/>
      <c r="HV541" s="77"/>
      <c r="HW541" s="77"/>
      <c r="HX541" s="77"/>
      <c r="HY541" s="77"/>
      <c r="HZ541" s="77"/>
      <c r="IA541" s="77"/>
      <c r="IB541" s="77"/>
      <c r="IC541" s="77"/>
      <c r="ID541" s="77"/>
      <c r="IE541" s="77"/>
      <c r="LW541" s="77"/>
      <c r="LX541" s="77"/>
      <c r="LY541" s="77"/>
      <c r="LZ541" s="77"/>
      <c r="MA541" s="77"/>
      <c r="MB541" s="77"/>
      <c r="MC541" s="77"/>
      <c r="MD541" s="77"/>
      <c r="ME541" s="77"/>
      <c r="MF541" s="77"/>
      <c r="MG541" s="77"/>
      <c r="MH541" s="77"/>
      <c r="MI541" s="77"/>
      <c r="MJ541" s="77"/>
      <c r="MK541" s="77"/>
      <c r="ML541" s="77"/>
      <c r="MM541" s="77"/>
      <c r="MN541" s="77"/>
      <c r="MO541" s="77"/>
      <c r="MP541" s="77"/>
      <c r="MQ541" s="77"/>
      <c r="MR541" s="77"/>
      <c r="MS541" s="77"/>
    </row>
    <row r="542" spans="1:421" s="21" customFormat="1" ht="18.600000000000001" customHeight="1" x14ac:dyDescent="0.25">
      <c r="A542" s="119" t="s">
        <v>449</v>
      </c>
      <c r="B542" s="27" t="s">
        <v>2039</v>
      </c>
      <c r="C542" s="27" t="s">
        <v>2040</v>
      </c>
      <c r="D542" s="30" t="str">
        <f>HYPERLINK("https://twitter.com/presidentMT","https://twitter.com/presidentMT")</f>
        <v>https://twitter.com/presidentMT</v>
      </c>
      <c r="E542" s="30" t="str">
        <f>HYPERLINK("http://twiplomacy.com/info/europe/Malta","http://twiplomacy.com/info/europe/Malta")</f>
        <v>http://twiplomacy.com/info/europe/Malta</v>
      </c>
      <c r="F542" s="10" t="s">
        <v>332</v>
      </c>
      <c r="G542" s="10" t="s">
        <v>448</v>
      </c>
      <c r="H542" s="10" t="s">
        <v>772</v>
      </c>
      <c r="I542" s="10" t="s">
        <v>773</v>
      </c>
      <c r="J542" s="27" t="s">
        <v>789</v>
      </c>
      <c r="K542" s="10" t="s">
        <v>777</v>
      </c>
      <c r="L542" s="10" t="s">
        <v>1114</v>
      </c>
      <c r="M542" s="10" t="s">
        <v>770</v>
      </c>
      <c r="N542" s="30" t="str">
        <f>HYPERLINK("https://twitter.com/presidentMT/status/460734546951303168","https://twitter.com/presidentMT/status/460734546951303168")</f>
        <v>https://twitter.com/presidentMT/status/460734546951303168</v>
      </c>
      <c r="O542" s="27" t="s">
        <v>6049</v>
      </c>
      <c r="P542" s="80">
        <v>91</v>
      </c>
      <c r="Q542" s="80">
        <v>91</v>
      </c>
      <c r="R542" s="27" t="s">
        <v>2994</v>
      </c>
      <c r="S542" s="30" t="str">
        <f>HYPERLINK("https://twitter.com/presidentMT/lists","https://twitter.com/presidentMT/lists")</f>
        <v>https://twitter.com/presidentMT/lists</v>
      </c>
      <c r="T542" s="10" t="s">
        <v>771</v>
      </c>
      <c r="U542" s="10" t="s">
        <v>771</v>
      </c>
      <c r="V542" s="10" t="s">
        <v>771</v>
      </c>
      <c r="W542" s="10"/>
      <c r="X542" s="27" t="s">
        <v>449</v>
      </c>
      <c r="Y542" s="27" t="s">
        <v>2039</v>
      </c>
      <c r="Z542" s="80">
        <v>543</v>
      </c>
      <c r="AA542" s="27">
        <v>387</v>
      </c>
      <c r="AB542" s="80">
        <v>3300</v>
      </c>
      <c r="AC542" s="27">
        <v>520</v>
      </c>
      <c r="AD542" s="27" t="s">
        <v>4364</v>
      </c>
      <c r="AE542" s="27">
        <v>2467568810</v>
      </c>
      <c r="AF542" s="27" t="s">
        <v>2040</v>
      </c>
      <c r="AG542" s="27" t="s">
        <v>448</v>
      </c>
      <c r="AH542" s="79">
        <v>0.73877551020408205</v>
      </c>
      <c r="AI542" s="83">
        <v>0.73841961852861004</v>
      </c>
      <c r="AJ542" s="80">
        <v>2.7985436893203901</v>
      </c>
      <c r="AK542" s="80">
        <v>4.0558252427184502</v>
      </c>
      <c r="AL542" s="27">
        <v>22</v>
      </c>
      <c r="AM542" s="97">
        <f>SUM(AL542/Z542)</f>
        <v>4.0515653775322284E-2</v>
      </c>
      <c r="AN542" s="27" t="s">
        <v>449</v>
      </c>
      <c r="AO542" s="27">
        <v>17</v>
      </c>
      <c r="AP542" s="27">
        <v>7</v>
      </c>
      <c r="AQ542" s="27">
        <v>5</v>
      </c>
      <c r="AR542" s="27">
        <f>SUM(AO542:AQ542)</f>
        <v>29</v>
      </c>
      <c r="AS542" s="27" t="s">
        <v>6663</v>
      </c>
      <c r="AT542" s="27" t="s">
        <v>5441</v>
      </c>
      <c r="AU542" s="84" t="s">
        <v>6180</v>
      </c>
      <c r="AV542" s="77"/>
      <c r="AW542" s="77"/>
      <c r="AX542" s="77"/>
      <c r="AY542" s="77"/>
      <c r="AZ542" s="77"/>
      <c r="BA542" s="77"/>
      <c r="BB542" s="77"/>
      <c r="BC542" s="77"/>
      <c r="BD542" s="77"/>
      <c r="BE542" s="77"/>
      <c r="BF542" s="77"/>
      <c r="BG542" s="77"/>
      <c r="BH542" s="77"/>
      <c r="BI542" s="77"/>
      <c r="BJ542" s="77"/>
      <c r="BK542" s="77"/>
      <c r="BL542" s="77"/>
      <c r="BM542" s="77"/>
      <c r="BN542" s="75"/>
      <c r="BO542" s="75"/>
      <c r="BP542" s="75"/>
      <c r="BQ542" s="77"/>
      <c r="BR542" s="77"/>
      <c r="BS542" s="77"/>
      <c r="BT542" s="77"/>
      <c r="BU542" s="77"/>
      <c r="BV542" s="77"/>
      <c r="BW542" s="77"/>
      <c r="BX542" s="77"/>
      <c r="BY542" s="77"/>
      <c r="BZ542" s="77"/>
      <c r="CA542" s="77"/>
      <c r="CB542" s="77"/>
      <c r="CC542" s="77"/>
      <c r="CD542" s="77"/>
      <c r="CE542" s="77"/>
      <c r="CF542" s="77"/>
      <c r="CG542" s="77"/>
      <c r="CH542" s="77"/>
      <c r="CI542" s="77"/>
      <c r="CJ542" s="77"/>
      <c r="CK542" s="77"/>
      <c r="CL542" s="77"/>
      <c r="CM542" s="77"/>
      <c r="CN542" s="77"/>
      <c r="CO542" s="77"/>
      <c r="CP542" s="77"/>
      <c r="CQ542" s="77"/>
      <c r="CR542" s="77"/>
      <c r="CS542" s="77"/>
      <c r="CT542" s="77"/>
      <c r="CU542" s="77"/>
      <c r="CV542" s="77"/>
      <c r="CW542" s="77"/>
      <c r="CX542" s="77"/>
      <c r="CY542" s="77"/>
      <c r="CZ542" s="77"/>
      <c r="DA542" s="77"/>
      <c r="DB542" s="77"/>
      <c r="DC542" s="77"/>
      <c r="DD542" s="77"/>
      <c r="DE542" s="77"/>
      <c r="DF542" s="77"/>
      <c r="DG542" s="77"/>
      <c r="DH542" s="77"/>
      <c r="DI542" s="77"/>
      <c r="DJ542" s="77"/>
      <c r="DK542" s="77"/>
      <c r="DL542" s="77"/>
      <c r="DM542" s="77"/>
      <c r="DN542" s="77"/>
      <c r="DO542" s="77"/>
      <c r="DP542" s="77"/>
      <c r="DQ542" s="77"/>
      <c r="DR542" s="77"/>
      <c r="DS542" s="77"/>
      <c r="DT542" s="77"/>
      <c r="DU542" s="77"/>
      <c r="DV542" s="77"/>
      <c r="DW542" s="77"/>
      <c r="DX542" s="77"/>
      <c r="DY542" s="77"/>
      <c r="DZ542" s="77"/>
      <c r="EA542" s="77"/>
      <c r="EB542" s="77"/>
      <c r="EC542" s="77"/>
      <c r="ED542" s="77"/>
      <c r="EE542" s="77"/>
      <c r="EF542" s="77"/>
      <c r="EG542" s="77"/>
      <c r="EH542" s="77"/>
      <c r="EI542" s="77"/>
      <c r="EJ542" s="77"/>
      <c r="EK542" s="77"/>
      <c r="EL542" s="77"/>
      <c r="EM542" s="77"/>
      <c r="EN542" s="77"/>
      <c r="EO542" s="77"/>
      <c r="EP542" s="77"/>
      <c r="EQ542" s="77"/>
      <c r="ER542" s="77"/>
      <c r="ES542" s="77"/>
      <c r="ET542" s="77"/>
      <c r="EU542" s="77"/>
      <c r="EV542" s="77"/>
      <c r="EW542" s="77"/>
      <c r="EX542" s="77"/>
      <c r="EY542" s="77"/>
      <c r="EZ542" s="77"/>
      <c r="FA542" s="77"/>
      <c r="FB542" s="77"/>
      <c r="FC542" s="77"/>
      <c r="FD542" s="77"/>
      <c r="FE542" s="77"/>
      <c r="FF542" s="77"/>
      <c r="FG542" s="77"/>
      <c r="FH542" s="77"/>
      <c r="FI542" s="77"/>
      <c r="FJ542" s="77"/>
      <c r="FK542" s="77"/>
      <c r="FL542" s="77"/>
      <c r="FM542" s="77"/>
      <c r="FN542" s="77"/>
      <c r="FO542" s="77"/>
      <c r="FP542" s="77"/>
      <c r="FQ542" s="77"/>
      <c r="FR542" s="77"/>
      <c r="FS542" s="77"/>
      <c r="FT542" s="77"/>
      <c r="FU542" s="77"/>
      <c r="FV542" s="77"/>
      <c r="FW542" s="77"/>
      <c r="FX542" s="77"/>
      <c r="FY542" s="77"/>
      <c r="FZ542" s="77"/>
      <c r="GA542" s="77"/>
      <c r="GB542" s="77"/>
      <c r="GC542" s="77"/>
      <c r="GD542" s="77"/>
      <c r="GE542" s="77"/>
      <c r="GF542" s="77"/>
      <c r="GG542" s="77"/>
      <c r="GH542" s="77"/>
      <c r="GI542" s="77"/>
      <c r="GJ542" s="77"/>
      <c r="GK542" s="77"/>
      <c r="GL542" s="77"/>
      <c r="GM542" s="77"/>
      <c r="GN542" s="77"/>
      <c r="GO542" s="77"/>
      <c r="GP542" s="77"/>
      <c r="GQ542" s="77"/>
      <c r="GR542" s="77"/>
      <c r="GS542" s="77"/>
      <c r="GT542" s="77"/>
      <c r="GU542" s="77"/>
      <c r="GV542" s="77"/>
      <c r="GW542" s="77"/>
      <c r="GX542" s="77"/>
      <c r="GY542" s="77"/>
      <c r="GZ542" s="77"/>
      <c r="HA542" s="77"/>
      <c r="HB542" s="77"/>
      <c r="HC542" s="77"/>
      <c r="HD542" s="77"/>
      <c r="HE542" s="77"/>
      <c r="HF542" s="77"/>
      <c r="HG542" s="77"/>
      <c r="HH542" s="77"/>
      <c r="HI542" s="77"/>
      <c r="HJ542" s="77"/>
      <c r="HK542" s="77"/>
      <c r="HL542" s="77"/>
      <c r="HM542" s="77"/>
      <c r="HN542" s="77"/>
      <c r="HO542" s="77"/>
      <c r="HP542" s="77"/>
      <c r="HQ542" s="77"/>
      <c r="HR542" s="77"/>
      <c r="HS542" s="77"/>
      <c r="HT542" s="77"/>
      <c r="HU542" s="77"/>
      <c r="HV542" s="77"/>
      <c r="HW542" s="77"/>
      <c r="HX542" s="77"/>
      <c r="HY542" s="77"/>
      <c r="HZ542" s="77"/>
      <c r="IA542" s="77"/>
      <c r="IB542" s="77"/>
      <c r="IC542" s="77"/>
      <c r="IF542" s="77"/>
      <c r="IG542" s="77"/>
      <c r="IH542" s="77"/>
      <c r="II542" s="77"/>
      <c r="IJ542" s="77"/>
      <c r="IK542" s="77"/>
      <c r="IL542" s="77"/>
      <c r="IM542" s="77"/>
      <c r="IN542" s="77"/>
      <c r="IO542" s="77"/>
      <c r="IP542" s="77"/>
      <c r="IQ542" s="77"/>
      <c r="IR542" s="77"/>
      <c r="IS542" s="77"/>
      <c r="IT542" s="77"/>
      <c r="IU542" s="77"/>
      <c r="IV542" s="77"/>
      <c r="IW542" s="77"/>
      <c r="IX542" s="77"/>
      <c r="IY542" s="77"/>
      <c r="IZ542" s="77"/>
      <c r="JA542" s="77"/>
      <c r="JB542" s="77"/>
      <c r="JC542" s="77"/>
      <c r="JD542" s="77"/>
      <c r="JE542" s="77"/>
      <c r="JF542" s="77"/>
      <c r="JG542" s="77"/>
      <c r="JH542" s="77"/>
      <c r="JI542" s="77"/>
      <c r="JJ542" s="77"/>
      <c r="JK542" s="77"/>
      <c r="JL542" s="77"/>
      <c r="JM542" s="77"/>
      <c r="JN542" s="77"/>
      <c r="JO542" s="77"/>
      <c r="JP542" s="77"/>
      <c r="JQ542" s="77"/>
      <c r="JR542" s="77"/>
      <c r="JS542" s="77"/>
      <c r="JT542" s="77"/>
      <c r="JU542" s="77"/>
      <c r="JV542" s="77"/>
      <c r="JW542" s="77"/>
      <c r="JX542" s="77"/>
      <c r="JY542" s="77"/>
      <c r="JZ542" s="77"/>
      <c r="KA542" s="77"/>
      <c r="KB542" s="77"/>
      <c r="KC542" s="77"/>
      <c r="KD542" s="77"/>
      <c r="KE542" s="77"/>
      <c r="KF542" s="77"/>
      <c r="KG542" s="77"/>
      <c r="KH542" s="77"/>
      <c r="KI542" s="77"/>
      <c r="KJ542" s="77"/>
      <c r="KK542" s="77"/>
      <c r="KL542" s="77"/>
      <c r="KM542" s="77"/>
      <c r="KN542" s="77"/>
      <c r="KO542" s="77"/>
      <c r="KP542" s="77"/>
      <c r="KQ542" s="77"/>
      <c r="KR542" s="77"/>
      <c r="KS542" s="77"/>
      <c r="KT542" s="77"/>
      <c r="KU542" s="77"/>
      <c r="KV542" s="77"/>
      <c r="KW542" s="77"/>
      <c r="KX542" s="77"/>
      <c r="KY542" s="77"/>
      <c r="KZ542" s="77"/>
      <c r="LA542" s="77"/>
      <c r="LB542" s="77"/>
      <c r="LC542" s="77"/>
      <c r="LD542" s="77"/>
      <c r="LE542" s="77"/>
      <c r="LF542" s="77"/>
      <c r="LG542" s="77"/>
      <c r="LH542" s="77"/>
      <c r="LI542" s="77"/>
      <c r="LJ542" s="77"/>
      <c r="LK542" s="77"/>
      <c r="LL542" s="77"/>
      <c r="LM542" s="77"/>
      <c r="LN542" s="77"/>
      <c r="LO542" s="77"/>
      <c r="LP542" s="77"/>
      <c r="LQ542" s="77"/>
      <c r="LR542" s="77"/>
      <c r="LS542" s="77"/>
      <c r="LT542" s="77"/>
      <c r="LU542" s="77"/>
      <c r="LV542" s="77"/>
      <c r="LY542" s="77"/>
      <c r="LZ542" s="77"/>
      <c r="MA542" s="77"/>
      <c r="MB542" s="77"/>
      <c r="MC542" s="77"/>
      <c r="MD542" s="77"/>
      <c r="ME542" s="77"/>
      <c r="MF542" s="77"/>
      <c r="MG542" s="77"/>
      <c r="MH542" s="77"/>
      <c r="MI542" s="77"/>
      <c r="MJ542" s="77"/>
      <c r="MK542" s="77"/>
      <c r="ML542" s="77"/>
      <c r="MM542" s="77"/>
      <c r="MN542" s="77"/>
      <c r="MO542" s="77"/>
      <c r="MP542" s="77"/>
      <c r="MQ542" s="77"/>
      <c r="MR542" s="77"/>
    </row>
    <row r="543" spans="1:421" s="21" customFormat="1" ht="18.600000000000001" customHeight="1" x14ac:dyDescent="0.25">
      <c r="A543" s="119" t="s">
        <v>139</v>
      </c>
      <c r="B543" s="27" t="s">
        <v>1139</v>
      </c>
      <c r="C543" s="27" t="s">
        <v>1140</v>
      </c>
      <c r="D543" s="30" t="str">
        <f>HYPERLINK("https://twitter.com/TunisieDiplo","https://twitter.com/TunisieDiplo")</f>
        <v>https://twitter.com/TunisieDiplo</v>
      </c>
      <c r="E543" s="30" t="s">
        <v>1133</v>
      </c>
      <c r="F543" s="10" t="s">
        <v>1</v>
      </c>
      <c r="G543" s="10" t="s">
        <v>134</v>
      </c>
      <c r="H543" s="10" t="s">
        <v>795</v>
      </c>
      <c r="I543" s="10" t="s">
        <v>782</v>
      </c>
      <c r="J543" s="27" t="s">
        <v>779</v>
      </c>
      <c r="K543" s="15" t="s">
        <v>777</v>
      </c>
      <c r="L543" s="10" t="s">
        <v>771</v>
      </c>
      <c r="M543" s="10" t="s">
        <v>771</v>
      </c>
      <c r="N543" s="30" t="str">
        <f>HYPERLINK("https://twitter.com/TunisieDiplo/statuses/155256427924037633","https://twitter.com/TunisieDiplo/statuses/155256427924037633")</f>
        <v>https://twitter.com/TunisieDiplo/statuses/155256427924037633</v>
      </c>
      <c r="O543" s="27" t="s">
        <v>6116</v>
      </c>
      <c r="P543" s="80">
        <v>10</v>
      </c>
      <c r="Q543" s="80">
        <v>0</v>
      </c>
      <c r="R543" s="27" t="s">
        <v>2995</v>
      </c>
      <c r="S543" s="10" t="s">
        <v>1142</v>
      </c>
      <c r="T543" s="10" t="s">
        <v>771</v>
      </c>
      <c r="U543" s="10" t="s">
        <v>771</v>
      </c>
      <c r="V543" s="10" t="s">
        <v>771</v>
      </c>
      <c r="W543" s="10"/>
      <c r="X543" s="27" t="s">
        <v>139</v>
      </c>
      <c r="Y543" s="27" t="s">
        <v>1139</v>
      </c>
      <c r="Z543" s="80">
        <v>542</v>
      </c>
      <c r="AA543" s="27">
        <v>16</v>
      </c>
      <c r="AB543" s="80">
        <v>7773</v>
      </c>
      <c r="AC543" s="27">
        <v>1</v>
      </c>
      <c r="AD543" s="27" t="s">
        <v>4541</v>
      </c>
      <c r="AE543" s="27">
        <v>456546676</v>
      </c>
      <c r="AF543" s="27" t="s">
        <v>1140</v>
      </c>
      <c r="AG543" s="27" t="s">
        <v>1143</v>
      </c>
      <c r="AH543" s="79">
        <v>0.34347275031685698</v>
      </c>
      <c r="AI543" s="83">
        <v>0.34632587859424901</v>
      </c>
      <c r="AJ543" s="80">
        <v>0.52224371373307499</v>
      </c>
      <c r="AK543" s="80">
        <v>0.36170212765957399</v>
      </c>
      <c r="AL543" s="13">
        <v>0</v>
      </c>
      <c r="AM543" s="97">
        <f>SUM(AL543/Z543)</f>
        <v>0</v>
      </c>
      <c r="AN543" s="27" t="s">
        <v>139</v>
      </c>
      <c r="AO543" s="27">
        <v>2</v>
      </c>
      <c r="AP543" s="27">
        <v>41</v>
      </c>
      <c r="AQ543" s="27">
        <v>0</v>
      </c>
      <c r="AR543" s="27">
        <f>SUM(AO543:AQ543)</f>
        <v>43</v>
      </c>
      <c r="AS543" s="27" t="s">
        <v>5527</v>
      </c>
      <c r="AT543" s="27" t="s">
        <v>6869</v>
      </c>
      <c r="AU543" s="84"/>
      <c r="AV543" s="77"/>
      <c r="AW543" s="77"/>
      <c r="AX543" s="77"/>
      <c r="AY543" s="77"/>
      <c r="AZ543" s="77"/>
      <c r="BA543" s="77"/>
      <c r="BB543" s="77"/>
      <c r="BC543" s="77"/>
      <c r="BD543" s="77"/>
      <c r="BE543" s="77"/>
      <c r="BF543" s="77"/>
      <c r="BG543" s="77"/>
      <c r="BH543" s="77"/>
      <c r="BI543" s="77"/>
      <c r="BJ543" s="77"/>
      <c r="BK543" s="77"/>
      <c r="BL543" s="77"/>
      <c r="BM543" s="77"/>
      <c r="BN543" s="77"/>
      <c r="BO543" s="77"/>
      <c r="BP543" s="77"/>
      <c r="CC543" s="77"/>
      <c r="CD543" s="77"/>
      <c r="CE543" s="77"/>
      <c r="CF543" s="77"/>
      <c r="CG543" s="77"/>
      <c r="CH543" s="77"/>
      <c r="CI543" s="77"/>
      <c r="CJ543" s="77"/>
      <c r="CK543" s="77"/>
      <c r="CL543" s="77"/>
      <c r="CM543" s="77"/>
      <c r="CN543" s="77"/>
      <c r="CO543" s="77"/>
      <c r="CP543" s="77"/>
      <c r="CQ543" s="77"/>
      <c r="CR543" s="77"/>
      <c r="CS543" s="77"/>
      <c r="CT543" s="77"/>
      <c r="CU543" s="77"/>
      <c r="CV543" s="77"/>
      <c r="CW543" s="77"/>
      <c r="CX543" s="77"/>
      <c r="CY543" s="77"/>
      <c r="CZ543" s="77"/>
      <c r="DA543" s="77"/>
      <c r="DB543" s="77"/>
      <c r="DC543" s="77"/>
      <c r="DD543" s="77"/>
      <c r="DE543" s="77"/>
      <c r="DF543" s="77"/>
      <c r="DG543" s="77"/>
      <c r="DH543" s="77"/>
      <c r="DI543" s="77"/>
      <c r="DJ543" s="77"/>
      <c r="DK543" s="77"/>
      <c r="DL543" s="77"/>
      <c r="DM543" s="77"/>
      <c r="DN543" s="77"/>
      <c r="DO543" s="77"/>
      <c r="DP543" s="77"/>
      <c r="DQ543" s="77"/>
      <c r="DR543" s="77"/>
      <c r="DS543" s="77"/>
      <c r="DT543" s="77"/>
      <c r="DU543" s="77"/>
      <c r="DV543" s="77"/>
      <c r="DW543" s="77"/>
      <c r="DX543" s="77"/>
      <c r="DY543" s="77"/>
      <c r="DZ543" s="77"/>
      <c r="EA543" s="77"/>
      <c r="EB543" s="77"/>
      <c r="EC543" s="77"/>
      <c r="ED543" s="77"/>
      <c r="EE543" s="77"/>
      <c r="EF543" s="77"/>
      <c r="EG543" s="77"/>
      <c r="EH543" s="77"/>
      <c r="EI543" s="77"/>
      <c r="EJ543" s="77"/>
      <c r="EK543" s="77"/>
      <c r="EL543" s="77"/>
      <c r="EM543" s="77"/>
      <c r="EN543" s="77"/>
      <c r="EO543" s="77"/>
      <c r="EP543" s="77"/>
      <c r="EQ543" s="16"/>
      <c r="ER543" s="77"/>
      <c r="ES543" s="77"/>
      <c r="ET543" s="77"/>
      <c r="EU543" s="77"/>
      <c r="EV543" s="77"/>
      <c r="EW543" s="77"/>
      <c r="EX543" s="77"/>
      <c r="EY543" s="77"/>
      <c r="EZ543" s="77"/>
      <c r="FA543" s="77"/>
      <c r="FB543" s="77"/>
      <c r="FC543" s="77"/>
      <c r="FD543" s="77"/>
      <c r="FE543" s="77"/>
      <c r="FF543" s="77"/>
      <c r="FG543" s="77"/>
      <c r="FH543" s="77"/>
      <c r="FI543" s="77"/>
      <c r="FJ543" s="77"/>
      <c r="FK543" s="77"/>
      <c r="FL543" s="77"/>
      <c r="FM543" s="77"/>
      <c r="FN543" s="77"/>
      <c r="FO543" s="77"/>
      <c r="FP543" s="77"/>
      <c r="FQ543" s="77"/>
      <c r="FR543" s="77"/>
      <c r="FS543" s="77"/>
      <c r="FT543" s="77"/>
      <c r="FU543" s="77"/>
      <c r="FV543" s="77"/>
      <c r="FW543" s="77"/>
      <c r="FX543" s="77"/>
      <c r="FY543" s="77"/>
      <c r="FZ543" s="77"/>
      <c r="GA543" s="77"/>
      <c r="GB543" s="77"/>
      <c r="GC543" s="77"/>
      <c r="GD543" s="77"/>
      <c r="GE543" s="77"/>
      <c r="GF543" s="77"/>
      <c r="GG543" s="77"/>
      <c r="GH543" s="77"/>
      <c r="GI543" s="77"/>
      <c r="GJ543" s="77"/>
      <c r="GK543" s="77"/>
      <c r="GL543" s="77"/>
      <c r="GM543" s="77"/>
      <c r="GN543" s="77"/>
      <c r="GO543" s="77"/>
      <c r="GP543" s="77"/>
      <c r="GQ543" s="77"/>
      <c r="GR543" s="77"/>
      <c r="GS543" s="77"/>
      <c r="GT543" s="77"/>
      <c r="GU543" s="77"/>
      <c r="GV543" s="77"/>
      <c r="GW543" s="77"/>
      <c r="GX543" s="77"/>
      <c r="GY543" s="77"/>
      <c r="GZ543" s="77"/>
      <c r="HA543" s="77"/>
      <c r="HB543" s="77"/>
      <c r="HC543" s="77"/>
      <c r="HD543" s="77"/>
      <c r="HE543" s="77"/>
      <c r="HF543" s="77"/>
      <c r="HG543" s="77"/>
      <c r="HH543" s="77"/>
      <c r="HI543" s="77"/>
      <c r="HJ543" s="77"/>
      <c r="HK543" s="77"/>
      <c r="ID543" s="77"/>
      <c r="IE543" s="77"/>
      <c r="IF543" s="77"/>
      <c r="IG543" s="77"/>
      <c r="IH543" s="77"/>
      <c r="II543" s="77"/>
      <c r="IJ543" s="77"/>
      <c r="IK543" s="77"/>
      <c r="IL543" s="77"/>
      <c r="IM543" s="77"/>
      <c r="IN543" s="77"/>
      <c r="IO543" s="77"/>
      <c r="IP543" s="77"/>
      <c r="IQ543" s="77"/>
      <c r="IR543" s="77"/>
      <c r="IS543" s="77"/>
      <c r="IT543" s="77"/>
      <c r="IU543" s="77"/>
      <c r="IV543" s="77"/>
      <c r="IW543" s="77"/>
      <c r="IX543" s="77"/>
      <c r="IY543" s="77"/>
      <c r="IZ543" s="77"/>
      <c r="JA543" s="77"/>
      <c r="JB543" s="77"/>
      <c r="JC543" s="77"/>
      <c r="JD543" s="77"/>
      <c r="JE543" s="77"/>
      <c r="JF543" s="77"/>
      <c r="JG543" s="77"/>
      <c r="JH543" s="77"/>
      <c r="JI543" s="77"/>
      <c r="JJ543" s="77"/>
      <c r="JK543" s="77"/>
      <c r="JL543" s="77"/>
      <c r="JM543" s="77"/>
      <c r="JN543" s="77"/>
      <c r="JO543" s="77"/>
      <c r="JP543" s="77"/>
      <c r="JQ543" s="77"/>
      <c r="JR543" s="77"/>
      <c r="JS543" s="77"/>
      <c r="JT543" s="77"/>
      <c r="JU543" s="77"/>
      <c r="JV543" s="77"/>
      <c r="JW543" s="77"/>
      <c r="JX543" s="77"/>
      <c r="JY543" s="77"/>
      <c r="JZ543" s="77"/>
      <c r="KA543" s="77"/>
      <c r="KB543" s="77"/>
      <c r="KC543" s="77"/>
      <c r="KD543" s="77"/>
      <c r="KE543" s="77"/>
      <c r="KF543" s="77"/>
      <c r="KG543" s="77"/>
      <c r="KH543" s="77"/>
      <c r="KI543" s="77"/>
      <c r="KJ543" s="77"/>
      <c r="KK543" s="77"/>
      <c r="KL543" s="77"/>
      <c r="LL543" s="77"/>
      <c r="LM543" s="77"/>
      <c r="LN543" s="77"/>
      <c r="LO543" s="77"/>
      <c r="LP543" s="77"/>
      <c r="LQ543" s="77"/>
      <c r="LR543" s="77"/>
      <c r="LS543" s="77"/>
      <c r="LT543" s="77"/>
      <c r="LU543" s="77"/>
      <c r="LV543" s="77"/>
      <c r="MS543" s="77"/>
    </row>
    <row r="544" spans="1:421" s="57" customFormat="1" ht="18.600000000000001" customHeight="1" x14ac:dyDescent="0.25">
      <c r="A544" s="119" t="s">
        <v>277</v>
      </c>
      <c r="B544" s="27" t="s">
        <v>4509</v>
      </c>
      <c r="C544" s="27" t="s">
        <v>4510</v>
      </c>
      <c r="D544" s="19" t="s">
        <v>3022</v>
      </c>
      <c r="E544" s="34" t="s">
        <v>1571</v>
      </c>
      <c r="F544" s="42" t="s">
        <v>154</v>
      </c>
      <c r="G544" s="42" t="s">
        <v>276</v>
      </c>
      <c r="H544" s="42" t="s">
        <v>1572</v>
      </c>
      <c r="I544" s="42" t="s">
        <v>773</v>
      </c>
      <c r="J544" s="27" t="s">
        <v>789</v>
      </c>
      <c r="K544" s="15" t="s">
        <v>777</v>
      </c>
      <c r="L544" s="10"/>
      <c r="M544" s="10" t="s">
        <v>770</v>
      </c>
      <c r="N544" s="34" t="s">
        <v>1573</v>
      </c>
      <c r="O544" s="27" t="s">
        <v>3192</v>
      </c>
      <c r="P544" s="80">
        <v>1270</v>
      </c>
      <c r="Q544" s="80">
        <v>52</v>
      </c>
      <c r="R544" s="27" t="s">
        <v>2995</v>
      </c>
      <c r="S544" s="86" t="s">
        <v>1574</v>
      </c>
      <c r="T544" s="10" t="s">
        <v>771</v>
      </c>
      <c r="U544" s="10" t="s">
        <v>771</v>
      </c>
      <c r="V544" s="10" t="s">
        <v>771</v>
      </c>
      <c r="W544" s="42"/>
      <c r="X544" s="27" t="s">
        <v>277</v>
      </c>
      <c r="Y544" s="27" t="s">
        <v>4509</v>
      </c>
      <c r="Z544" s="80">
        <v>542</v>
      </c>
      <c r="AA544" s="27">
        <v>0</v>
      </c>
      <c r="AB544" s="80">
        <v>203196</v>
      </c>
      <c r="AC544" s="27">
        <v>0</v>
      </c>
      <c r="AD544" s="27" t="s">
        <v>4511</v>
      </c>
      <c r="AE544" s="27">
        <v>566129203</v>
      </c>
      <c r="AF544" s="27" t="s">
        <v>4510</v>
      </c>
      <c r="AG544" s="27" t="s">
        <v>4512</v>
      </c>
      <c r="AH544" s="79">
        <v>0.37021857923497298</v>
      </c>
      <c r="AI544" s="83">
        <v>0.37360335195530697</v>
      </c>
      <c r="AJ544" s="80">
        <v>57.342967244701299</v>
      </c>
      <c r="AK544" s="80">
        <v>43.429672447013502</v>
      </c>
      <c r="AL544" s="27">
        <v>12</v>
      </c>
      <c r="AM544" s="97">
        <f>SUM(AL544/Z544)</f>
        <v>2.2140221402214021E-2</v>
      </c>
      <c r="AN544" s="27" t="s">
        <v>277</v>
      </c>
      <c r="AO544" s="27">
        <v>0</v>
      </c>
      <c r="AP544" s="27">
        <v>1</v>
      </c>
      <c r="AQ544" s="27">
        <v>0</v>
      </c>
      <c r="AR544" s="27">
        <f>SUM(AO544:AQ544)</f>
        <v>1</v>
      </c>
      <c r="AS544" s="27"/>
      <c r="AT544" s="27" t="s">
        <v>169</v>
      </c>
      <c r="AU544" s="84"/>
      <c r="AV544" s="77"/>
      <c r="AW544" s="77"/>
      <c r="AX544" s="77"/>
      <c r="AY544" s="77"/>
      <c r="AZ544" s="77"/>
      <c r="BA544" s="77"/>
      <c r="BB544" s="77"/>
      <c r="BC544" s="77"/>
      <c r="BD544" s="77"/>
      <c r="BE544" s="77"/>
      <c r="BF544" s="77"/>
      <c r="BG544" s="77"/>
      <c r="BH544" s="77"/>
      <c r="BI544" s="77"/>
      <c r="BJ544" s="77"/>
      <c r="BK544" s="77"/>
      <c r="BL544" s="77"/>
      <c r="BM544" s="77"/>
      <c r="BN544" s="77"/>
      <c r="BO544" s="77"/>
      <c r="BP544" s="77"/>
      <c r="BQ544" s="71"/>
      <c r="BR544" s="71"/>
      <c r="BS544" s="71"/>
      <c r="BT544" s="71"/>
      <c r="BU544" s="71"/>
      <c r="BV544" s="71"/>
      <c r="BW544" s="71"/>
      <c r="BX544" s="71"/>
      <c r="BY544" s="71"/>
      <c r="BZ544" s="71"/>
      <c r="CA544" s="71"/>
      <c r="CB544" s="71"/>
      <c r="CC544" s="77"/>
      <c r="CD544" s="77"/>
      <c r="CE544" s="77"/>
      <c r="CF544" s="77"/>
      <c r="CG544" s="77"/>
      <c r="CH544" s="77"/>
      <c r="CI544" s="77"/>
      <c r="CJ544" s="77"/>
      <c r="CK544" s="77"/>
      <c r="CL544" s="77"/>
      <c r="CM544" s="77"/>
      <c r="CN544" s="77"/>
      <c r="CO544" s="77"/>
      <c r="CP544" s="77"/>
      <c r="CQ544" s="77"/>
      <c r="CR544" s="77"/>
      <c r="CS544" s="77"/>
      <c r="CT544" s="77"/>
      <c r="CU544" s="77"/>
      <c r="CV544" s="77"/>
      <c r="CW544" s="77"/>
      <c r="CX544" s="77"/>
      <c r="CY544" s="77"/>
      <c r="CZ544" s="77"/>
      <c r="DA544" s="77"/>
      <c r="DB544" s="77"/>
      <c r="DC544" s="77"/>
      <c r="DD544" s="77"/>
      <c r="DE544" s="77"/>
      <c r="DF544" s="77"/>
      <c r="DG544" s="77"/>
      <c r="DH544" s="77"/>
      <c r="DI544" s="77"/>
      <c r="DJ544" s="77"/>
      <c r="DK544" s="77"/>
      <c r="DL544" s="77"/>
      <c r="DM544" s="77"/>
      <c r="DN544" s="77"/>
      <c r="DO544" s="77"/>
      <c r="DP544" s="77"/>
      <c r="DQ544" s="77"/>
      <c r="DR544" s="77"/>
      <c r="DS544" s="77"/>
      <c r="DT544" s="77"/>
      <c r="DU544" s="77"/>
      <c r="DV544" s="77"/>
      <c r="DW544" s="77"/>
      <c r="DX544" s="77"/>
      <c r="DY544" s="77"/>
      <c r="DZ544" s="77"/>
      <c r="EA544" s="77"/>
      <c r="EB544" s="77"/>
      <c r="EC544" s="77"/>
      <c r="ED544" s="77"/>
      <c r="EE544" s="77"/>
      <c r="EF544" s="77"/>
      <c r="EG544" s="77"/>
      <c r="EH544" s="77"/>
      <c r="EI544" s="77"/>
      <c r="EJ544" s="77"/>
      <c r="EK544" s="77"/>
      <c r="EL544" s="77"/>
      <c r="EM544" s="77"/>
      <c r="EN544" s="77"/>
      <c r="EO544" s="77"/>
      <c r="EP544" s="16"/>
      <c r="EQ544" s="77"/>
      <c r="ER544" s="77"/>
      <c r="ES544" s="77"/>
      <c r="ET544" s="77"/>
      <c r="EU544" s="77"/>
      <c r="EV544" s="77"/>
      <c r="EW544" s="77"/>
      <c r="EX544" s="77"/>
      <c r="EY544" s="77"/>
      <c r="EZ544" s="77"/>
      <c r="FA544" s="77"/>
      <c r="FB544" s="77"/>
      <c r="FC544" s="77"/>
      <c r="FD544" s="77"/>
      <c r="FE544" s="77"/>
      <c r="FF544" s="77"/>
      <c r="FG544" s="77"/>
      <c r="FH544" s="77"/>
      <c r="FI544" s="77"/>
      <c r="FJ544" s="77"/>
      <c r="FK544" s="77"/>
      <c r="FL544" s="77"/>
      <c r="FM544" s="77"/>
      <c r="FN544" s="77"/>
      <c r="FO544" s="77"/>
      <c r="FP544" s="77"/>
      <c r="FQ544" s="77"/>
      <c r="FR544" s="77"/>
      <c r="FS544" s="77"/>
      <c r="FT544" s="77"/>
      <c r="FU544" s="77"/>
      <c r="FV544" s="77"/>
      <c r="FW544" s="77"/>
      <c r="FX544" s="77"/>
      <c r="FY544" s="77"/>
      <c r="FZ544" s="77"/>
      <c r="GA544" s="77"/>
      <c r="GB544" s="77"/>
      <c r="GC544" s="77"/>
      <c r="GD544" s="77"/>
      <c r="GE544" s="77"/>
      <c r="GF544" s="77"/>
      <c r="GG544" s="77"/>
      <c r="GH544" s="77"/>
      <c r="GI544" s="77"/>
      <c r="GJ544" s="77"/>
      <c r="GK544" s="77"/>
      <c r="HL544" s="77"/>
      <c r="HM544" s="77"/>
      <c r="HN544" s="77"/>
      <c r="HO544" s="77"/>
      <c r="HP544" s="77"/>
      <c r="HQ544" s="77"/>
      <c r="HR544" s="77"/>
      <c r="HS544" s="77"/>
      <c r="HT544" s="77"/>
      <c r="HU544" s="77"/>
      <c r="HV544" s="77"/>
      <c r="HW544" s="77"/>
      <c r="HX544" s="77"/>
      <c r="HY544" s="77"/>
      <c r="HZ544" s="77"/>
      <c r="IA544" s="77"/>
      <c r="IB544" s="77"/>
      <c r="IC544" s="77"/>
      <c r="JY544" s="77"/>
      <c r="JZ544" s="77"/>
      <c r="KA544" s="77"/>
      <c r="KB544" s="77"/>
      <c r="KC544" s="77"/>
      <c r="KD544" s="77"/>
      <c r="KE544" s="77"/>
      <c r="KF544" s="77"/>
      <c r="KG544" s="77"/>
      <c r="KH544" s="77"/>
      <c r="KI544" s="77"/>
      <c r="KJ544" s="77"/>
      <c r="KK544" s="77"/>
      <c r="KL544" s="77"/>
      <c r="KM544" s="77"/>
      <c r="KN544" s="77"/>
      <c r="KO544" s="77"/>
      <c r="KP544" s="77"/>
      <c r="KQ544" s="77"/>
      <c r="KR544" s="77"/>
      <c r="KS544" s="77"/>
      <c r="KT544" s="77"/>
      <c r="KU544" s="77"/>
      <c r="KV544" s="77"/>
      <c r="KW544" s="77"/>
      <c r="KX544" s="77"/>
      <c r="KY544" s="77"/>
      <c r="KZ544" s="77"/>
      <c r="LA544" s="77"/>
      <c r="LB544" s="77"/>
      <c r="LC544" s="77"/>
      <c r="LD544" s="77"/>
      <c r="LE544" s="77"/>
      <c r="LF544" s="77"/>
      <c r="LG544" s="77"/>
      <c r="LH544" s="77"/>
      <c r="LI544" s="77"/>
      <c r="LJ544" s="77"/>
      <c r="LK544" s="77"/>
      <c r="LW544" s="77"/>
      <c r="LX544" s="77"/>
      <c r="MT544" s="77"/>
      <c r="MU544" s="77"/>
      <c r="MV544" s="77"/>
      <c r="MW544" s="77"/>
      <c r="MX544" s="77"/>
      <c r="MY544" s="77"/>
      <c r="MZ544" s="77"/>
      <c r="NA544" s="77"/>
      <c r="NB544" s="77"/>
      <c r="NC544" s="77"/>
    </row>
    <row r="545" spans="1:368" s="21" customFormat="1" ht="18.600000000000001" customHeight="1" x14ac:dyDescent="0.25">
      <c r="A545" s="119" t="s">
        <v>305</v>
      </c>
      <c r="B545" s="27" t="s">
        <v>1625</v>
      </c>
      <c r="C545" s="27" t="s">
        <v>953</v>
      </c>
      <c r="D545" s="30" t="s">
        <v>1626</v>
      </c>
      <c r="E545" s="30" t="str">
        <f>HYPERLINK("http://twiplomacy.com/info/asia/Sri-Lanka","http://twiplomacy.com/info/asia/Sri-Lanka")</f>
        <v>http://twiplomacy.com/info/asia/Sri-Lanka</v>
      </c>
      <c r="F545" s="10" t="s">
        <v>154</v>
      </c>
      <c r="G545" s="10" t="s">
        <v>299</v>
      </c>
      <c r="H545" s="10" t="s">
        <v>795</v>
      </c>
      <c r="I545" s="10" t="s">
        <v>782</v>
      </c>
      <c r="J545" s="27" t="s">
        <v>789</v>
      </c>
      <c r="K545" s="15" t="s">
        <v>777</v>
      </c>
      <c r="L545" s="10" t="s">
        <v>771</v>
      </c>
      <c r="M545" s="10" t="s">
        <v>771</v>
      </c>
      <c r="N545" s="30" t="s">
        <v>1627</v>
      </c>
      <c r="O545" s="27" t="s">
        <v>5941</v>
      </c>
      <c r="P545" s="80">
        <v>103</v>
      </c>
      <c r="Q545" s="80">
        <v>37</v>
      </c>
      <c r="R545" s="27" t="s">
        <v>2995</v>
      </c>
      <c r="S545" s="30" t="s">
        <v>1628</v>
      </c>
      <c r="T545" s="10" t="s">
        <v>771</v>
      </c>
      <c r="U545" s="10" t="s">
        <v>771</v>
      </c>
      <c r="V545" s="10" t="s">
        <v>771</v>
      </c>
      <c r="W545" s="10"/>
      <c r="X545" s="27" t="s">
        <v>305</v>
      </c>
      <c r="Y545" s="27" t="s">
        <v>1625</v>
      </c>
      <c r="Z545" s="80">
        <v>519</v>
      </c>
      <c r="AA545" s="27">
        <v>11</v>
      </c>
      <c r="AB545" s="80">
        <v>1978</v>
      </c>
      <c r="AC545" s="27">
        <v>1</v>
      </c>
      <c r="AD545" s="27" t="s">
        <v>4063</v>
      </c>
      <c r="AE545" s="27">
        <v>1411941818</v>
      </c>
      <c r="AF545" s="27" t="s">
        <v>953</v>
      </c>
      <c r="AG545" s="27" t="s">
        <v>1629</v>
      </c>
      <c r="AH545" s="79">
        <v>0.47614678899082602</v>
      </c>
      <c r="AI545" s="83">
        <v>0.66967741935483904</v>
      </c>
      <c r="AJ545" s="80">
        <v>2.8901960784313698</v>
      </c>
      <c r="AK545" s="80">
        <v>1.45882352941176</v>
      </c>
      <c r="AL545" s="27">
        <v>7</v>
      </c>
      <c r="AM545" s="97">
        <f>SUM(AL545/Z545)</f>
        <v>1.348747591522158E-2</v>
      </c>
      <c r="AN545" s="27" t="s">
        <v>305</v>
      </c>
      <c r="AO545" s="27">
        <v>1</v>
      </c>
      <c r="AP545" s="27">
        <v>37</v>
      </c>
      <c r="AQ545" s="27">
        <v>5</v>
      </c>
      <c r="AR545" s="27">
        <f>SUM(AO545:AQ545)</f>
        <v>43</v>
      </c>
      <c r="AS545" s="27" t="s">
        <v>300</v>
      </c>
      <c r="AT545" s="27" t="s">
        <v>5296</v>
      </c>
      <c r="AU545" s="84" t="s">
        <v>6170</v>
      </c>
      <c r="BM545" s="71"/>
      <c r="BN545" s="69"/>
      <c r="BO545" s="69"/>
      <c r="BP545" s="69"/>
      <c r="BQ545" s="77"/>
      <c r="BR545" s="77"/>
      <c r="BS545" s="77"/>
      <c r="BT545" s="77"/>
      <c r="BU545" s="77"/>
      <c r="BV545" s="77"/>
      <c r="BW545" s="77"/>
      <c r="BX545" s="77"/>
      <c r="BY545" s="77"/>
      <c r="BZ545" s="77"/>
      <c r="CA545" s="77"/>
      <c r="CB545" s="77"/>
      <c r="CC545" s="77"/>
      <c r="CD545" s="77"/>
      <c r="CE545" s="77"/>
      <c r="CF545" s="77"/>
      <c r="CG545" s="77"/>
      <c r="CH545" s="77"/>
      <c r="CI545" s="77"/>
      <c r="CJ545" s="77"/>
      <c r="CK545" s="77"/>
      <c r="CL545" s="77"/>
      <c r="CM545" s="77"/>
      <c r="CN545" s="77"/>
      <c r="CO545" s="77"/>
      <c r="CP545" s="77"/>
      <c r="CQ545" s="77"/>
      <c r="CR545" s="77"/>
      <c r="CS545" s="77"/>
      <c r="CT545" s="77"/>
      <c r="CU545" s="77"/>
      <c r="CV545" s="77"/>
      <c r="CW545" s="77"/>
      <c r="CX545" s="77"/>
      <c r="CY545" s="77"/>
      <c r="CZ545" s="77"/>
      <c r="DA545" s="77"/>
      <c r="DB545" s="77"/>
      <c r="DC545" s="77"/>
      <c r="DD545" s="77"/>
      <c r="DE545" s="77"/>
      <c r="DF545" s="77"/>
      <c r="DG545" s="77"/>
      <c r="DH545" s="77"/>
      <c r="DI545" s="77"/>
      <c r="DJ545" s="77"/>
      <c r="DK545" s="77"/>
      <c r="DL545" s="77"/>
      <c r="DM545" s="77"/>
      <c r="DN545" s="77"/>
      <c r="DO545" s="77"/>
      <c r="DP545" s="77"/>
      <c r="DQ545" s="77"/>
      <c r="DR545" s="77"/>
      <c r="DS545" s="77"/>
      <c r="DT545" s="77"/>
      <c r="DU545" s="77"/>
      <c r="DV545" s="77"/>
      <c r="DW545" s="77"/>
      <c r="DX545" s="77"/>
      <c r="DY545" s="77"/>
      <c r="DZ545" s="77"/>
      <c r="EA545" s="77"/>
      <c r="EB545" s="77"/>
      <c r="EC545" s="77"/>
      <c r="ED545" s="77"/>
      <c r="EE545" s="77"/>
      <c r="EF545" s="77"/>
      <c r="EG545" s="77"/>
      <c r="EH545" s="77"/>
      <c r="EI545" s="77"/>
      <c r="EJ545" s="77"/>
      <c r="EK545" s="77"/>
      <c r="EL545" s="77"/>
      <c r="EM545" s="77"/>
      <c r="EN545" s="77"/>
      <c r="EO545" s="77"/>
      <c r="EP545" s="77"/>
      <c r="EQ545" s="77"/>
      <c r="ER545" s="77"/>
      <c r="ES545" s="77"/>
      <c r="ET545" s="77"/>
      <c r="EU545" s="77"/>
      <c r="EV545" s="77"/>
      <c r="EW545" s="77"/>
      <c r="EX545" s="77"/>
      <c r="EY545" s="77"/>
      <c r="EZ545" s="77"/>
      <c r="FA545" s="77"/>
      <c r="FB545" s="77"/>
      <c r="FC545" s="77"/>
      <c r="FD545" s="77"/>
      <c r="FE545" s="77"/>
      <c r="FF545" s="77"/>
      <c r="FG545" s="77"/>
      <c r="FH545" s="77"/>
      <c r="FI545" s="77"/>
      <c r="FJ545" s="77"/>
      <c r="FK545" s="77"/>
      <c r="FL545" s="77"/>
      <c r="FM545" s="77"/>
      <c r="FN545" s="77"/>
      <c r="FO545" s="77"/>
      <c r="FP545" s="77"/>
      <c r="FQ545" s="77"/>
      <c r="FR545" s="77"/>
      <c r="FS545" s="77"/>
      <c r="FT545" s="77"/>
      <c r="FU545" s="77"/>
      <c r="FV545" s="77"/>
      <c r="FW545" s="77"/>
      <c r="FX545" s="77"/>
      <c r="FY545" s="77"/>
      <c r="FZ545" s="77"/>
      <c r="GA545" s="77"/>
      <c r="GB545" s="77"/>
      <c r="GC545" s="77"/>
      <c r="GD545" s="77"/>
      <c r="GE545" s="77"/>
      <c r="GF545" s="77"/>
      <c r="GG545" s="77"/>
      <c r="GH545" s="77"/>
      <c r="GI545" s="77"/>
      <c r="GJ545" s="77"/>
      <c r="GK545" s="77"/>
      <c r="GL545" s="77"/>
      <c r="GM545" s="77"/>
      <c r="GN545" s="77"/>
      <c r="GO545" s="77"/>
      <c r="GP545" s="77"/>
      <c r="GQ545" s="77"/>
      <c r="GR545" s="77"/>
      <c r="GS545" s="77"/>
      <c r="GT545" s="77"/>
      <c r="GU545" s="77"/>
      <c r="GV545" s="77"/>
      <c r="GW545" s="77"/>
      <c r="GX545" s="77"/>
      <c r="GY545" s="77"/>
      <c r="GZ545" s="77"/>
      <c r="HA545" s="77"/>
      <c r="HB545" s="77"/>
      <c r="HC545" s="77"/>
      <c r="HD545" s="77"/>
      <c r="HE545" s="77"/>
      <c r="HF545" s="77"/>
      <c r="HG545" s="77"/>
      <c r="HH545" s="77"/>
      <c r="HI545" s="77"/>
      <c r="HJ545" s="77"/>
      <c r="HK545" s="77"/>
      <c r="HL545" s="77"/>
      <c r="HM545" s="77"/>
      <c r="HN545" s="77"/>
      <c r="HO545" s="77"/>
      <c r="HP545" s="77"/>
      <c r="HQ545" s="77"/>
      <c r="HR545" s="77"/>
      <c r="HS545" s="77"/>
      <c r="HT545" s="77"/>
      <c r="HU545" s="77"/>
      <c r="HV545" s="77"/>
      <c r="HW545" s="77"/>
      <c r="HX545" s="77"/>
      <c r="HY545" s="77"/>
      <c r="HZ545" s="77"/>
      <c r="IA545" s="77"/>
      <c r="IB545" s="77"/>
      <c r="IC545" s="77"/>
      <c r="ID545" s="77"/>
      <c r="IE545" s="77"/>
      <c r="IF545" s="16"/>
      <c r="IG545" s="16"/>
      <c r="IH545" s="16"/>
      <c r="II545" s="16"/>
      <c r="IJ545" s="16"/>
      <c r="IK545" s="16"/>
      <c r="IL545" s="16"/>
      <c r="IM545" s="16"/>
      <c r="IN545" s="16"/>
      <c r="IO545" s="16"/>
      <c r="IP545" s="16"/>
      <c r="IQ545" s="16"/>
      <c r="IR545" s="16"/>
      <c r="IS545" s="16"/>
      <c r="IT545" s="16"/>
      <c r="IU545" s="16"/>
      <c r="IV545" s="16"/>
      <c r="IW545" s="16"/>
      <c r="IX545" s="16"/>
      <c r="IY545" s="16"/>
      <c r="IZ545" s="16"/>
      <c r="JA545" s="16"/>
      <c r="JB545" s="16"/>
      <c r="JC545" s="16"/>
      <c r="JD545" s="16"/>
      <c r="JE545" s="16"/>
      <c r="JF545" s="16"/>
      <c r="JG545" s="16"/>
      <c r="JH545" s="16"/>
      <c r="JI545" s="16"/>
      <c r="JJ545" s="16"/>
      <c r="JK545" s="16"/>
      <c r="JL545" s="16"/>
      <c r="JM545" s="16"/>
      <c r="JN545" s="16"/>
      <c r="JO545" s="16"/>
      <c r="JP545" s="16"/>
      <c r="JQ545" s="16"/>
      <c r="JR545" s="16"/>
      <c r="JS545" s="16"/>
      <c r="JT545" s="16"/>
      <c r="JU545" s="16"/>
      <c r="JV545" s="16"/>
      <c r="JW545" s="16"/>
      <c r="JX545" s="16"/>
      <c r="JY545" s="77"/>
      <c r="JZ545" s="77"/>
      <c r="KA545" s="77"/>
      <c r="KB545" s="77"/>
      <c r="KC545" s="77"/>
      <c r="KD545" s="77"/>
      <c r="KE545" s="77"/>
      <c r="KF545" s="77"/>
      <c r="KG545" s="77"/>
      <c r="KH545" s="77"/>
      <c r="KI545" s="77"/>
      <c r="KJ545" s="77"/>
      <c r="KK545" s="77"/>
      <c r="KL545" s="77"/>
      <c r="KM545" s="77"/>
      <c r="KN545" s="77"/>
      <c r="KO545" s="77"/>
      <c r="KP545" s="77"/>
      <c r="KQ545" s="77"/>
      <c r="KR545" s="77"/>
      <c r="KS545" s="77"/>
      <c r="KT545" s="77"/>
      <c r="KU545" s="77"/>
      <c r="KV545" s="77"/>
      <c r="KW545" s="77"/>
      <c r="KX545" s="77"/>
      <c r="KY545" s="77"/>
      <c r="KZ545" s="77"/>
      <c r="LA545" s="77"/>
      <c r="LB545" s="77"/>
      <c r="LC545" s="77"/>
      <c r="LD545" s="77"/>
      <c r="LE545" s="77"/>
      <c r="LF545" s="77"/>
      <c r="LG545" s="77"/>
      <c r="LH545" s="77"/>
      <c r="LI545" s="77"/>
      <c r="LJ545" s="77"/>
      <c r="LK545" s="77"/>
      <c r="LL545" s="16"/>
      <c r="LM545" s="16"/>
      <c r="LN545" s="16"/>
      <c r="LO545" s="16"/>
      <c r="LP545" s="16"/>
      <c r="LQ545" s="16"/>
      <c r="LR545" s="16"/>
      <c r="LS545" s="16"/>
      <c r="LT545" s="16"/>
      <c r="LU545" s="16"/>
      <c r="LV545" s="16"/>
      <c r="LW545" s="77"/>
      <c r="LX545" s="77"/>
    </row>
    <row r="546" spans="1:368" s="21" customFormat="1" ht="18.600000000000001" customHeight="1" x14ac:dyDescent="0.25">
      <c r="A546" s="119" t="s">
        <v>33</v>
      </c>
      <c r="B546" s="27" t="s">
        <v>851</v>
      </c>
      <c r="C546" s="27"/>
      <c r="D546" s="72" t="str">
        <f>HYPERLINK("https://twitter.com/djiboutidiplo","https://twitter.com/djiboutidiplo")</f>
        <v>https://twitter.com/djiboutidiplo</v>
      </c>
      <c r="E546" s="72" t="str">
        <f>HYPERLINK("http://twiplomacy.com/info/africa/Djibouti","http://twiplomacy.com/info/africa/Djibouti")</f>
        <v>http://twiplomacy.com/info/africa/Djibouti</v>
      </c>
      <c r="F546" s="20" t="s">
        <v>1</v>
      </c>
      <c r="G546" s="10" t="s">
        <v>31</v>
      </c>
      <c r="H546" s="10" t="s">
        <v>795</v>
      </c>
      <c r="I546" s="10" t="s">
        <v>782</v>
      </c>
      <c r="J546" s="27" t="s">
        <v>779</v>
      </c>
      <c r="K546" s="10" t="s">
        <v>777</v>
      </c>
      <c r="L546" s="10" t="s">
        <v>771</v>
      </c>
      <c r="M546" s="10" t="s">
        <v>770</v>
      </c>
      <c r="N546" s="30" t="str">
        <f>HYPERLINK("https://twitter.com/djiboutidiplo/status/472458637097455616","https://twitter.com/djiboutidiplo/status/472458637097455616")</f>
        <v>https://twitter.com/djiboutidiplo/status/472458637097455616</v>
      </c>
      <c r="O546" s="27" t="s">
        <v>5805</v>
      </c>
      <c r="P546" s="80">
        <v>7</v>
      </c>
      <c r="Q546" s="80">
        <v>2</v>
      </c>
      <c r="R546" s="27" t="s">
        <v>2995</v>
      </c>
      <c r="S546" s="30" t="str">
        <f>HYPERLINK("https://twitter.com/djiboutidiplo/lists","https://twitter.com/djiboutidiplo/lists")</f>
        <v>https://twitter.com/djiboutidiplo/lists</v>
      </c>
      <c r="T546" s="10" t="s">
        <v>771</v>
      </c>
      <c r="U546" s="10" t="s">
        <v>771</v>
      </c>
      <c r="V546" s="10" t="s">
        <v>771</v>
      </c>
      <c r="W546" s="10"/>
      <c r="X546" s="27" t="s">
        <v>33</v>
      </c>
      <c r="Y546" s="27" t="s">
        <v>851</v>
      </c>
      <c r="Z546" s="80">
        <v>518</v>
      </c>
      <c r="AA546" s="27">
        <v>1944</v>
      </c>
      <c r="AB546" s="80">
        <v>1622</v>
      </c>
      <c r="AC546" s="27">
        <v>0</v>
      </c>
      <c r="AD546" s="27" t="s">
        <v>3621</v>
      </c>
      <c r="AE546" s="27">
        <v>2535683936</v>
      </c>
      <c r="AF546" s="27"/>
      <c r="AG546" s="27" t="s">
        <v>31</v>
      </c>
      <c r="AH546" s="79">
        <v>0.73789173789173801</v>
      </c>
      <c r="AI546" s="83">
        <v>0.738944365192582</v>
      </c>
      <c r="AJ546" s="80">
        <v>0.78167641325536097</v>
      </c>
      <c r="AK546" s="80">
        <v>0.31968810916179302</v>
      </c>
      <c r="AL546" s="27">
        <v>3</v>
      </c>
      <c r="AM546" s="97">
        <f>SUM(AL546/Z546)</f>
        <v>5.7915057915057912E-3</v>
      </c>
      <c r="AN546" s="27" t="s">
        <v>33</v>
      </c>
      <c r="AO546" s="27">
        <v>24</v>
      </c>
      <c r="AP546" s="27">
        <v>9</v>
      </c>
      <c r="AQ546" s="27">
        <v>2</v>
      </c>
      <c r="AR546" s="27">
        <f>SUM(AO546:AQ546)</f>
        <v>35</v>
      </c>
      <c r="AS546" s="27" t="s">
        <v>5086</v>
      </c>
      <c r="AT546" s="27" t="s">
        <v>6703</v>
      </c>
      <c r="AU546" s="84" t="s">
        <v>4697</v>
      </c>
      <c r="AV546" s="77"/>
      <c r="AW546" s="77"/>
      <c r="AX546" s="77"/>
      <c r="AY546" s="77"/>
      <c r="AZ546" s="77"/>
      <c r="BA546" s="77"/>
      <c r="BB546" s="77"/>
      <c r="BC546" s="77"/>
      <c r="BD546" s="77"/>
      <c r="BE546" s="77"/>
      <c r="BF546" s="77"/>
      <c r="BG546" s="77"/>
      <c r="BH546" s="77"/>
      <c r="BI546" s="77"/>
      <c r="BJ546" s="77"/>
      <c r="BK546" s="77"/>
      <c r="BL546" s="77"/>
      <c r="BM546" s="77"/>
      <c r="BN546" s="77"/>
      <c r="BO546" s="77"/>
      <c r="BP546" s="77"/>
      <c r="BQ546" s="16"/>
      <c r="BR546" s="16"/>
      <c r="BS546" s="16"/>
      <c r="BT546" s="16"/>
      <c r="BU546" s="16"/>
      <c r="BV546" s="16"/>
      <c r="BW546" s="16"/>
      <c r="BX546" s="16"/>
      <c r="BY546" s="16"/>
      <c r="BZ546" s="16"/>
      <c r="CA546" s="16"/>
      <c r="CB546" s="16"/>
      <c r="CC546" s="77"/>
      <c r="CD546" s="77"/>
      <c r="CE546" s="77"/>
      <c r="CF546" s="77"/>
      <c r="CG546" s="77"/>
      <c r="CH546" s="77"/>
      <c r="CI546" s="77"/>
      <c r="CJ546" s="77"/>
      <c r="CK546" s="77"/>
      <c r="CL546" s="77"/>
      <c r="CM546" s="77"/>
      <c r="CN546" s="77"/>
      <c r="CO546" s="77"/>
      <c r="CP546" s="77"/>
      <c r="CQ546" s="77"/>
      <c r="CR546" s="77"/>
      <c r="CS546" s="77"/>
      <c r="CT546" s="77"/>
      <c r="CU546" s="77"/>
      <c r="CV546" s="77"/>
      <c r="CW546" s="77"/>
      <c r="CX546" s="77"/>
      <c r="CY546" s="77"/>
      <c r="CZ546" s="77"/>
      <c r="DA546" s="77"/>
      <c r="DB546" s="77"/>
      <c r="DC546" s="77"/>
      <c r="DD546" s="77"/>
      <c r="DE546" s="77"/>
      <c r="DF546" s="77"/>
      <c r="DG546" s="77"/>
      <c r="DH546" s="77"/>
      <c r="DI546" s="77"/>
      <c r="DJ546" s="77"/>
      <c r="DK546" s="77"/>
      <c r="DL546" s="77"/>
      <c r="DM546" s="77"/>
      <c r="DN546" s="77"/>
      <c r="DO546" s="77"/>
      <c r="DP546" s="77"/>
      <c r="DQ546" s="77"/>
      <c r="DR546" s="77"/>
      <c r="DS546" s="77"/>
      <c r="DT546" s="77"/>
      <c r="DU546" s="77"/>
      <c r="DV546" s="77"/>
      <c r="DW546" s="77"/>
      <c r="DX546" s="77"/>
      <c r="DY546" s="77"/>
      <c r="DZ546" s="77"/>
      <c r="EA546" s="77"/>
      <c r="EB546" s="77"/>
      <c r="EC546" s="77"/>
      <c r="ED546" s="77"/>
      <c r="EE546" s="77"/>
      <c r="EF546" s="77"/>
      <c r="EG546" s="77"/>
      <c r="EH546" s="77"/>
      <c r="EI546" s="77"/>
      <c r="EJ546" s="77"/>
      <c r="EK546" s="77"/>
      <c r="EL546" s="77"/>
      <c r="EM546" s="77"/>
      <c r="EN546" s="77"/>
      <c r="EO546" s="77"/>
      <c r="EP546" s="77"/>
      <c r="EQ546" s="16"/>
      <c r="ER546" s="77"/>
      <c r="ES546" s="77"/>
      <c r="ET546" s="77"/>
      <c r="EU546" s="77"/>
      <c r="EV546" s="77"/>
      <c r="EW546" s="77"/>
      <c r="EX546" s="77"/>
      <c r="EY546" s="77"/>
      <c r="EZ546" s="77"/>
      <c r="FA546" s="77"/>
      <c r="FB546" s="77"/>
      <c r="FC546" s="77"/>
      <c r="FD546" s="77"/>
      <c r="FE546" s="77"/>
      <c r="FF546" s="77"/>
      <c r="FG546" s="77"/>
      <c r="FH546" s="77"/>
      <c r="FI546" s="77"/>
      <c r="FJ546" s="77"/>
      <c r="FK546" s="77"/>
      <c r="FL546" s="77"/>
      <c r="FM546" s="77"/>
      <c r="FN546" s="77"/>
      <c r="FO546" s="77"/>
      <c r="FP546" s="77"/>
      <c r="FQ546" s="77"/>
      <c r="FR546" s="77"/>
      <c r="FS546" s="77"/>
      <c r="FT546" s="77"/>
      <c r="FU546" s="77"/>
      <c r="FV546" s="77"/>
      <c r="FW546" s="77"/>
      <c r="FX546" s="77"/>
      <c r="FY546" s="77"/>
      <c r="FZ546" s="77"/>
      <c r="GA546" s="77"/>
      <c r="GB546" s="77"/>
      <c r="GC546" s="77"/>
      <c r="GD546" s="77"/>
      <c r="GE546" s="77"/>
      <c r="GF546" s="77"/>
      <c r="GG546" s="77"/>
      <c r="GH546" s="77"/>
      <c r="GI546" s="77"/>
      <c r="GJ546" s="77"/>
      <c r="GK546" s="77"/>
      <c r="HL546" s="77"/>
      <c r="HM546" s="77"/>
      <c r="HN546" s="77"/>
      <c r="HO546" s="77"/>
      <c r="HP546" s="77"/>
      <c r="HQ546" s="77"/>
      <c r="HR546" s="77"/>
      <c r="HS546" s="77"/>
      <c r="HT546" s="77"/>
      <c r="HU546" s="77"/>
      <c r="HV546" s="77"/>
      <c r="HW546" s="77"/>
      <c r="HX546" s="77"/>
      <c r="HY546" s="77"/>
      <c r="HZ546" s="77"/>
      <c r="IA546" s="77"/>
      <c r="IB546" s="77"/>
      <c r="IC546" s="77"/>
      <c r="ID546" s="77"/>
      <c r="IE546" s="77"/>
      <c r="IF546" s="77"/>
      <c r="IG546" s="77"/>
      <c r="IH546" s="77"/>
      <c r="II546" s="77"/>
      <c r="IJ546" s="77"/>
      <c r="IK546" s="77"/>
      <c r="IL546" s="77"/>
      <c r="IM546" s="77"/>
      <c r="IN546" s="77"/>
      <c r="IO546" s="77"/>
      <c r="IP546" s="77"/>
      <c r="IQ546" s="77"/>
      <c r="IR546" s="77"/>
      <c r="IS546" s="77"/>
      <c r="IT546" s="77"/>
      <c r="IU546" s="77"/>
      <c r="IV546" s="77"/>
      <c r="IW546" s="77"/>
      <c r="IX546" s="77"/>
      <c r="IY546" s="77"/>
      <c r="IZ546" s="77"/>
      <c r="JA546" s="77"/>
      <c r="JB546" s="77"/>
      <c r="JC546" s="77"/>
      <c r="JD546" s="77"/>
      <c r="JE546" s="77"/>
      <c r="JF546" s="77"/>
      <c r="JG546" s="77"/>
      <c r="JH546" s="77"/>
      <c r="JI546" s="77"/>
      <c r="JJ546" s="77"/>
      <c r="JK546" s="77"/>
      <c r="JL546" s="77"/>
      <c r="JM546" s="77"/>
      <c r="JN546" s="77"/>
      <c r="JO546" s="77"/>
      <c r="JP546" s="77"/>
      <c r="JQ546" s="77"/>
      <c r="JR546" s="77"/>
      <c r="JS546" s="77"/>
      <c r="JT546" s="77"/>
      <c r="JU546" s="77"/>
      <c r="JV546" s="77"/>
      <c r="JW546" s="77"/>
      <c r="JX546" s="77"/>
      <c r="KM546" s="77"/>
      <c r="KN546" s="77"/>
      <c r="KO546" s="77"/>
      <c r="KP546" s="77"/>
      <c r="KQ546" s="77"/>
      <c r="KR546" s="77"/>
      <c r="KS546" s="77"/>
      <c r="KT546" s="77"/>
      <c r="KU546" s="77"/>
      <c r="KV546" s="77"/>
      <c r="KW546" s="77"/>
      <c r="KX546" s="77"/>
      <c r="KY546" s="77"/>
      <c r="KZ546" s="77"/>
      <c r="LA546" s="77"/>
      <c r="LB546" s="77"/>
      <c r="LC546" s="77"/>
      <c r="LD546" s="77"/>
      <c r="LE546" s="77"/>
      <c r="LF546" s="77"/>
      <c r="LG546" s="77"/>
      <c r="LH546" s="77"/>
      <c r="LI546" s="77"/>
      <c r="LJ546" s="77"/>
      <c r="LK546" s="77"/>
      <c r="MS546" s="77"/>
    </row>
    <row r="547" spans="1:368" s="21" customFormat="1" ht="18.600000000000001" customHeight="1" x14ac:dyDescent="0.25">
      <c r="A547" s="119" t="s">
        <v>126</v>
      </c>
      <c r="B547" s="27" t="s">
        <v>1111</v>
      </c>
      <c r="C547" s="27"/>
      <c r="D547" s="30" t="str">
        <f>HYPERLINK("https://twitter.com/mofasudan","https://twitter.com/mofasudan")</f>
        <v>https://twitter.com/mofasudan</v>
      </c>
      <c r="E547" s="30" t="str">
        <f>HYPERLINK("http://twiplomacy.com/info/africa/Sudan","http://twiplomacy.com/info/africa/Sudan")</f>
        <v>http://twiplomacy.com/info/africa/Sudan</v>
      </c>
      <c r="F547" s="10" t="s">
        <v>1</v>
      </c>
      <c r="G547" s="10" t="s">
        <v>125</v>
      </c>
      <c r="H547" s="10" t="s">
        <v>795</v>
      </c>
      <c r="I547" s="10" t="s">
        <v>782</v>
      </c>
      <c r="J547" s="27" t="s">
        <v>789</v>
      </c>
      <c r="K547" s="15" t="s">
        <v>777</v>
      </c>
      <c r="L547" s="10" t="s">
        <v>771</v>
      </c>
      <c r="M547" s="10" t="s">
        <v>771</v>
      </c>
      <c r="N547" s="30" t="str">
        <f>HYPERLINK("https://twitter.com/mofasudan/status/449882897080909824","https://twitter.com/mofasudan/status/449882897080909824")</f>
        <v>https://twitter.com/mofasudan/status/449882897080909824</v>
      </c>
      <c r="O547" s="30" t="str">
        <f>HYPERLINK("https://twitter.com/mofasudan/statuses/580440943469395971","https://twitter.com/mofasudan/statuses/580440943469395971")</f>
        <v>https://twitter.com/mofasudan/statuses/580440943469395971</v>
      </c>
      <c r="P547" s="46">
        <v>3</v>
      </c>
      <c r="Q547" s="46">
        <v>0</v>
      </c>
      <c r="R547" s="27" t="s">
        <v>2995</v>
      </c>
      <c r="S547" s="30" t="str">
        <f>HYPERLINK("https://twitter.com/mofasudan/lists","https://twitter.com/mofasudan/lists")</f>
        <v>https://twitter.com/mofasudan/lists</v>
      </c>
      <c r="T547" s="10" t="s">
        <v>771</v>
      </c>
      <c r="U547" s="10" t="s">
        <v>771</v>
      </c>
      <c r="V547" s="10" t="s">
        <v>771</v>
      </c>
      <c r="W547" s="10"/>
      <c r="X547" s="27" t="s">
        <v>126</v>
      </c>
      <c r="Y547" s="27" t="s">
        <v>1111</v>
      </c>
      <c r="Z547" s="80">
        <v>510</v>
      </c>
      <c r="AA547" s="27">
        <v>8</v>
      </c>
      <c r="AB547" s="80">
        <v>1433</v>
      </c>
      <c r="AC547" s="27">
        <v>0</v>
      </c>
      <c r="AD547" s="27" t="s">
        <v>4160</v>
      </c>
      <c r="AE547" s="27">
        <v>2417342988</v>
      </c>
      <c r="AF547" s="27"/>
      <c r="AG547" s="27"/>
      <c r="AH547" s="79">
        <v>0.66666666666666696</v>
      </c>
      <c r="AI547" s="83">
        <v>0.73170731707317105</v>
      </c>
      <c r="AJ547" s="80">
        <v>8.8235294117647106E-2</v>
      </c>
      <c r="AK547" s="80">
        <v>0.17450980392156901</v>
      </c>
      <c r="AL547" s="13">
        <v>0</v>
      </c>
      <c r="AM547" s="97">
        <f>SUM(AL547/Z547)</f>
        <v>0</v>
      </c>
      <c r="AN547" s="27" t="s">
        <v>126</v>
      </c>
      <c r="AO547" s="27">
        <v>0</v>
      </c>
      <c r="AP547" s="27">
        <v>6</v>
      </c>
      <c r="AQ547" s="27">
        <v>0</v>
      </c>
      <c r="AR547" s="27">
        <f>SUM(AO547:AQ547)</f>
        <v>6</v>
      </c>
      <c r="AS547" s="27"/>
      <c r="AT547" s="27" t="s">
        <v>5345</v>
      </c>
      <c r="AU547" s="84"/>
      <c r="AV547" s="77"/>
      <c r="AW547" s="77"/>
      <c r="AX547" s="77"/>
      <c r="AY547" s="77"/>
      <c r="AZ547" s="77"/>
      <c r="BA547" s="77"/>
      <c r="BB547" s="77"/>
      <c r="BC547" s="77"/>
      <c r="BD547" s="77"/>
      <c r="BE547" s="77"/>
      <c r="BF547" s="77"/>
      <c r="BG547" s="77"/>
      <c r="BH547" s="77"/>
      <c r="BI547" s="77"/>
      <c r="BJ547" s="77"/>
      <c r="BK547" s="77"/>
      <c r="BL547" s="77"/>
      <c r="BM547" s="77"/>
      <c r="BN547" s="77"/>
      <c r="BO547" s="77"/>
      <c r="BP547" s="77"/>
      <c r="BQ547" s="71"/>
      <c r="BR547" s="71"/>
      <c r="BS547" s="71"/>
      <c r="BT547" s="71"/>
      <c r="BU547" s="71"/>
      <c r="BV547" s="71"/>
      <c r="BW547" s="71"/>
      <c r="BX547" s="71"/>
      <c r="BY547" s="71"/>
      <c r="BZ547" s="71"/>
      <c r="CA547" s="71"/>
      <c r="CB547" s="71"/>
      <c r="CC547" s="77"/>
      <c r="CD547" s="77"/>
      <c r="CE547" s="77"/>
      <c r="CF547" s="77"/>
      <c r="CG547" s="77"/>
      <c r="CH547" s="77"/>
      <c r="CI547" s="77"/>
      <c r="CJ547" s="77"/>
      <c r="CK547" s="77"/>
      <c r="CL547" s="77"/>
      <c r="CM547" s="77"/>
      <c r="CN547" s="77"/>
      <c r="CO547" s="77"/>
      <c r="CP547" s="77"/>
      <c r="CQ547" s="77"/>
      <c r="CR547" s="77"/>
      <c r="CS547" s="77"/>
      <c r="CT547" s="77"/>
      <c r="CU547" s="77"/>
      <c r="CV547" s="77"/>
      <c r="CW547" s="77"/>
      <c r="CX547" s="77"/>
      <c r="CY547" s="77"/>
      <c r="CZ547" s="77"/>
      <c r="DA547" s="77"/>
      <c r="DB547" s="77"/>
      <c r="DC547" s="77"/>
      <c r="DD547" s="77"/>
      <c r="DE547" s="77"/>
      <c r="DF547" s="77"/>
      <c r="DG547" s="77"/>
      <c r="DH547" s="77"/>
      <c r="DI547" s="77"/>
      <c r="DJ547" s="77"/>
      <c r="DK547" s="77"/>
      <c r="DL547" s="77"/>
      <c r="DM547" s="77"/>
      <c r="DN547" s="77"/>
      <c r="DO547" s="77"/>
      <c r="DP547" s="77"/>
      <c r="DQ547" s="77"/>
      <c r="DR547" s="77"/>
      <c r="DS547" s="77"/>
      <c r="DT547" s="77"/>
      <c r="DU547" s="77"/>
      <c r="DV547" s="77"/>
      <c r="DW547" s="77"/>
      <c r="DX547" s="77"/>
      <c r="DY547" s="77"/>
      <c r="DZ547" s="77"/>
      <c r="EA547" s="77"/>
      <c r="EB547" s="77"/>
      <c r="EC547" s="77"/>
      <c r="ED547" s="77"/>
      <c r="EE547" s="77"/>
      <c r="EF547" s="77"/>
      <c r="EG547" s="77"/>
      <c r="EH547" s="77"/>
      <c r="EI547" s="77"/>
      <c r="EJ547" s="77"/>
      <c r="EK547" s="77"/>
      <c r="EL547" s="77"/>
      <c r="EM547" s="77"/>
      <c r="EN547" s="77"/>
      <c r="EO547" s="77"/>
      <c r="EP547" s="16"/>
      <c r="EQ547" s="77"/>
      <c r="ER547" s="77"/>
      <c r="ES547" s="77"/>
      <c r="ET547" s="77"/>
      <c r="EU547" s="77"/>
      <c r="EV547" s="77"/>
      <c r="EW547" s="77"/>
      <c r="EX547" s="77"/>
      <c r="EY547" s="77"/>
      <c r="EZ547" s="77"/>
      <c r="FA547" s="77"/>
      <c r="FB547" s="77"/>
      <c r="FC547" s="77"/>
      <c r="FD547" s="77"/>
      <c r="FE547" s="77"/>
      <c r="FF547" s="77"/>
      <c r="FG547" s="77"/>
      <c r="FH547" s="77"/>
      <c r="FI547" s="77"/>
      <c r="FJ547" s="77"/>
      <c r="FK547" s="77"/>
      <c r="FL547" s="77"/>
      <c r="FM547" s="77"/>
      <c r="FN547" s="77"/>
      <c r="FO547" s="77"/>
      <c r="FP547" s="77"/>
      <c r="FQ547" s="77"/>
      <c r="FR547" s="77"/>
      <c r="FS547" s="77"/>
      <c r="FT547" s="77"/>
      <c r="FU547" s="77"/>
      <c r="FV547" s="77"/>
      <c r="FW547" s="77"/>
      <c r="FX547" s="77"/>
      <c r="FY547" s="77"/>
      <c r="FZ547" s="77"/>
      <c r="GA547" s="77"/>
      <c r="GB547" s="77"/>
      <c r="GC547" s="77"/>
      <c r="GD547" s="77"/>
      <c r="GE547" s="77"/>
      <c r="GF547" s="77"/>
      <c r="GG547" s="77"/>
      <c r="GH547" s="77"/>
      <c r="GI547" s="77"/>
      <c r="GJ547" s="77"/>
      <c r="GK547" s="77"/>
      <c r="GL547" s="77"/>
      <c r="GM547" s="77"/>
      <c r="GN547" s="77"/>
      <c r="GO547" s="77"/>
      <c r="GP547" s="77"/>
      <c r="GQ547" s="77"/>
      <c r="GR547" s="77"/>
      <c r="GS547" s="77"/>
      <c r="GT547" s="77"/>
      <c r="GU547" s="77"/>
      <c r="GV547" s="77"/>
      <c r="GW547" s="77"/>
      <c r="GX547" s="77"/>
      <c r="GY547" s="77"/>
      <c r="GZ547" s="77"/>
      <c r="HA547" s="77"/>
      <c r="HB547" s="77"/>
      <c r="HC547" s="77"/>
      <c r="HD547" s="77"/>
      <c r="HE547" s="77"/>
      <c r="HF547" s="77"/>
      <c r="HG547" s="77"/>
      <c r="HH547" s="77"/>
      <c r="HI547" s="77"/>
      <c r="HJ547" s="77"/>
      <c r="HK547" s="77"/>
      <c r="HL547" s="77"/>
      <c r="HM547" s="77"/>
      <c r="HN547" s="77"/>
      <c r="HO547" s="77"/>
      <c r="HP547" s="77"/>
      <c r="HQ547" s="77"/>
      <c r="HR547" s="77"/>
      <c r="HS547" s="77"/>
      <c r="HT547" s="77"/>
      <c r="HU547" s="77"/>
      <c r="HV547" s="77"/>
      <c r="HW547" s="77"/>
      <c r="HX547" s="77"/>
      <c r="HY547" s="77"/>
      <c r="HZ547" s="77"/>
      <c r="IA547" s="77"/>
      <c r="IB547" s="77"/>
      <c r="IC547" s="77"/>
      <c r="IF547" s="77"/>
      <c r="IG547" s="77"/>
      <c r="IH547" s="77"/>
      <c r="II547" s="77"/>
      <c r="IJ547" s="77"/>
      <c r="IK547" s="77"/>
      <c r="IL547" s="77"/>
      <c r="IM547" s="77"/>
      <c r="IN547" s="77"/>
      <c r="IO547" s="77"/>
      <c r="IP547" s="77"/>
      <c r="IQ547" s="77"/>
      <c r="IR547" s="77"/>
      <c r="IS547" s="77"/>
      <c r="IT547" s="77"/>
      <c r="IU547" s="77"/>
      <c r="IV547" s="77"/>
      <c r="IW547" s="77"/>
      <c r="IX547" s="77"/>
      <c r="IY547" s="77"/>
      <c r="IZ547" s="77"/>
      <c r="JA547" s="77"/>
      <c r="JB547" s="77"/>
      <c r="JC547" s="77"/>
      <c r="JD547" s="77"/>
      <c r="JE547" s="77"/>
      <c r="JF547" s="77"/>
      <c r="JG547" s="77"/>
      <c r="JH547" s="77"/>
      <c r="JI547" s="77"/>
      <c r="JJ547" s="77"/>
      <c r="JK547" s="77"/>
      <c r="JL547" s="77"/>
      <c r="JM547" s="77"/>
      <c r="JN547" s="77"/>
      <c r="JO547" s="77"/>
      <c r="JP547" s="77"/>
      <c r="JQ547" s="77"/>
      <c r="JR547" s="77"/>
      <c r="JS547" s="77"/>
      <c r="JT547" s="77"/>
      <c r="JU547" s="77"/>
      <c r="JV547" s="77"/>
      <c r="JW547" s="77"/>
      <c r="JX547" s="77"/>
      <c r="JY547" s="77"/>
      <c r="JZ547" s="77"/>
      <c r="KA547" s="77"/>
      <c r="KB547" s="77"/>
      <c r="KC547" s="77"/>
      <c r="KD547" s="77"/>
      <c r="KE547" s="77"/>
      <c r="KF547" s="77"/>
      <c r="KG547" s="77"/>
      <c r="KH547" s="77"/>
      <c r="KI547" s="77"/>
      <c r="KJ547" s="77"/>
      <c r="KK547" s="77"/>
      <c r="KL547" s="77"/>
      <c r="KM547" s="77"/>
      <c r="KN547" s="77"/>
      <c r="KO547" s="77"/>
      <c r="KP547" s="77"/>
      <c r="KQ547" s="77"/>
      <c r="KR547" s="77"/>
      <c r="KS547" s="77"/>
      <c r="KT547" s="77"/>
      <c r="KU547" s="77"/>
      <c r="KV547" s="77"/>
      <c r="KW547" s="77"/>
      <c r="KX547" s="77"/>
      <c r="KY547" s="77"/>
      <c r="KZ547" s="77"/>
      <c r="LA547" s="77"/>
      <c r="LB547" s="77"/>
      <c r="LC547" s="77"/>
      <c r="LD547" s="77"/>
      <c r="LE547" s="77"/>
      <c r="LF547" s="77"/>
      <c r="LG547" s="77"/>
      <c r="LH547" s="77"/>
      <c r="LI547" s="77"/>
      <c r="LJ547" s="77"/>
      <c r="LK547" s="77"/>
      <c r="LY547" s="77"/>
      <c r="LZ547" s="77"/>
      <c r="MA547" s="77"/>
      <c r="MB547" s="77"/>
      <c r="MC547" s="77"/>
      <c r="MD547" s="77"/>
      <c r="ME547" s="77"/>
      <c r="MF547" s="77"/>
      <c r="MG547" s="77"/>
      <c r="MH547" s="77"/>
      <c r="MI547" s="77"/>
      <c r="MJ547" s="77"/>
      <c r="MK547" s="77"/>
      <c r="ML547" s="77"/>
      <c r="MM547" s="77"/>
      <c r="MN547" s="77"/>
      <c r="MO547" s="77"/>
      <c r="MP547" s="77"/>
      <c r="MQ547" s="77"/>
      <c r="MR547" s="77"/>
      <c r="MS547" s="77"/>
    </row>
    <row r="548" spans="1:368" s="21" customFormat="1" ht="18.600000000000001" customHeight="1" x14ac:dyDescent="0.25">
      <c r="A548" s="119" t="s">
        <v>293</v>
      </c>
      <c r="B548" s="27" t="s">
        <v>1604</v>
      </c>
      <c r="C548" s="27" t="s">
        <v>1605</v>
      </c>
      <c r="D548" s="30" t="str">
        <f>HYPERLINK("https://twitter.com/GH_PARK","https://twitter.com/GH_PARK")</f>
        <v>https://twitter.com/GH_PARK</v>
      </c>
      <c r="E548" s="30" t="str">
        <f>HYPERLINK("http://twiplomacy.com/info/asia/South-Korea","http://twiplomacy.com/info/asia/South-Korea")</f>
        <v>http://twiplomacy.com/info/asia/South-Korea</v>
      </c>
      <c r="F548" s="10" t="s">
        <v>154</v>
      </c>
      <c r="G548" s="10" t="s">
        <v>292</v>
      </c>
      <c r="H548" s="10" t="s">
        <v>772</v>
      </c>
      <c r="I548" s="10" t="s">
        <v>773</v>
      </c>
      <c r="J548" s="27" t="s">
        <v>1606</v>
      </c>
      <c r="K548" s="15" t="s">
        <v>1141</v>
      </c>
      <c r="L548" s="10" t="s">
        <v>771</v>
      </c>
      <c r="M548" s="10" t="s">
        <v>770</v>
      </c>
      <c r="N548" s="30" t="str">
        <f>HYPERLINK("https://twitter.com/GH_PARK/statuses/17479058027","https://twitter.com/GH_PARK/statuses/17479058027")</f>
        <v>https://twitter.com/GH_PARK/statuses/17479058027</v>
      </c>
      <c r="O548" s="30" t="str">
        <f>HYPERLINK("https://twitter.com/GH_PARK/statuses/280564657905864704","https://twitter.com/GH_PARK/statuses/280564657905864704")</f>
        <v>https://twitter.com/GH_PARK/statuses/280564657905864704</v>
      </c>
      <c r="P548" s="46">
        <v>2078</v>
      </c>
      <c r="Q548" s="46">
        <v>278</v>
      </c>
      <c r="R548" s="27" t="s">
        <v>2994</v>
      </c>
      <c r="S548" s="30" t="str">
        <f>HYPERLINK("https://twitter.com/GH_PARK/lists","https://twitter.com/GH_PARK/lists")</f>
        <v>https://twitter.com/GH_PARK/lists</v>
      </c>
      <c r="T548" s="10">
        <v>1</v>
      </c>
      <c r="U548" s="10" t="s">
        <v>771</v>
      </c>
      <c r="V548" s="30" t="str">
        <f>HYPERLINK("https://twitter.com/GH_PARK/most-liked/members","https://twitter.com/GH_PARK/most-liked/members")</f>
        <v>https://twitter.com/GH_PARK/most-liked/members</v>
      </c>
      <c r="W548" s="10">
        <v>0</v>
      </c>
      <c r="X548" s="27" t="s">
        <v>293</v>
      </c>
      <c r="Y548" s="27" t="s">
        <v>1604</v>
      </c>
      <c r="Z548" s="80">
        <v>509</v>
      </c>
      <c r="AA548" s="27">
        <v>60372</v>
      </c>
      <c r="AB548" s="80">
        <v>408373</v>
      </c>
      <c r="AC548" s="27">
        <v>1</v>
      </c>
      <c r="AD548" s="27" t="s">
        <v>3720</v>
      </c>
      <c r="AE548" s="27">
        <v>134732045</v>
      </c>
      <c r="AF548" s="27" t="s">
        <v>1605</v>
      </c>
      <c r="AG548" s="27"/>
      <c r="AH548" s="79">
        <v>0.23083900226757401</v>
      </c>
      <c r="AI548" s="83">
        <v>0.45325022261798797</v>
      </c>
      <c r="AJ548" s="80">
        <v>234.25902335456499</v>
      </c>
      <c r="AK548" s="80">
        <v>47.696390658174103</v>
      </c>
      <c r="AL548" s="27">
        <v>72</v>
      </c>
      <c r="AM548" s="97">
        <f>SUM(AL548/Z548)</f>
        <v>0.14145383104125736</v>
      </c>
      <c r="AN548" s="27" t="s">
        <v>293</v>
      </c>
      <c r="AO548" s="27">
        <v>0</v>
      </c>
      <c r="AP548" s="27">
        <v>11</v>
      </c>
      <c r="AQ548" s="27">
        <v>1</v>
      </c>
      <c r="AR548" s="27">
        <f>SUM(AO548:AQ548)</f>
        <v>12</v>
      </c>
      <c r="AS548" s="27"/>
      <c r="AT548" s="27" t="s">
        <v>6731</v>
      </c>
      <c r="AU548" s="84" t="s">
        <v>298</v>
      </c>
      <c r="AV548" s="77"/>
      <c r="AW548" s="77"/>
      <c r="AX548" s="77"/>
      <c r="AY548" s="77"/>
      <c r="AZ548" s="77"/>
      <c r="BA548" s="77"/>
      <c r="BB548" s="77"/>
      <c r="BC548" s="77"/>
      <c r="BD548" s="77"/>
      <c r="BE548" s="77"/>
      <c r="BF548" s="77"/>
      <c r="BG548" s="77"/>
      <c r="BH548" s="77"/>
      <c r="BI548" s="77"/>
      <c r="BJ548" s="77"/>
      <c r="BK548" s="77"/>
      <c r="BL548" s="77"/>
      <c r="BM548" s="77"/>
      <c r="BN548" s="77"/>
      <c r="BO548" s="77"/>
      <c r="BP548" s="77"/>
      <c r="BQ548" s="77"/>
      <c r="BR548" s="77"/>
      <c r="BS548" s="77"/>
      <c r="BT548" s="77"/>
      <c r="BU548" s="77"/>
      <c r="BV548" s="77"/>
      <c r="BW548" s="77"/>
      <c r="BX548" s="77"/>
      <c r="BY548" s="77"/>
      <c r="BZ548" s="77"/>
      <c r="CA548" s="77"/>
      <c r="CB548" s="77"/>
      <c r="CK548" s="77"/>
      <c r="CL548" s="77"/>
      <c r="CM548" s="77"/>
      <c r="CN548" s="77"/>
      <c r="CO548" s="77"/>
      <c r="CP548" s="77"/>
      <c r="CQ548" s="77"/>
      <c r="CR548" s="77"/>
      <c r="CS548" s="77"/>
      <c r="CT548" s="77"/>
      <c r="CU548" s="77"/>
      <c r="CV548" s="77"/>
      <c r="CW548" s="77"/>
      <c r="EM548" s="77"/>
      <c r="EN548" s="77"/>
      <c r="EO548" s="77"/>
      <c r="EP548" s="77"/>
      <c r="EQ548" s="77"/>
      <c r="ER548" s="77"/>
      <c r="ES548" s="77"/>
      <c r="ET548" s="77"/>
      <c r="EU548" s="77"/>
      <c r="EV548" s="77"/>
      <c r="EW548" s="77"/>
      <c r="EX548" s="77"/>
      <c r="EY548" s="77"/>
      <c r="EZ548" s="77"/>
      <c r="FA548" s="77"/>
      <c r="FB548" s="77"/>
      <c r="FC548" s="77"/>
      <c r="FD548" s="77"/>
      <c r="FE548" s="77"/>
      <c r="FF548" s="77"/>
      <c r="FG548" s="77"/>
      <c r="FH548" s="77"/>
      <c r="FI548" s="77"/>
      <c r="FJ548" s="77"/>
      <c r="FK548" s="77"/>
      <c r="FL548" s="77"/>
      <c r="FM548" s="77"/>
      <c r="FN548" s="77"/>
      <c r="FO548" s="77"/>
      <c r="FP548" s="77"/>
      <c r="FQ548" s="77"/>
      <c r="FR548" s="77"/>
      <c r="FS548" s="77"/>
      <c r="FT548" s="77"/>
      <c r="FU548" s="77"/>
      <c r="FV548" s="77"/>
      <c r="FW548" s="77"/>
      <c r="FX548" s="77"/>
      <c r="FY548" s="77"/>
      <c r="FZ548" s="77"/>
      <c r="GA548" s="77"/>
      <c r="GB548" s="77"/>
      <c r="GC548" s="77"/>
      <c r="GD548" s="77"/>
      <c r="GE548" s="77"/>
      <c r="GF548" s="77"/>
      <c r="GG548" s="77"/>
      <c r="GH548" s="77"/>
      <c r="GI548" s="77"/>
      <c r="GJ548" s="77"/>
      <c r="GK548" s="77"/>
      <c r="GL548" s="77"/>
      <c r="GM548" s="77"/>
      <c r="GN548" s="77"/>
      <c r="GO548" s="77"/>
      <c r="GP548" s="77"/>
      <c r="GQ548" s="77"/>
      <c r="GR548" s="77"/>
      <c r="GS548" s="77"/>
      <c r="GT548" s="77"/>
      <c r="GU548" s="77"/>
      <c r="GV548" s="77"/>
      <c r="GW548" s="77"/>
      <c r="GX548" s="77"/>
      <c r="GY548" s="77"/>
      <c r="GZ548" s="77"/>
      <c r="HA548" s="77"/>
      <c r="HB548" s="77"/>
      <c r="HC548" s="77"/>
      <c r="HD548" s="77"/>
      <c r="HE548" s="77"/>
      <c r="HF548" s="77"/>
      <c r="HG548" s="77"/>
      <c r="HH548" s="77"/>
      <c r="HI548" s="77"/>
      <c r="HJ548" s="77"/>
      <c r="HK548" s="77"/>
      <c r="HL548" s="77"/>
      <c r="HM548" s="77"/>
      <c r="HN548" s="77"/>
      <c r="HO548" s="77"/>
      <c r="HP548" s="77"/>
      <c r="HQ548" s="77"/>
      <c r="HR548" s="77"/>
      <c r="HS548" s="77"/>
      <c r="HT548" s="77"/>
      <c r="HU548" s="77"/>
      <c r="HV548" s="77"/>
      <c r="HW548" s="77"/>
      <c r="HX548" s="77"/>
      <c r="HY548" s="77"/>
      <c r="HZ548" s="77"/>
      <c r="IA548" s="77"/>
      <c r="IB548" s="77"/>
      <c r="IC548" s="77"/>
      <c r="ID548" s="77"/>
      <c r="IE548" s="77"/>
      <c r="IF548" s="77"/>
      <c r="IG548" s="77"/>
      <c r="IH548" s="77"/>
      <c r="II548" s="77"/>
      <c r="IJ548" s="77"/>
      <c r="IK548" s="77"/>
      <c r="IL548" s="77"/>
      <c r="IM548" s="77"/>
      <c r="IN548" s="77"/>
      <c r="IO548" s="77"/>
      <c r="IP548" s="77"/>
      <c r="IQ548" s="77"/>
      <c r="IR548" s="77"/>
      <c r="IS548" s="77"/>
      <c r="IT548" s="77"/>
      <c r="IU548" s="77"/>
      <c r="IV548" s="77"/>
      <c r="IW548" s="77"/>
      <c r="IX548" s="77"/>
      <c r="IY548" s="77"/>
      <c r="IZ548" s="77"/>
      <c r="JA548" s="77"/>
      <c r="JB548" s="77"/>
      <c r="JC548" s="77"/>
      <c r="JD548" s="77"/>
      <c r="JE548" s="77"/>
      <c r="JF548" s="77"/>
      <c r="JG548" s="77"/>
      <c r="JH548" s="77"/>
      <c r="JI548" s="77"/>
      <c r="JJ548" s="77"/>
      <c r="JK548" s="77"/>
      <c r="JL548" s="77"/>
      <c r="JM548" s="77"/>
      <c r="JN548" s="77"/>
      <c r="JO548" s="77"/>
      <c r="JP548" s="77"/>
      <c r="JQ548" s="77"/>
      <c r="JR548" s="77"/>
      <c r="JS548" s="77"/>
      <c r="JT548" s="77"/>
      <c r="JU548" s="77"/>
      <c r="JV548" s="77"/>
      <c r="JW548" s="77"/>
      <c r="JX548" s="77"/>
      <c r="JY548" s="77"/>
      <c r="JZ548" s="77"/>
      <c r="KA548" s="77"/>
      <c r="KB548" s="77"/>
      <c r="KC548" s="77"/>
      <c r="KD548" s="77"/>
      <c r="KE548" s="77"/>
      <c r="KF548" s="77"/>
      <c r="KG548" s="77"/>
      <c r="KH548" s="77"/>
      <c r="KI548" s="77"/>
      <c r="KJ548" s="77"/>
      <c r="KK548" s="77"/>
      <c r="KL548" s="77"/>
      <c r="KM548" s="77"/>
      <c r="KN548" s="77"/>
      <c r="KO548" s="77"/>
      <c r="KP548" s="77"/>
      <c r="KQ548" s="77"/>
      <c r="KR548" s="77"/>
      <c r="KS548" s="77"/>
      <c r="KT548" s="77"/>
      <c r="KU548" s="77"/>
      <c r="KV548" s="77"/>
      <c r="KW548" s="77"/>
      <c r="KX548" s="77"/>
      <c r="KY548" s="77"/>
      <c r="KZ548" s="77"/>
      <c r="LA548" s="77"/>
      <c r="LB548" s="77"/>
      <c r="LC548" s="77"/>
      <c r="LD548" s="77"/>
      <c r="LE548" s="77"/>
      <c r="LF548" s="77"/>
      <c r="LG548" s="77"/>
      <c r="LH548" s="77"/>
      <c r="LI548" s="77"/>
      <c r="LJ548" s="77"/>
      <c r="LK548" s="77"/>
      <c r="LL548" s="77"/>
      <c r="LM548" s="77"/>
      <c r="LN548" s="77"/>
      <c r="LO548" s="77"/>
      <c r="LP548" s="77"/>
      <c r="LQ548" s="77"/>
      <c r="LR548" s="77"/>
      <c r="LS548" s="77"/>
      <c r="LT548" s="77"/>
      <c r="LU548" s="77"/>
      <c r="LV548" s="77"/>
      <c r="LY548" s="16"/>
      <c r="LZ548" s="16"/>
      <c r="MA548" s="16"/>
      <c r="MB548" s="16"/>
      <c r="MC548" s="16"/>
      <c r="MD548" s="16"/>
      <c r="ME548" s="16"/>
      <c r="MF548" s="16"/>
      <c r="MG548" s="16"/>
      <c r="MH548" s="16"/>
      <c r="MI548" s="16"/>
      <c r="MJ548" s="16"/>
      <c r="MK548" s="16"/>
      <c r="ML548" s="16"/>
      <c r="MM548" s="16"/>
      <c r="MN548" s="16"/>
      <c r="MO548" s="16"/>
      <c r="MP548" s="16"/>
      <c r="MQ548" s="16"/>
      <c r="MR548" s="16"/>
      <c r="MT548" s="77"/>
      <c r="MU548" s="77"/>
      <c r="MV548" s="77"/>
      <c r="MW548" s="77"/>
      <c r="MX548" s="77"/>
      <c r="MY548" s="77"/>
      <c r="MZ548" s="77"/>
      <c r="NA548" s="77"/>
      <c r="NB548" s="77"/>
      <c r="NC548" s="77"/>
    </row>
    <row r="549" spans="1:368" s="21" customFormat="1" ht="18.600000000000001" customHeight="1" x14ac:dyDescent="0.25">
      <c r="A549" s="119" t="s">
        <v>88</v>
      </c>
      <c r="B549" s="27" t="s">
        <v>1004</v>
      </c>
      <c r="C549" s="27" t="s">
        <v>1005</v>
      </c>
      <c r="D549" s="30" t="str">
        <f>HYPERLINK("https://twitter.com/Maroc_eGov","https://twitter.com/Maroc_eGov")</f>
        <v>https://twitter.com/Maroc_eGov</v>
      </c>
      <c r="E549" s="30" t="str">
        <f>HYPERLINK("http://twiplomacy.com/info/africa/Morrocco","http://twiplomacy.com/info/africa/Morrocco")</f>
        <v>http://twiplomacy.com/info/africa/Morrocco</v>
      </c>
      <c r="F549" s="10" t="s">
        <v>1</v>
      </c>
      <c r="G549" s="10" t="s">
        <v>85</v>
      </c>
      <c r="H549" s="10" t="s">
        <v>788</v>
      </c>
      <c r="I549" s="10" t="s">
        <v>782</v>
      </c>
      <c r="J549" s="27" t="s">
        <v>779</v>
      </c>
      <c r="K549" s="15" t="s">
        <v>777</v>
      </c>
      <c r="L549" s="10" t="s">
        <v>771</v>
      </c>
      <c r="M549" s="10" t="s">
        <v>770</v>
      </c>
      <c r="N549" s="30" t="str">
        <f>HYPERLINK("https://twitter.com/Maroc_eGov/statuses/64337648361275392","https://twitter.com/Maroc_eGov/statuses/64337648361275392")</f>
        <v>https://twitter.com/Maroc_eGov/statuses/64337648361275392</v>
      </c>
      <c r="O549" s="27" t="s">
        <v>5928</v>
      </c>
      <c r="P549" s="80">
        <v>23</v>
      </c>
      <c r="Q549" s="80">
        <v>0</v>
      </c>
      <c r="R549" s="27" t="s">
        <v>2995</v>
      </c>
      <c r="S549" s="30" t="str">
        <f>HYPERLINK("https://twitter.com/Maroc_eGov/lists","https://twitter.com/Maroc_eGov/lists")</f>
        <v>https://twitter.com/Maroc_eGov/lists</v>
      </c>
      <c r="T549" s="10" t="s">
        <v>771</v>
      </c>
      <c r="U549" s="10">
        <v>1</v>
      </c>
      <c r="V549" s="10" t="s">
        <v>771</v>
      </c>
      <c r="W549" s="10"/>
      <c r="X549" s="27" t="s">
        <v>88</v>
      </c>
      <c r="Y549" s="27" t="s">
        <v>1004</v>
      </c>
      <c r="Z549" s="80">
        <v>508</v>
      </c>
      <c r="AA549" s="27">
        <v>74</v>
      </c>
      <c r="AB549" s="80">
        <v>139496</v>
      </c>
      <c r="AC549" s="27">
        <v>4</v>
      </c>
      <c r="AD549" s="27" t="s">
        <v>4031</v>
      </c>
      <c r="AE549" s="27">
        <v>280678149</v>
      </c>
      <c r="AF549" s="27" t="s">
        <v>1005</v>
      </c>
      <c r="AG549" s="27" t="s">
        <v>1006</v>
      </c>
      <c r="AH549" s="79">
        <v>0.27504060638873901</v>
      </c>
      <c r="AI549" s="83">
        <v>0.290617848970252</v>
      </c>
      <c r="AJ549" s="80">
        <v>2.9862385321100899</v>
      </c>
      <c r="AK549" s="80">
        <v>1.19036697247706</v>
      </c>
      <c r="AL549" s="27">
        <v>30</v>
      </c>
      <c r="AM549" s="97">
        <f>SUM(AL549/Z549)</f>
        <v>5.905511811023622E-2</v>
      </c>
      <c r="AN549" s="27" t="s">
        <v>88</v>
      </c>
      <c r="AO549" s="27">
        <v>12</v>
      </c>
      <c r="AP549" s="27">
        <v>4</v>
      </c>
      <c r="AQ549" s="27">
        <v>1</v>
      </c>
      <c r="AR549" s="27">
        <f>SUM(AO549:AQ549)</f>
        <v>17</v>
      </c>
      <c r="AS549" s="27" t="s">
        <v>5281</v>
      </c>
      <c r="AT549" s="27" t="s">
        <v>5282</v>
      </c>
      <c r="AU549" s="84" t="s">
        <v>82</v>
      </c>
      <c r="AV549" s="77"/>
      <c r="AW549" s="77"/>
      <c r="AX549" s="77"/>
      <c r="AY549" s="77"/>
      <c r="AZ549" s="77"/>
      <c r="BA549" s="77"/>
      <c r="BB549" s="77"/>
      <c r="BC549" s="77"/>
      <c r="BD549" s="77"/>
      <c r="BE549" s="77"/>
      <c r="BF549" s="77"/>
      <c r="BG549" s="77"/>
      <c r="BH549" s="77"/>
      <c r="BI549" s="77"/>
      <c r="BJ549" s="77"/>
      <c r="BK549" s="77"/>
      <c r="BL549" s="77"/>
      <c r="BM549" s="77"/>
      <c r="BN549" s="77"/>
      <c r="BO549" s="77"/>
      <c r="BP549" s="77"/>
      <c r="BQ549" s="77"/>
      <c r="BR549" s="77"/>
      <c r="BS549" s="77"/>
      <c r="BT549" s="77"/>
      <c r="BU549" s="77"/>
      <c r="BV549" s="77"/>
      <c r="BW549" s="77"/>
      <c r="BX549" s="77"/>
      <c r="BY549" s="77"/>
      <c r="BZ549" s="77"/>
      <c r="CA549" s="77"/>
      <c r="CB549" s="77"/>
      <c r="CC549" s="77"/>
      <c r="CD549" s="77"/>
      <c r="CE549" s="77"/>
      <c r="CF549" s="77"/>
      <c r="CG549" s="77"/>
      <c r="CH549" s="77"/>
      <c r="CI549" s="77"/>
      <c r="CJ549" s="77"/>
      <c r="CK549" s="77"/>
      <c r="CL549" s="77"/>
      <c r="CM549" s="77"/>
      <c r="CN549" s="77"/>
      <c r="CO549" s="77"/>
      <c r="CP549" s="77"/>
      <c r="CQ549" s="77"/>
      <c r="CR549" s="77"/>
      <c r="CS549" s="77"/>
      <c r="CT549" s="77"/>
      <c r="CU549" s="77"/>
      <c r="CV549" s="77"/>
      <c r="CW549" s="77"/>
      <c r="CX549" s="77"/>
      <c r="CY549" s="77"/>
      <c r="CZ549" s="77"/>
      <c r="DA549" s="77"/>
      <c r="DB549" s="77"/>
      <c r="DC549" s="77"/>
      <c r="DD549" s="77"/>
      <c r="DE549" s="77"/>
      <c r="DF549" s="77"/>
      <c r="DG549" s="77"/>
      <c r="DH549" s="77"/>
      <c r="DI549" s="77"/>
      <c r="DJ549" s="77"/>
      <c r="DK549" s="77"/>
      <c r="DL549" s="77"/>
      <c r="DM549" s="77"/>
      <c r="DN549" s="77"/>
      <c r="DO549" s="77"/>
      <c r="DP549" s="77"/>
      <c r="DQ549" s="77"/>
      <c r="DR549" s="77"/>
      <c r="DS549" s="77"/>
      <c r="DT549" s="77"/>
      <c r="DU549" s="77"/>
      <c r="DV549" s="77"/>
      <c r="DW549" s="77"/>
      <c r="DX549" s="77"/>
      <c r="DY549" s="77"/>
      <c r="DZ549" s="77"/>
      <c r="EA549" s="77"/>
      <c r="EB549" s="77"/>
      <c r="EC549" s="77"/>
      <c r="ED549" s="77"/>
      <c r="EE549" s="77"/>
      <c r="EF549" s="77"/>
      <c r="EG549" s="77"/>
      <c r="EH549" s="77"/>
      <c r="EI549" s="77"/>
      <c r="EJ549" s="77"/>
      <c r="EK549" s="77"/>
      <c r="EL549" s="77"/>
      <c r="EM549" s="16"/>
      <c r="EN549" s="16"/>
      <c r="EO549" s="16"/>
      <c r="ER549" s="77"/>
      <c r="ES549" s="77"/>
      <c r="ET549" s="77"/>
      <c r="EU549" s="77"/>
      <c r="EV549" s="77"/>
      <c r="EW549" s="77"/>
      <c r="EX549" s="77"/>
      <c r="EY549" s="77"/>
      <c r="EZ549" s="77"/>
      <c r="FA549" s="77"/>
      <c r="FB549" s="77"/>
      <c r="FC549" s="77"/>
      <c r="FD549" s="77"/>
      <c r="FE549" s="77"/>
      <c r="FF549" s="77"/>
      <c r="FG549" s="77"/>
      <c r="FH549" s="77"/>
      <c r="FI549" s="77"/>
      <c r="FJ549" s="77"/>
      <c r="FK549" s="77"/>
      <c r="FL549" s="77"/>
      <c r="FM549" s="77"/>
      <c r="FN549" s="77"/>
      <c r="FO549" s="77"/>
      <c r="FP549" s="77"/>
      <c r="FQ549" s="77"/>
      <c r="FR549" s="77"/>
      <c r="FS549" s="77"/>
      <c r="FT549" s="77"/>
      <c r="FU549" s="77"/>
      <c r="FV549" s="77"/>
      <c r="FW549" s="77"/>
      <c r="FX549" s="77"/>
      <c r="FY549" s="77"/>
      <c r="FZ549" s="77"/>
      <c r="GA549" s="77"/>
      <c r="GB549" s="77"/>
      <c r="GC549" s="77"/>
      <c r="GD549" s="77"/>
      <c r="GE549" s="77"/>
      <c r="GF549" s="77"/>
      <c r="GG549" s="77"/>
      <c r="GH549" s="77"/>
      <c r="GI549" s="77"/>
      <c r="GJ549" s="77"/>
      <c r="GK549" s="77"/>
      <c r="GL549" s="77"/>
      <c r="GM549" s="77"/>
      <c r="GN549" s="77"/>
      <c r="GO549" s="77"/>
      <c r="GP549" s="77"/>
      <c r="GQ549" s="77"/>
      <c r="GR549" s="77"/>
      <c r="GS549" s="77"/>
      <c r="GT549" s="77"/>
      <c r="GU549" s="77"/>
      <c r="GV549" s="77"/>
      <c r="GW549" s="77"/>
      <c r="GX549" s="77"/>
      <c r="GY549" s="77"/>
      <c r="GZ549" s="77"/>
      <c r="HA549" s="77"/>
      <c r="HB549" s="77"/>
      <c r="HC549" s="77"/>
      <c r="HD549" s="77"/>
      <c r="HE549" s="77"/>
      <c r="HF549" s="77"/>
      <c r="HG549" s="77"/>
      <c r="HH549" s="77"/>
      <c r="HI549" s="77"/>
      <c r="HJ549" s="77"/>
      <c r="HK549" s="77"/>
      <c r="HL549" s="77"/>
      <c r="HM549" s="77"/>
      <c r="HN549" s="77"/>
      <c r="HO549" s="77"/>
      <c r="HP549" s="77"/>
      <c r="HQ549" s="77"/>
      <c r="HR549" s="77"/>
      <c r="HS549" s="77"/>
      <c r="HT549" s="77"/>
      <c r="HU549" s="77"/>
      <c r="HV549" s="77"/>
      <c r="HW549" s="77"/>
      <c r="HX549" s="77"/>
      <c r="HY549" s="77"/>
      <c r="HZ549" s="77"/>
      <c r="IA549" s="77"/>
      <c r="IB549" s="77"/>
      <c r="IC549" s="77"/>
      <c r="IF549" s="77"/>
      <c r="IG549" s="77"/>
      <c r="IH549" s="77"/>
      <c r="II549" s="77"/>
      <c r="IJ549" s="77"/>
      <c r="IK549" s="77"/>
      <c r="IL549" s="77"/>
      <c r="IM549" s="77"/>
      <c r="IN549" s="77"/>
      <c r="IO549" s="77"/>
      <c r="IP549" s="77"/>
      <c r="IQ549" s="77"/>
      <c r="IR549" s="77"/>
      <c r="IS549" s="77"/>
      <c r="IT549" s="77"/>
      <c r="IU549" s="77"/>
      <c r="IV549" s="77"/>
      <c r="IW549" s="77"/>
      <c r="IX549" s="77"/>
      <c r="IY549" s="77"/>
      <c r="IZ549" s="77"/>
      <c r="JA549" s="77"/>
      <c r="JB549" s="77"/>
      <c r="JC549" s="77"/>
      <c r="JD549" s="77"/>
      <c r="JE549" s="77"/>
      <c r="JF549" s="77"/>
      <c r="JG549" s="77"/>
      <c r="JH549" s="77"/>
      <c r="JI549" s="77"/>
      <c r="JJ549" s="77"/>
      <c r="JK549" s="77"/>
      <c r="JL549" s="77"/>
      <c r="JM549" s="77"/>
      <c r="JN549" s="77"/>
      <c r="JO549" s="77"/>
      <c r="JP549" s="77"/>
      <c r="JQ549" s="77"/>
      <c r="JR549" s="77"/>
      <c r="JS549" s="77"/>
      <c r="JT549" s="77"/>
      <c r="JU549" s="77"/>
      <c r="JV549" s="77"/>
      <c r="JW549" s="77"/>
      <c r="JX549" s="77"/>
      <c r="JY549" s="77"/>
      <c r="JZ549" s="77"/>
      <c r="KA549" s="77"/>
      <c r="KB549" s="77"/>
      <c r="KC549" s="77"/>
      <c r="KD549" s="77"/>
      <c r="KE549" s="77"/>
      <c r="KF549" s="77"/>
      <c r="KG549" s="77"/>
      <c r="KH549" s="77"/>
      <c r="KI549" s="77"/>
      <c r="KJ549" s="77"/>
      <c r="KK549" s="77"/>
      <c r="KL549" s="77"/>
      <c r="KM549" s="77"/>
      <c r="KN549" s="77"/>
      <c r="KO549" s="77"/>
      <c r="KP549" s="77"/>
      <c r="KQ549" s="77"/>
      <c r="KR549" s="77"/>
      <c r="KS549" s="77"/>
      <c r="KT549" s="77"/>
      <c r="KU549" s="77"/>
      <c r="KV549" s="77"/>
      <c r="KW549" s="77"/>
      <c r="KX549" s="77"/>
      <c r="KY549" s="77"/>
      <c r="KZ549" s="77"/>
      <c r="LA549" s="77"/>
      <c r="LB549" s="77"/>
      <c r="LC549" s="77"/>
      <c r="LD549" s="77"/>
      <c r="LE549" s="77"/>
      <c r="LF549" s="77"/>
      <c r="LG549" s="77"/>
      <c r="LH549" s="77"/>
      <c r="LI549" s="77"/>
      <c r="LJ549" s="77"/>
      <c r="LK549" s="77"/>
      <c r="LL549" s="77"/>
      <c r="LM549" s="77"/>
      <c r="LN549" s="77"/>
      <c r="LO549" s="77"/>
      <c r="LP549" s="77"/>
      <c r="LQ549" s="77"/>
      <c r="LR549" s="77"/>
      <c r="LS549" s="77"/>
      <c r="LT549" s="77"/>
      <c r="LU549" s="77"/>
      <c r="LV549" s="77"/>
      <c r="LW549" s="77"/>
      <c r="LX549" s="77"/>
      <c r="LY549" s="77"/>
      <c r="LZ549" s="77"/>
      <c r="MA549" s="77"/>
      <c r="MB549" s="77"/>
      <c r="MC549" s="77"/>
      <c r="MD549" s="77"/>
      <c r="ME549" s="77"/>
      <c r="MF549" s="77"/>
      <c r="MG549" s="77"/>
      <c r="MH549" s="77"/>
      <c r="MI549" s="77"/>
      <c r="MJ549" s="77"/>
      <c r="MK549" s="77"/>
      <c r="ML549" s="77"/>
      <c r="MM549" s="77"/>
      <c r="MN549" s="77"/>
      <c r="MO549" s="77"/>
      <c r="MP549" s="77"/>
      <c r="MQ549" s="77"/>
      <c r="MR549" s="77"/>
    </row>
    <row r="550" spans="1:368" s="21" customFormat="1" ht="18.600000000000001" customHeight="1" x14ac:dyDescent="0.25">
      <c r="A550" s="119" t="s">
        <v>356</v>
      </c>
      <c r="B550" s="27" t="s">
        <v>1757</v>
      </c>
      <c r="C550" s="27" t="s">
        <v>1758</v>
      </c>
      <c r="D550" s="30" t="str">
        <f>HYPERLINK("https://twitter.com/DanielMitov","https://twitter.com/DanielMitov")</f>
        <v>https://twitter.com/DanielMitov</v>
      </c>
      <c r="E550" s="30" t="str">
        <f>HYPERLINK("http://twiplomacy.com/info/europe/Bulgaria","http://twiplomacy.com/info/europe/Bulgaria")</f>
        <v>http://twiplomacy.com/info/europe/Bulgaria</v>
      </c>
      <c r="F550" s="10" t="s">
        <v>332</v>
      </c>
      <c r="G550" s="10" t="s">
        <v>353</v>
      </c>
      <c r="H550" s="10" t="s">
        <v>860</v>
      </c>
      <c r="I550" s="10" t="s">
        <v>773</v>
      </c>
      <c r="J550" s="27" t="s">
        <v>789</v>
      </c>
      <c r="K550" s="15" t="s">
        <v>777</v>
      </c>
      <c r="L550" s="10"/>
      <c r="M550" s="10" t="s">
        <v>771</v>
      </c>
      <c r="N550" s="30" t="str">
        <f>HYPERLINK("https://twitter.com/DanielMitov/status/124456654455582720","https://twitter.com/DanielMitov/status/124456654455582720")</f>
        <v>https://twitter.com/DanielMitov/status/124456654455582720</v>
      </c>
      <c r="O550" s="27" t="s">
        <v>5791</v>
      </c>
      <c r="P550" s="80">
        <v>10</v>
      </c>
      <c r="Q550" s="80">
        <v>0</v>
      </c>
      <c r="R550" s="27" t="s">
        <v>2995</v>
      </c>
      <c r="S550" s="30" t="str">
        <f>HYPERLINK("https://twitter.com/DanielMitov/lists","https://twitter.com/DanielMitov/lists")</f>
        <v>https://twitter.com/DanielMitov/lists</v>
      </c>
      <c r="T550" s="10" t="s">
        <v>771</v>
      </c>
      <c r="U550" s="10" t="s">
        <v>771</v>
      </c>
      <c r="V550" s="10" t="s">
        <v>771</v>
      </c>
      <c r="W550" s="10"/>
      <c r="X550" s="27" t="s">
        <v>356</v>
      </c>
      <c r="Y550" s="27" t="s">
        <v>1757</v>
      </c>
      <c r="Z550" s="80">
        <v>508</v>
      </c>
      <c r="AA550" s="27">
        <v>402</v>
      </c>
      <c r="AB550" s="80">
        <v>1966</v>
      </c>
      <c r="AC550" s="27">
        <v>447</v>
      </c>
      <c r="AD550" s="27" t="s">
        <v>3601</v>
      </c>
      <c r="AE550" s="27">
        <v>386456566</v>
      </c>
      <c r="AF550" s="27" t="s">
        <v>1758</v>
      </c>
      <c r="AG550" s="27" t="s">
        <v>1750</v>
      </c>
      <c r="AH550" s="79">
        <v>0.30437387657279802</v>
      </c>
      <c r="AI550" s="83">
        <v>0.30620855937311597</v>
      </c>
      <c r="AJ550" s="80">
        <v>1.4375</v>
      </c>
      <c r="AK550" s="80">
        <v>1.46875</v>
      </c>
      <c r="AL550" s="27">
        <v>18</v>
      </c>
      <c r="AM550" s="97">
        <f>SUM(AL550/Z550)</f>
        <v>3.5433070866141732E-2</v>
      </c>
      <c r="AN550" s="27" t="s">
        <v>356</v>
      </c>
      <c r="AO550" s="27">
        <v>14</v>
      </c>
      <c r="AP550" s="27">
        <v>23</v>
      </c>
      <c r="AQ550" s="27">
        <v>14</v>
      </c>
      <c r="AR550" s="27">
        <f>SUM(AO550:AQ550)</f>
        <v>51</v>
      </c>
      <c r="AS550" s="27" t="s">
        <v>5078</v>
      </c>
      <c r="AT550" s="27" t="s">
        <v>6695</v>
      </c>
      <c r="AU550" s="84" t="s">
        <v>6478</v>
      </c>
      <c r="AV550" s="77"/>
      <c r="AW550" s="77"/>
      <c r="AX550" s="77"/>
      <c r="AY550" s="77"/>
      <c r="AZ550" s="77"/>
      <c r="BA550" s="77"/>
      <c r="BB550" s="77"/>
      <c r="BC550" s="77"/>
      <c r="BD550" s="77"/>
      <c r="BE550" s="77"/>
      <c r="BF550" s="77"/>
      <c r="BG550" s="77"/>
      <c r="BH550" s="77"/>
      <c r="BI550" s="77"/>
      <c r="BJ550" s="77"/>
      <c r="BK550" s="77"/>
      <c r="BL550" s="77"/>
      <c r="BM550" s="77"/>
      <c r="BN550" s="77"/>
      <c r="BO550" s="77"/>
      <c r="BP550" s="77"/>
      <c r="BQ550" s="77"/>
      <c r="BR550" s="77"/>
      <c r="BS550" s="77"/>
      <c r="BT550" s="77"/>
      <c r="BU550" s="77"/>
      <c r="BV550" s="77"/>
      <c r="BW550" s="77"/>
      <c r="BX550" s="77"/>
      <c r="BY550" s="77"/>
      <c r="BZ550" s="77"/>
      <c r="CA550" s="77"/>
      <c r="CB550" s="77"/>
      <c r="CC550" s="77"/>
      <c r="CD550" s="77"/>
      <c r="CE550" s="77"/>
      <c r="CF550" s="77"/>
      <c r="CG550" s="77"/>
      <c r="CH550" s="77"/>
      <c r="CI550" s="77"/>
      <c r="CJ550" s="77"/>
      <c r="CK550" s="77"/>
      <c r="CL550" s="77"/>
      <c r="CM550" s="77"/>
      <c r="CN550" s="77"/>
      <c r="CO550" s="77"/>
      <c r="CP550" s="77"/>
      <c r="CQ550" s="77"/>
      <c r="CR550" s="77"/>
      <c r="CS550" s="77"/>
      <c r="CT550" s="77"/>
      <c r="CU550" s="77"/>
      <c r="CV550" s="77"/>
      <c r="CW550" s="77"/>
      <c r="CX550" s="77"/>
      <c r="CY550" s="77"/>
      <c r="CZ550" s="77"/>
      <c r="DA550" s="77"/>
      <c r="DB550" s="77"/>
      <c r="DC550" s="77"/>
      <c r="DD550" s="77"/>
      <c r="DE550" s="77"/>
      <c r="DF550" s="77"/>
      <c r="DG550" s="77"/>
      <c r="DH550" s="77"/>
      <c r="DI550" s="77"/>
      <c r="DJ550" s="77"/>
      <c r="DK550" s="77"/>
      <c r="DL550" s="77"/>
      <c r="DM550" s="77"/>
      <c r="DN550" s="77"/>
      <c r="DO550" s="77"/>
      <c r="DP550" s="77"/>
      <c r="DQ550" s="77"/>
      <c r="DR550" s="77"/>
      <c r="DS550" s="77"/>
      <c r="DT550" s="77"/>
      <c r="DU550" s="77"/>
      <c r="DV550" s="77"/>
      <c r="DW550" s="77"/>
      <c r="DX550" s="77"/>
      <c r="DY550" s="77"/>
      <c r="DZ550" s="77"/>
      <c r="EA550" s="77"/>
      <c r="EB550" s="77"/>
      <c r="EC550" s="77"/>
      <c r="ED550" s="77"/>
      <c r="EE550" s="77"/>
      <c r="EF550" s="77"/>
      <c r="EG550" s="77"/>
      <c r="EH550" s="77"/>
      <c r="EI550" s="77"/>
      <c r="EJ550" s="77"/>
      <c r="EK550" s="77"/>
      <c r="EL550" s="77"/>
      <c r="EM550" s="77"/>
      <c r="EN550" s="77"/>
      <c r="EO550" s="77"/>
      <c r="EP550" s="77"/>
      <c r="EQ550" s="77"/>
      <c r="ER550" s="77"/>
      <c r="ES550" s="77"/>
      <c r="ET550" s="77"/>
      <c r="EU550" s="77"/>
      <c r="EV550" s="77"/>
      <c r="EW550" s="77"/>
      <c r="EX550" s="77"/>
      <c r="EY550" s="77"/>
      <c r="EZ550" s="77"/>
      <c r="FA550" s="77"/>
      <c r="FB550" s="77"/>
      <c r="FC550" s="77"/>
      <c r="FD550" s="77"/>
      <c r="FE550" s="77"/>
      <c r="FF550" s="77"/>
      <c r="FG550" s="77"/>
      <c r="FH550" s="77"/>
      <c r="FI550" s="77"/>
      <c r="FJ550" s="77"/>
      <c r="FK550" s="77"/>
      <c r="FL550" s="77"/>
      <c r="FM550" s="77"/>
      <c r="FN550" s="77"/>
      <c r="FO550" s="77"/>
      <c r="FP550" s="77"/>
      <c r="FQ550" s="77"/>
      <c r="FR550" s="77"/>
      <c r="FS550" s="77"/>
      <c r="FT550" s="77"/>
      <c r="FU550" s="77"/>
      <c r="FV550" s="77"/>
      <c r="FW550" s="77"/>
      <c r="FX550" s="77"/>
      <c r="FY550" s="77"/>
      <c r="FZ550" s="77"/>
      <c r="GA550" s="77"/>
      <c r="GB550" s="77"/>
      <c r="GC550" s="77"/>
      <c r="GD550" s="77"/>
      <c r="GE550" s="77"/>
      <c r="GF550" s="77"/>
      <c r="GG550" s="77"/>
      <c r="GH550" s="77"/>
      <c r="GI550" s="77"/>
      <c r="GJ550" s="77"/>
      <c r="GK550" s="77"/>
      <c r="GL550" s="77"/>
      <c r="GM550" s="77"/>
      <c r="GN550" s="77"/>
      <c r="GO550" s="77"/>
      <c r="GP550" s="77"/>
      <c r="GQ550" s="77"/>
      <c r="GR550" s="77"/>
      <c r="GS550" s="77"/>
      <c r="GT550" s="77"/>
      <c r="GU550" s="77"/>
      <c r="GV550" s="77"/>
      <c r="GW550" s="77"/>
      <c r="GX550" s="77"/>
      <c r="GY550" s="77"/>
      <c r="GZ550" s="77"/>
      <c r="HA550" s="77"/>
      <c r="HB550" s="77"/>
      <c r="HC550" s="77"/>
      <c r="HD550" s="77"/>
      <c r="HE550" s="77"/>
      <c r="HF550" s="77"/>
      <c r="HG550" s="77"/>
      <c r="HH550" s="77"/>
      <c r="HI550" s="77"/>
      <c r="HJ550" s="77"/>
      <c r="HK550" s="77"/>
      <c r="HL550" s="77"/>
      <c r="HM550" s="77"/>
      <c r="HN550" s="77"/>
      <c r="HO550" s="77"/>
      <c r="HP550" s="77"/>
      <c r="HQ550" s="77"/>
      <c r="HR550" s="77"/>
      <c r="HS550" s="77"/>
      <c r="HT550" s="77"/>
      <c r="HU550" s="77"/>
      <c r="HV550" s="77"/>
      <c r="HW550" s="77"/>
      <c r="HX550" s="77"/>
      <c r="HY550" s="77"/>
      <c r="HZ550" s="77"/>
      <c r="IA550" s="77"/>
      <c r="IB550" s="77"/>
      <c r="IC550" s="77"/>
      <c r="ID550" s="77"/>
      <c r="IE550" s="77"/>
      <c r="LW550" s="77"/>
      <c r="LX550" s="77"/>
      <c r="ND550" s="77"/>
    </row>
    <row r="551" spans="1:368" s="21" customFormat="1" ht="18.600000000000001" customHeight="1" x14ac:dyDescent="0.25">
      <c r="A551" s="119" t="s">
        <v>258</v>
      </c>
      <c r="B551" s="27" t="s">
        <v>3948</v>
      </c>
      <c r="C551" s="27" t="s">
        <v>6412</v>
      </c>
      <c r="D551" s="30" t="s">
        <v>1515</v>
      </c>
      <c r="E551" s="30" t="str">
        <f>HYPERLINK("http://twiplomacy.com/info/asia/Nepal","http://twiplomacy.com/info/asia/Nepal")</f>
        <v>http://twiplomacy.com/info/asia/Nepal</v>
      </c>
      <c r="F551" s="10" t="s">
        <v>154</v>
      </c>
      <c r="G551" s="10" t="s">
        <v>257</v>
      </c>
      <c r="H551" s="10" t="s">
        <v>776</v>
      </c>
      <c r="I551" s="10" t="s">
        <v>773</v>
      </c>
      <c r="J551" s="27" t="s">
        <v>789</v>
      </c>
      <c r="K551" s="15" t="s">
        <v>4613</v>
      </c>
      <c r="L551" s="15"/>
      <c r="M551" s="10" t="s">
        <v>770</v>
      </c>
      <c r="N551" s="30" t="s">
        <v>1516</v>
      </c>
      <c r="O551" s="27" t="s">
        <v>3188</v>
      </c>
      <c r="P551" s="80">
        <v>227</v>
      </c>
      <c r="Q551" s="80">
        <v>503</v>
      </c>
      <c r="R551" s="27" t="s">
        <v>2995</v>
      </c>
      <c r="S551" s="30" t="s">
        <v>1517</v>
      </c>
      <c r="T551" s="10" t="s">
        <v>771</v>
      </c>
      <c r="U551" s="10" t="s">
        <v>771</v>
      </c>
      <c r="V551" s="10" t="s">
        <v>771</v>
      </c>
      <c r="W551" s="10"/>
      <c r="X551" s="27" t="s">
        <v>258</v>
      </c>
      <c r="Y551" s="27" t="s">
        <v>3948</v>
      </c>
      <c r="Z551" s="80">
        <v>505</v>
      </c>
      <c r="AA551" s="27">
        <v>22</v>
      </c>
      <c r="AB551" s="80">
        <v>67076</v>
      </c>
      <c r="AC551" s="27">
        <v>3</v>
      </c>
      <c r="AD551" s="27" t="s">
        <v>3949</v>
      </c>
      <c r="AE551" s="27">
        <v>2835736254</v>
      </c>
      <c r="AF551" s="27" t="s">
        <v>6412</v>
      </c>
      <c r="AG551" s="27"/>
      <c r="AH551" s="79">
        <v>0.87068965517241403</v>
      </c>
      <c r="AI551" s="83">
        <v>1.3228346456692901</v>
      </c>
      <c r="AJ551" s="80">
        <v>7.11011235955056</v>
      </c>
      <c r="AK551" s="80">
        <v>28.2831460674157</v>
      </c>
      <c r="AL551" s="13">
        <v>0</v>
      </c>
      <c r="AM551" s="97">
        <f>SUM(AL551/Z551)</f>
        <v>0</v>
      </c>
      <c r="AN551" s="27" t="s">
        <v>258</v>
      </c>
      <c r="AO551" s="27">
        <v>1</v>
      </c>
      <c r="AP551" s="27">
        <v>2</v>
      </c>
      <c r="AQ551" s="27">
        <v>1</v>
      </c>
      <c r="AR551" s="27">
        <f>SUM(AO551:AQ551)</f>
        <v>4</v>
      </c>
      <c r="AS551" s="27" t="s">
        <v>184</v>
      </c>
      <c r="AT551" s="27" t="s">
        <v>5242</v>
      </c>
      <c r="AU551" s="84" t="s">
        <v>259</v>
      </c>
      <c r="AV551" s="77"/>
      <c r="AW551" s="77"/>
      <c r="AX551" s="77"/>
      <c r="AY551" s="77"/>
      <c r="AZ551" s="77"/>
      <c r="BA551" s="77"/>
      <c r="BB551" s="77"/>
      <c r="BC551" s="77"/>
      <c r="BD551" s="77"/>
      <c r="BE551" s="77"/>
      <c r="BF551" s="77"/>
      <c r="BG551" s="77"/>
      <c r="BH551" s="77"/>
      <c r="BI551" s="77"/>
      <c r="BJ551" s="77"/>
      <c r="BK551" s="77"/>
      <c r="BL551" s="77"/>
      <c r="BM551" s="77"/>
      <c r="BN551" s="77"/>
      <c r="BO551" s="77"/>
      <c r="BP551" s="77"/>
      <c r="BQ551" s="77"/>
      <c r="BR551" s="77"/>
      <c r="BS551" s="77"/>
      <c r="BT551" s="77"/>
      <c r="BU551" s="77"/>
      <c r="BV551" s="77"/>
      <c r="BW551" s="77"/>
      <c r="BX551" s="77"/>
      <c r="BY551" s="77"/>
      <c r="BZ551" s="77"/>
      <c r="CA551" s="77"/>
      <c r="CB551" s="77"/>
      <c r="CK551" s="77"/>
      <c r="CL551" s="77"/>
      <c r="CM551" s="77"/>
      <c r="CN551" s="77"/>
      <c r="CO551" s="77"/>
      <c r="CP551" s="77"/>
      <c r="CQ551" s="77"/>
      <c r="CR551" s="77"/>
      <c r="CS551" s="77"/>
      <c r="CT551" s="77"/>
      <c r="CU551" s="77"/>
      <c r="CV551" s="77"/>
      <c r="CW551" s="77"/>
      <c r="EM551" s="16"/>
      <c r="EN551" s="16"/>
      <c r="EO551" s="16"/>
      <c r="EP551" s="77"/>
      <c r="EQ551" s="77"/>
      <c r="ER551" s="77"/>
      <c r="ES551" s="77"/>
      <c r="ET551" s="77"/>
      <c r="EU551" s="77"/>
      <c r="EV551" s="77"/>
      <c r="EW551" s="77"/>
      <c r="EX551" s="77"/>
      <c r="EY551" s="77"/>
      <c r="EZ551" s="77"/>
      <c r="FA551" s="77"/>
      <c r="FB551" s="77"/>
      <c r="FC551" s="77"/>
      <c r="FD551" s="77"/>
      <c r="FE551" s="77"/>
      <c r="FF551" s="77"/>
      <c r="FG551" s="77"/>
      <c r="FH551" s="77"/>
      <c r="FI551" s="77"/>
      <c r="FJ551" s="77"/>
      <c r="FK551" s="77"/>
      <c r="FL551" s="77"/>
      <c r="FM551" s="77"/>
      <c r="FN551" s="77"/>
      <c r="FO551" s="77"/>
      <c r="FP551" s="77"/>
      <c r="FQ551" s="77"/>
      <c r="FR551" s="77"/>
      <c r="FS551" s="77"/>
      <c r="FT551" s="77"/>
      <c r="FU551" s="77"/>
      <c r="FV551" s="77"/>
      <c r="FW551" s="77"/>
      <c r="FX551" s="77"/>
      <c r="FY551" s="77"/>
      <c r="FZ551" s="77"/>
      <c r="GA551" s="77"/>
      <c r="GB551" s="77"/>
      <c r="GC551" s="77"/>
      <c r="GD551" s="77"/>
      <c r="GE551" s="77"/>
      <c r="GF551" s="77"/>
      <c r="GG551" s="77"/>
      <c r="GH551" s="77"/>
      <c r="GI551" s="77"/>
      <c r="GJ551" s="77"/>
      <c r="GK551" s="77"/>
      <c r="GL551" s="77"/>
      <c r="GM551" s="77"/>
      <c r="GN551" s="77"/>
      <c r="GO551" s="77"/>
      <c r="GP551" s="77"/>
      <c r="GQ551" s="77"/>
      <c r="GR551" s="77"/>
      <c r="GS551" s="77"/>
      <c r="GT551" s="77"/>
      <c r="GU551" s="77"/>
      <c r="GV551" s="77"/>
      <c r="GW551" s="77"/>
      <c r="GX551" s="77"/>
      <c r="GY551" s="77"/>
      <c r="GZ551" s="77"/>
      <c r="HA551" s="77"/>
      <c r="HB551" s="77"/>
      <c r="HC551" s="77"/>
      <c r="HD551" s="77"/>
      <c r="HE551" s="77"/>
      <c r="HF551" s="77"/>
      <c r="HG551" s="77"/>
      <c r="HH551" s="77"/>
      <c r="HI551" s="77"/>
      <c r="HJ551" s="77"/>
      <c r="HK551" s="77"/>
      <c r="ID551" s="77"/>
      <c r="IE551" s="77"/>
      <c r="IF551" s="77"/>
      <c r="IG551" s="77"/>
      <c r="IH551" s="77"/>
      <c r="II551" s="77"/>
      <c r="IJ551" s="77"/>
      <c r="IK551" s="77"/>
      <c r="IL551" s="77"/>
      <c r="IM551" s="77"/>
      <c r="IN551" s="77"/>
      <c r="IO551" s="77"/>
      <c r="IP551" s="77"/>
      <c r="IQ551" s="77"/>
      <c r="IR551" s="77"/>
      <c r="IS551" s="77"/>
      <c r="IT551" s="77"/>
      <c r="IU551" s="77"/>
      <c r="IV551" s="77"/>
      <c r="IW551" s="77"/>
      <c r="IX551" s="77"/>
      <c r="IY551" s="77"/>
      <c r="IZ551" s="77"/>
      <c r="JA551" s="77"/>
      <c r="JB551" s="77"/>
      <c r="JC551" s="77"/>
      <c r="JD551" s="77"/>
      <c r="JE551" s="77"/>
      <c r="JF551" s="77"/>
      <c r="JG551" s="77"/>
      <c r="JH551" s="77"/>
      <c r="JI551" s="77"/>
      <c r="JJ551" s="77"/>
      <c r="JK551" s="77"/>
      <c r="JL551" s="77"/>
      <c r="JM551" s="77"/>
      <c r="JN551" s="77"/>
      <c r="JO551" s="77"/>
      <c r="JP551" s="77"/>
      <c r="JQ551" s="77"/>
      <c r="JR551" s="77"/>
      <c r="JS551" s="77"/>
      <c r="JT551" s="77"/>
      <c r="JU551" s="77"/>
      <c r="JV551" s="77"/>
      <c r="JW551" s="77"/>
      <c r="JX551" s="77"/>
      <c r="JY551" s="77"/>
      <c r="JZ551" s="77"/>
      <c r="KA551" s="77"/>
      <c r="KB551" s="77"/>
      <c r="KC551" s="77"/>
      <c r="KD551" s="77"/>
      <c r="KE551" s="77"/>
      <c r="KF551" s="77"/>
      <c r="KG551" s="77"/>
      <c r="KH551" s="77"/>
      <c r="KI551" s="77"/>
      <c r="KJ551" s="77"/>
      <c r="KK551" s="77"/>
      <c r="KL551" s="77"/>
      <c r="LL551" s="77"/>
      <c r="LM551" s="77"/>
      <c r="LN551" s="77"/>
      <c r="LO551" s="77"/>
      <c r="LP551" s="77"/>
      <c r="LQ551" s="77"/>
      <c r="LR551" s="77"/>
      <c r="LS551" s="77"/>
      <c r="LT551" s="77"/>
      <c r="LU551" s="77"/>
      <c r="LV551" s="77"/>
      <c r="LY551" s="77"/>
      <c r="LZ551" s="77"/>
      <c r="MA551" s="77"/>
      <c r="MB551" s="77"/>
      <c r="MC551" s="77"/>
      <c r="MD551" s="77"/>
      <c r="ME551" s="77"/>
      <c r="MF551" s="77"/>
      <c r="MG551" s="77"/>
      <c r="MH551" s="77"/>
      <c r="MI551" s="77"/>
      <c r="MJ551" s="77"/>
      <c r="MK551" s="77"/>
      <c r="ML551" s="77"/>
      <c r="MM551" s="77"/>
      <c r="MN551" s="77"/>
      <c r="MO551" s="77"/>
      <c r="MP551" s="77"/>
      <c r="MQ551" s="77"/>
      <c r="MR551" s="77"/>
    </row>
    <row r="552" spans="1:368" s="21" customFormat="1" ht="18.600000000000001" customHeight="1" x14ac:dyDescent="0.25">
      <c r="A552" s="119" t="s">
        <v>2291</v>
      </c>
      <c r="B552" s="27" t="s">
        <v>2292</v>
      </c>
      <c r="C552" s="27" t="s">
        <v>2293</v>
      </c>
      <c r="D552" s="30" t="str">
        <f>HYPERLINK("https://twitter.com/MFATurkeyFrench","https://twitter.com/MFATurkeyFrench")</f>
        <v>https://twitter.com/MFATurkeyFrench</v>
      </c>
      <c r="E552" s="30" t="str">
        <f>HYPERLINK("http://twiplomacy.com/info/europe/Turkey","http://twiplomacy.com/info/europe/Turkey")</f>
        <v>http://twiplomacy.com/info/europe/Turkey</v>
      </c>
      <c r="F552" s="10" t="s">
        <v>332</v>
      </c>
      <c r="G552" s="10" t="s">
        <v>536</v>
      </c>
      <c r="H552" s="10" t="s">
        <v>795</v>
      </c>
      <c r="I552" s="10" t="s">
        <v>782</v>
      </c>
      <c r="J552" s="27" t="s">
        <v>2254</v>
      </c>
      <c r="K552" s="10" t="s">
        <v>777</v>
      </c>
      <c r="L552" s="10" t="s">
        <v>771</v>
      </c>
      <c r="M552" s="10" t="s">
        <v>770</v>
      </c>
      <c r="N552" s="30" t="str">
        <f>HYPERLINK("https://twitter.com/MFATurkeyFrench/statuses/187824660812021760","https://twitter.com/MFATurkeyFrench/statuses/187824660812021760")</f>
        <v>https://twitter.com/MFATurkeyFrench/statuses/187824660812021760</v>
      </c>
      <c r="O552" s="27" t="s">
        <v>5954</v>
      </c>
      <c r="P552" s="80">
        <v>10</v>
      </c>
      <c r="Q552" s="80">
        <v>2</v>
      </c>
      <c r="R552" s="27" t="s">
        <v>2994</v>
      </c>
      <c r="S552" s="10" t="s">
        <v>2294</v>
      </c>
      <c r="T552" s="10" t="s">
        <v>771</v>
      </c>
      <c r="U552" s="10" t="s">
        <v>771</v>
      </c>
      <c r="V552" s="10" t="s">
        <v>771</v>
      </c>
      <c r="W552" s="10"/>
      <c r="X552" s="27" t="s">
        <v>2291</v>
      </c>
      <c r="Y552" s="27" t="s">
        <v>2292</v>
      </c>
      <c r="Z552" s="80">
        <v>501</v>
      </c>
      <c r="AA552" s="27">
        <v>5</v>
      </c>
      <c r="AB552" s="80">
        <v>2647</v>
      </c>
      <c r="AC552" s="27">
        <v>0</v>
      </c>
      <c r="AD552" s="27" t="s">
        <v>4103</v>
      </c>
      <c r="AE552" s="27">
        <v>545027544</v>
      </c>
      <c r="AF552" s="27" t="s">
        <v>2293</v>
      </c>
      <c r="AG552" s="27" t="s">
        <v>536</v>
      </c>
      <c r="AH552" s="79">
        <v>0.33646742780389499</v>
      </c>
      <c r="AI552" s="83">
        <v>0.33760107816711599</v>
      </c>
      <c r="AJ552" s="80">
        <v>0.97759674134419505</v>
      </c>
      <c r="AK552" s="80">
        <v>0.114052953156823</v>
      </c>
      <c r="AL552" s="13">
        <v>0</v>
      </c>
      <c r="AM552" s="97">
        <f>SUM(AL552/Z552)</f>
        <v>0</v>
      </c>
      <c r="AN552" s="27" t="s">
        <v>2291</v>
      </c>
      <c r="AO552" s="27">
        <v>0</v>
      </c>
      <c r="AP552" s="27">
        <v>21</v>
      </c>
      <c r="AQ552" s="27">
        <v>4</v>
      </c>
      <c r="AR552" s="27">
        <f>SUM(AO552:AQ552)</f>
        <v>25</v>
      </c>
      <c r="AS552" s="27"/>
      <c r="AT552" s="27" t="s">
        <v>6790</v>
      </c>
      <c r="AU552" s="84" t="s">
        <v>4853</v>
      </c>
      <c r="AV552" s="77"/>
      <c r="AW552" s="77"/>
      <c r="AX552" s="77"/>
      <c r="AY552" s="77"/>
      <c r="AZ552" s="77"/>
      <c r="BA552" s="77"/>
      <c r="BB552" s="77"/>
      <c r="BC552" s="77"/>
      <c r="BD552" s="77"/>
      <c r="BE552" s="77"/>
      <c r="BF552" s="77"/>
      <c r="BG552" s="77"/>
      <c r="BH552" s="77"/>
      <c r="BI552" s="77"/>
      <c r="BJ552" s="77"/>
      <c r="BK552" s="77"/>
      <c r="BL552" s="77"/>
      <c r="BM552" s="77"/>
      <c r="BN552" s="77"/>
      <c r="BO552" s="77"/>
      <c r="BP552" s="77"/>
      <c r="BQ552" s="77"/>
      <c r="BR552" s="77"/>
      <c r="BS552" s="77"/>
      <c r="BT552" s="77"/>
      <c r="BU552" s="77"/>
      <c r="BV552" s="77"/>
      <c r="BW552" s="77"/>
      <c r="BX552" s="77"/>
      <c r="BY552" s="77"/>
      <c r="BZ552" s="77"/>
      <c r="CA552" s="77"/>
      <c r="CB552" s="77"/>
      <c r="CC552" s="77"/>
      <c r="CD552" s="77"/>
      <c r="CE552" s="77"/>
      <c r="CF552" s="77"/>
      <c r="CG552" s="77"/>
      <c r="CH552" s="77"/>
      <c r="CI552" s="77"/>
      <c r="CJ552" s="77"/>
      <c r="CK552" s="77"/>
      <c r="CL552" s="77"/>
      <c r="CM552" s="77"/>
      <c r="CN552" s="77"/>
      <c r="CO552" s="77"/>
      <c r="CP552" s="77"/>
      <c r="CQ552" s="77"/>
      <c r="CR552" s="77"/>
      <c r="CS552" s="77"/>
      <c r="CT552" s="77"/>
      <c r="CU552" s="77"/>
      <c r="CV552" s="77"/>
      <c r="CW552" s="77"/>
      <c r="CX552" s="77"/>
      <c r="CY552" s="77"/>
      <c r="CZ552" s="77"/>
      <c r="DA552" s="77"/>
      <c r="DB552" s="77"/>
      <c r="DC552" s="77"/>
      <c r="DD552" s="77"/>
      <c r="DE552" s="77"/>
      <c r="DF552" s="77"/>
      <c r="DG552" s="77"/>
      <c r="DH552" s="77"/>
      <c r="DI552" s="77"/>
      <c r="DJ552" s="77"/>
      <c r="DK552" s="77"/>
      <c r="DL552" s="77"/>
      <c r="DM552" s="77"/>
      <c r="DN552" s="77"/>
      <c r="DO552" s="77"/>
      <c r="DP552" s="77"/>
      <c r="DQ552" s="77"/>
      <c r="DR552" s="77"/>
      <c r="DS552" s="77"/>
      <c r="DT552" s="77"/>
      <c r="DU552" s="77"/>
      <c r="DV552" s="77"/>
      <c r="DW552" s="77"/>
      <c r="DX552" s="77"/>
      <c r="DY552" s="77"/>
      <c r="DZ552" s="77"/>
      <c r="EA552" s="77"/>
      <c r="EB552" s="77"/>
      <c r="EC552" s="77"/>
      <c r="ED552" s="77"/>
      <c r="EE552" s="77"/>
      <c r="EF552" s="77"/>
      <c r="EG552" s="77"/>
      <c r="EH552" s="77"/>
      <c r="EI552" s="77"/>
      <c r="EJ552" s="77"/>
      <c r="EK552" s="77"/>
      <c r="EL552" s="77"/>
      <c r="EM552" s="77"/>
      <c r="EN552" s="77"/>
      <c r="EO552" s="77"/>
      <c r="EP552" s="77"/>
      <c r="EQ552" s="77"/>
      <c r="GL552" s="77"/>
      <c r="GM552" s="77"/>
      <c r="GN552" s="77"/>
      <c r="GO552" s="77"/>
      <c r="GP552" s="77"/>
      <c r="GQ552" s="77"/>
      <c r="GR552" s="77"/>
      <c r="GS552" s="77"/>
      <c r="GT552" s="77"/>
      <c r="GU552" s="77"/>
      <c r="GV552" s="77"/>
      <c r="GW552" s="77"/>
      <c r="GX552" s="77"/>
      <c r="GY552" s="77"/>
      <c r="GZ552" s="77"/>
      <c r="HA552" s="77"/>
      <c r="HB552" s="77"/>
      <c r="HC552" s="77"/>
      <c r="HD552" s="77"/>
      <c r="HE552" s="77"/>
      <c r="HF552" s="77"/>
      <c r="HG552" s="77"/>
      <c r="HH552" s="77"/>
      <c r="HI552" s="77"/>
      <c r="HJ552" s="77"/>
      <c r="HK552" s="77"/>
      <c r="HL552" s="77"/>
      <c r="HM552" s="77"/>
      <c r="HN552" s="77"/>
      <c r="HO552" s="77"/>
      <c r="HP552" s="77"/>
      <c r="HQ552" s="77"/>
      <c r="HR552" s="77"/>
      <c r="HS552" s="77"/>
      <c r="HT552" s="77"/>
      <c r="HU552" s="77"/>
      <c r="HV552" s="77"/>
      <c r="HW552" s="77"/>
      <c r="HX552" s="77"/>
      <c r="HY552" s="77"/>
      <c r="HZ552" s="77"/>
      <c r="IA552" s="77"/>
      <c r="IB552" s="77"/>
      <c r="IC552" s="77"/>
      <c r="ID552" s="77"/>
      <c r="IE552" s="77"/>
      <c r="IF552" s="77"/>
      <c r="IG552" s="77"/>
      <c r="IH552" s="77"/>
      <c r="II552" s="77"/>
      <c r="IJ552" s="77"/>
      <c r="IK552" s="77"/>
      <c r="IL552" s="77"/>
      <c r="IM552" s="77"/>
      <c r="IN552" s="77"/>
      <c r="IO552" s="77"/>
      <c r="IP552" s="77"/>
      <c r="IQ552" s="77"/>
      <c r="IR552" s="77"/>
      <c r="IS552" s="77"/>
      <c r="IT552" s="77"/>
      <c r="IU552" s="77"/>
      <c r="IV552" s="77"/>
      <c r="IW552" s="77"/>
      <c r="IX552" s="77"/>
      <c r="IY552" s="77"/>
      <c r="IZ552" s="77"/>
      <c r="JA552" s="77"/>
      <c r="JB552" s="77"/>
      <c r="JC552" s="77"/>
      <c r="JD552" s="77"/>
      <c r="JE552" s="77"/>
      <c r="JF552" s="77"/>
      <c r="JG552" s="77"/>
      <c r="JH552" s="77"/>
      <c r="JI552" s="77"/>
      <c r="JJ552" s="77"/>
      <c r="JK552" s="77"/>
      <c r="JL552" s="77"/>
      <c r="JM552" s="77"/>
      <c r="JN552" s="77"/>
      <c r="JO552" s="77"/>
      <c r="JP552" s="77"/>
      <c r="JQ552" s="77"/>
      <c r="JR552" s="77"/>
      <c r="JS552" s="77"/>
      <c r="JT552" s="77"/>
      <c r="JU552" s="77"/>
      <c r="JV552" s="77"/>
      <c r="JW552" s="77"/>
      <c r="JX552" s="77"/>
      <c r="JY552" s="77"/>
      <c r="JZ552" s="77"/>
      <c r="KA552" s="77"/>
      <c r="KB552" s="77"/>
      <c r="KC552" s="77"/>
      <c r="KD552" s="77"/>
      <c r="KE552" s="77"/>
      <c r="KF552" s="77"/>
      <c r="KG552" s="77"/>
      <c r="KH552" s="77"/>
      <c r="KI552" s="77"/>
      <c r="KJ552" s="77"/>
      <c r="KK552" s="77"/>
      <c r="KL552" s="77"/>
      <c r="LW552" s="16"/>
      <c r="LX552" s="16"/>
      <c r="MS552" s="77"/>
      <c r="MT552" s="16"/>
      <c r="MU552" s="16"/>
      <c r="MV552" s="16"/>
      <c r="MW552" s="16"/>
      <c r="MX552" s="16"/>
      <c r="MY552" s="16"/>
      <c r="MZ552" s="16"/>
      <c r="NA552" s="16"/>
      <c r="NB552" s="16"/>
      <c r="NC552" s="16"/>
      <c r="ND552" s="77"/>
    </row>
    <row r="553" spans="1:368" s="21" customFormat="1" ht="18.600000000000001" customHeight="1" x14ac:dyDescent="0.25">
      <c r="A553" s="119" t="s">
        <v>146</v>
      </c>
      <c r="B553" s="27" t="s">
        <v>146</v>
      </c>
      <c r="C553" s="27" t="s">
        <v>4549</v>
      </c>
      <c r="D553" s="30" t="str">
        <f>HYPERLINK("https://twitter.com/UgandaMFA","https://twitter.com/UgandaMFA")</f>
        <v>https://twitter.com/UgandaMFA</v>
      </c>
      <c r="E553" s="30" t="str">
        <f>HYPERLINK("http://twiplomacy.com/info/africa/Uganda","http://twiplomacy.com/info/africa/Uganda")</f>
        <v>http://twiplomacy.com/info/africa/Uganda</v>
      </c>
      <c r="F553" s="10" t="s">
        <v>1</v>
      </c>
      <c r="G553" s="10" t="s">
        <v>142</v>
      </c>
      <c r="H553" s="10" t="s">
        <v>795</v>
      </c>
      <c r="I553" s="10" t="s">
        <v>782</v>
      </c>
      <c r="J553" s="27" t="s">
        <v>789</v>
      </c>
      <c r="K553" s="15" t="s">
        <v>777</v>
      </c>
      <c r="L553" s="10" t="s">
        <v>771</v>
      </c>
      <c r="M553" s="10" t="s">
        <v>770</v>
      </c>
      <c r="N553" s="30" t="str">
        <f>HYPERLINK("https://twitter.com/UgandaMFA/statuses/360050031337799682","https://twitter.com/UgandaMFA/statuses/360050031337799682")</f>
        <v>https://twitter.com/UgandaMFA/statuses/360050031337799682</v>
      </c>
      <c r="O553" s="27" t="s">
        <v>1163</v>
      </c>
      <c r="P553" s="80">
        <v>22</v>
      </c>
      <c r="Q553" s="80">
        <v>4</v>
      </c>
      <c r="R553" s="27" t="s">
        <v>2995</v>
      </c>
      <c r="S553" s="10" t="s">
        <v>1164</v>
      </c>
      <c r="T553" s="10" t="s">
        <v>771</v>
      </c>
      <c r="U553" s="10" t="s">
        <v>771</v>
      </c>
      <c r="V553" s="10" t="s">
        <v>771</v>
      </c>
      <c r="W553" s="10"/>
      <c r="X553" s="27" t="s">
        <v>146</v>
      </c>
      <c r="Y553" s="27" t="s">
        <v>146</v>
      </c>
      <c r="Z553" s="80">
        <v>499</v>
      </c>
      <c r="AA553" s="27">
        <v>216</v>
      </c>
      <c r="AB553" s="80">
        <v>966</v>
      </c>
      <c r="AC553" s="27">
        <v>102</v>
      </c>
      <c r="AD553" s="27" t="s">
        <v>4550</v>
      </c>
      <c r="AE553" s="27">
        <v>1617829765</v>
      </c>
      <c r="AF553" s="27" t="s">
        <v>4549</v>
      </c>
      <c r="AG553" s="27"/>
      <c r="AH553" s="79">
        <v>0.49259624876604102</v>
      </c>
      <c r="AI553" s="83">
        <v>0.49308300395256899</v>
      </c>
      <c r="AJ553" s="80">
        <v>0.55256723716381395</v>
      </c>
      <c r="AK553" s="80">
        <v>0.33251833740831299</v>
      </c>
      <c r="AL553" s="96">
        <v>26</v>
      </c>
      <c r="AM553" s="97">
        <f>SUM(AL553/Z553)</f>
        <v>5.2104208416833664E-2</v>
      </c>
      <c r="AN553" s="27" t="s">
        <v>146</v>
      </c>
      <c r="AO553" s="27">
        <v>18</v>
      </c>
      <c r="AP553" s="27">
        <v>27</v>
      </c>
      <c r="AQ553" s="27">
        <v>14</v>
      </c>
      <c r="AR553" s="27">
        <f>SUM(AO553:AQ553)</f>
        <v>59</v>
      </c>
      <c r="AS553" s="27" t="s">
        <v>5635</v>
      </c>
      <c r="AT553" s="27" t="s">
        <v>6351</v>
      </c>
      <c r="AU553" s="84" t="s">
        <v>4977</v>
      </c>
      <c r="AV553" s="77"/>
      <c r="AW553" s="77"/>
      <c r="AX553" s="77"/>
      <c r="AY553" s="77"/>
      <c r="AZ553" s="77"/>
      <c r="BA553" s="77"/>
      <c r="BB553" s="77"/>
      <c r="BC553" s="77"/>
      <c r="BD553" s="77"/>
      <c r="BE553" s="77"/>
      <c r="BF553" s="77"/>
      <c r="BG553" s="77"/>
      <c r="BH553" s="77"/>
      <c r="BI553" s="77"/>
      <c r="BJ553" s="77"/>
      <c r="BK553" s="77"/>
      <c r="BL553" s="77"/>
      <c r="BM553" s="77"/>
      <c r="BN553" s="77"/>
      <c r="BO553" s="77"/>
      <c r="BP553" s="77"/>
      <c r="BQ553" s="77"/>
      <c r="BR553" s="77"/>
      <c r="BS553" s="77"/>
      <c r="BT553" s="77"/>
      <c r="BU553" s="77"/>
      <c r="BV553" s="77"/>
      <c r="BW553" s="77"/>
      <c r="BX553" s="77"/>
      <c r="BY553" s="77"/>
      <c r="BZ553" s="77"/>
      <c r="CA553" s="77"/>
      <c r="CB553" s="77"/>
      <c r="CC553" s="77"/>
      <c r="CD553" s="77"/>
      <c r="CE553" s="77"/>
      <c r="CF553" s="77"/>
      <c r="CG553" s="77"/>
      <c r="CH553" s="77"/>
      <c r="CI553" s="77"/>
      <c r="CJ553" s="77"/>
      <c r="CK553" s="77"/>
      <c r="CL553" s="77"/>
      <c r="CM553" s="77"/>
      <c r="CN553" s="77"/>
      <c r="CO553" s="77"/>
      <c r="CP553" s="77"/>
      <c r="CQ553" s="77"/>
      <c r="CR553" s="77"/>
      <c r="CS553" s="77"/>
      <c r="CT553" s="77"/>
      <c r="CU553" s="77"/>
      <c r="CV553" s="77"/>
      <c r="CW553" s="77"/>
      <c r="CX553" s="77"/>
      <c r="CY553" s="77"/>
      <c r="CZ553" s="77"/>
      <c r="DA553" s="77"/>
      <c r="DB553" s="77"/>
      <c r="DC553" s="77"/>
      <c r="DD553" s="77"/>
      <c r="DE553" s="77"/>
      <c r="DF553" s="77"/>
      <c r="DG553" s="77"/>
      <c r="DH553" s="77"/>
      <c r="DI553" s="77"/>
      <c r="DJ553" s="77"/>
      <c r="DK553" s="77"/>
      <c r="DL553" s="77"/>
      <c r="DM553" s="77"/>
      <c r="DN553" s="77"/>
      <c r="DO553" s="77"/>
      <c r="DP553" s="77"/>
      <c r="DQ553" s="77"/>
      <c r="DR553" s="77"/>
      <c r="DS553" s="77"/>
      <c r="DT553" s="77"/>
      <c r="DU553" s="77"/>
      <c r="DV553" s="77"/>
      <c r="DW553" s="77"/>
      <c r="DX553" s="77"/>
      <c r="DY553" s="77"/>
      <c r="DZ553" s="77"/>
      <c r="EA553" s="77"/>
      <c r="EB553" s="77"/>
      <c r="EC553" s="77"/>
      <c r="ED553" s="77"/>
      <c r="EE553" s="77"/>
      <c r="EF553" s="77"/>
      <c r="EG553" s="77"/>
      <c r="EH553" s="77"/>
      <c r="EI553" s="77"/>
      <c r="EJ553" s="77"/>
      <c r="EK553" s="77"/>
      <c r="EL553" s="77"/>
      <c r="EM553" s="77"/>
      <c r="EN553" s="77"/>
      <c r="EO553" s="77"/>
      <c r="EQ553" s="77"/>
      <c r="ER553" s="77"/>
      <c r="ES553" s="77"/>
      <c r="ET553" s="77"/>
      <c r="EU553" s="77"/>
      <c r="EV553" s="77"/>
      <c r="EW553" s="77"/>
      <c r="EX553" s="77"/>
      <c r="EY553" s="77"/>
      <c r="EZ553" s="77"/>
      <c r="FA553" s="77"/>
      <c r="FB553" s="77"/>
      <c r="FC553" s="77"/>
      <c r="FD553" s="77"/>
      <c r="FE553" s="77"/>
      <c r="FF553" s="77"/>
      <c r="FG553" s="77"/>
      <c r="FH553" s="77"/>
      <c r="FI553" s="77"/>
      <c r="FJ553" s="77"/>
      <c r="FK553" s="77"/>
      <c r="FL553" s="77"/>
      <c r="FM553" s="77"/>
      <c r="FN553" s="77"/>
      <c r="FO553" s="77"/>
      <c r="FP553" s="77"/>
      <c r="FQ553" s="77"/>
      <c r="FR553" s="77"/>
      <c r="FS553" s="77"/>
      <c r="FT553" s="77"/>
      <c r="FU553" s="77"/>
      <c r="FV553" s="77"/>
      <c r="FW553" s="77"/>
      <c r="FX553" s="77"/>
      <c r="FY553" s="77"/>
      <c r="FZ553" s="77"/>
      <c r="GA553" s="77"/>
      <c r="GB553" s="77"/>
      <c r="GC553" s="77"/>
      <c r="GD553" s="77"/>
      <c r="GE553" s="77"/>
      <c r="GF553" s="77"/>
      <c r="GG553" s="77"/>
      <c r="GH553" s="77"/>
      <c r="GI553" s="77"/>
      <c r="GJ553" s="77"/>
      <c r="GK553" s="77"/>
      <c r="GL553" s="77"/>
      <c r="GM553" s="77"/>
      <c r="GN553" s="77"/>
      <c r="GO553" s="77"/>
      <c r="GP553" s="77"/>
      <c r="GQ553" s="77"/>
      <c r="GR553" s="77"/>
      <c r="GS553" s="77"/>
      <c r="GT553" s="77"/>
      <c r="GU553" s="77"/>
      <c r="GV553" s="77"/>
      <c r="GW553" s="77"/>
      <c r="GX553" s="77"/>
      <c r="GY553" s="77"/>
      <c r="GZ553" s="77"/>
      <c r="HA553" s="77"/>
      <c r="HB553" s="77"/>
      <c r="HC553" s="77"/>
      <c r="HD553" s="77"/>
      <c r="HE553" s="77"/>
      <c r="HF553" s="77"/>
      <c r="HG553" s="77"/>
      <c r="HH553" s="77"/>
      <c r="HI553" s="77"/>
      <c r="HJ553" s="77"/>
      <c r="HK553" s="77"/>
      <c r="HL553" s="77"/>
      <c r="HM553" s="77"/>
      <c r="HN553" s="77"/>
      <c r="HO553" s="77"/>
      <c r="HP553" s="77"/>
      <c r="HQ553" s="77"/>
      <c r="HR553" s="77"/>
      <c r="HS553" s="77"/>
      <c r="HT553" s="77"/>
      <c r="HU553" s="77"/>
      <c r="HV553" s="77"/>
      <c r="HW553" s="77"/>
      <c r="HX553" s="77"/>
      <c r="HY553" s="77"/>
      <c r="HZ553" s="77"/>
      <c r="IA553" s="77"/>
      <c r="IB553" s="77"/>
      <c r="IC553" s="77"/>
      <c r="IF553" s="77"/>
      <c r="IG553" s="77"/>
      <c r="IH553" s="77"/>
      <c r="II553" s="77"/>
      <c r="IJ553" s="77"/>
      <c r="IK553" s="77"/>
      <c r="IL553" s="77"/>
      <c r="IM553" s="77"/>
      <c r="IN553" s="77"/>
      <c r="IO553" s="77"/>
      <c r="IP553" s="77"/>
      <c r="IQ553" s="77"/>
      <c r="IR553" s="77"/>
      <c r="IS553" s="77"/>
      <c r="IT553" s="77"/>
      <c r="IU553" s="77"/>
      <c r="IV553" s="77"/>
      <c r="IW553" s="77"/>
      <c r="IX553" s="77"/>
      <c r="IY553" s="77"/>
      <c r="IZ553" s="77"/>
      <c r="JA553" s="77"/>
      <c r="JB553" s="77"/>
      <c r="JC553" s="77"/>
      <c r="JD553" s="77"/>
      <c r="JE553" s="77"/>
      <c r="JF553" s="77"/>
      <c r="JG553" s="77"/>
      <c r="JH553" s="77"/>
      <c r="JI553" s="77"/>
      <c r="JJ553" s="77"/>
      <c r="JK553" s="77"/>
      <c r="JL553" s="77"/>
      <c r="JM553" s="77"/>
      <c r="JN553" s="77"/>
      <c r="JO553" s="77"/>
      <c r="JP553" s="77"/>
      <c r="JQ553" s="77"/>
      <c r="JR553" s="77"/>
      <c r="JS553" s="77"/>
      <c r="JT553" s="77"/>
      <c r="JU553" s="77"/>
      <c r="JV553" s="77"/>
      <c r="JW553" s="77"/>
      <c r="JX553" s="77"/>
      <c r="JY553" s="77"/>
      <c r="JZ553" s="77"/>
      <c r="KA553" s="77"/>
      <c r="KB553" s="77"/>
      <c r="KC553" s="77"/>
      <c r="KD553" s="77"/>
      <c r="KE553" s="77"/>
      <c r="KF553" s="77"/>
      <c r="KG553" s="77"/>
      <c r="KH553" s="77"/>
      <c r="KI553" s="77"/>
      <c r="KJ553" s="77"/>
      <c r="KK553" s="77"/>
      <c r="KL553" s="77"/>
      <c r="KM553" s="77"/>
      <c r="KN553" s="77"/>
      <c r="KO553" s="77"/>
      <c r="KP553" s="77"/>
      <c r="KQ553" s="77"/>
      <c r="KR553" s="77"/>
      <c r="KS553" s="77"/>
      <c r="KT553" s="77"/>
      <c r="KU553" s="77"/>
      <c r="KV553" s="77"/>
      <c r="KW553" s="77"/>
      <c r="KX553" s="77"/>
      <c r="KY553" s="77"/>
      <c r="KZ553" s="77"/>
      <c r="LA553" s="77"/>
      <c r="LB553" s="77"/>
      <c r="LC553" s="77"/>
      <c r="LD553" s="77"/>
      <c r="LE553" s="77"/>
      <c r="LF553" s="77"/>
      <c r="LG553" s="77"/>
      <c r="LH553" s="77"/>
      <c r="LI553" s="77"/>
      <c r="LJ553" s="77"/>
      <c r="LK553" s="77"/>
      <c r="LL553" s="77"/>
      <c r="LM553" s="77"/>
      <c r="LN553" s="77"/>
      <c r="LO553" s="77"/>
      <c r="LP553" s="77"/>
      <c r="LQ553" s="77"/>
      <c r="LR553" s="77"/>
      <c r="LS553" s="77"/>
      <c r="LT553" s="77"/>
      <c r="LU553" s="77"/>
      <c r="LV553" s="77"/>
      <c r="LY553" s="77"/>
      <c r="LZ553" s="77"/>
      <c r="MA553" s="77"/>
      <c r="MB553" s="77"/>
      <c r="MC553" s="77"/>
      <c r="MD553" s="77"/>
      <c r="ME553" s="77"/>
      <c r="MF553" s="77"/>
      <c r="MG553" s="77"/>
      <c r="MH553" s="77"/>
      <c r="MI553" s="77"/>
      <c r="MJ553" s="77"/>
      <c r="MK553" s="77"/>
      <c r="ML553" s="77"/>
      <c r="MM553" s="77"/>
      <c r="MN553" s="77"/>
      <c r="MO553" s="77"/>
      <c r="MP553" s="77"/>
      <c r="MQ553" s="77"/>
      <c r="MR553" s="77"/>
    </row>
    <row r="554" spans="1:368" s="21" customFormat="1" ht="18.600000000000001" customHeight="1" x14ac:dyDescent="0.25">
      <c r="A554" s="119" t="s">
        <v>3300</v>
      </c>
      <c r="B554" s="27" t="s">
        <v>3716</v>
      </c>
      <c r="C554" s="27" t="s">
        <v>6393</v>
      </c>
      <c r="D554" s="30" t="s">
        <v>3299</v>
      </c>
      <c r="E554" s="30" t="str">
        <f>HYPERLINK("http://twiplomacy.com/info/africa/Nigeria","http://twiplomacy.com/info/africa/Nigeria")</f>
        <v>http://twiplomacy.com/info/africa/Nigeria</v>
      </c>
      <c r="F554" s="10" t="s">
        <v>1</v>
      </c>
      <c r="G554" s="10" t="s">
        <v>95</v>
      </c>
      <c r="H554" s="10" t="s">
        <v>860</v>
      </c>
      <c r="I554" s="10" t="s">
        <v>773</v>
      </c>
      <c r="J554" s="27" t="s">
        <v>789</v>
      </c>
      <c r="K554" s="15" t="s">
        <v>777</v>
      </c>
      <c r="L554" s="15"/>
      <c r="M554" s="10"/>
      <c r="N554" s="30" t="s">
        <v>3301</v>
      </c>
      <c r="O554" s="27" t="s">
        <v>5815</v>
      </c>
      <c r="P554" s="80">
        <v>60</v>
      </c>
      <c r="Q554" s="80">
        <v>11</v>
      </c>
      <c r="R554" s="27" t="s">
        <v>2995</v>
      </c>
      <c r="S554" s="12" t="s">
        <v>3302</v>
      </c>
      <c r="T554" s="10" t="s">
        <v>771</v>
      </c>
      <c r="U554" s="10" t="s">
        <v>771</v>
      </c>
      <c r="V554" s="10" t="s">
        <v>771</v>
      </c>
      <c r="W554" s="20"/>
      <c r="X554" s="27" t="s">
        <v>3300</v>
      </c>
      <c r="Y554" s="27" t="s">
        <v>3716</v>
      </c>
      <c r="Z554" s="80">
        <v>480</v>
      </c>
      <c r="AA554" s="27">
        <v>116</v>
      </c>
      <c r="AB554" s="80">
        <v>2618</v>
      </c>
      <c r="AC554" s="27">
        <v>656</v>
      </c>
      <c r="AD554" s="27" t="s">
        <v>3717</v>
      </c>
      <c r="AE554" s="27">
        <v>7.0875731659037094E+17</v>
      </c>
      <c r="AF554" s="27" t="s">
        <v>6393</v>
      </c>
      <c r="AG554" s="27" t="s">
        <v>95</v>
      </c>
      <c r="AH554" s="79">
        <v>9.6</v>
      </c>
      <c r="AI554" s="83">
        <v>9.58</v>
      </c>
      <c r="AJ554" s="80">
        <v>7.0030769230769199</v>
      </c>
      <c r="AK554" s="80">
        <v>3.08615384615385</v>
      </c>
      <c r="AL554" s="27">
        <v>65</v>
      </c>
      <c r="AM554" s="97">
        <f>SUM(AL554/Z554)</f>
        <v>0.13541666666666666</v>
      </c>
      <c r="AN554" s="27" t="s">
        <v>3300</v>
      </c>
      <c r="AO554" s="27">
        <v>35</v>
      </c>
      <c r="AP554" s="27">
        <v>2</v>
      </c>
      <c r="AQ554" s="27">
        <v>3</v>
      </c>
      <c r="AR554" s="27">
        <f>SUM(AO554:AQ554)</f>
        <v>40</v>
      </c>
      <c r="AS554" s="27" t="s">
        <v>6212</v>
      </c>
      <c r="AT554" s="27" t="s">
        <v>6292</v>
      </c>
      <c r="AU554" s="84" t="s">
        <v>6156</v>
      </c>
      <c r="AV554" s="77"/>
      <c r="AW554" s="77"/>
      <c r="AX554" s="77"/>
      <c r="AY554" s="77"/>
      <c r="AZ554" s="77"/>
      <c r="BA554" s="77"/>
      <c r="BB554" s="77"/>
      <c r="BC554" s="77"/>
      <c r="BD554" s="77"/>
      <c r="BE554" s="77"/>
      <c r="BF554" s="77"/>
      <c r="BG554" s="77"/>
      <c r="BH554" s="77"/>
      <c r="BI554" s="77"/>
      <c r="BJ554" s="77"/>
      <c r="BK554" s="77"/>
      <c r="BL554" s="77"/>
      <c r="BM554" s="77"/>
      <c r="BN554" s="77"/>
      <c r="BO554" s="77"/>
      <c r="BP554" s="77"/>
      <c r="BQ554" s="77"/>
      <c r="BR554" s="77"/>
      <c r="BS554" s="77"/>
      <c r="BT554" s="77"/>
      <c r="BU554" s="77"/>
      <c r="BV554" s="77"/>
      <c r="BW554" s="77"/>
      <c r="BX554" s="77"/>
      <c r="BY554" s="77"/>
      <c r="BZ554" s="77"/>
      <c r="CA554" s="77"/>
      <c r="CB554" s="77"/>
      <c r="CC554" s="77"/>
      <c r="CD554" s="77"/>
      <c r="CE554" s="77"/>
      <c r="CF554" s="77"/>
      <c r="CG554" s="77"/>
      <c r="CH554" s="77"/>
      <c r="CI554" s="77"/>
      <c r="CJ554" s="77"/>
      <c r="CK554" s="77"/>
      <c r="CL554" s="77"/>
      <c r="CM554" s="77"/>
      <c r="CN554" s="77"/>
      <c r="CO554" s="77"/>
      <c r="CP554" s="77"/>
      <c r="CQ554" s="77"/>
      <c r="CR554" s="77"/>
      <c r="CS554" s="77"/>
      <c r="CT554" s="77"/>
      <c r="CU554" s="77"/>
      <c r="CV554" s="77"/>
      <c r="CW554" s="77"/>
      <c r="EM554" s="77"/>
      <c r="EN554" s="77"/>
      <c r="EO554" s="77"/>
      <c r="EP554" s="77"/>
      <c r="ER554" s="77"/>
      <c r="ES554" s="77"/>
      <c r="ET554" s="77"/>
      <c r="EU554" s="77"/>
      <c r="EV554" s="77"/>
      <c r="EW554" s="77"/>
      <c r="EX554" s="77"/>
      <c r="EY554" s="77"/>
      <c r="EZ554" s="77"/>
      <c r="FA554" s="77"/>
      <c r="FB554" s="77"/>
      <c r="FC554" s="77"/>
      <c r="FD554" s="77"/>
      <c r="FE554" s="77"/>
      <c r="FF554" s="77"/>
      <c r="FG554" s="77"/>
      <c r="FH554" s="77"/>
      <c r="FI554" s="77"/>
      <c r="FJ554" s="77"/>
      <c r="FK554" s="77"/>
      <c r="FL554" s="77"/>
      <c r="FM554" s="77"/>
      <c r="FN554" s="77"/>
      <c r="FO554" s="77"/>
      <c r="FP554" s="77"/>
      <c r="FQ554" s="77"/>
      <c r="FR554" s="77"/>
      <c r="FS554" s="77"/>
      <c r="FT554" s="77"/>
      <c r="FU554" s="77"/>
      <c r="FV554" s="77"/>
      <c r="FW554" s="77"/>
      <c r="FX554" s="77"/>
      <c r="FY554" s="77"/>
      <c r="FZ554" s="77"/>
      <c r="GA554" s="77"/>
      <c r="GB554" s="77"/>
      <c r="GC554" s="77"/>
      <c r="GD554" s="77"/>
      <c r="GE554" s="77"/>
      <c r="GF554" s="77"/>
      <c r="GG554" s="77"/>
      <c r="GH554" s="77"/>
      <c r="GI554" s="77"/>
      <c r="GJ554" s="77"/>
      <c r="GK554" s="77"/>
      <c r="GL554" s="77"/>
      <c r="GM554" s="77"/>
      <c r="GN554" s="77"/>
      <c r="GO554" s="77"/>
      <c r="GP554" s="77"/>
      <c r="GQ554" s="77"/>
      <c r="GR554" s="77"/>
      <c r="GS554" s="77"/>
      <c r="GT554" s="77"/>
      <c r="GU554" s="77"/>
      <c r="GV554" s="77"/>
      <c r="GW554" s="77"/>
      <c r="GX554" s="77"/>
      <c r="GY554" s="77"/>
      <c r="GZ554" s="77"/>
      <c r="HA554" s="77"/>
      <c r="HB554" s="77"/>
      <c r="HC554" s="77"/>
      <c r="HD554" s="77"/>
      <c r="HE554" s="77"/>
      <c r="HF554" s="77"/>
      <c r="HG554" s="77"/>
      <c r="HH554" s="77"/>
      <c r="HI554" s="77"/>
      <c r="HJ554" s="77"/>
      <c r="HK554" s="77"/>
      <c r="HL554" s="77"/>
      <c r="HM554" s="77"/>
      <c r="HN554" s="77"/>
      <c r="HO554" s="77"/>
      <c r="HP554" s="77"/>
      <c r="HQ554" s="77"/>
      <c r="HR554" s="77"/>
      <c r="HS554" s="77"/>
      <c r="HT554" s="77"/>
      <c r="HU554" s="77"/>
      <c r="HV554" s="77"/>
      <c r="HW554" s="77"/>
      <c r="HX554" s="77"/>
      <c r="HY554" s="77"/>
      <c r="HZ554" s="77"/>
      <c r="IA554" s="77"/>
      <c r="IB554" s="77"/>
      <c r="IC554" s="77"/>
      <c r="IF554" s="77"/>
      <c r="IG554" s="77"/>
      <c r="IH554" s="77"/>
      <c r="II554" s="77"/>
      <c r="IJ554" s="77"/>
      <c r="IK554" s="77"/>
      <c r="IL554" s="77"/>
      <c r="IM554" s="77"/>
      <c r="IN554" s="77"/>
      <c r="IO554" s="77"/>
      <c r="IP554" s="77"/>
      <c r="IQ554" s="77"/>
      <c r="IR554" s="77"/>
      <c r="IS554" s="77"/>
      <c r="IT554" s="77"/>
      <c r="IU554" s="77"/>
      <c r="IV554" s="77"/>
      <c r="IW554" s="77"/>
      <c r="IX554" s="77"/>
      <c r="IY554" s="77"/>
      <c r="IZ554" s="77"/>
      <c r="JA554" s="77"/>
      <c r="JB554" s="77"/>
      <c r="JC554" s="77"/>
      <c r="JD554" s="77"/>
      <c r="JE554" s="77"/>
      <c r="JF554" s="77"/>
      <c r="JG554" s="77"/>
      <c r="JH554" s="77"/>
      <c r="JI554" s="77"/>
      <c r="JJ554" s="77"/>
      <c r="JK554" s="77"/>
      <c r="JL554" s="77"/>
      <c r="JM554" s="77"/>
      <c r="JN554" s="77"/>
      <c r="JO554" s="77"/>
      <c r="JP554" s="77"/>
      <c r="JQ554" s="77"/>
      <c r="JR554" s="77"/>
      <c r="JS554" s="77"/>
      <c r="JT554" s="77"/>
      <c r="JU554" s="77"/>
      <c r="JV554" s="77"/>
      <c r="JW554" s="77"/>
      <c r="JX554" s="77"/>
      <c r="LL554" s="77"/>
      <c r="LM554" s="77"/>
      <c r="LN554" s="77"/>
      <c r="LO554" s="77"/>
      <c r="LP554" s="77"/>
      <c r="LQ554" s="77"/>
      <c r="LR554" s="77"/>
      <c r="LS554" s="77"/>
      <c r="LT554" s="77"/>
      <c r="LU554" s="77"/>
      <c r="LV554" s="77"/>
      <c r="LW554" s="77"/>
      <c r="LX554" s="77"/>
      <c r="LY554" s="77"/>
      <c r="LZ554" s="77"/>
      <c r="MA554" s="77"/>
      <c r="MB554" s="77"/>
      <c r="MC554" s="77"/>
      <c r="MD554" s="77"/>
      <c r="ME554" s="77"/>
      <c r="MF554" s="77"/>
      <c r="MG554" s="77"/>
      <c r="MH554" s="77"/>
      <c r="MI554" s="77"/>
      <c r="MJ554" s="77"/>
      <c r="MK554" s="77"/>
      <c r="ML554" s="77"/>
      <c r="MM554" s="77"/>
      <c r="MN554" s="77"/>
      <c r="MO554" s="77"/>
      <c r="MP554" s="77"/>
      <c r="MQ554" s="77"/>
      <c r="MR554" s="77"/>
    </row>
    <row r="555" spans="1:368" s="21" customFormat="1" ht="18.600000000000001" customHeight="1" x14ac:dyDescent="0.25">
      <c r="A555" s="119" t="s">
        <v>20</v>
      </c>
      <c r="B555" s="27" t="s">
        <v>815</v>
      </c>
      <c r="C555" s="27" t="s">
        <v>4356</v>
      </c>
      <c r="D555" s="72" t="str">
        <f>HYPERLINK("https://twitter.com/presidenciaCV","https://twitter.com/PresidenteCV")</f>
        <v>https://twitter.com/PresidenteCV</v>
      </c>
      <c r="E555" s="31" t="s">
        <v>3058</v>
      </c>
      <c r="F555" s="10" t="s">
        <v>1</v>
      </c>
      <c r="G555" s="10" t="s">
        <v>19</v>
      </c>
      <c r="H555" s="10" t="s">
        <v>781</v>
      </c>
      <c r="I555" s="10" t="s">
        <v>782</v>
      </c>
      <c r="J555" s="27" t="s">
        <v>785</v>
      </c>
      <c r="K555" s="10" t="s">
        <v>777</v>
      </c>
      <c r="L555" s="10" t="s">
        <v>771</v>
      </c>
      <c r="M555" s="10" t="s">
        <v>771</v>
      </c>
      <c r="N555" s="30" t="str">
        <f>HYPERLINK("https://twitter.com/presidenciaCV/statuses/202126169104064512","https://twitter.com/PresidenteCV/statuses/202126169104064512")</f>
        <v>https://twitter.com/PresidenteCV/statuses/202126169104064512</v>
      </c>
      <c r="O555" s="27" t="s">
        <v>6047</v>
      </c>
      <c r="P555" s="80">
        <v>4</v>
      </c>
      <c r="Q555" s="80">
        <v>5</v>
      </c>
      <c r="R555" s="27" t="s">
        <v>2995</v>
      </c>
      <c r="S555" s="10" t="s">
        <v>816</v>
      </c>
      <c r="T555" s="10" t="s">
        <v>771</v>
      </c>
      <c r="U555" s="10" t="s">
        <v>771</v>
      </c>
      <c r="V555" s="10" t="s">
        <v>771</v>
      </c>
      <c r="W555" s="10"/>
      <c r="X555" s="27" t="s">
        <v>20</v>
      </c>
      <c r="Y555" s="27" t="s">
        <v>815</v>
      </c>
      <c r="Z555" s="80">
        <v>455</v>
      </c>
      <c r="AA555" s="27">
        <v>757</v>
      </c>
      <c r="AB555" s="80">
        <v>1215</v>
      </c>
      <c r="AC555" s="27">
        <v>52</v>
      </c>
      <c r="AD555" s="27" t="s">
        <v>4357</v>
      </c>
      <c r="AE555" s="27">
        <v>580037845</v>
      </c>
      <c r="AF555" s="27" t="s">
        <v>4356</v>
      </c>
      <c r="AG555" s="27"/>
      <c r="AH555" s="79">
        <v>0.31400966183574902</v>
      </c>
      <c r="AI555" s="83">
        <v>0.35326086956521702</v>
      </c>
      <c r="AJ555" s="80">
        <v>0.12866817155756199</v>
      </c>
      <c r="AK555" s="80">
        <v>0.19638826185101599</v>
      </c>
      <c r="AL555" s="27">
        <v>15</v>
      </c>
      <c r="AM555" s="97">
        <f>SUM(AL555/Z555)</f>
        <v>3.2967032967032968E-2</v>
      </c>
      <c r="AN555" s="27" t="s">
        <v>20</v>
      </c>
      <c r="AO555" s="27">
        <v>38</v>
      </c>
      <c r="AP555" s="27">
        <v>5</v>
      </c>
      <c r="AQ555" s="27">
        <v>3</v>
      </c>
      <c r="AR555" s="27">
        <f>SUM(AO555:AQ555)</f>
        <v>46</v>
      </c>
      <c r="AS555" s="27" t="s">
        <v>6620</v>
      </c>
      <c r="AT555" s="27" t="s">
        <v>5439</v>
      </c>
      <c r="AU555" s="84" t="s">
        <v>4923</v>
      </c>
      <c r="AV555" s="77"/>
      <c r="AW555" s="77"/>
      <c r="AX555" s="77"/>
      <c r="AY555" s="77"/>
      <c r="AZ555" s="77"/>
      <c r="BA555" s="77"/>
      <c r="BB555" s="77"/>
      <c r="BC555" s="77"/>
      <c r="BD555" s="77"/>
      <c r="BE555" s="77"/>
      <c r="BF555" s="77"/>
      <c r="BG555" s="77"/>
      <c r="BH555" s="77"/>
      <c r="BI555" s="77"/>
      <c r="BJ555" s="77"/>
      <c r="BK555" s="77"/>
      <c r="BL555" s="77"/>
      <c r="BM555" s="77"/>
      <c r="BQ555" s="77"/>
      <c r="BR555" s="77"/>
      <c r="BS555" s="77"/>
      <c r="BT555" s="77"/>
      <c r="BU555" s="77"/>
      <c r="BV555" s="77"/>
      <c r="BW555" s="77"/>
      <c r="BX555" s="77"/>
      <c r="BY555" s="77"/>
      <c r="BZ555" s="77"/>
      <c r="CA555" s="77"/>
      <c r="CB555" s="77"/>
      <c r="CC555" s="77"/>
      <c r="CD555" s="77"/>
      <c r="CE555" s="77"/>
      <c r="CF555" s="77"/>
      <c r="CG555" s="77"/>
      <c r="CH555" s="77"/>
      <c r="CI555" s="77"/>
      <c r="CJ555" s="77"/>
      <c r="CK555" s="77"/>
      <c r="CL555" s="77"/>
      <c r="CM555" s="77"/>
      <c r="CN555" s="77"/>
      <c r="CO555" s="77"/>
      <c r="CP555" s="77"/>
      <c r="CQ555" s="77"/>
      <c r="CR555" s="77"/>
      <c r="CS555" s="77"/>
      <c r="CT555" s="77"/>
      <c r="CU555" s="77"/>
      <c r="CV555" s="77"/>
      <c r="CW555" s="77"/>
      <c r="CX555" s="77"/>
      <c r="CY555" s="77"/>
      <c r="CZ555" s="77"/>
      <c r="DA555" s="77"/>
      <c r="DB555" s="77"/>
      <c r="DC555" s="77"/>
      <c r="DD555" s="77"/>
      <c r="DE555" s="77"/>
      <c r="DF555" s="77"/>
      <c r="DG555" s="77"/>
      <c r="DH555" s="77"/>
      <c r="DI555" s="77"/>
      <c r="DJ555" s="77"/>
      <c r="DK555" s="77"/>
      <c r="DL555" s="77"/>
      <c r="DM555" s="77"/>
      <c r="DN555" s="77"/>
      <c r="DO555" s="77"/>
      <c r="DP555" s="77"/>
      <c r="DQ555" s="77"/>
      <c r="DR555" s="77"/>
      <c r="DS555" s="77"/>
      <c r="DT555" s="77"/>
      <c r="DU555" s="77"/>
      <c r="DV555" s="77"/>
      <c r="DW555" s="77"/>
      <c r="DX555" s="77"/>
      <c r="DY555" s="77"/>
      <c r="DZ555" s="77"/>
      <c r="EA555" s="77"/>
      <c r="EB555" s="77"/>
      <c r="EC555" s="77"/>
      <c r="ED555" s="77"/>
      <c r="EE555" s="77"/>
      <c r="EF555" s="77"/>
      <c r="EG555" s="77"/>
      <c r="EH555" s="77"/>
      <c r="EI555" s="77"/>
      <c r="EJ555" s="77"/>
      <c r="EK555" s="77"/>
      <c r="EL555" s="77"/>
      <c r="EP555" s="77"/>
      <c r="EQ555" s="77"/>
      <c r="ER555" s="77"/>
      <c r="ES555" s="77"/>
      <c r="ET555" s="77"/>
      <c r="EU555" s="77"/>
      <c r="EV555" s="77"/>
      <c r="EW555" s="77"/>
      <c r="EX555" s="77"/>
      <c r="EY555" s="77"/>
      <c r="EZ555" s="77"/>
      <c r="FA555" s="77"/>
      <c r="FB555" s="77"/>
      <c r="FC555" s="77"/>
      <c r="FD555" s="77"/>
      <c r="FE555" s="77"/>
      <c r="FF555" s="77"/>
      <c r="FG555" s="77"/>
      <c r="FH555" s="77"/>
      <c r="FI555" s="77"/>
      <c r="FJ555" s="77"/>
      <c r="FK555" s="77"/>
      <c r="FL555" s="77"/>
      <c r="FM555" s="77"/>
      <c r="FN555" s="77"/>
      <c r="FO555" s="77"/>
      <c r="FP555" s="77"/>
      <c r="FQ555" s="77"/>
      <c r="FR555" s="77"/>
      <c r="FS555" s="77"/>
      <c r="FT555" s="77"/>
      <c r="FU555" s="77"/>
      <c r="FV555" s="77"/>
      <c r="FW555" s="77"/>
      <c r="FX555" s="77"/>
      <c r="FY555" s="77"/>
      <c r="FZ555" s="77"/>
      <c r="GA555" s="77"/>
      <c r="GB555" s="77"/>
      <c r="GC555" s="77"/>
      <c r="GD555" s="77"/>
      <c r="GE555" s="77"/>
      <c r="GF555" s="77"/>
      <c r="GG555" s="77"/>
      <c r="GH555" s="77"/>
      <c r="GI555" s="77"/>
      <c r="GJ555" s="77"/>
      <c r="GK555" s="77"/>
      <c r="GL555" s="77"/>
      <c r="GM555" s="77"/>
      <c r="GN555" s="77"/>
      <c r="GO555" s="77"/>
      <c r="GP555" s="77"/>
      <c r="GQ555" s="77"/>
      <c r="GR555" s="77"/>
      <c r="GS555" s="77"/>
      <c r="GT555" s="77"/>
      <c r="GU555" s="77"/>
      <c r="GV555" s="77"/>
      <c r="GW555" s="77"/>
      <c r="GX555" s="77"/>
      <c r="GY555" s="77"/>
      <c r="GZ555" s="77"/>
      <c r="HA555" s="77"/>
      <c r="HB555" s="77"/>
      <c r="HC555" s="77"/>
      <c r="HD555" s="77"/>
      <c r="HE555" s="77"/>
      <c r="HF555" s="77"/>
      <c r="HG555" s="77"/>
      <c r="HH555" s="77"/>
      <c r="HI555" s="77"/>
      <c r="HJ555" s="77"/>
      <c r="HK555" s="77"/>
      <c r="HL555" s="77"/>
      <c r="HM555" s="77"/>
      <c r="HN555" s="77"/>
      <c r="HO555" s="77"/>
      <c r="HP555" s="77"/>
      <c r="HQ555" s="77"/>
      <c r="HR555" s="77"/>
      <c r="HS555" s="77"/>
      <c r="HT555" s="77"/>
      <c r="HU555" s="77"/>
      <c r="HV555" s="77"/>
      <c r="HW555" s="77"/>
      <c r="HX555" s="77"/>
      <c r="HY555" s="77"/>
      <c r="HZ555" s="77"/>
      <c r="IA555" s="77"/>
      <c r="IB555" s="77"/>
      <c r="IC555" s="77"/>
      <c r="ID555" s="77"/>
      <c r="IE555" s="77"/>
      <c r="IF555" s="77"/>
      <c r="IG555" s="77"/>
      <c r="IH555" s="77"/>
      <c r="II555" s="77"/>
      <c r="IJ555" s="77"/>
      <c r="IK555" s="77"/>
      <c r="IL555" s="77"/>
      <c r="IM555" s="77"/>
      <c r="IN555" s="77"/>
      <c r="IO555" s="77"/>
      <c r="IP555" s="77"/>
      <c r="IQ555" s="77"/>
      <c r="IR555" s="77"/>
      <c r="IS555" s="77"/>
      <c r="IT555" s="77"/>
      <c r="IU555" s="77"/>
      <c r="IV555" s="77"/>
      <c r="IW555" s="77"/>
      <c r="IX555" s="77"/>
      <c r="IY555" s="77"/>
      <c r="IZ555" s="77"/>
      <c r="JA555" s="77"/>
      <c r="JB555" s="77"/>
      <c r="JC555" s="77"/>
      <c r="JD555" s="77"/>
      <c r="JE555" s="77"/>
      <c r="JF555" s="77"/>
      <c r="JG555" s="77"/>
      <c r="JH555" s="77"/>
      <c r="JI555" s="77"/>
      <c r="JJ555" s="77"/>
      <c r="JK555" s="77"/>
      <c r="JL555" s="77"/>
      <c r="JM555" s="77"/>
      <c r="JN555" s="77"/>
      <c r="JO555" s="77"/>
      <c r="JP555" s="77"/>
      <c r="JQ555" s="77"/>
      <c r="JR555" s="77"/>
      <c r="JS555" s="77"/>
      <c r="JT555" s="77"/>
      <c r="JU555" s="77"/>
      <c r="JV555" s="77"/>
      <c r="JW555" s="77"/>
      <c r="JX555" s="77"/>
      <c r="JY555" s="77"/>
      <c r="JZ555" s="77"/>
      <c r="KA555" s="77"/>
      <c r="KB555" s="77"/>
      <c r="KC555" s="77"/>
      <c r="KD555" s="77"/>
      <c r="KE555" s="77"/>
      <c r="KF555" s="77"/>
      <c r="KG555" s="77"/>
      <c r="KH555" s="77"/>
      <c r="KI555" s="77"/>
      <c r="KJ555" s="77"/>
      <c r="KK555" s="77"/>
      <c r="KL555" s="77"/>
      <c r="LL555" s="77"/>
      <c r="LM555" s="77"/>
      <c r="LN555" s="77"/>
      <c r="LO555" s="77"/>
      <c r="LP555" s="77"/>
      <c r="LQ555" s="77"/>
      <c r="LR555" s="77"/>
      <c r="LS555" s="77"/>
      <c r="LT555" s="77"/>
      <c r="LU555" s="77"/>
      <c r="LV555" s="77"/>
      <c r="MS555" s="77"/>
    </row>
    <row r="556" spans="1:368" s="21" customFormat="1" ht="18.600000000000001" customHeight="1" x14ac:dyDescent="0.25">
      <c r="A556" s="119" t="s">
        <v>229</v>
      </c>
      <c r="B556" s="27" t="s">
        <v>1441</v>
      </c>
      <c r="C556" s="27" t="s">
        <v>6409</v>
      </c>
      <c r="D556" s="30" t="str">
        <f>HYPERLINK("https://twitter.com/KarimMassimov_E","https://twitter.com/KarimMassimov_E")</f>
        <v>https://twitter.com/KarimMassimov_E</v>
      </c>
      <c r="E556" s="30" t="str">
        <f>HYPERLINK("http://twiplomacy.com/info/asia/Kazakhstan","http://twiplomacy.com/info/asia/Kazakhstan")</f>
        <v>http://twiplomacy.com/info/asia/Kazakhstan</v>
      </c>
      <c r="F556" s="10" t="s">
        <v>154</v>
      </c>
      <c r="G556" s="10" t="s">
        <v>224</v>
      </c>
      <c r="H556" s="10" t="s">
        <v>776</v>
      </c>
      <c r="I556" s="10" t="s">
        <v>773</v>
      </c>
      <c r="J556" s="27" t="s">
        <v>789</v>
      </c>
      <c r="K556" s="15" t="s">
        <v>1423</v>
      </c>
      <c r="L556" s="10"/>
      <c r="M556" s="10" t="s">
        <v>771</v>
      </c>
      <c r="N556" s="30" t="str">
        <f>HYPERLINK("https://twitter.com/KarimMassimov_E/statuses/50905779481485313","https://twitter.com/KarimMassimov_E/statuses/50905779481485313")</f>
        <v>https://twitter.com/KarimMassimov_E/statuses/50905779481485313</v>
      </c>
      <c r="O556" s="27" t="s">
        <v>1442</v>
      </c>
      <c r="P556" s="80">
        <v>23</v>
      </c>
      <c r="Q556" s="80">
        <v>16</v>
      </c>
      <c r="R556" s="27" t="s">
        <v>2994</v>
      </c>
      <c r="S556" s="10" t="s">
        <v>1443</v>
      </c>
      <c r="T556" s="10" t="s">
        <v>771</v>
      </c>
      <c r="U556" s="10" t="s">
        <v>771</v>
      </c>
      <c r="V556" s="10" t="s">
        <v>771</v>
      </c>
      <c r="W556" s="10"/>
      <c r="X556" s="27" t="s">
        <v>229</v>
      </c>
      <c r="Y556" s="27" t="s">
        <v>1441</v>
      </c>
      <c r="Z556" s="80">
        <v>455</v>
      </c>
      <c r="AA556" s="27">
        <v>70</v>
      </c>
      <c r="AB556" s="80">
        <v>8307</v>
      </c>
      <c r="AC556" s="27">
        <v>0</v>
      </c>
      <c r="AD556" s="27" t="s">
        <v>3923</v>
      </c>
      <c r="AE556" s="27">
        <v>270839688</v>
      </c>
      <c r="AF556" s="27" t="s">
        <v>6409</v>
      </c>
      <c r="AG556" s="27" t="s">
        <v>1433</v>
      </c>
      <c r="AH556" s="79">
        <v>0.24370648098553799</v>
      </c>
      <c r="AI556" s="83">
        <v>0.74590163934426201</v>
      </c>
      <c r="AJ556" s="80">
        <v>0.66514806378132096</v>
      </c>
      <c r="AK556" s="80">
        <v>0.241457858769932</v>
      </c>
      <c r="AL556" s="27">
        <v>3</v>
      </c>
      <c r="AM556" s="97">
        <f>SUM(AL556/Z556)</f>
        <v>6.5934065934065934E-3</v>
      </c>
      <c r="AN556" s="27" t="s">
        <v>229</v>
      </c>
      <c r="AO556" s="27">
        <v>7</v>
      </c>
      <c r="AP556" s="27">
        <v>6</v>
      </c>
      <c r="AQ556" s="27">
        <v>2</v>
      </c>
      <c r="AR556" s="27">
        <f>SUM(AO556:AQ556)</f>
        <v>15</v>
      </c>
      <c r="AS556" s="27" t="s">
        <v>5233</v>
      </c>
      <c r="AT556" s="27" t="s">
        <v>6304</v>
      </c>
      <c r="AU556" s="84" t="s">
        <v>4793</v>
      </c>
      <c r="AV556" s="77"/>
      <c r="AW556" s="77"/>
      <c r="AX556" s="77"/>
      <c r="AY556" s="77"/>
      <c r="AZ556" s="77"/>
      <c r="BA556" s="77"/>
      <c r="BB556" s="77"/>
      <c r="BC556" s="77"/>
      <c r="BD556" s="77"/>
      <c r="BE556" s="77"/>
      <c r="BF556" s="77"/>
      <c r="BG556" s="77"/>
      <c r="BH556" s="77"/>
      <c r="BI556" s="77"/>
      <c r="BJ556" s="77"/>
      <c r="BK556" s="77"/>
      <c r="BL556" s="77"/>
      <c r="BM556" s="77"/>
      <c r="BN556" s="77"/>
      <c r="BO556" s="77"/>
      <c r="BP556" s="77"/>
      <c r="BQ556" s="77"/>
      <c r="BR556" s="77"/>
      <c r="BS556" s="77"/>
      <c r="BT556" s="77"/>
      <c r="BU556" s="77"/>
      <c r="BV556" s="77"/>
      <c r="BW556" s="77"/>
      <c r="BX556" s="77"/>
      <c r="BY556" s="77"/>
      <c r="BZ556" s="77"/>
      <c r="CA556" s="77"/>
      <c r="CB556" s="77"/>
      <c r="CC556" s="77"/>
      <c r="CD556" s="77"/>
      <c r="CE556" s="77"/>
      <c r="CF556" s="77"/>
      <c r="CG556" s="77"/>
      <c r="CH556" s="77"/>
      <c r="CI556" s="77"/>
      <c r="CJ556" s="77"/>
      <c r="EM556" s="77"/>
      <c r="EN556" s="77"/>
      <c r="EO556" s="77"/>
      <c r="EP556" s="77"/>
      <c r="EQ556" s="77"/>
      <c r="ER556" s="77"/>
      <c r="ES556" s="77"/>
      <c r="ET556" s="77"/>
      <c r="EU556" s="77"/>
      <c r="EV556" s="77"/>
      <c r="EW556" s="77"/>
      <c r="EX556" s="77"/>
      <c r="EY556" s="77"/>
      <c r="EZ556" s="77"/>
      <c r="FA556" s="77"/>
      <c r="FB556" s="77"/>
      <c r="FC556" s="77"/>
      <c r="FD556" s="77"/>
      <c r="FE556" s="77"/>
      <c r="FF556" s="77"/>
      <c r="FG556" s="77"/>
      <c r="FH556" s="77"/>
      <c r="FI556" s="77"/>
      <c r="FJ556" s="77"/>
      <c r="FK556" s="77"/>
      <c r="FL556" s="77"/>
      <c r="FM556" s="77"/>
      <c r="FN556" s="77"/>
      <c r="FO556" s="77"/>
      <c r="FP556" s="77"/>
      <c r="FQ556" s="77"/>
      <c r="FR556" s="77"/>
      <c r="FS556" s="77"/>
      <c r="FT556" s="77"/>
      <c r="FU556" s="77"/>
      <c r="FV556" s="77"/>
      <c r="FW556" s="77"/>
      <c r="FX556" s="77"/>
      <c r="FY556" s="77"/>
      <c r="FZ556" s="77"/>
      <c r="GA556" s="77"/>
      <c r="GB556" s="77"/>
      <c r="GC556" s="77"/>
      <c r="GD556" s="77"/>
      <c r="GE556" s="77"/>
      <c r="GF556" s="77"/>
      <c r="GG556" s="77"/>
      <c r="GH556" s="77"/>
      <c r="GI556" s="77"/>
      <c r="GJ556" s="77"/>
      <c r="GK556" s="77"/>
      <c r="GL556" s="77"/>
      <c r="GM556" s="77"/>
      <c r="GN556" s="77"/>
      <c r="GO556" s="77"/>
      <c r="GP556" s="77"/>
      <c r="GQ556" s="77"/>
      <c r="GR556" s="77"/>
      <c r="GS556" s="77"/>
      <c r="GT556" s="77"/>
      <c r="GU556" s="77"/>
      <c r="GV556" s="77"/>
      <c r="GW556" s="77"/>
      <c r="GX556" s="77"/>
      <c r="GY556" s="77"/>
      <c r="GZ556" s="77"/>
      <c r="HA556" s="77"/>
      <c r="HB556" s="77"/>
      <c r="HC556" s="77"/>
      <c r="HD556" s="77"/>
      <c r="HE556" s="77"/>
      <c r="HF556" s="77"/>
      <c r="HG556" s="77"/>
      <c r="HH556" s="77"/>
      <c r="HI556" s="77"/>
      <c r="HJ556" s="77"/>
      <c r="HK556" s="77"/>
      <c r="HL556" s="77"/>
      <c r="HM556" s="77"/>
      <c r="HN556" s="77"/>
      <c r="HO556" s="77"/>
      <c r="HP556" s="77"/>
      <c r="HQ556" s="77"/>
      <c r="HR556" s="77"/>
      <c r="HS556" s="77"/>
      <c r="HT556" s="77"/>
      <c r="HU556" s="77"/>
      <c r="HV556" s="77"/>
      <c r="HW556" s="77"/>
      <c r="HX556" s="77"/>
      <c r="HY556" s="77"/>
      <c r="HZ556" s="77"/>
      <c r="IA556" s="77"/>
      <c r="IB556" s="77"/>
      <c r="IC556" s="77"/>
      <c r="ID556" s="16"/>
      <c r="IE556" s="16"/>
      <c r="IF556" s="77"/>
      <c r="IG556" s="77"/>
      <c r="IH556" s="77"/>
      <c r="II556" s="77"/>
      <c r="IJ556" s="77"/>
      <c r="IK556" s="77"/>
      <c r="IL556" s="77"/>
      <c r="IM556" s="77"/>
      <c r="IN556" s="77"/>
      <c r="IO556" s="77"/>
      <c r="IP556" s="77"/>
      <c r="IQ556" s="77"/>
      <c r="IR556" s="77"/>
      <c r="IS556" s="77"/>
      <c r="IT556" s="77"/>
      <c r="IU556" s="77"/>
      <c r="IV556" s="77"/>
      <c r="IW556" s="77"/>
      <c r="IX556" s="77"/>
      <c r="IY556" s="77"/>
      <c r="IZ556" s="77"/>
      <c r="JA556" s="77"/>
      <c r="JB556" s="77"/>
      <c r="JC556" s="77"/>
      <c r="JD556" s="77"/>
      <c r="JE556" s="77"/>
      <c r="JF556" s="77"/>
      <c r="JG556" s="77"/>
      <c r="JH556" s="77"/>
      <c r="JI556" s="77"/>
      <c r="JJ556" s="77"/>
      <c r="JK556" s="77"/>
      <c r="JL556" s="77"/>
      <c r="JM556" s="77"/>
      <c r="JN556" s="77"/>
      <c r="JO556" s="77"/>
      <c r="JP556" s="77"/>
      <c r="JQ556" s="77"/>
      <c r="JR556" s="77"/>
      <c r="JS556" s="77"/>
      <c r="JT556" s="77"/>
      <c r="JU556" s="77"/>
      <c r="JV556" s="77"/>
      <c r="JW556" s="77"/>
      <c r="JX556" s="77"/>
      <c r="JY556" s="77"/>
      <c r="JZ556" s="77"/>
      <c r="KA556" s="77"/>
      <c r="KB556" s="77"/>
      <c r="KC556" s="77"/>
      <c r="KD556" s="77"/>
      <c r="KE556" s="77"/>
      <c r="KF556" s="77"/>
      <c r="KG556" s="77"/>
      <c r="KH556" s="77"/>
      <c r="KI556" s="77"/>
      <c r="KJ556" s="77"/>
      <c r="KK556" s="77"/>
      <c r="KL556" s="77"/>
      <c r="KM556" s="77"/>
      <c r="KN556" s="77"/>
      <c r="KO556" s="77"/>
      <c r="KP556" s="77"/>
      <c r="KQ556" s="77"/>
      <c r="KR556" s="77"/>
      <c r="KS556" s="77"/>
      <c r="KT556" s="77"/>
      <c r="KU556" s="77"/>
      <c r="KV556" s="77"/>
      <c r="KW556" s="77"/>
      <c r="KX556" s="77"/>
      <c r="KY556" s="77"/>
      <c r="KZ556" s="77"/>
      <c r="LA556" s="77"/>
      <c r="LB556" s="77"/>
      <c r="LC556" s="77"/>
      <c r="LD556" s="77"/>
      <c r="LE556" s="77"/>
      <c r="LF556" s="77"/>
      <c r="LG556" s="77"/>
      <c r="LH556" s="77"/>
      <c r="LI556" s="77"/>
      <c r="LJ556" s="77"/>
      <c r="LK556" s="77"/>
      <c r="LL556" s="77"/>
      <c r="LM556" s="77"/>
      <c r="LN556" s="77"/>
      <c r="LO556" s="77"/>
      <c r="LP556" s="77"/>
      <c r="LQ556" s="77"/>
      <c r="LR556" s="77"/>
      <c r="LS556" s="77"/>
      <c r="LT556" s="77"/>
      <c r="LU556" s="77"/>
      <c r="LV556" s="77"/>
      <c r="LW556" s="77"/>
      <c r="LX556" s="77"/>
    </row>
    <row r="557" spans="1:368" s="21" customFormat="1" ht="18.600000000000001" customHeight="1" x14ac:dyDescent="0.25">
      <c r="A557" s="119" t="s">
        <v>2218</v>
      </c>
      <c r="B557" s="27" t="s">
        <v>2219</v>
      </c>
      <c r="C557" s="27" t="s">
        <v>2220</v>
      </c>
      <c r="D557" s="30" t="str">
        <f>HYPERLINK("https://twitter.com/govSlovenia","https://twitter.com/govSlovenia")</f>
        <v>https://twitter.com/govSlovenia</v>
      </c>
      <c r="E557" s="30" t="str">
        <f>HYPERLINK("http://twiplomacy.com/info/europe/Slovenia","http://twiplomacy.com/info/europe/Slovenia")</f>
        <v>http://twiplomacy.com/info/europe/Slovenia</v>
      </c>
      <c r="F557" s="10" t="s">
        <v>332</v>
      </c>
      <c r="G557" s="10" t="s">
        <v>518</v>
      </c>
      <c r="H557" s="10" t="s">
        <v>788</v>
      </c>
      <c r="I557" s="10" t="s">
        <v>782</v>
      </c>
      <c r="J557" s="27" t="s">
        <v>789</v>
      </c>
      <c r="K557" s="15" t="s">
        <v>777</v>
      </c>
      <c r="L557" s="10" t="s">
        <v>771</v>
      </c>
      <c r="M557" s="10" t="s">
        <v>770</v>
      </c>
      <c r="N557" s="30" t="str">
        <f>HYPERLINK("https://twitter.com/govSlovenia/statuses/400911198490599424","https://twitter.com/govSlovenia/statuses/400911198490599424")</f>
        <v>https://twitter.com/govSlovenia/statuses/400911198490599424</v>
      </c>
      <c r="O557" s="27" t="s">
        <v>5842</v>
      </c>
      <c r="P557" s="80">
        <v>47</v>
      </c>
      <c r="Q557" s="80">
        <v>15</v>
      </c>
      <c r="R557" s="27" t="s">
        <v>2995</v>
      </c>
      <c r="S557" s="12" t="s">
        <v>2221</v>
      </c>
      <c r="T557" s="10" t="s">
        <v>771</v>
      </c>
      <c r="U557" s="10" t="s">
        <v>771</v>
      </c>
      <c r="V557" s="10" t="s">
        <v>771</v>
      </c>
      <c r="W557" s="10"/>
      <c r="X557" s="27" t="s">
        <v>2218</v>
      </c>
      <c r="Y557" s="27" t="s">
        <v>2219</v>
      </c>
      <c r="Z557" s="80">
        <v>453</v>
      </c>
      <c r="AA557" s="27">
        <v>356</v>
      </c>
      <c r="AB557" s="80">
        <v>2419</v>
      </c>
      <c r="AC557" s="27">
        <v>3</v>
      </c>
      <c r="AD557" s="27" t="s">
        <v>3773</v>
      </c>
      <c r="AE557" s="27">
        <v>2193752173</v>
      </c>
      <c r="AF557" s="27" t="s">
        <v>2220</v>
      </c>
      <c r="AG557" s="27" t="s">
        <v>2217</v>
      </c>
      <c r="AH557" s="79">
        <v>0.50333333333333297</v>
      </c>
      <c r="AI557" s="83">
        <v>0.50501672240802697</v>
      </c>
      <c r="AJ557" s="80">
        <v>6.8936877076411998</v>
      </c>
      <c r="AK557" s="80">
        <v>2.6079734219269102</v>
      </c>
      <c r="AL557" s="27">
        <v>25</v>
      </c>
      <c r="AM557" s="97">
        <f>SUM(AL557/Z557)</f>
        <v>5.518763796909492E-2</v>
      </c>
      <c r="AN557" s="27" t="s">
        <v>2218</v>
      </c>
      <c r="AO557" s="27">
        <v>60</v>
      </c>
      <c r="AP557" s="27">
        <v>3</v>
      </c>
      <c r="AQ557" s="27">
        <v>21</v>
      </c>
      <c r="AR557" s="27">
        <f>SUM(AO557:AQ557)</f>
        <v>84</v>
      </c>
      <c r="AS557" s="27" t="s">
        <v>6644</v>
      </c>
      <c r="AT557" s="27" t="s">
        <v>5162</v>
      </c>
      <c r="AU557" s="84" t="s">
        <v>4745</v>
      </c>
      <c r="AV557" s="77"/>
      <c r="AW557" s="77"/>
      <c r="AX557" s="77"/>
      <c r="AY557" s="77"/>
      <c r="AZ557" s="77"/>
      <c r="BA557" s="77"/>
      <c r="BB557" s="77"/>
      <c r="BC557" s="77"/>
      <c r="BD557" s="77"/>
      <c r="BE557" s="77"/>
      <c r="BF557" s="77"/>
      <c r="BG557" s="77"/>
      <c r="BH557" s="77"/>
      <c r="BI557" s="77"/>
      <c r="BJ557" s="77"/>
      <c r="BK557" s="77"/>
      <c r="BL557" s="77"/>
      <c r="BM557" s="77"/>
      <c r="BQ557" s="77"/>
      <c r="BR557" s="77"/>
      <c r="BS557" s="77"/>
      <c r="BT557" s="77"/>
      <c r="BU557" s="77"/>
      <c r="BV557" s="77"/>
      <c r="BW557" s="77"/>
      <c r="BX557" s="77"/>
      <c r="BY557" s="77"/>
      <c r="BZ557" s="77"/>
      <c r="CA557" s="77"/>
      <c r="CB557" s="77"/>
      <c r="CC557" s="77"/>
      <c r="CD557" s="77"/>
      <c r="CE557" s="77"/>
      <c r="CF557" s="77"/>
      <c r="CG557" s="77"/>
      <c r="CH557" s="77"/>
      <c r="CI557" s="77"/>
      <c r="CJ557" s="77"/>
      <c r="CK557" s="77"/>
      <c r="CL557" s="77"/>
      <c r="CM557" s="77"/>
      <c r="CN557" s="77"/>
      <c r="CO557" s="77"/>
      <c r="CP557" s="77"/>
      <c r="CQ557" s="77"/>
      <c r="CR557" s="77"/>
      <c r="CS557" s="77"/>
      <c r="CT557" s="77"/>
      <c r="CU557" s="77"/>
      <c r="CV557" s="77"/>
      <c r="CW557" s="77"/>
      <c r="CX557" s="77"/>
      <c r="CY557" s="77"/>
      <c r="CZ557" s="77"/>
      <c r="DA557" s="77"/>
      <c r="DB557" s="77"/>
      <c r="DC557" s="77"/>
      <c r="DD557" s="77"/>
      <c r="DE557" s="77"/>
      <c r="DF557" s="77"/>
      <c r="DG557" s="77"/>
      <c r="DH557" s="77"/>
      <c r="DI557" s="77"/>
      <c r="DJ557" s="77"/>
      <c r="DK557" s="77"/>
      <c r="DL557" s="77"/>
      <c r="DM557" s="77"/>
      <c r="DN557" s="77"/>
      <c r="DO557" s="77"/>
      <c r="DP557" s="77"/>
      <c r="DQ557" s="77"/>
      <c r="DR557" s="77"/>
      <c r="DS557" s="77"/>
      <c r="DT557" s="77"/>
      <c r="DU557" s="77"/>
      <c r="DV557" s="77"/>
      <c r="DW557" s="77"/>
      <c r="DX557" s="77"/>
      <c r="DY557" s="77"/>
      <c r="DZ557" s="77"/>
      <c r="EA557" s="77"/>
      <c r="EB557" s="77"/>
      <c r="EC557" s="77"/>
      <c r="ED557" s="77"/>
      <c r="EE557" s="77"/>
      <c r="EF557" s="77"/>
      <c r="EG557" s="77"/>
      <c r="EH557" s="77"/>
      <c r="EI557" s="77"/>
      <c r="EJ557" s="77"/>
      <c r="EK557" s="77"/>
      <c r="EL557" s="77"/>
      <c r="EM557" s="77"/>
      <c r="EN557" s="77"/>
      <c r="EO557" s="77"/>
      <c r="EP557" s="77"/>
      <c r="ER557" s="77"/>
      <c r="ES557" s="77"/>
      <c r="ET557" s="77"/>
      <c r="EU557" s="77"/>
      <c r="EV557" s="77"/>
      <c r="EW557" s="77"/>
      <c r="EX557" s="77"/>
      <c r="EY557" s="77"/>
      <c r="EZ557" s="77"/>
      <c r="FA557" s="77"/>
      <c r="FB557" s="77"/>
      <c r="FC557" s="77"/>
      <c r="FD557" s="77"/>
      <c r="FE557" s="77"/>
      <c r="FF557" s="77"/>
      <c r="FG557" s="77"/>
      <c r="FH557" s="77"/>
      <c r="FI557" s="77"/>
      <c r="FJ557" s="77"/>
      <c r="FK557" s="77"/>
      <c r="FL557" s="77"/>
      <c r="FM557" s="77"/>
      <c r="FN557" s="77"/>
      <c r="FO557" s="77"/>
      <c r="FP557" s="77"/>
      <c r="FQ557" s="77"/>
      <c r="FR557" s="77"/>
      <c r="FS557" s="77"/>
      <c r="FT557" s="77"/>
      <c r="FU557" s="77"/>
      <c r="FV557" s="77"/>
      <c r="FW557" s="77"/>
      <c r="FX557" s="77"/>
      <c r="FY557" s="77"/>
      <c r="FZ557" s="77"/>
      <c r="GA557" s="77"/>
      <c r="GB557" s="77"/>
      <c r="GC557" s="77"/>
      <c r="GD557" s="77"/>
      <c r="GE557" s="77"/>
      <c r="GF557" s="77"/>
      <c r="GG557" s="77"/>
      <c r="GH557" s="77"/>
      <c r="GI557" s="77"/>
      <c r="GJ557" s="77"/>
      <c r="GK557" s="77"/>
      <c r="GL557" s="77"/>
      <c r="GM557" s="77"/>
      <c r="GN557" s="77"/>
      <c r="GO557" s="77"/>
      <c r="GP557" s="77"/>
      <c r="GQ557" s="77"/>
      <c r="GR557" s="77"/>
      <c r="GS557" s="77"/>
      <c r="GT557" s="77"/>
      <c r="GU557" s="77"/>
      <c r="GV557" s="77"/>
      <c r="GW557" s="77"/>
      <c r="GX557" s="77"/>
      <c r="GY557" s="77"/>
      <c r="GZ557" s="77"/>
      <c r="HA557" s="77"/>
      <c r="HB557" s="77"/>
      <c r="HC557" s="77"/>
      <c r="HD557" s="77"/>
      <c r="HE557" s="77"/>
      <c r="HF557" s="77"/>
      <c r="HG557" s="77"/>
      <c r="HH557" s="77"/>
      <c r="HI557" s="77"/>
      <c r="HJ557" s="77"/>
      <c r="HK557" s="77"/>
      <c r="HL557" s="77"/>
      <c r="HM557" s="77"/>
      <c r="HN557" s="77"/>
      <c r="HO557" s="77"/>
      <c r="HP557" s="77"/>
      <c r="HQ557" s="77"/>
      <c r="HR557" s="77"/>
      <c r="HS557" s="77"/>
      <c r="HT557" s="77"/>
      <c r="HU557" s="77"/>
      <c r="HV557" s="77"/>
      <c r="HW557" s="77"/>
      <c r="HX557" s="77"/>
      <c r="HY557" s="77"/>
      <c r="HZ557" s="77"/>
      <c r="IA557" s="77"/>
      <c r="IB557" s="77"/>
      <c r="IC557" s="77"/>
      <c r="JY557" s="77"/>
      <c r="JZ557" s="77"/>
      <c r="KA557" s="77"/>
      <c r="KB557" s="77"/>
      <c r="KC557" s="77"/>
      <c r="KD557" s="77"/>
      <c r="KE557" s="77"/>
      <c r="KF557" s="77"/>
      <c r="KG557" s="77"/>
      <c r="KH557" s="77"/>
      <c r="KI557" s="77"/>
      <c r="KJ557" s="77"/>
      <c r="KK557" s="77"/>
      <c r="KL557" s="77"/>
      <c r="KM557" s="77"/>
      <c r="KN557" s="77"/>
      <c r="KO557" s="77"/>
      <c r="KP557" s="77"/>
      <c r="KQ557" s="77"/>
      <c r="KR557" s="77"/>
      <c r="KS557" s="77"/>
      <c r="KT557" s="77"/>
      <c r="KU557" s="77"/>
      <c r="KV557" s="77"/>
      <c r="KW557" s="77"/>
      <c r="KX557" s="77"/>
      <c r="KY557" s="77"/>
      <c r="KZ557" s="77"/>
      <c r="LA557" s="77"/>
      <c r="LB557" s="77"/>
      <c r="LC557" s="77"/>
      <c r="LD557" s="77"/>
      <c r="LE557" s="77"/>
      <c r="LF557" s="77"/>
      <c r="LG557" s="77"/>
      <c r="LH557" s="77"/>
      <c r="LI557" s="77"/>
      <c r="LJ557" s="77"/>
      <c r="LK557" s="77"/>
      <c r="LL557" s="77"/>
      <c r="LM557" s="77"/>
      <c r="LN557" s="77"/>
      <c r="LO557" s="77"/>
      <c r="LP557" s="77"/>
      <c r="LQ557" s="77"/>
      <c r="LR557" s="77"/>
      <c r="LS557" s="77"/>
      <c r="LT557" s="77"/>
      <c r="LU557" s="77"/>
      <c r="LV557" s="77"/>
    </row>
    <row r="558" spans="1:368" s="21" customFormat="1" ht="18.600000000000001" customHeight="1" x14ac:dyDescent="0.25">
      <c r="A558" s="119" t="s">
        <v>256</v>
      </c>
      <c r="B558" s="27" t="s">
        <v>1491</v>
      </c>
      <c r="C558" s="27" t="s">
        <v>6457</v>
      </c>
      <c r="D558" s="30" t="str">
        <f>HYPERLINK("https://twitter.com/ts_elbegdorj","https://twitter.com/ts_elbegdorj")</f>
        <v>https://twitter.com/ts_elbegdorj</v>
      </c>
      <c r="E558" s="30" t="str">
        <f>HYPERLINK("http://twiplomacy.com/info/asia/Mongolia","http://twiplomacy.com/info/asia/Mongolia")</f>
        <v>http://twiplomacy.com/info/asia/Mongolia</v>
      </c>
      <c r="F558" s="10" t="s">
        <v>154</v>
      </c>
      <c r="G558" s="10" t="s">
        <v>252</v>
      </c>
      <c r="H558" s="10" t="s">
        <v>772</v>
      </c>
      <c r="I558" s="10" t="s">
        <v>773</v>
      </c>
      <c r="J558" s="27" t="s">
        <v>789</v>
      </c>
      <c r="K558" s="15" t="s">
        <v>777</v>
      </c>
      <c r="L558" s="10" t="s">
        <v>771</v>
      </c>
      <c r="M558" s="10" t="s">
        <v>770</v>
      </c>
      <c r="N558" s="30" t="str">
        <f>HYPERLINK("https://twitter.com/ts_elbegdorj/statuses/271524834968748035","https://twitter.com/ts_elbegdorj/statuses/271524834968748035")</f>
        <v>https://twitter.com/ts_elbegdorj/statuses/271524834968748035</v>
      </c>
      <c r="O558" s="27" t="s">
        <v>6113</v>
      </c>
      <c r="P558" s="80">
        <v>118</v>
      </c>
      <c r="Q558" s="80">
        <v>61</v>
      </c>
      <c r="R558" s="27" t="s">
        <v>2994</v>
      </c>
      <c r="S558" s="10" t="s">
        <v>1493</v>
      </c>
      <c r="T558" s="10" t="s">
        <v>771</v>
      </c>
      <c r="U558" s="10" t="s">
        <v>771</v>
      </c>
      <c r="V558" s="10" t="s">
        <v>771</v>
      </c>
      <c r="W558" s="10"/>
      <c r="X558" s="27" t="s">
        <v>256</v>
      </c>
      <c r="Y558" s="27" t="s">
        <v>1491</v>
      </c>
      <c r="Z558" s="80">
        <v>452</v>
      </c>
      <c r="AA558" s="27">
        <v>555</v>
      </c>
      <c r="AB558" s="80">
        <v>16790</v>
      </c>
      <c r="AC558" s="27">
        <v>45</v>
      </c>
      <c r="AD558" s="27" t="s">
        <v>4537</v>
      </c>
      <c r="AE558" s="27">
        <v>963395250</v>
      </c>
      <c r="AF558" s="27" t="s">
        <v>6457</v>
      </c>
      <c r="AG558" s="27" t="s">
        <v>1490</v>
      </c>
      <c r="AH558" s="79">
        <v>0.359586316626889</v>
      </c>
      <c r="AI558" s="83">
        <v>0.40777576853526198</v>
      </c>
      <c r="AJ558" s="80">
        <v>5.8983050847457603</v>
      </c>
      <c r="AK558" s="80">
        <v>4.1045197740113002</v>
      </c>
      <c r="AL558" s="96">
        <v>11</v>
      </c>
      <c r="AM558" s="97">
        <f>SUM(AL558/Z558)</f>
        <v>2.4336283185840708E-2</v>
      </c>
      <c r="AN558" s="27" t="s">
        <v>256</v>
      </c>
      <c r="AO558" s="27">
        <v>5</v>
      </c>
      <c r="AP558" s="27">
        <v>6</v>
      </c>
      <c r="AQ558" s="27">
        <v>1</v>
      </c>
      <c r="AR558" s="27">
        <f>SUM(AO558:AQ558)</f>
        <v>12</v>
      </c>
      <c r="AS558" s="27" t="s">
        <v>5523</v>
      </c>
      <c r="AT558" s="27" t="s">
        <v>5524</v>
      </c>
      <c r="AU558" s="84" t="s">
        <v>253</v>
      </c>
      <c r="AV558" s="71"/>
      <c r="AW558" s="71"/>
      <c r="AX558" s="71"/>
      <c r="AY558" s="71"/>
      <c r="AZ558" s="71"/>
      <c r="BA558" s="71"/>
      <c r="BB558" s="71"/>
      <c r="BC558" s="71"/>
      <c r="BD558" s="71"/>
      <c r="BE558" s="71"/>
      <c r="BF558" s="71"/>
      <c r="BG558" s="71"/>
      <c r="BH558" s="71"/>
      <c r="BI558" s="71"/>
      <c r="BJ558" s="71"/>
      <c r="BK558" s="71"/>
      <c r="BL558" s="71"/>
      <c r="BM558" s="77"/>
      <c r="BN558" s="71"/>
      <c r="BO558" s="71"/>
      <c r="BP558" s="71"/>
      <c r="BQ558" s="77"/>
      <c r="BR558" s="77"/>
      <c r="BS558" s="77"/>
      <c r="BT558" s="77"/>
      <c r="BU558" s="77"/>
      <c r="BV558" s="77"/>
      <c r="BW558" s="77"/>
      <c r="BX558" s="77"/>
      <c r="BY558" s="77"/>
      <c r="BZ558" s="77"/>
      <c r="CA558" s="77"/>
      <c r="CB558" s="77"/>
      <c r="CC558" s="77"/>
      <c r="CD558" s="77"/>
      <c r="CE558" s="77"/>
      <c r="CF558" s="77"/>
      <c r="CG558" s="77"/>
      <c r="CH558" s="77"/>
      <c r="CI558" s="77"/>
      <c r="CJ558" s="77"/>
      <c r="CK558" s="77"/>
      <c r="CL558" s="77"/>
      <c r="CM558" s="77"/>
      <c r="CN558" s="77"/>
      <c r="CO558" s="77"/>
      <c r="CP558" s="77"/>
      <c r="CQ558" s="77"/>
      <c r="CR558" s="77"/>
      <c r="CS558" s="77"/>
      <c r="CT558" s="77"/>
      <c r="CU558" s="77"/>
      <c r="CV558" s="77"/>
      <c r="CW558" s="77"/>
      <c r="EM558" s="77"/>
      <c r="EN558" s="77"/>
      <c r="EO558" s="77"/>
      <c r="EP558" s="77"/>
      <c r="EQ558" s="77"/>
      <c r="ER558" s="77"/>
      <c r="ES558" s="77"/>
      <c r="ET558" s="77"/>
      <c r="EU558" s="77"/>
      <c r="EV558" s="77"/>
      <c r="EW558" s="77"/>
      <c r="EX558" s="77"/>
      <c r="EY558" s="77"/>
      <c r="EZ558" s="77"/>
      <c r="FA558" s="77"/>
      <c r="FB558" s="77"/>
      <c r="FC558" s="77"/>
      <c r="FD558" s="77"/>
      <c r="FE558" s="77"/>
      <c r="FF558" s="77"/>
      <c r="FG558" s="77"/>
      <c r="FH558" s="77"/>
      <c r="FI558" s="77"/>
      <c r="FJ558" s="77"/>
      <c r="FK558" s="77"/>
      <c r="FL558" s="77"/>
      <c r="FM558" s="77"/>
      <c r="FN558" s="77"/>
      <c r="FO558" s="77"/>
      <c r="FP558" s="77"/>
      <c r="FQ558" s="77"/>
      <c r="FR558" s="77"/>
      <c r="FS558" s="77"/>
      <c r="FT558" s="77"/>
      <c r="FU558" s="77"/>
      <c r="FV558" s="77"/>
      <c r="FW558" s="77"/>
      <c r="FX558" s="77"/>
      <c r="FY558" s="77"/>
      <c r="FZ558" s="77"/>
      <c r="GA558" s="77"/>
      <c r="GB558" s="77"/>
      <c r="GC558" s="77"/>
      <c r="GD558" s="77"/>
      <c r="GE558" s="77"/>
      <c r="GF558" s="77"/>
      <c r="GG558" s="77"/>
      <c r="GH558" s="77"/>
      <c r="GI558" s="77"/>
      <c r="GJ558" s="77"/>
      <c r="GK558" s="77"/>
      <c r="HL558" s="77"/>
      <c r="HM558" s="77"/>
      <c r="HN558" s="77"/>
      <c r="HO558" s="77"/>
      <c r="HP558" s="77"/>
      <c r="HQ558" s="77"/>
      <c r="HR558" s="77"/>
      <c r="HS558" s="77"/>
      <c r="HT558" s="77"/>
      <c r="HU558" s="77"/>
      <c r="HV558" s="77"/>
      <c r="HW558" s="77"/>
      <c r="HX558" s="77"/>
      <c r="HY558" s="77"/>
      <c r="HZ558" s="77"/>
      <c r="IA558" s="77"/>
      <c r="IB558" s="77"/>
      <c r="IC558" s="77"/>
      <c r="ID558" s="77"/>
      <c r="IE558" s="77"/>
      <c r="IF558" s="77"/>
      <c r="IG558" s="77"/>
      <c r="IH558" s="77"/>
      <c r="II558" s="77"/>
      <c r="IJ558" s="77"/>
      <c r="IK558" s="77"/>
      <c r="IL558" s="77"/>
      <c r="IM558" s="77"/>
      <c r="IN558" s="77"/>
      <c r="IO558" s="77"/>
      <c r="IP558" s="77"/>
      <c r="IQ558" s="77"/>
      <c r="IR558" s="77"/>
      <c r="IS558" s="77"/>
      <c r="IT558" s="77"/>
      <c r="IU558" s="77"/>
      <c r="IV558" s="77"/>
      <c r="IW558" s="77"/>
      <c r="IX558" s="77"/>
      <c r="IY558" s="77"/>
      <c r="IZ558" s="77"/>
      <c r="JA558" s="77"/>
      <c r="JB558" s="77"/>
      <c r="JC558" s="77"/>
      <c r="JD558" s="77"/>
      <c r="JE558" s="77"/>
      <c r="JF558" s="77"/>
      <c r="JG558" s="77"/>
      <c r="JH558" s="77"/>
      <c r="JI558" s="77"/>
      <c r="JJ558" s="77"/>
      <c r="JK558" s="77"/>
      <c r="JL558" s="77"/>
      <c r="JM558" s="77"/>
      <c r="JN558" s="77"/>
      <c r="JO558" s="77"/>
      <c r="JP558" s="77"/>
      <c r="JQ558" s="77"/>
      <c r="JR558" s="77"/>
      <c r="JS558" s="77"/>
      <c r="JT558" s="77"/>
      <c r="JU558" s="77"/>
      <c r="JV558" s="77"/>
      <c r="JW558" s="77"/>
      <c r="JX558" s="77"/>
      <c r="JY558" s="77"/>
      <c r="JZ558" s="77"/>
      <c r="KA558" s="77"/>
      <c r="KB558" s="77"/>
      <c r="KC558" s="77"/>
      <c r="KD558" s="77"/>
      <c r="KE558" s="77"/>
      <c r="KF558" s="77"/>
      <c r="KG558" s="77"/>
      <c r="KH558" s="77"/>
      <c r="KI558" s="77"/>
      <c r="KJ558" s="77"/>
      <c r="KK558" s="77"/>
      <c r="KL558" s="77"/>
      <c r="KM558" s="77"/>
      <c r="KN558" s="77"/>
      <c r="KO558" s="77"/>
      <c r="KP558" s="77"/>
      <c r="KQ558" s="77"/>
      <c r="KR558" s="77"/>
      <c r="KS558" s="77"/>
      <c r="KT558" s="77"/>
      <c r="KU558" s="77"/>
      <c r="KV558" s="77"/>
      <c r="KW558" s="77"/>
      <c r="KX558" s="77"/>
      <c r="KY558" s="77"/>
      <c r="KZ558" s="77"/>
      <c r="LA558" s="77"/>
      <c r="LB558" s="77"/>
      <c r="LC558" s="77"/>
      <c r="LD558" s="77"/>
      <c r="LE558" s="77"/>
      <c r="LF558" s="77"/>
      <c r="LG558" s="77"/>
      <c r="LH558" s="77"/>
      <c r="LI558" s="77"/>
      <c r="LJ558" s="77"/>
      <c r="LK558" s="77"/>
      <c r="LL558" s="16"/>
      <c r="LM558" s="16"/>
      <c r="LN558" s="16"/>
      <c r="LO558" s="16"/>
      <c r="LP558" s="16"/>
      <c r="LQ558" s="16"/>
      <c r="LR558" s="16"/>
      <c r="LS558" s="16"/>
      <c r="LT558" s="16"/>
      <c r="LU558" s="16"/>
      <c r="LV558" s="16"/>
      <c r="MS558" s="16"/>
    </row>
    <row r="559" spans="1:368" s="21" customFormat="1" ht="18.600000000000001" customHeight="1" x14ac:dyDescent="0.25">
      <c r="A559" s="119" t="s">
        <v>419</v>
      </c>
      <c r="B559" s="27" t="s">
        <v>1958</v>
      </c>
      <c r="C559" s="27" t="s">
        <v>6384</v>
      </c>
      <c r="D559" s="30" t="str">
        <f>HYPERLINK("https://twitter.com/EndaKennyTD","https://twitter.com/EndaKennyTD")</f>
        <v>https://twitter.com/EndaKennyTD</v>
      </c>
      <c r="E559" s="30" t="str">
        <f>HYPERLINK("http://twiplomacy.com/info/europe/Ireland","http://twiplomacy.com/info/europe/Ireland")</f>
        <v>http://twiplomacy.com/info/europe/Ireland</v>
      </c>
      <c r="F559" s="10" t="s">
        <v>332</v>
      </c>
      <c r="G559" s="10" t="s">
        <v>416</v>
      </c>
      <c r="H559" s="10" t="s">
        <v>776</v>
      </c>
      <c r="I559" s="10" t="s">
        <v>773</v>
      </c>
      <c r="J559" s="27" t="s">
        <v>789</v>
      </c>
      <c r="K559" s="15" t="s">
        <v>777</v>
      </c>
      <c r="L559" s="10"/>
      <c r="M559" s="10" t="s">
        <v>771</v>
      </c>
      <c r="N559" s="12" t="s">
        <v>4615</v>
      </c>
      <c r="O559" s="27" t="s">
        <v>4616</v>
      </c>
      <c r="P559" s="80">
        <v>1320</v>
      </c>
      <c r="Q559" s="80">
        <v>2315</v>
      </c>
      <c r="R559" s="27" t="s">
        <v>2994</v>
      </c>
      <c r="S559" s="30" t="str">
        <f>HYPERLINK("https://twitter.com/EndaKennyTD/lists","https://twitter.com/EndaKennyTD/lists")</f>
        <v>https://twitter.com/EndaKennyTD/lists</v>
      </c>
      <c r="T559" s="10" t="s">
        <v>771</v>
      </c>
      <c r="U559" s="10" t="s">
        <v>771</v>
      </c>
      <c r="V559" s="10" t="s">
        <v>771</v>
      </c>
      <c r="W559" s="10"/>
      <c r="X559" s="27" t="s">
        <v>419</v>
      </c>
      <c r="Y559" s="27" t="s">
        <v>1958</v>
      </c>
      <c r="Z559" s="80">
        <v>451</v>
      </c>
      <c r="AA559" s="27">
        <v>577</v>
      </c>
      <c r="AB559" s="80">
        <v>46659</v>
      </c>
      <c r="AC559" s="27">
        <v>3</v>
      </c>
      <c r="AD559" s="27" t="s">
        <v>3650</v>
      </c>
      <c r="AE559" s="27">
        <v>135514272</v>
      </c>
      <c r="AF559" s="27" t="s">
        <v>6384</v>
      </c>
      <c r="AG559" s="27" t="s">
        <v>416</v>
      </c>
      <c r="AH559" s="79">
        <v>0.204720835224694</v>
      </c>
      <c r="AI559" s="83">
        <v>0.80679785330948095</v>
      </c>
      <c r="AJ559" s="80">
        <v>47.445378151260499</v>
      </c>
      <c r="AK559" s="80">
        <v>61.6386554621849</v>
      </c>
      <c r="AL559" s="13">
        <v>0</v>
      </c>
      <c r="AM559" s="97">
        <f>SUM(AL559/Z559)</f>
        <v>0</v>
      </c>
      <c r="AN559" s="27" t="s">
        <v>419</v>
      </c>
      <c r="AO559" s="27">
        <v>22</v>
      </c>
      <c r="AP559" s="27">
        <v>11</v>
      </c>
      <c r="AQ559" s="27">
        <v>13</v>
      </c>
      <c r="AR559" s="27">
        <f>SUM(AO559:AQ559)</f>
        <v>46</v>
      </c>
      <c r="AS559" s="27" t="s">
        <v>5105</v>
      </c>
      <c r="AT559" s="27" t="s">
        <v>6710</v>
      </c>
      <c r="AU559" s="84" t="s">
        <v>4708</v>
      </c>
      <c r="AV559" s="77"/>
      <c r="AW559" s="77"/>
      <c r="AX559" s="77"/>
      <c r="AY559" s="77"/>
      <c r="AZ559" s="77"/>
      <c r="BA559" s="77"/>
      <c r="BB559" s="77"/>
      <c r="BC559" s="77"/>
      <c r="BD559" s="77"/>
      <c r="BE559" s="77"/>
      <c r="BF559" s="77"/>
      <c r="BG559" s="77"/>
      <c r="BH559" s="77"/>
      <c r="BI559" s="77"/>
      <c r="BJ559" s="77"/>
      <c r="BK559" s="77"/>
      <c r="BL559" s="77"/>
      <c r="BM559" s="77"/>
      <c r="BN559" s="77"/>
      <c r="BO559" s="77"/>
      <c r="BP559" s="77"/>
      <c r="BQ559" s="71"/>
      <c r="BR559" s="71"/>
      <c r="BS559" s="71"/>
      <c r="BT559" s="71"/>
      <c r="BU559" s="71"/>
      <c r="BV559" s="71"/>
      <c r="BW559" s="71"/>
      <c r="BX559" s="71"/>
      <c r="BY559" s="71"/>
      <c r="BZ559" s="71"/>
      <c r="CA559" s="71"/>
      <c r="CB559" s="71"/>
      <c r="CC559" s="77"/>
      <c r="CD559" s="77"/>
      <c r="CE559" s="77"/>
      <c r="CF559" s="77"/>
      <c r="CG559" s="77"/>
      <c r="CH559" s="77"/>
      <c r="CI559" s="77"/>
      <c r="CJ559" s="77"/>
      <c r="CK559" s="77"/>
      <c r="CL559" s="77"/>
      <c r="CM559" s="77"/>
      <c r="CN559" s="77"/>
      <c r="CO559" s="77"/>
      <c r="CP559" s="77"/>
      <c r="CQ559" s="77"/>
      <c r="CR559" s="77"/>
      <c r="CS559" s="77"/>
      <c r="CT559" s="77"/>
      <c r="CU559" s="77"/>
      <c r="CV559" s="77"/>
      <c r="CW559" s="77"/>
      <c r="CX559" s="77"/>
      <c r="CY559" s="77"/>
      <c r="CZ559" s="77"/>
      <c r="DA559" s="77"/>
      <c r="DB559" s="77"/>
      <c r="DC559" s="77"/>
      <c r="DD559" s="77"/>
      <c r="DE559" s="77"/>
      <c r="DF559" s="77"/>
      <c r="DG559" s="77"/>
      <c r="DH559" s="77"/>
      <c r="DI559" s="77"/>
      <c r="DJ559" s="77"/>
      <c r="DK559" s="77"/>
      <c r="DL559" s="77"/>
      <c r="DM559" s="77"/>
      <c r="DN559" s="77"/>
      <c r="DO559" s="77"/>
      <c r="DP559" s="77"/>
      <c r="DQ559" s="77"/>
      <c r="DR559" s="77"/>
      <c r="DS559" s="77"/>
      <c r="DT559" s="77"/>
      <c r="DU559" s="77"/>
      <c r="DV559" s="77"/>
      <c r="DW559" s="77"/>
      <c r="DX559" s="77"/>
      <c r="DY559" s="77"/>
      <c r="DZ559" s="77"/>
      <c r="EA559" s="77"/>
      <c r="EB559" s="77"/>
      <c r="EC559" s="77"/>
      <c r="ED559" s="77"/>
      <c r="EE559" s="77"/>
      <c r="EF559" s="77"/>
      <c r="EG559" s="77"/>
      <c r="EH559" s="77"/>
      <c r="EI559" s="77"/>
      <c r="EJ559" s="77"/>
      <c r="EK559" s="77"/>
      <c r="EL559" s="77"/>
      <c r="EM559" s="77"/>
      <c r="EN559" s="77"/>
      <c r="EO559" s="77"/>
      <c r="EP559" s="77"/>
      <c r="EQ559" s="77"/>
      <c r="ER559" s="77"/>
      <c r="ES559" s="77"/>
      <c r="ET559" s="77"/>
      <c r="EU559" s="77"/>
      <c r="EV559" s="77"/>
      <c r="EW559" s="77"/>
      <c r="EX559" s="77"/>
      <c r="EY559" s="77"/>
      <c r="EZ559" s="77"/>
      <c r="FA559" s="77"/>
      <c r="FB559" s="77"/>
      <c r="FC559" s="77"/>
      <c r="FD559" s="77"/>
      <c r="FE559" s="77"/>
      <c r="FF559" s="77"/>
      <c r="FG559" s="77"/>
      <c r="FH559" s="77"/>
      <c r="FI559" s="77"/>
      <c r="FJ559" s="77"/>
      <c r="FK559" s="77"/>
      <c r="FL559" s="77"/>
      <c r="FM559" s="77"/>
      <c r="FN559" s="77"/>
      <c r="FO559" s="77"/>
      <c r="FP559" s="77"/>
      <c r="FQ559" s="77"/>
      <c r="FR559" s="77"/>
      <c r="FS559" s="77"/>
      <c r="FT559" s="77"/>
      <c r="FU559" s="77"/>
      <c r="FV559" s="77"/>
      <c r="FW559" s="77"/>
      <c r="FX559" s="77"/>
      <c r="FY559" s="77"/>
      <c r="FZ559" s="77"/>
      <c r="GA559" s="77"/>
      <c r="GB559" s="77"/>
      <c r="GC559" s="77"/>
      <c r="GD559" s="77"/>
      <c r="GE559" s="77"/>
      <c r="GF559" s="77"/>
      <c r="GG559" s="77"/>
      <c r="GH559" s="77"/>
      <c r="GI559" s="77"/>
      <c r="GJ559" s="77"/>
      <c r="GK559" s="77"/>
      <c r="GL559" s="77"/>
      <c r="GM559" s="77"/>
      <c r="GN559" s="77"/>
      <c r="GO559" s="77"/>
      <c r="GP559" s="77"/>
      <c r="GQ559" s="77"/>
      <c r="GR559" s="77"/>
      <c r="GS559" s="77"/>
      <c r="GT559" s="77"/>
      <c r="GU559" s="77"/>
      <c r="GV559" s="77"/>
      <c r="GW559" s="77"/>
      <c r="GX559" s="77"/>
      <c r="GY559" s="77"/>
      <c r="GZ559" s="77"/>
      <c r="HA559" s="77"/>
      <c r="HB559" s="77"/>
      <c r="HC559" s="77"/>
      <c r="HD559" s="77"/>
      <c r="HE559" s="77"/>
      <c r="HF559" s="77"/>
      <c r="HG559" s="77"/>
      <c r="HH559" s="77"/>
      <c r="HI559" s="77"/>
      <c r="HJ559" s="77"/>
      <c r="HK559" s="77"/>
      <c r="HL559" s="77"/>
      <c r="HM559" s="77"/>
      <c r="HN559" s="77"/>
      <c r="HO559" s="77"/>
      <c r="HP559" s="77"/>
      <c r="HQ559" s="77"/>
      <c r="HR559" s="77"/>
      <c r="HS559" s="77"/>
      <c r="HT559" s="77"/>
      <c r="HU559" s="77"/>
      <c r="HV559" s="77"/>
      <c r="HW559" s="77"/>
      <c r="HX559" s="77"/>
      <c r="HY559" s="77"/>
      <c r="HZ559" s="77"/>
      <c r="IA559" s="77"/>
      <c r="IB559" s="77"/>
      <c r="IC559" s="77"/>
      <c r="ID559" s="77"/>
      <c r="IE559" s="77"/>
      <c r="IF559" s="77"/>
      <c r="IG559" s="77"/>
      <c r="IH559" s="77"/>
      <c r="II559" s="77"/>
      <c r="IJ559" s="77"/>
      <c r="IK559" s="77"/>
      <c r="IL559" s="77"/>
      <c r="IM559" s="77"/>
      <c r="IN559" s="77"/>
      <c r="IO559" s="77"/>
      <c r="IP559" s="77"/>
      <c r="IQ559" s="77"/>
      <c r="IR559" s="77"/>
      <c r="IS559" s="77"/>
      <c r="IT559" s="77"/>
      <c r="IU559" s="77"/>
      <c r="IV559" s="77"/>
      <c r="IW559" s="77"/>
      <c r="IX559" s="77"/>
      <c r="IY559" s="77"/>
      <c r="IZ559" s="77"/>
      <c r="JA559" s="77"/>
      <c r="JB559" s="77"/>
      <c r="JC559" s="77"/>
      <c r="JD559" s="77"/>
      <c r="JE559" s="77"/>
      <c r="JF559" s="77"/>
      <c r="JG559" s="77"/>
      <c r="JH559" s="77"/>
      <c r="JI559" s="77"/>
      <c r="JJ559" s="77"/>
      <c r="JK559" s="77"/>
      <c r="JL559" s="77"/>
      <c r="JM559" s="77"/>
      <c r="JN559" s="77"/>
      <c r="JO559" s="77"/>
      <c r="JP559" s="77"/>
      <c r="JQ559" s="77"/>
      <c r="JR559" s="77"/>
      <c r="JS559" s="77"/>
      <c r="JT559" s="77"/>
      <c r="JU559" s="77"/>
      <c r="JV559" s="77"/>
      <c r="JW559" s="77"/>
      <c r="JX559" s="77"/>
      <c r="JY559" s="16"/>
      <c r="JZ559" s="16"/>
      <c r="KA559" s="16"/>
      <c r="KB559" s="16"/>
      <c r="KC559" s="16"/>
      <c r="KD559" s="16"/>
      <c r="KE559" s="16"/>
      <c r="KF559" s="16"/>
      <c r="KG559" s="16"/>
      <c r="KH559" s="16"/>
      <c r="KI559" s="16"/>
      <c r="KJ559" s="16"/>
      <c r="KK559" s="16"/>
      <c r="KL559" s="16"/>
      <c r="KM559" s="77"/>
      <c r="KN559" s="77"/>
      <c r="KO559" s="77"/>
      <c r="KP559" s="77"/>
      <c r="KQ559" s="77"/>
      <c r="KR559" s="77"/>
      <c r="KS559" s="77"/>
      <c r="KT559" s="77"/>
      <c r="KU559" s="77"/>
      <c r="KV559" s="77"/>
      <c r="KW559" s="77"/>
      <c r="KX559" s="77"/>
      <c r="KY559" s="77"/>
      <c r="KZ559" s="77"/>
      <c r="LA559" s="77"/>
      <c r="LB559" s="77"/>
      <c r="LC559" s="77"/>
      <c r="LD559" s="77"/>
      <c r="LE559" s="77"/>
      <c r="LF559" s="77"/>
      <c r="LG559" s="77"/>
      <c r="LH559" s="77"/>
      <c r="LI559" s="77"/>
      <c r="LJ559" s="77"/>
      <c r="LK559" s="77"/>
      <c r="LL559" s="77"/>
      <c r="LM559" s="77"/>
      <c r="LN559" s="77"/>
      <c r="LO559" s="77"/>
      <c r="LP559" s="77"/>
      <c r="LQ559" s="77"/>
      <c r="LR559" s="77"/>
      <c r="LS559" s="77"/>
      <c r="LT559" s="77"/>
      <c r="LU559" s="77"/>
      <c r="LV559" s="77"/>
      <c r="LY559" s="77"/>
      <c r="LZ559" s="77"/>
      <c r="MA559" s="77"/>
      <c r="MB559" s="77"/>
      <c r="MC559" s="77"/>
      <c r="MD559" s="77"/>
      <c r="ME559" s="77"/>
      <c r="MF559" s="77"/>
      <c r="MG559" s="77"/>
      <c r="MH559" s="77"/>
      <c r="MI559" s="77"/>
      <c r="MJ559" s="77"/>
      <c r="MK559" s="77"/>
      <c r="ML559" s="77"/>
      <c r="MM559" s="77"/>
      <c r="MN559" s="77"/>
      <c r="MO559" s="77"/>
      <c r="MP559" s="77"/>
      <c r="MQ559" s="77"/>
      <c r="MR559" s="77"/>
      <c r="MS559" s="77"/>
      <c r="MT559" s="16"/>
      <c r="MU559" s="16"/>
      <c r="MV559" s="16"/>
      <c r="MW559" s="16"/>
      <c r="MX559" s="16"/>
      <c r="MY559" s="16"/>
      <c r="MZ559" s="16"/>
      <c r="NA559" s="16"/>
      <c r="NB559" s="16"/>
      <c r="NC559" s="16"/>
    </row>
    <row r="560" spans="1:368" s="21" customFormat="1" ht="18.600000000000001" customHeight="1" x14ac:dyDescent="0.25">
      <c r="A560" s="119" t="s">
        <v>3363</v>
      </c>
      <c r="B560" s="27" t="s">
        <v>3539</v>
      </c>
      <c r="C560" s="27" t="s">
        <v>3540</v>
      </c>
      <c r="D560" s="51" t="s">
        <v>3354</v>
      </c>
      <c r="E560" s="30" t="str">
        <f>HYPERLINK("http://twiplomacy.com/info/europe/Turkey","http://twiplomacy.com/info/europe/Turkey")</f>
        <v>http://twiplomacy.com/info/europe/Turkey</v>
      </c>
      <c r="F560" s="10" t="s">
        <v>332</v>
      </c>
      <c r="G560" s="10" t="s">
        <v>536</v>
      </c>
      <c r="H560" s="10" t="s">
        <v>788</v>
      </c>
      <c r="I560" s="10" t="s">
        <v>782</v>
      </c>
      <c r="J560" s="27" t="s">
        <v>2254</v>
      </c>
      <c r="K560" s="15" t="s">
        <v>777</v>
      </c>
      <c r="L560" s="10"/>
      <c r="M560" s="10"/>
      <c r="N560" s="30" t="s">
        <v>3387</v>
      </c>
      <c r="O560" s="27" t="s">
        <v>5723</v>
      </c>
      <c r="P560" s="80">
        <v>10</v>
      </c>
      <c r="Q560" s="80">
        <v>2</v>
      </c>
      <c r="R560" s="27" t="s">
        <v>2995</v>
      </c>
      <c r="S560" s="12" t="s">
        <v>3370</v>
      </c>
      <c r="T560" s="10" t="s">
        <v>771</v>
      </c>
      <c r="U560" s="10" t="s">
        <v>771</v>
      </c>
      <c r="V560" s="10" t="s">
        <v>771</v>
      </c>
      <c r="W560" s="10"/>
      <c r="X560" s="27" t="s">
        <v>3363</v>
      </c>
      <c r="Y560" s="27" t="s">
        <v>3539</v>
      </c>
      <c r="Z560" s="80">
        <v>450</v>
      </c>
      <c r="AA560" s="27">
        <v>127</v>
      </c>
      <c r="AB560" s="80">
        <v>151</v>
      </c>
      <c r="AC560" s="27">
        <v>1</v>
      </c>
      <c r="AD560" s="27" t="s">
        <v>3541</v>
      </c>
      <c r="AE560" s="27">
        <v>2939545869</v>
      </c>
      <c r="AF560" s="27" t="s">
        <v>3540</v>
      </c>
      <c r="AG560" s="27"/>
      <c r="AH560" s="79">
        <v>0.91717171717171697</v>
      </c>
      <c r="AI560" s="83">
        <v>6.5797101449275397</v>
      </c>
      <c r="AJ560" s="80">
        <v>2.6487695749440698</v>
      </c>
      <c r="AK560" s="80">
        <v>0.72259507829977598</v>
      </c>
      <c r="AL560" s="27">
        <v>20</v>
      </c>
      <c r="AM560" s="97">
        <f>SUM(AL560/Z560)</f>
        <v>4.4444444444444446E-2</v>
      </c>
      <c r="AN560" s="27" t="s">
        <v>3363</v>
      </c>
      <c r="AO560" s="27">
        <v>8</v>
      </c>
      <c r="AP560" s="27">
        <v>0</v>
      </c>
      <c r="AQ560" s="27">
        <v>6</v>
      </c>
      <c r="AR560" s="27">
        <f>SUM(AO560:AQ560)</f>
        <v>14</v>
      </c>
      <c r="AS560" s="27" t="s">
        <v>5053</v>
      </c>
      <c r="AT560" s="27"/>
      <c r="AU560" s="84" t="s">
        <v>4670</v>
      </c>
      <c r="AV560" s="77"/>
      <c r="AW560" s="77"/>
      <c r="AX560" s="77"/>
      <c r="AY560" s="77"/>
      <c r="AZ560" s="77"/>
      <c r="BA560" s="77"/>
      <c r="BB560" s="77"/>
      <c r="BC560" s="77"/>
      <c r="BD560" s="77"/>
      <c r="BE560" s="77"/>
      <c r="BF560" s="77"/>
      <c r="BG560" s="77"/>
      <c r="BH560" s="77"/>
      <c r="BI560" s="77"/>
      <c r="BJ560" s="77"/>
      <c r="BK560" s="77"/>
      <c r="BL560" s="77"/>
      <c r="BM560" s="77"/>
      <c r="BN560" s="77"/>
      <c r="BO560" s="77"/>
      <c r="BP560" s="77"/>
      <c r="BQ560" s="77"/>
      <c r="BR560" s="77"/>
      <c r="BS560" s="77"/>
      <c r="BT560" s="77"/>
      <c r="BU560" s="77"/>
      <c r="BV560" s="77"/>
      <c r="BW560" s="77"/>
      <c r="BX560" s="77"/>
      <c r="BY560" s="77"/>
      <c r="BZ560" s="77"/>
      <c r="CA560" s="77"/>
      <c r="CB560" s="77"/>
      <c r="CX560" s="77"/>
      <c r="CY560" s="77"/>
      <c r="CZ560" s="77"/>
      <c r="DA560" s="77"/>
      <c r="DB560" s="77"/>
      <c r="DC560" s="77"/>
      <c r="DD560" s="77"/>
      <c r="DE560" s="77"/>
      <c r="DF560" s="77"/>
      <c r="DG560" s="77"/>
      <c r="DH560" s="77"/>
      <c r="DI560" s="77"/>
      <c r="DJ560" s="77"/>
      <c r="DK560" s="77"/>
      <c r="DL560" s="77"/>
      <c r="DM560" s="77"/>
      <c r="DN560" s="77"/>
      <c r="DO560" s="77"/>
      <c r="DP560" s="77"/>
      <c r="DQ560" s="77"/>
      <c r="DR560" s="77"/>
      <c r="DS560" s="77"/>
      <c r="DT560" s="77"/>
      <c r="DU560" s="77"/>
      <c r="DV560" s="77"/>
      <c r="DW560" s="77"/>
      <c r="DX560" s="77"/>
      <c r="DY560" s="77"/>
      <c r="DZ560" s="77"/>
      <c r="EA560" s="77"/>
      <c r="EB560" s="77"/>
      <c r="EC560" s="77"/>
      <c r="ED560" s="77"/>
      <c r="EE560" s="77"/>
      <c r="EF560" s="77"/>
      <c r="EG560" s="77"/>
      <c r="EH560" s="77"/>
      <c r="EI560" s="77"/>
      <c r="EJ560" s="77"/>
      <c r="EK560" s="77"/>
      <c r="EL560" s="77"/>
      <c r="EM560" s="77"/>
      <c r="EN560" s="77"/>
      <c r="EO560" s="77"/>
      <c r="EP560" s="77"/>
      <c r="EQ560" s="77"/>
      <c r="ER560" s="77"/>
      <c r="ES560" s="77"/>
      <c r="ET560" s="77"/>
      <c r="EU560" s="77"/>
      <c r="EV560" s="77"/>
      <c r="EW560" s="77"/>
      <c r="EX560" s="77"/>
      <c r="EY560" s="77"/>
      <c r="EZ560" s="77"/>
      <c r="FA560" s="77"/>
      <c r="FB560" s="77"/>
      <c r="FC560" s="77"/>
      <c r="FD560" s="77"/>
      <c r="FE560" s="77"/>
      <c r="FF560" s="77"/>
      <c r="FG560" s="77"/>
      <c r="FH560" s="77"/>
      <c r="FI560" s="77"/>
      <c r="FJ560" s="77"/>
      <c r="FK560" s="77"/>
      <c r="FL560" s="77"/>
      <c r="FM560" s="77"/>
      <c r="FN560" s="77"/>
      <c r="FO560" s="77"/>
      <c r="FP560" s="77"/>
      <c r="FQ560" s="77"/>
      <c r="FR560" s="77"/>
      <c r="FS560" s="77"/>
      <c r="FT560" s="77"/>
      <c r="FU560" s="77"/>
      <c r="FV560" s="77"/>
      <c r="FW560" s="77"/>
      <c r="FX560" s="77"/>
      <c r="FY560" s="77"/>
      <c r="FZ560" s="77"/>
      <c r="GA560" s="77"/>
      <c r="GB560" s="77"/>
      <c r="GC560" s="77"/>
      <c r="GD560" s="77"/>
      <c r="GE560" s="77"/>
      <c r="GF560" s="77"/>
      <c r="GG560" s="77"/>
      <c r="GH560" s="77"/>
      <c r="GI560" s="77"/>
      <c r="GJ560" s="77"/>
      <c r="GK560" s="77"/>
      <c r="HL560" s="77"/>
      <c r="HM560" s="77"/>
      <c r="HN560" s="77"/>
      <c r="HO560" s="77"/>
      <c r="HP560" s="77"/>
      <c r="HQ560" s="77"/>
      <c r="HR560" s="77"/>
      <c r="HS560" s="77"/>
      <c r="HT560" s="77"/>
      <c r="HU560" s="77"/>
      <c r="HV560" s="77"/>
      <c r="HW560" s="77"/>
      <c r="HX560" s="77"/>
      <c r="HY560" s="77"/>
      <c r="HZ560" s="77"/>
      <c r="IA560" s="77"/>
      <c r="IB560" s="77"/>
      <c r="IC560" s="77"/>
      <c r="ID560" s="77"/>
      <c r="IE560" s="77"/>
      <c r="JY560" s="77"/>
      <c r="JZ560" s="77"/>
      <c r="KA560" s="77"/>
      <c r="KB560" s="77"/>
      <c r="KC560" s="77"/>
      <c r="KD560" s="77"/>
      <c r="KE560" s="77"/>
      <c r="KF560" s="77"/>
      <c r="KG560" s="77"/>
      <c r="KH560" s="77"/>
      <c r="KI560" s="77"/>
      <c r="KJ560" s="77"/>
      <c r="KK560" s="77"/>
      <c r="KL560" s="77"/>
      <c r="KM560" s="77"/>
      <c r="KN560" s="77"/>
      <c r="KO560" s="77"/>
      <c r="KP560" s="77"/>
      <c r="KQ560" s="77"/>
      <c r="KR560" s="77"/>
      <c r="KS560" s="77"/>
      <c r="KT560" s="77"/>
      <c r="KU560" s="77"/>
      <c r="KV560" s="77"/>
      <c r="KW560" s="77"/>
      <c r="KX560" s="77"/>
      <c r="KY560" s="77"/>
      <c r="KZ560" s="77"/>
      <c r="LA560" s="77"/>
      <c r="LB560" s="77"/>
      <c r="LC560" s="77"/>
      <c r="LD560" s="77"/>
      <c r="LE560" s="77"/>
      <c r="LF560" s="77"/>
      <c r="LG560" s="77"/>
      <c r="LH560" s="77"/>
      <c r="LI560" s="77"/>
      <c r="LJ560" s="77"/>
      <c r="LK560" s="77"/>
      <c r="MT560" s="77"/>
      <c r="MU560" s="77"/>
      <c r="MV560" s="77"/>
      <c r="MW560" s="77"/>
      <c r="MX560" s="77"/>
      <c r="MY560" s="77"/>
      <c r="MZ560" s="77"/>
      <c r="NA560" s="77"/>
      <c r="NB560" s="77"/>
      <c r="NC560" s="77"/>
    </row>
    <row r="561" spans="1:421" s="21" customFormat="1" ht="18.600000000000001" customHeight="1" x14ac:dyDescent="0.25">
      <c r="A561" s="119" t="s">
        <v>369</v>
      </c>
      <c r="B561" s="27" t="s">
        <v>1793</v>
      </c>
      <c r="C561" s="27" t="s">
        <v>1794</v>
      </c>
      <c r="D561" s="30" t="str">
        <f>HYPERLINK("https://twitter.com/SlavekSobotka","https://twitter.com/SlavekSobotka")</f>
        <v>https://twitter.com/SlavekSobotka</v>
      </c>
      <c r="E561" s="30" t="str">
        <f>HYPERLINK("http://twiplomacy.com/info/europe/Czech-Republic","http://twiplomacy.com/info/europe/Czech-Republic")</f>
        <v>http://twiplomacy.com/info/europe/Czech-Republic</v>
      </c>
      <c r="F561" s="10" t="s">
        <v>332</v>
      </c>
      <c r="G561" s="10" t="s">
        <v>5647</v>
      </c>
      <c r="H561" s="10" t="s">
        <v>776</v>
      </c>
      <c r="I561" s="10" t="s">
        <v>782</v>
      </c>
      <c r="J561" s="27" t="s">
        <v>1792</v>
      </c>
      <c r="K561" s="15" t="s">
        <v>777</v>
      </c>
      <c r="L561" s="10" t="s">
        <v>771</v>
      </c>
      <c r="M561" s="10" t="s">
        <v>770</v>
      </c>
      <c r="N561" s="30" t="s">
        <v>1795</v>
      </c>
      <c r="O561" s="27" t="s">
        <v>6093</v>
      </c>
      <c r="P561" s="80">
        <v>134</v>
      </c>
      <c r="Q561" s="80">
        <v>456</v>
      </c>
      <c r="R561" s="27" t="s">
        <v>2995</v>
      </c>
      <c r="S561" s="30" t="str">
        <f>HYPERLINK("https://twitter.com/SlavekSobotka/lists","https://twitter.com/SlavekSobotka/lists")</f>
        <v>https://twitter.com/SlavekSobotka/lists</v>
      </c>
      <c r="T561" s="10" t="s">
        <v>771</v>
      </c>
      <c r="U561" s="10" t="s">
        <v>771</v>
      </c>
      <c r="V561" s="10" t="s">
        <v>771</v>
      </c>
      <c r="W561" s="10"/>
      <c r="X561" s="27" t="s">
        <v>369</v>
      </c>
      <c r="Y561" s="27" t="s">
        <v>1793</v>
      </c>
      <c r="Z561" s="80">
        <v>445</v>
      </c>
      <c r="AA561" s="27">
        <v>72</v>
      </c>
      <c r="AB561" s="80">
        <v>14185</v>
      </c>
      <c r="AC561" s="27">
        <v>41</v>
      </c>
      <c r="AD561" s="27" t="s">
        <v>4477</v>
      </c>
      <c r="AE561" s="27">
        <v>3107968048</v>
      </c>
      <c r="AF561" s="27" t="s">
        <v>1794</v>
      </c>
      <c r="AG561" s="27"/>
      <c r="AH561" s="79">
        <v>1.09605911330049</v>
      </c>
      <c r="AI561" s="83">
        <v>1.0987654320987701</v>
      </c>
      <c r="AJ561" s="80">
        <v>8.6132723112128105</v>
      </c>
      <c r="AK561" s="80">
        <v>30.153318077803199</v>
      </c>
      <c r="AL561" s="27">
        <v>2</v>
      </c>
      <c r="AM561" s="97">
        <f>SUM(AL561/Z561)</f>
        <v>4.4943820224719105E-3</v>
      </c>
      <c r="AN561" s="27" t="s">
        <v>369</v>
      </c>
      <c r="AO561" s="27">
        <v>10</v>
      </c>
      <c r="AP561" s="27">
        <v>9</v>
      </c>
      <c r="AQ561" s="27">
        <v>4</v>
      </c>
      <c r="AR561" s="27">
        <f>SUM(AO561:AQ561)</f>
        <v>23</v>
      </c>
      <c r="AS561" s="27" t="s">
        <v>6259</v>
      </c>
      <c r="AT561" s="27" t="s">
        <v>6859</v>
      </c>
      <c r="AU561" s="84" t="s">
        <v>6535</v>
      </c>
      <c r="BM561" s="77"/>
      <c r="BQ561" s="77"/>
      <c r="BR561" s="77"/>
      <c r="BS561" s="77"/>
      <c r="BT561" s="77"/>
      <c r="BU561" s="77"/>
      <c r="BV561" s="77"/>
      <c r="BW561" s="77"/>
      <c r="BX561" s="77"/>
      <c r="BY561" s="77"/>
      <c r="BZ561" s="77"/>
      <c r="CA561" s="77"/>
      <c r="CB561" s="77"/>
      <c r="CK561" s="77"/>
      <c r="CL561" s="77"/>
      <c r="CM561" s="77"/>
      <c r="CN561" s="77"/>
      <c r="CO561" s="77"/>
      <c r="CP561" s="77"/>
      <c r="CQ561" s="77"/>
      <c r="CR561" s="77"/>
      <c r="CS561" s="77"/>
      <c r="CT561" s="77"/>
      <c r="CU561" s="77"/>
      <c r="CV561" s="77"/>
      <c r="CW561" s="77"/>
      <c r="CX561" s="77"/>
      <c r="CY561" s="77"/>
      <c r="CZ561" s="77"/>
      <c r="DA561" s="77"/>
      <c r="DB561" s="77"/>
      <c r="DC561" s="77"/>
      <c r="DD561" s="77"/>
      <c r="DE561" s="77"/>
      <c r="DF561" s="77"/>
      <c r="DG561" s="77"/>
      <c r="DH561" s="77"/>
      <c r="DI561" s="77"/>
      <c r="DJ561" s="77"/>
      <c r="DK561" s="77"/>
      <c r="DL561" s="77"/>
      <c r="DM561" s="77"/>
      <c r="DN561" s="77"/>
      <c r="DO561" s="77"/>
      <c r="DP561" s="77"/>
      <c r="DQ561" s="77"/>
      <c r="DR561" s="77"/>
      <c r="DS561" s="77"/>
      <c r="DT561" s="77"/>
      <c r="DU561" s="77"/>
      <c r="DV561" s="77"/>
      <c r="DW561" s="77"/>
      <c r="DX561" s="77"/>
      <c r="DY561" s="77"/>
      <c r="DZ561" s="77"/>
      <c r="EA561" s="77"/>
      <c r="EB561" s="77"/>
      <c r="EC561" s="77"/>
      <c r="ED561" s="77"/>
      <c r="EE561" s="77"/>
      <c r="EF561" s="77"/>
      <c r="EG561" s="77"/>
      <c r="EH561" s="77"/>
      <c r="EI561" s="77"/>
      <c r="EJ561" s="77"/>
      <c r="EK561" s="77"/>
      <c r="EL561" s="77"/>
      <c r="EM561" s="77"/>
      <c r="EN561" s="77"/>
      <c r="EO561" s="77"/>
      <c r="EP561" s="77"/>
      <c r="EQ561" s="77"/>
      <c r="ER561" s="77"/>
      <c r="ES561" s="77"/>
      <c r="ET561" s="77"/>
      <c r="EU561" s="77"/>
      <c r="EV561" s="77"/>
      <c r="EW561" s="77"/>
      <c r="EX561" s="77"/>
      <c r="EY561" s="77"/>
      <c r="EZ561" s="77"/>
      <c r="FA561" s="77"/>
      <c r="FB561" s="77"/>
      <c r="FC561" s="77"/>
      <c r="FD561" s="77"/>
      <c r="FE561" s="77"/>
      <c r="FF561" s="77"/>
      <c r="FG561" s="77"/>
      <c r="FH561" s="77"/>
      <c r="FI561" s="77"/>
      <c r="FJ561" s="77"/>
      <c r="FK561" s="77"/>
      <c r="FL561" s="77"/>
      <c r="FM561" s="77"/>
      <c r="FN561" s="77"/>
      <c r="FO561" s="77"/>
      <c r="FP561" s="77"/>
      <c r="FQ561" s="77"/>
      <c r="FR561" s="77"/>
      <c r="FS561" s="77"/>
      <c r="FT561" s="77"/>
      <c r="FU561" s="77"/>
      <c r="FV561" s="77"/>
      <c r="FW561" s="77"/>
      <c r="FX561" s="77"/>
      <c r="FY561" s="77"/>
      <c r="FZ561" s="77"/>
      <c r="GA561" s="77"/>
      <c r="GB561" s="77"/>
      <c r="GC561" s="77"/>
      <c r="GD561" s="77"/>
      <c r="GE561" s="77"/>
      <c r="GF561" s="77"/>
      <c r="GG561" s="77"/>
      <c r="GH561" s="77"/>
      <c r="GI561" s="77"/>
      <c r="GJ561" s="77"/>
      <c r="GK561" s="77"/>
      <c r="GL561" s="77"/>
      <c r="GM561" s="77"/>
      <c r="GN561" s="77"/>
      <c r="GO561" s="77"/>
      <c r="GP561" s="77"/>
      <c r="GQ561" s="77"/>
      <c r="GR561" s="77"/>
      <c r="GS561" s="77"/>
      <c r="GT561" s="77"/>
      <c r="GU561" s="77"/>
      <c r="GV561" s="77"/>
      <c r="GW561" s="77"/>
      <c r="GX561" s="77"/>
      <c r="GY561" s="77"/>
      <c r="GZ561" s="77"/>
      <c r="HA561" s="77"/>
      <c r="HB561" s="77"/>
      <c r="HC561" s="77"/>
      <c r="HD561" s="77"/>
      <c r="HE561" s="77"/>
      <c r="HF561" s="77"/>
      <c r="HG561" s="77"/>
      <c r="HH561" s="77"/>
      <c r="HI561" s="77"/>
      <c r="HJ561" s="77"/>
      <c r="HK561" s="77"/>
      <c r="ID561" s="77"/>
      <c r="IE561" s="77"/>
      <c r="JY561" s="77"/>
      <c r="JZ561" s="77"/>
      <c r="KA561" s="77"/>
      <c r="KB561" s="77"/>
      <c r="KC561" s="77"/>
      <c r="KD561" s="77"/>
      <c r="KE561" s="77"/>
      <c r="KF561" s="77"/>
      <c r="KG561" s="77"/>
      <c r="KH561" s="77"/>
      <c r="KI561" s="77"/>
      <c r="KJ561" s="77"/>
      <c r="KK561" s="77"/>
      <c r="KL561" s="77"/>
      <c r="LL561" s="77"/>
      <c r="LM561" s="77"/>
      <c r="LN561" s="77"/>
      <c r="LO561" s="77"/>
      <c r="LP561" s="77"/>
      <c r="LQ561" s="77"/>
      <c r="LR561" s="77"/>
      <c r="LS561" s="77"/>
      <c r="LT561" s="77"/>
      <c r="LU561" s="77"/>
      <c r="LV561" s="77"/>
    </row>
    <row r="562" spans="1:421" s="21" customFormat="1" ht="18.600000000000001" customHeight="1" x14ac:dyDescent="0.25">
      <c r="A562" s="119" t="s">
        <v>302</v>
      </c>
      <c r="B562" s="27" t="s">
        <v>1621</v>
      </c>
      <c r="C562" s="27" t="s">
        <v>1622</v>
      </c>
      <c r="D562" s="30" t="str">
        <f>HYPERLINK("https://twitter.com/PresRajapaksa","https://twitter.com/RW_UNP")</f>
        <v>https://twitter.com/RW_UNP</v>
      </c>
      <c r="E562" s="30" t="str">
        <f>HYPERLINK("http://twiplomacy.com/info/asia/Sri-Lanka","http://twiplomacy.com/info/asia/Sri-Lanka")</f>
        <v>http://twiplomacy.com/info/asia/Sri-Lanka</v>
      </c>
      <c r="F562" s="10" t="s">
        <v>154</v>
      </c>
      <c r="G562" s="10" t="s">
        <v>299</v>
      </c>
      <c r="H562" s="10" t="s">
        <v>776</v>
      </c>
      <c r="I562" s="10" t="s">
        <v>773</v>
      </c>
      <c r="J562" s="27" t="s">
        <v>789</v>
      </c>
      <c r="K562" s="15" t="s">
        <v>777</v>
      </c>
      <c r="L562" s="10"/>
      <c r="M562" s="10" t="s">
        <v>770</v>
      </c>
      <c r="N562" s="30" t="str">
        <f>HYPERLINK("https://twitter.com/RW_UNP/status/538708316759683072","https://twitter.com/RW_UNP/status/538708316759683072")</f>
        <v>https://twitter.com/RW_UNP/status/538708316759683072</v>
      </c>
      <c r="O562" s="27" t="s">
        <v>6076</v>
      </c>
      <c r="P562" s="80">
        <v>468</v>
      </c>
      <c r="Q562" s="80">
        <v>634</v>
      </c>
      <c r="R562" s="27" t="s">
        <v>2995</v>
      </c>
      <c r="S562" s="30" t="str">
        <f>HYPERLINK("https://twitter.com/RW_UNP/lists","https://twitter.com/RW_UNP/lists")</f>
        <v>https://twitter.com/RW_UNP/lists</v>
      </c>
      <c r="T562" s="10" t="s">
        <v>771</v>
      </c>
      <c r="U562" s="10" t="s">
        <v>771</v>
      </c>
      <c r="V562" s="10" t="s">
        <v>771</v>
      </c>
      <c r="W562" s="10"/>
      <c r="X562" s="27" t="s">
        <v>302</v>
      </c>
      <c r="Y562" s="27" t="s">
        <v>1621</v>
      </c>
      <c r="Z562" s="80">
        <v>438</v>
      </c>
      <c r="AA562" s="27">
        <v>100</v>
      </c>
      <c r="AB562" s="80">
        <v>53535</v>
      </c>
      <c r="AC562" s="27">
        <v>16</v>
      </c>
      <c r="AD562" s="27" t="s">
        <v>4442</v>
      </c>
      <c r="AE562" s="27">
        <v>2913830408</v>
      </c>
      <c r="AF562" s="27" t="s">
        <v>1622</v>
      </c>
      <c r="AG562" s="27" t="s">
        <v>299</v>
      </c>
      <c r="AH562" s="79">
        <v>0.84230769230769198</v>
      </c>
      <c r="AI562" s="83">
        <v>0.84393063583814998</v>
      </c>
      <c r="AJ562" s="80">
        <v>13.3333333333333</v>
      </c>
      <c r="AK562" s="80">
        <v>24.567164179104498</v>
      </c>
      <c r="AL562" s="27">
        <v>38</v>
      </c>
      <c r="AM562" s="97">
        <f>SUM(AL562/Z562)</f>
        <v>8.6757990867579904E-2</v>
      </c>
      <c r="AN562" s="27" t="s">
        <v>302</v>
      </c>
      <c r="AO562" s="27">
        <v>7</v>
      </c>
      <c r="AP562" s="27">
        <v>6</v>
      </c>
      <c r="AQ562" s="27">
        <v>5</v>
      </c>
      <c r="AR562" s="27">
        <f>SUM(AO562:AQ562)</f>
        <v>18</v>
      </c>
      <c r="AS562" s="27" t="s">
        <v>5478</v>
      </c>
      <c r="AT562" s="27" t="s">
        <v>6341</v>
      </c>
      <c r="AU562" s="84" t="s">
        <v>4942</v>
      </c>
      <c r="AV562" s="77"/>
      <c r="AW562" s="77"/>
      <c r="AX562" s="77"/>
      <c r="AY562" s="77"/>
      <c r="AZ562" s="77"/>
      <c r="BA562" s="77"/>
      <c r="BB562" s="77"/>
      <c r="BC562" s="77"/>
      <c r="BD562" s="77"/>
      <c r="BE562" s="77"/>
      <c r="BF562" s="77"/>
      <c r="BG562" s="77"/>
      <c r="BH562" s="77"/>
      <c r="BI562" s="77"/>
      <c r="BJ562" s="77"/>
      <c r="BK562" s="77"/>
      <c r="BL562" s="77"/>
      <c r="BM562" s="77"/>
      <c r="BN562" s="77"/>
      <c r="BO562" s="77"/>
      <c r="BP562" s="77"/>
      <c r="BQ562" s="77"/>
      <c r="BR562" s="77"/>
      <c r="BS562" s="77"/>
      <c r="BT562" s="77"/>
      <c r="BU562" s="77"/>
      <c r="BV562" s="77"/>
      <c r="BW562" s="77"/>
      <c r="BX562" s="77"/>
      <c r="BY562" s="77"/>
      <c r="BZ562" s="77"/>
      <c r="CA562" s="77"/>
      <c r="CB562" s="77"/>
      <c r="CC562" s="77"/>
      <c r="CD562" s="77"/>
      <c r="CE562" s="77"/>
      <c r="CF562" s="77"/>
      <c r="CG562" s="77"/>
      <c r="CH562" s="77"/>
      <c r="CI562" s="77"/>
      <c r="CJ562" s="77"/>
      <c r="CK562" s="77"/>
      <c r="CL562" s="77"/>
      <c r="CM562" s="77"/>
      <c r="CN562" s="77"/>
      <c r="CO562" s="77"/>
      <c r="CP562" s="77"/>
      <c r="CQ562" s="77"/>
      <c r="CR562" s="77"/>
      <c r="CS562" s="77"/>
      <c r="CT562" s="77"/>
      <c r="CU562" s="77"/>
      <c r="CV562" s="77"/>
      <c r="CW562" s="77"/>
      <c r="CX562" s="77"/>
      <c r="CY562" s="77"/>
      <c r="CZ562" s="77"/>
      <c r="DA562" s="77"/>
      <c r="DB562" s="77"/>
      <c r="DC562" s="77"/>
      <c r="DD562" s="77"/>
      <c r="DE562" s="77"/>
      <c r="DF562" s="77"/>
      <c r="DG562" s="77"/>
      <c r="DH562" s="77"/>
      <c r="DI562" s="77"/>
      <c r="DJ562" s="77"/>
      <c r="DK562" s="77"/>
      <c r="DL562" s="77"/>
      <c r="DM562" s="77"/>
      <c r="DN562" s="77"/>
      <c r="DO562" s="77"/>
      <c r="DP562" s="77"/>
      <c r="DQ562" s="77"/>
      <c r="DR562" s="77"/>
      <c r="DS562" s="77"/>
      <c r="DT562" s="77"/>
      <c r="DU562" s="77"/>
      <c r="DV562" s="77"/>
      <c r="DW562" s="77"/>
      <c r="DX562" s="77"/>
      <c r="DY562" s="77"/>
      <c r="DZ562" s="77"/>
      <c r="EA562" s="77"/>
      <c r="EB562" s="77"/>
      <c r="EC562" s="77"/>
      <c r="ED562" s="77"/>
      <c r="EE562" s="77"/>
      <c r="EF562" s="77"/>
      <c r="EG562" s="77"/>
      <c r="EH562" s="77"/>
      <c r="EI562" s="77"/>
      <c r="EJ562" s="77"/>
      <c r="EK562" s="77"/>
      <c r="EL562" s="77"/>
      <c r="EM562" s="77"/>
      <c r="EN562" s="77"/>
      <c r="EO562" s="77"/>
      <c r="EP562" s="77"/>
      <c r="EQ562" s="77"/>
      <c r="ER562" s="77"/>
      <c r="ES562" s="77"/>
      <c r="ET562" s="77"/>
      <c r="EU562" s="77"/>
      <c r="EV562" s="77"/>
      <c r="EW562" s="77"/>
      <c r="EX562" s="77"/>
      <c r="EY562" s="77"/>
      <c r="EZ562" s="77"/>
      <c r="FA562" s="77"/>
      <c r="FB562" s="77"/>
      <c r="FC562" s="77"/>
      <c r="FD562" s="77"/>
      <c r="FE562" s="77"/>
      <c r="FF562" s="77"/>
      <c r="FG562" s="77"/>
      <c r="FH562" s="77"/>
      <c r="FI562" s="77"/>
      <c r="FJ562" s="77"/>
      <c r="FK562" s="77"/>
      <c r="FL562" s="77"/>
      <c r="FM562" s="77"/>
      <c r="FN562" s="77"/>
      <c r="FO562" s="77"/>
      <c r="FP562" s="77"/>
      <c r="FQ562" s="77"/>
      <c r="FR562" s="77"/>
      <c r="FS562" s="77"/>
      <c r="FT562" s="77"/>
      <c r="FU562" s="77"/>
      <c r="FV562" s="77"/>
      <c r="FW562" s="77"/>
      <c r="FX562" s="77"/>
      <c r="FY562" s="77"/>
      <c r="FZ562" s="77"/>
      <c r="GA562" s="77"/>
      <c r="GB562" s="77"/>
      <c r="GC562" s="77"/>
      <c r="GD562" s="77"/>
      <c r="GE562" s="77"/>
      <c r="GF562" s="77"/>
      <c r="GG562" s="77"/>
      <c r="GH562" s="77"/>
      <c r="GI562" s="77"/>
      <c r="GJ562" s="77"/>
      <c r="GK562" s="77"/>
      <c r="GL562" s="77"/>
      <c r="GM562" s="77"/>
      <c r="GN562" s="77"/>
      <c r="GO562" s="77"/>
      <c r="GP562" s="77"/>
      <c r="GQ562" s="77"/>
      <c r="GR562" s="77"/>
      <c r="GS562" s="77"/>
      <c r="GT562" s="77"/>
      <c r="GU562" s="77"/>
      <c r="GV562" s="77"/>
      <c r="GW562" s="77"/>
      <c r="GX562" s="77"/>
      <c r="GY562" s="77"/>
      <c r="GZ562" s="77"/>
      <c r="HA562" s="77"/>
      <c r="HB562" s="77"/>
      <c r="HC562" s="77"/>
      <c r="HD562" s="77"/>
      <c r="HE562" s="77"/>
      <c r="HF562" s="77"/>
      <c r="HG562" s="77"/>
      <c r="HH562" s="77"/>
      <c r="HI562" s="77"/>
      <c r="HJ562" s="77"/>
      <c r="HK562" s="77"/>
      <c r="HL562" s="77"/>
      <c r="HM562" s="77"/>
      <c r="HN562" s="77"/>
      <c r="HO562" s="77"/>
      <c r="HP562" s="77"/>
      <c r="HQ562" s="77"/>
      <c r="HR562" s="77"/>
      <c r="HS562" s="77"/>
      <c r="HT562" s="77"/>
      <c r="HU562" s="77"/>
      <c r="HV562" s="77"/>
      <c r="HW562" s="77"/>
      <c r="HX562" s="77"/>
      <c r="HY562" s="77"/>
      <c r="HZ562" s="77"/>
      <c r="IA562" s="77"/>
      <c r="IB562" s="77"/>
      <c r="IC562" s="77"/>
      <c r="ID562" s="77"/>
      <c r="IE562" s="77"/>
      <c r="IF562" s="77"/>
      <c r="IG562" s="77"/>
      <c r="IH562" s="77"/>
      <c r="II562" s="77"/>
      <c r="IJ562" s="77"/>
      <c r="IK562" s="77"/>
      <c r="IL562" s="77"/>
      <c r="IM562" s="77"/>
      <c r="IN562" s="77"/>
      <c r="IO562" s="77"/>
      <c r="IP562" s="77"/>
      <c r="IQ562" s="77"/>
      <c r="IR562" s="77"/>
      <c r="IS562" s="77"/>
      <c r="IT562" s="77"/>
      <c r="IU562" s="77"/>
      <c r="IV562" s="77"/>
      <c r="IW562" s="77"/>
      <c r="IX562" s="77"/>
      <c r="IY562" s="77"/>
      <c r="IZ562" s="77"/>
      <c r="JA562" s="77"/>
      <c r="JB562" s="77"/>
      <c r="JC562" s="77"/>
      <c r="JD562" s="77"/>
      <c r="JE562" s="77"/>
      <c r="JF562" s="77"/>
      <c r="JG562" s="77"/>
      <c r="JH562" s="77"/>
      <c r="JI562" s="77"/>
      <c r="JJ562" s="77"/>
      <c r="JK562" s="77"/>
      <c r="JL562" s="77"/>
      <c r="JM562" s="77"/>
      <c r="JN562" s="77"/>
      <c r="JO562" s="77"/>
      <c r="JP562" s="77"/>
      <c r="JQ562" s="77"/>
      <c r="JR562" s="77"/>
      <c r="JS562" s="77"/>
      <c r="JT562" s="77"/>
      <c r="JU562" s="77"/>
      <c r="JV562" s="77"/>
      <c r="JW562" s="77"/>
      <c r="JX562" s="77"/>
      <c r="JY562" s="77"/>
      <c r="JZ562" s="77"/>
      <c r="KA562" s="77"/>
      <c r="KB562" s="77"/>
      <c r="KC562" s="77"/>
      <c r="KD562" s="77"/>
      <c r="KE562" s="77"/>
      <c r="KF562" s="77"/>
      <c r="KG562" s="77"/>
      <c r="KH562" s="77"/>
      <c r="KI562" s="77"/>
      <c r="KJ562" s="77"/>
      <c r="KK562" s="77"/>
      <c r="KL562" s="77"/>
      <c r="KM562" s="77"/>
      <c r="KN562" s="77"/>
      <c r="KO562" s="77"/>
      <c r="KP562" s="77"/>
      <c r="KQ562" s="77"/>
      <c r="KR562" s="77"/>
      <c r="KS562" s="77"/>
      <c r="KT562" s="77"/>
      <c r="KU562" s="77"/>
      <c r="KV562" s="77"/>
      <c r="KW562" s="77"/>
      <c r="KX562" s="77"/>
      <c r="KY562" s="77"/>
      <c r="KZ562" s="77"/>
      <c r="LA562" s="77"/>
      <c r="LB562" s="77"/>
      <c r="LC562" s="77"/>
      <c r="LD562" s="77"/>
      <c r="LE562" s="77"/>
      <c r="LF562" s="77"/>
      <c r="LG562" s="77"/>
      <c r="LH562" s="77"/>
      <c r="LI562" s="77"/>
      <c r="LJ562" s="77"/>
      <c r="LK562" s="77"/>
      <c r="LW562" s="77"/>
      <c r="LX562" s="77"/>
    </row>
    <row r="563" spans="1:421" s="21" customFormat="1" ht="18.600000000000001" customHeight="1" x14ac:dyDescent="0.25">
      <c r="A563" s="119" t="s">
        <v>261</v>
      </c>
      <c r="B563" s="27" t="s">
        <v>4152</v>
      </c>
      <c r="C563" s="27" t="s">
        <v>4153</v>
      </c>
      <c r="D563" s="33" t="s">
        <v>3021</v>
      </c>
      <c r="E563" s="30" t="str">
        <f>HYPERLINK("http://twiplomacy.com/info/asia/Nepal","http://twiplomacy.com/info/asia/Nepal")</f>
        <v>http://twiplomacy.com/info/asia/Nepal</v>
      </c>
      <c r="F563" s="10" t="s">
        <v>154</v>
      </c>
      <c r="G563" s="10" t="s">
        <v>257</v>
      </c>
      <c r="H563" s="10" t="s">
        <v>795</v>
      </c>
      <c r="I563" s="10" t="s">
        <v>782</v>
      </c>
      <c r="J563" s="27" t="s">
        <v>789</v>
      </c>
      <c r="K563" s="15" t="s">
        <v>777</v>
      </c>
      <c r="L563" s="10" t="s">
        <v>771</v>
      </c>
      <c r="M563" s="10" t="s">
        <v>770</v>
      </c>
      <c r="N563" s="34" t="s">
        <v>1525</v>
      </c>
      <c r="O563" s="27" t="s">
        <v>5973</v>
      </c>
      <c r="P563" s="80">
        <v>117</v>
      </c>
      <c r="Q563" s="80">
        <v>55</v>
      </c>
      <c r="R563" s="27" t="s">
        <v>2995</v>
      </c>
      <c r="S563" s="86" t="s">
        <v>1526</v>
      </c>
      <c r="T563" s="14" t="s">
        <v>771</v>
      </c>
      <c r="U563" s="14">
        <v>1</v>
      </c>
      <c r="V563" s="42" t="s">
        <v>771</v>
      </c>
      <c r="W563" s="42"/>
      <c r="X563" s="27" t="s">
        <v>261</v>
      </c>
      <c r="Y563" s="27" t="s">
        <v>4152</v>
      </c>
      <c r="Z563" s="80">
        <v>435</v>
      </c>
      <c r="AA563" s="27">
        <v>267</v>
      </c>
      <c r="AB563" s="80">
        <v>6496</v>
      </c>
      <c r="AC563" s="27">
        <v>134</v>
      </c>
      <c r="AD563" s="27" t="s">
        <v>4154</v>
      </c>
      <c r="AE563" s="27">
        <v>3037333860</v>
      </c>
      <c r="AF563" s="27" t="s">
        <v>4153</v>
      </c>
      <c r="AG563" s="27" t="s">
        <v>4155</v>
      </c>
      <c r="AH563" s="79">
        <v>1.0023041474654399</v>
      </c>
      <c r="AI563" s="83">
        <v>1.0092807424593999</v>
      </c>
      <c r="AJ563" s="80">
        <v>2.97214484679666</v>
      </c>
      <c r="AK563" s="80">
        <v>2.4623955431754898</v>
      </c>
      <c r="AL563" s="27">
        <v>29</v>
      </c>
      <c r="AM563" s="97">
        <f>SUM(AL563/Z563)</f>
        <v>6.6666666666666666E-2</v>
      </c>
      <c r="AN563" s="27" t="s">
        <v>261</v>
      </c>
      <c r="AO563" s="27">
        <v>52</v>
      </c>
      <c r="AP563" s="27">
        <v>7</v>
      </c>
      <c r="AQ563" s="27">
        <v>3</v>
      </c>
      <c r="AR563" s="27">
        <f>SUM(AO563:AQ563)</f>
        <v>62</v>
      </c>
      <c r="AS563" s="27" t="s">
        <v>5621</v>
      </c>
      <c r="AT563" s="27" t="s">
        <v>5344</v>
      </c>
      <c r="AU563" s="84" t="s">
        <v>4867</v>
      </c>
      <c r="AV563" s="77"/>
      <c r="AW563" s="77"/>
      <c r="AX563" s="77"/>
      <c r="AY563" s="77"/>
      <c r="AZ563" s="77"/>
      <c r="BA563" s="77"/>
      <c r="BB563" s="77"/>
      <c r="BC563" s="77"/>
      <c r="BD563" s="77"/>
      <c r="BE563" s="77"/>
      <c r="BF563" s="77"/>
      <c r="BG563" s="77"/>
      <c r="BH563" s="77"/>
      <c r="BI563" s="77"/>
      <c r="BJ563" s="77"/>
      <c r="BK563" s="77"/>
      <c r="BL563" s="77"/>
      <c r="BM563" s="77"/>
      <c r="BN563" s="77"/>
      <c r="BO563" s="77"/>
      <c r="BP563" s="77"/>
      <c r="BQ563" s="77"/>
      <c r="BR563" s="77"/>
      <c r="BS563" s="77"/>
      <c r="BT563" s="77"/>
      <c r="BU563" s="77"/>
      <c r="BV563" s="77"/>
      <c r="BW563" s="77"/>
      <c r="BX563" s="77"/>
      <c r="BY563" s="77"/>
      <c r="BZ563" s="77"/>
      <c r="CA563" s="77"/>
      <c r="CB563" s="77"/>
      <c r="CC563" s="77"/>
      <c r="CD563" s="77"/>
      <c r="CE563" s="77"/>
      <c r="CF563" s="77"/>
      <c r="CG563" s="77"/>
      <c r="CH563" s="77"/>
      <c r="CI563" s="77"/>
      <c r="CJ563" s="77"/>
      <c r="CK563" s="77"/>
      <c r="CL563" s="77"/>
      <c r="CM563" s="77"/>
      <c r="CN563" s="77"/>
      <c r="CO563" s="77"/>
      <c r="CP563" s="77"/>
      <c r="CQ563" s="77"/>
      <c r="CR563" s="77"/>
      <c r="CS563" s="77"/>
      <c r="CT563" s="77"/>
      <c r="CU563" s="77"/>
      <c r="CV563" s="77"/>
      <c r="CW563" s="77"/>
      <c r="CX563" s="77"/>
      <c r="CY563" s="77"/>
      <c r="CZ563" s="77"/>
      <c r="DA563" s="77"/>
      <c r="DB563" s="77"/>
      <c r="DC563" s="77"/>
      <c r="DD563" s="77"/>
      <c r="DE563" s="77"/>
      <c r="DF563" s="77"/>
      <c r="DG563" s="77"/>
      <c r="DH563" s="77"/>
      <c r="DI563" s="77"/>
      <c r="DJ563" s="77"/>
      <c r="DK563" s="77"/>
      <c r="DL563" s="77"/>
      <c r="DM563" s="77"/>
      <c r="DN563" s="77"/>
      <c r="DO563" s="77"/>
      <c r="DP563" s="77"/>
      <c r="DQ563" s="77"/>
      <c r="DR563" s="77"/>
      <c r="DS563" s="77"/>
      <c r="DT563" s="77"/>
      <c r="DU563" s="77"/>
      <c r="DV563" s="77"/>
      <c r="DW563" s="77"/>
      <c r="DX563" s="77"/>
      <c r="DY563" s="77"/>
      <c r="DZ563" s="77"/>
      <c r="EA563" s="77"/>
      <c r="EB563" s="77"/>
      <c r="EC563" s="77"/>
      <c r="ED563" s="77"/>
      <c r="EE563" s="77"/>
      <c r="EF563" s="77"/>
      <c r="EG563" s="77"/>
      <c r="EH563" s="77"/>
      <c r="EI563" s="77"/>
      <c r="EJ563" s="77"/>
      <c r="EK563" s="77"/>
      <c r="EL563" s="77"/>
      <c r="EM563" s="77"/>
      <c r="EN563" s="77"/>
      <c r="EO563" s="77"/>
      <c r="EP563" s="77"/>
      <c r="EQ563" s="77"/>
      <c r="ER563" s="77"/>
      <c r="ES563" s="77"/>
      <c r="ET563" s="77"/>
      <c r="EU563" s="77"/>
      <c r="EV563" s="77"/>
      <c r="EW563" s="77"/>
      <c r="EX563" s="77"/>
      <c r="EY563" s="77"/>
      <c r="EZ563" s="77"/>
      <c r="FA563" s="77"/>
      <c r="FB563" s="77"/>
      <c r="FC563" s="77"/>
      <c r="FD563" s="77"/>
      <c r="FE563" s="77"/>
      <c r="FF563" s="77"/>
      <c r="FG563" s="77"/>
      <c r="FH563" s="77"/>
      <c r="FI563" s="77"/>
      <c r="FJ563" s="77"/>
      <c r="FK563" s="77"/>
      <c r="FL563" s="77"/>
      <c r="FM563" s="77"/>
      <c r="FN563" s="77"/>
      <c r="FO563" s="77"/>
      <c r="FP563" s="77"/>
      <c r="FQ563" s="77"/>
      <c r="FR563" s="77"/>
      <c r="FS563" s="77"/>
      <c r="FT563" s="77"/>
      <c r="FU563" s="77"/>
      <c r="FV563" s="77"/>
      <c r="FW563" s="77"/>
      <c r="FX563" s="77"/>
      <c r="FY563" s="77"/>
      <c r="FZ563" s="77"/>
      <c r="GA563" s="77"/>
      <c r="GB563" s="77"/>
      <c r="GC563" s="77"/>
      <c r="GD563" s="77"/>
      <c r="GE563" s="77"/>
      <c r="GF563" s="77"/>
      <c r="GG563" s="77"/>
      <c r="GH563" s="77"/>
      <c r="GI563" s="77"/>
      <c r="GJ563" s="77"/>
      <c r="GK563" s="77"/>
      <c r="GL563" s="77"/>
      <c r="GM563" s="77"/>
      <c r="GN563" s="77"/>
      <c r="GO563" s="77"/>
      <c r="GP563" s="77"/>
      <c r="GQ563" s="77"/>
      <c r="GR563" s="77"/>
      <c r="GS563" s="77"/>
      <c r="GT563" s="77"/>
      <c r="GU563" s="77"/>
      <c r="GV563" s="77"/>
      <c r="GW563" s="77"/>
      <c r="GX563" s="77"/>
      <c r="GY563" s="77"/>
      <c r="GZ563" s="77"/>
      <c r="HA563" s="77"/>
      <c r="HB563" s="77"/>
      <c r="HC563" s="77"/>
      <c r="HD563" s="77"/>
      <c r="HE563" s="77"/>
      <c r="HF563" s="77"/>
      <c r="HG563" s="77"/>
      <c r="HH563" s="77"/>
      <c r="HI563" s="77"/>
      <c r="HJ563" s="77"/>
      <c r="HK563" s="77"/>
      <c r="HL563" s="77"/>
      <c r="HM563" s="77"/>
      <c r="HN563" s="77"/>
      <c r="HO563" s="77"/>
      <c r="HP563" s="77"/>
      <c r="HQ563" s="77"/>
      <c r="HR563" s="77"/>
      <c r="HS563" s="77"/>
      <c r="HT563" s="77"/>
      <c r="HU563" s="77"/>
      <c r="HV563" s="77"/>
      <c r="HW563" s="77"/>
      <c r="HX563" s="77"/>
      <c r="HY563" s="77"/>
      <c r="HZ563" s="77"/>
      <c r="IA563" s="77"/>
      <c r="IB563" s="77"/>
      <c r="IC563" s="77"/>
      <c r="ID563" s="77"/>
      <c r="IE563" s="77"/>
      <c r="IF563" s="77"/>
      <c r="IG563" s="77"/>
      <c r="IH563" s="77"/>
      <c r="II563" s="77"/>
      <c r="IJ563" s="77"/>
      <c r="IK563" s="77"/>
      <c r="IL563" s="77"/>
      <c r="IM563" s="77"/>
      <c r="IN563" s="77"/>
      <c r="IO563" s="77"/>
      <c r="IP563" s="77"/>
      <c r="IQ563" s="77"/>
      <c r="IR563" s="77"/>
      <c r="IS563" s="77"/>
      <c r="IT563" s="77"/>
      <c r="IU563" s="77"/>
      <c r="IV563" s="77"/>
      <c r="IW563" s="77"/>
      <c r="IX563" s="77"/>
      <c r="IY563" s="77"/>
      <c r="IZ563" s="77"/>
      <c r="JA563" s="77"/>
      <c r="JB563" s="77"/>
      <c r="JC563" s="77"/>
      <c r="JD563" s="77"/>
      <c r="JE563" s="77"/>
      <c r="JF563" s="77"/>
      <c r="JG563" s="77"/>
      <c r="JH563" s="77"/>
      <c r="JI563" s="77"/>
      <c r="JJ563" s="77"/>
      <c r="JK563" s="77"/>
      <c r="JL563" s="77"/>
      <c r="JM563" s="77"/>
      <c r="JN563" s="77"/>
      <c r="JO563" s="77"/>
      <c r="JP563" s="77"/>
      <c r="JQ563" s="77"/>
      <c r="JR563" s="77"/>
      <c r="JS563" s="77"/>
      <c r="JT563" s="77"/>
      <c r="JU563" s="77"/>
      <c r="JV563" s="77"/>
      <c r="JW563" s="77"/>
      <c r="JX563" s="77"/>
      <c r="JY563" s="77"/>
      <c r="JZ563" s="77"/>
      <c r="KA563" s="77"/>
      <c r="KB563" s="77"/>
      <c r="KC563" s="77"/>
      <c r="KD563" s="77"/>
      <c r="KE563" s="77"/>
      <c r="KF563" s="77"/>
      <c r="KG563" s="77"/>
      <c r="KH563" s="77"/>
      <c r="KI563" s="77"/>
      <c r="KJ563" s="77"/>
      <c r="KK563" s="77"/>
      <c r="KL563" s="77"/>
      <c r="KM563" s="77"/>
      <c r="KN563" s="77"/>
      <c r="KO563" s="77"/>
      <c r="KP563" s="77"/>
      <c r="KQ563" s="77"/>
      <c r="KR563" s="77"/>
      <c r="KS563" s="77"/>
      <c r="KT563" s="77"/>
      <c r="KU563" s="77"/>
      <c r="KV563" s="77"/>
      <c r="KW563" s="77"/>
      <c r="KX563" s="77"/>
      <c r="KY563" s="77"/>
      <c r="KZ563" s="77"/>
      <c r="LA563" s="77"/>
      <c r="LB563" s="77"/>
      <c r="LC563" s="77"/>
      <c r="LD563" s="77"/>
      <c r="LE563" s="77"/>
      <c r="LF563" s="77"/>
      <c r="LG563" s="77"/>
      <c r="LH563" s="77"/>
      <c r="LI563" s="77"/>
      <c r="LJ563" s="77"/>
      <c r="LK563" s="77"/>
      <c r="LL563" s="77"/>
      <c r="LM563" s="77"/>
      <c r="LN563" s="77"/>
      <c r="LO563" s="77"/>
      <c r="LP563" s="77"/>
      <c r="LQ563" s="77"/>
      <c r="LR563" s="77"/>
      <c r="LS563" s="77"/>
      <c r="LT563" s="77"/>
      <c r="LU563" s="77"/>
      <c r="LV563" s="77"/>
      <c r="LW563" s="77"/>
      <c r="LX563" s="77"/>
    </row>
    <row r="564" spans="1:421" s="21" customFormat="1" ht="18.600000000000001" customHeight="1" x14ac:dyDescent="0.25">
      <c r="A564" s="119" t="s">
        <v>1091</v>
      </c>
      <c r="B564" s="27" t="s">
        <v>1092</v>
      </c>
      <c r="C564" s="27"/>
      <c r="D564" s="30" t="str">
        <f>HYPERLINK("https://twitter.com/somaligov_","https://twitter.com/somaligov_")</f>
        <v>https://twitter.com/somaligov_</v>
      </c>
      <c r="E564" s="30" t="str">
        <f>HYPERLINK("http://twiplomacy.com/info/africa/Somalia","http://twiplomacy.com/info/africa/Somalia")</f>
        <v>http://twiplomacy.com/info/africa/Somalia</v>
      </c>
      <c r="F564" s="10" t="s">
        <v>1</v>
      </c>
      <c r="G564" s="10" t="s">
        <v>113</v>
      </c>
      <c r="H564" s="10" t="s">
        <v>788</v>
      </c>
      <c r="I564" s="10" t="s">
        <v>782</v>
      </c>
      <c r="J564" s="27" t="s">
        <v>789</v>
      </c>
      <c r="K564" s="10" t="s">
        <v>4609</v>
      </c>
      <c r="L564" s="10" t="s">
        <v>771</v>
      </c>
      <c r="M564" s="10" t="s">
        <v>770</v>
      </c>
      <c r="N564" s="30" t="str">
        <f>HYPERLINK("https://twitter.com/somaligov_/statuses/269192675935260672","https://twitter.com/somaligov_/statuses/269192675935260672")</f>
        <v>https://twitter.com/somaligov_/statuses/269192675935260672</v>
      </c>
      <c r="O564" s="27" t="s">
        <v>6095</v>
      </c>
      <c r="P564" s="80">
        <v>8</v>
      </c>
      <c r="Q564" s="80">
        <v>0</v>
      </c>
      <c r="R564" s="27" t="s">
        <v>2995</v>
      </c>
      <c r="S564" s="30" t="str">
        <f>HYPERLINK("https://twitter.com/somaligov_/lists","https://twitter.com/somaligov_/lists")</f>
        <v>https://twitter.com/somaligov_/lists</v>
      </c>
      <c r="T564" s="10" t="s">
        <v>771</v>
      </c>
      <c r="U564" s="10">
        <v>1</v>
      </c>
      <c r="V564" s="10" t="s">
        <v>771</v>
      </c>
      <c r="W564" s="10"/>
      <c r="X564" s="27" t="s">
        <v>1091</v>
      </c>
      <c r="Y564" s="27" t="s">
        <v>1092</v>
      </c>
      <c r="Z564" s="80">
        <v>434</v>
      </c>
      <c r="AA564" s="27">
        <v>223</v>
      </c>
      <c r="AB564" s="80">
        <v>566</v>
      </c>
      <c r="AC564" s="27">
        <v>2</v>
      </c>
      <c r="AD564" s="27" t="s">
        <v>4479</v>
      </c>
      <c r="AE564" s="27">
        <v>950484104</v>
      </c>
      <c r="AF564" s="27"/>
      <c r="AG564" s="27" t="s">
        <v>1093</v>
      </c>
      <c r="AH564" s="79">
        <v>0.343626286619161</v>
      </c>
      <c r="AI564" s="83">
        <v>0.52237001209189804</v>
      </c>
      <c r="AJ564" s="80">
        <v>0.77300613496932502</v>
      </c>
      <c r="AK564" s="80">
        <v>8.2822085889570504E-2</v>
      </c>
      <c r="AL564" s="27">
        <v>203</v>
      </c>
      <c r="AM564" s="97">
        <f>SUM(AL564/Z564)</f>
        <v>0.46774193548387094</v>
      </c>
      <c r="AN564" s="27" t="s">
        <v>1091</v>
      </c>
      <c r="AO564" s="27">
        <v>14</v>
      </c>
      <c r="AP564" s="27">
        <v>2</v>
      </c>
      <c r="AQ564" s="27">
        <v>1</v>
      </c>
      <c r="AR564" s="27">
        <f>SUM(AO564:AQ564)</f>
        <v>17</v>
      </c>
      <c r="AS564" s="27" t="s">
        <v>5496</v>
      </c>
      <c r="AT564" s="27" t="s">
        <v>5055</v>
      </c>
      <c r="AU564" s="84" t="s">
        <v>886</v>
      </c>
      <c r="AV564" s="77"/>
      <c r="AW564" s="77"/>
      <c r="AX564" s="77"/>
      <c r="AY564" s="77"/>
      <c r="AZ564" s="77"/>
      <c r="BA564" s="77"/>
      <c r="BB564" s="77"/>
      <c r="BC564" s="77"/>
      <c r="BD564" s="77"/>
      <c r="BE564" s="77"/>
      <c r="BF564" s="77"/>
      <c r="BG564" s="77"/>
      <c r="BH564" s="77"/>
      <c r="BI564" s="77"/>
      <c r="BJ564" s="77"/>
      <c r="BK564" s="77"/>
      <c r="BL564" s="77"/>
      <c r="BM564" s="77"/>
      <c r="BN564" s="77"/>
      <c r="BO564" s="77"/>
      <c r="BP564" s="77"/>
      <c r="BQ564" s="77"/>
      <c r="BR564" s="77"/>
      <c r="BS564" s="77"/>
      <c r="BT564" s="77"/>
      <c r="BU564" s="77"/>
      <c r="BV564" s="77"/>
      <c r="BW564" s="77"/>
      <c r="BX564" s="77"/>
      <c r="BY564" s="77"/>
      <c r="BZ564" s="77"/>
      <c r="CA564" s="77"/>
      <c r="CB564" s="77"/>
      <c r="CC564" s="77"/>
      <c r="CD564" s="77"/>
      <c r="CE564" s="77"/>
      <c r="CF564" s="77"/>
      <c r="CG564" s="77"/>
      <c r="CH564" s="77"/>
      <c r="CI564" s="77"/>
      <c r="CJ564" s="77"/>
      <c r="CK564" s="77"/>
      <c r="CL564" s="77"/>
      <c r="CM564" s="77"/>
      <c r="CN564" s="77"/>
      <c r="CO564" s="77"/>
      <c r="CP564" s="77"/>
      <c r="CQ564" s="77"/>
      <c r="CR564" s="77"/>
      <c r="CS564" s="77"/>
      <c r="CT564" s="77"/>
      <c r="CU564" s="77"/>
      <c r="CV564" s="77"/>
      <c r="CW564" s="77"/>
      <c r="EP564" s="77"/>
      <c r="EQ564" s="77"/>
      <c r="ER564" s="16"/>
      <c r="ES564" s="16"/>
      <c r="ET564" s="16"/>
      <c r="EU564" s="16"/>
      <c r="EV564" s="16"/>
      <c r="EW564" s="16"/>
      <c r="EX564" s="16"/>
      <c r="EY564" s="16"/>
      <c r="EZ564" s="16"/>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16"/>
      <c r="GH564" s="16"/>
      <c r="GI564" s="16"/>
      <c r="GJ564" s="16"/>
      <c r="GK564" s="16"/>
      <c r="GL564" s="77"/>
      <c r="GM564" s="77"/>
      <c r="GN564" s="77"/>
      <c r="GO564" s="77"/>
      <c r="GP564" s="77"/>
      <c r="GQ564" s="77"/>
      <c r="GR564" s="77"/>
      <c r="GS564" s="77"/>
      <c r="GT564" s="77"/>
      <c r="GU564" s="77"/>
      <c r="GV564" s="77"/>
      <c r="GW564" s="77"/>
      <c r="GX564" s="77"/>
      <c r="GY564" s="77"/>
      <c r="GZ564" s="77"/>
      <c r="HA564" s="77"/>
      <c r="HB564" s="77"/>
      <c r="HC564" s="77"/>
      <c r="HD564" s="77"/>
      <c r="HE564" s="77"/>
      <c r="HF564" s="77"/>
      <c r="HG564" s="77"/>
      <c r="HH564" s="77"/>
      <c r="HI564" s="77"/>
      <c r="HJ564" s="77"/>
      <c r="HK564" s="77"/>
      <c r="HL564" s="77"/>
      <c r="HM564" s="77"/>
      <c r="HN564" s="77"/>
      <c r="HO564" s="77"/>
      <c r="HP564" s="77"/>
      <c r="HQ564" s="77"/>
      <c r="HR564" s="77"/>
      <c r="HS564" s="77"/>
      <c r="HT564" s="77"/>
      <c r="HU564" s="77"/>
      <c r="HV564" s="77"/>
      <c r="HW564" s="77"/>
      <c r="HX564" s="77"/>
      <c r="HY564" s="77"/>
      <c r="HZ564" s="77"/>
      <c r="IA564" s="77"/>
      <c r="IB564" s="77"/>
      <c r="IC564" s="77"/>
      <c r="ID564" s="77"/>
      <c r="IE564" s="77"/>
      <c r="IF564" s="77"/>
      <c r="IG564" s="77"/>
      <c r="IH564" s="77"/>
      <c r="II564" s="77"/>
      <c r="IJ564" s="77"/>
      <c r="IK564" s="77"/>
      <c r="IL564" s="77"/>
      <c r="IM564" s="77"/>
      <c r="IN564" s="77"/>
      <c r="IO564" s="77"/>
      <c r="IP564" s="77"/>
      <c r="IQ564" s="77"/>
      <c r="IR564" s="77"/>
      <c r="IS564" s="77"/>
      <c r="IT564" s="77"/>
      <c r="IU564" s="77"/>
      <c r="IV564" s="77"/>
      <c r="IW564" s="77"/>
      <c r="IX564" s="77"/>
      <c r="IY564" s="77"/>
      <c r="IZ564" s="77"/>
      <c r="JA564" s="77"/>
      <c r="JB564" s="77"/>
      <c r="JC564" s="77"/>
      <c r="JD564" s="77"/>
      <c r="JE564" s="77"/>
      <c r="JF564" s="77"/>
      <c r="JG564" s="77"/>
      <c r="JH564" s="77"/>
      <c r="JI564" s="77"/>
      <c r="JJ564" s="77"/>
      <c r="JK564" s="77"/>
      <c r="JL564" s="77"/>
      <c r="JM564" s="77"/>
      <c r="JN564" s="77"/>
      <c r="JO564" s="77"/>
      <c r="JP564" s="77"/>
      <c r="JQ564" s="77"/>
      <c r="JR564" s="77"/>
      <c r="JS564" s="77"/>
      <c r="JT564" s="77"/>
      <c r="JU564" s="77"/>
      <c r="JV564" s="77"/>
      <c r="JW564" s="77"/>
      <c r="JX564" s="77"/>
      <c r="JY564" s="77"/>
      <c r="JZ564" s="77"/>
      <c r="KA564" s="77"/>
      <c r="KB564" s="77"/>
      <c r="KC564" s="77"/>
      <c r="KD564" s="77"/>
      <c r="KE564" s="77"/>
      <c r="KF564" s="77"/>
      <c r="KG564" s="77"/>
      <c r="KH564" s="77"/>
      <c r="KI564" s="77"/>
      <c r="KJ564" s="77"/>
      <c r="KK564" s="77"/>
      <c r="KL564" s="77"/>
      <c r="LL564" s="77"/>
      <c r="LM564" s="77"/>
      <c r="LN564" s="77"/>
      <c r="LO564" s="77"/>
      <c r="LP564" s="77"/>
      <c r="LQ564" s="77"/>
      <c r="LR564" s="77"/>
      <c r="LS564" s="77"/>
      <c r="LT564" s="77"/>
      <c r="LU564" s="77"/>
      <c r="LV564" s="77"/>
      <c r="LW564" s="77"/>
      <c r="LX564" s="77"/>
      <c r="LY564" s="77"/>
      <c r="LZ564" s="77"/>
      <c r="MA564" s="77"/>
      <c r="MB564" s="77"/>
      <c r="MC564" s="77"/>
      <c r="MD564" s="77"/>
      <c r="ME564" s="77"/>
      <c r="MF564" s="77"/>
      <c r="MG564" s="77"/>
      <c r="MH564" s="77"/>
      <c r="MI564" s="77"/>
      <c r="MJ564" s="77"/>
      <c r="MK564" s="77"/>
      <c r="ML564" s="77"/>
      <c r="MM564" s="77"/>
      <c r="MN564" s="77"/>
      <c r="MO564" s="77"/>
      <c r="MP564" s="77"/>
      <c r="MQ564" s="77"/>
      <c r="MR564" s="77"/>
      <c r="MS564" s="77"/>
    </row>
    <row r="565" spans="1:421" s="21" customFormat="1" ht="18.600000000000001" customHeight="1" x14ac:dyDescent="0.25">
      <c r="A565" s="119" t="s">
        <v>157</v>
      </c>
      <c r="B565" s="27" t="s">
        <v>1191</v>
      </c>
      <c r="C565" s="27" t="s">
        <v>1192</v>
      </c>
      <c r="D565" s="30" t="str">
        <f>HYPERLINK("https://twitter.com/SalahRabbani","https://twitter.com/SalahRabbani")</f>
        <v>https://twitter.com/SalahRabbani</v>
      </c>
      <c r="E565" s="30" t="str">
        <f>HYPERLINK("http://twiplomacy.com/info/asia/Afghanistan","http://twiplomacy.com/info/asia/Afghanistan")</f>
        <v>http://twiplomacy.com/info/asia/Afghanistan</v>
      </c>
      <c r="F565" s="10" t="s">
        <v>154</v>
      </c>
      <c r="G565" s="10" t="s">
        <v>153</v>
      </c>
      <c r="H565" s="10" t="s">
        <v>860</v>
      </c>
      <c r="I565" s="10" t="s">
        <v>773</v>
      </c>
      <c r="J565" s="27" t="s">
        <v>789</v>
      </c>
      <c r="K565" s="10" t="s">
        <v>777</v>
      </c>
      <c r="L565" s="10" t="s">
        <v>1114</v>
      </c>
      <c r="M565" s="10" t="s">
        <v>770</v>
      </c>
      <c r="N565" s="30" t="str">
        <f>HYPERLINK("https://twitter.com/SalahRabbani/status/119822082078027777","https://twitter.com/SalahRabbani/status/119822082078027777")</f>
        <v>https://twitter.com/SalahRabbani/status/119822082078027777</v>
      </c>
      <c r="O565" s="27" t="s">
        <v>6081</v>
      </c>
      <c r="P565" s="80">
        <v>25</v>
      </c>
      <c r="Q565" s="80">
        <v>20</v>
      </c>
      <c r="R565" s="27" t="s">
        <v>2995</v>
      </c>
      <c r="S565" s="30" t="str">
        <f>HYPERLINK("https://twitter.com/SalahRabbani/lists","https://twitter.com/SalahRabbani/lists")</f>
        <v>https://twitter.com/SalahRabbani/lists</v>
      </c>
      <c r="T565" s="10" t="s">
        <v>771</v>
      </c>
      <c r="U565" s="10" t="s">
        <v>771</v>
      </c>
      <c r="V565" s="10" t="s">
        <v>771</v>
      </c>
      <c r="W565" s="10"/>
      <c r="X565" s="27" t="s">
        <v>157</v>
      </c>
      <c r="Y565" s="27" t="s">
        <v>1191</v>
      </c>
      <c r="Z565" s="80">
        <v>425</v>
      </c>
      <c r="AA565" s="27">
        <v>23</v>
      </c>
      <c r="AB565" s="80">
        <v>15843</v>
      </c>
      <c r="AC565" s="27">
        <v>0</v>
      </c>
      <c r="AD565" s="27" t="s">
        <v>4452</v>
      </c>
      <c r="AE565" s="27">
        <v>311026080</v>
      </c>
      <c r="AF565" s="27" t="s">
        <v>1192</v>
      </c>
      <c r="AG565" s="27" t="s">
        <v>153</v>
      </c>
      <c r="AH565" s="79">
        <v>0.23703290574456201</v>
      </c>
      <c r="AI565" s="83">
        <v>0.25388291517323802</v>
      </c>
      <c r="AJ565" s="80">
        <v>0.96235294117647097</v>
      </c>
      <c r="AK565" s="80">
        <v>5.6517647058823499</v>
      </c>
      <c r="AL565" s="27">
        <v>1</v>
      </c>
      <c r="AM565" s="97">
        <f>SUM(AL565/Z565)</f>
        <v>2.352941176470588E-3</v>
      </c>
      <c r="AN565" s="27" t="s">
        <v>157</v>
      </c>
      <c r="AO565" s="27">
        <v>5</v>
      </c>
      <c r="AP565" s="27">
        <v>8</v>
      </c>
      <c r="AQ565" s="27">
        <v>0</v>
      </c>
      <c r="AR565" s="27">
        <f>SUM(AO565:AQ565)</f>
        <v>13</v>
      </c>
      <c r="AS565" s="27" t="s">
        <v>5482</v>
      </c>
      <c r="AT565" s="27" t="s">
        <v>5483</v>
      </c>
      <c r="AU565" s="84"/>
      <c r="AV565" s="77"/>
      <c r="AW565" s="77"/>
      <c r="AX565" s="77"/>
      <c r="AY565" s="77"/>
      <c r="AZ565" s="77"/>
      <c r="BA565" s="77"/>
      <c r="BB565" s="77"/>
      <c r="BC565" s="77"/>
      <c r="BD565" s="77"/>
      <c r="BE565" s="77"/>
      <c r="BF565" s="77"/>
      <c r="BG565" s="77"/>
      <c r="BH565" s="77"/>
      <c r="BI565" s="77"/>
      <c r="BJ565" s="77"/>
      <c r="BK565" s="77"/>
      <c r="BL565" s="77"/>
      <c r="BM565" s="77"/>
      <c r="BN565" s="77"/>
      <c r="BO565" s="77"/>
      <c r="BP565" s="77"/>
      <c r="BQ565" s="77"/>
      <c r="BR565" s="77"/>
      <c r="BS565" s="77"/>
      <c r="BT565" s="77"/>
      <c r="BU565" s="77"/>
      <c r="BV565" s="77"/>
      <c r="BW565" s="77"/>
      <c r="BX565" s="77"/>
      <c r="BY565" s="77"/>
      <c r="BZ565" s="77"/>
      <c r="CA565" s="77"/>
      <c r="CB565" s="77"/>
      <c r="CC565" s="77"/>
      <c r="CD565" s="77"/>
      <c r="CE565" s="77"/>
      <c r="CF565" s="77"/>
      <c r="CG565" s="77"/>
      <c r="CH565" s="77"/>
      <c r="CI565" s="77"/>
      <c r="CJ565" s="77"/>
      <c r="CK565" s="77"/>
      <c r="CL565" s="77"/>
      <c r="CM565" s="77"/>
      <c r="CN565" s="77"/>
      <c r="CO565" s="77"/>
      <c r="CP565" s="77"/>
      <c r="CQ565" s="77"/>
      <c r="CR565" s="77"/>
      <c r="CS565" s="77"/>
      <c r="CT565" s="77"/>
      <c r="CU565" s="77"/>
      <c r="CV565" s="77"/>
      <c r="CW565" s="77"/>
      <c r="CX565" s="77"/>
      <c r="CY565" s="77"/>
      <c r="CZ565" s="77"/>
      <c r="DA565" s="77"/>
      <c r="DB565" s="77"/>
      <c r="DC565" s="77"/>
      <c r="DD565" s="77"/>
      <c r="DE565" s="77"/>
      <c r="DF565" s="77"/>
      <c r="DG565" s="77"/>
      <c r="DH565" s="77"/>
      <c r="DI565" s="77"/>
      <c r="DJ565" s="77"/>
      <c r="DK565" s="77"/>
      <c r="DL565" s="77"/>
      <c r="DM565" s="77"/>
      <c r="DN565" s="77"/>
      <c r="DO565" s="77"/>
      <c r="DP565" s="77"/>
      <c r="DQ565" s="77"/>
      <c r="DR565" s="77"/>
      <c r="DS565" s="77"/>
      <c r="DT565" s="77"/>
      <c r="DU565" s="77"/>
      <c r="DV565" s="77"/>
      <c r="DW565" s="77"/>
      <c r="DX565" s="77"/>
      <c r="DY565" s="77"/>
      <c r="DZ565" s="77"/>
      <c r="EA565" s="77"/>
      <c r="EB565" s="77"/>
      <c r="EC565" s="77"/>
      <c r="ED565" s="77"/>
      <c r="EE565" s="77"/>
      <c r="EF565" s="77"/>
      <c r="EG565" s="77"/>
      <c r="EH565" s="77"/>
      <c r="EI565" s="77"/>
      <c r="EJ565" s="77"/>
      <c r="EK565" s="77"/>
      <c r="EL565" s="77"/>
      <c r="EM565" s="77"/>
      <c r="EN565" s="77"/>
      <c r="EO565" s="77"/>
      <c r="EP565" s="77"/>
      <c r="EQ565" s="77"/>
      <c r="ER565" s="77"/>
      <c r="ES565" s="77"/>
      <c r="ET565" s="77"/>
      <c r="EU565" s="77"/>
      <c r="EV565" s="77"/>
      <c r="EW565" s="77"/>
      <c r="EX565" s="77"/>
      <c r="EY565" s="77"/>
      <c r="EZ565" s="77"/>
      <c r="FA565" s="77"/>
      <c r="FB565" s="77"/>
      <c r="FC565" s="77"/>
      <c r="FD565" s="77"/>
      <c r="FE565" s="77"/>
      <c r="FF565" s="77"/>
      <c r="FG565" s="77"/>
      <c r="FH565" s="77"/>
      <c r="FI565" s="77"/>
      <c r="FJ565" s="77"/>
      <c r="FK565" s="77"/>
      <c r="FL565" s="77"/>
      <c r="FM565" s="77"/>
      <c r="FN565" s="77"/>
      <c r="FO565" s="77"/>
      <c r="FP565" s="77"/>
      <c r="FQ565" s="77"/>
      <c r="FR565" s="77"/>
      <c r="FS565" s="77"/>
      <c r="FT565" s="77"/>
      <c r="FU565" s="77"/>
      <c r="FV565" s="77"/>
      <c r="FW565" s="77"/>
      <c r="FX565" s="77"/>
      <c r="FY565" s="77"/>
      <c r="FZ565" s="77"/>
      <c r="GA565" s="77"/>
      <c r="GB565" s="77"/>
      <c r="GC565" s="77"/>
      <c r="GD565" s="77"/>
      <c r="GE565" s="77"/>
      <c r="GF565" s="77"/>
      <c r="GG565" s="77"/>
      <c r="GH565" s="77"/>
      <c r="GI565" s="77"/>
      <c r="GJ565" s="77"/>
      <c r="GK565" s="77"/>
      <c r="HL565" s="77"/>
      <c r="HM565" s="77"/>
      <c r="HN565" s="77"/>
      <c r="HO565" s="77"/>
      <c r="HP565" s="77"/>
      <c r="HQ565" s="77"/>
      <c r="HR565" s="77"/>
      <c r="HS565" s="77"/>
      <c r="HT565" s="77"/>
      <c r="HU565" s="77"/>
      <c r="HV565" s="77"/>
      <c r="HW565" s="77"/>
      <c r="HX565" s="77"/>
      <c r="HY565" s="77"/>
      <c r="HZ565" s="77"/>
      <c r="IA565" s="77"/>
      <c r="IB565" s="77"/>
      <c r="IC565" s="77"/>
      <c r="JY565" s="77"/>
      <c r="JZ565" s="77"/>
      <c r="KA565" s="77"/>
      <c r="KB565" s="77"/>
      <c r="KC565" s="77"/>
      <c r="KD565" s="77"/>
      <c r="KE565" s="77"/>
      <c r="KF565" s="77"/>
      <c r="KG565" s="77"/>
      <c r="KH565" s="77"/>
      <c r="KI565" s="77"/>
      <c r="KJ565" s="77"/>
      <c r="KK565" s="77"/>
      <c r="KL565" s="77"/>
      <c r="LL565" s="77"/>
      <c r="LM565" s="77"/>
      <c r="LN565" s="77"/>
      <c r="LO565" s="77"/>
      <c r="LP565" s="77"/>
      <c r="LQ565" s="77"/>
      <c r="LR565" s="77"/>
      <c r="LS565" s="77"/>
      <c r="LT565" s="77"/>
      <c r="LU565" s="77"/>
      <c r="LV565" s="77"/>
      <c r="LW565" s="77"/>
      <c r="LX565" s="77"/>
      <c r="LY565" s="77"/>
      <c r="LZ565" s="77"/>
      <c r="MA565" s="77"/>
      <c r="MB565" s="77"/>
      <c r="MC565" s="77"/>
      <c r="MD565" s="77"/>
      <c r="ME565" s="77"/>
      <c r="MF565" s="77"/>
      <c r="MG565" s="77"/>
      <c r="MH565" s="77"/>
      <c r="MI565" s="77"/>
      <c r="MJ565" s="77"/>
      <c r="MK565" s="77"/>
      <c r="ML565" s="77"/>
      <c r="MM565" s="77"/>
      <c r="MN565" s="77"/>
      <c r="MO565" s="77"/>
      <c r="MP565" s="77"/>
      <c r="MQ565" s="77"/>
      <c r="MR565" s="77"/>
    </row>
    <row r="566" spans="1:421" s="21" customFormat="1" ht="18.600000000000001" customHeight="1" x14ac:dyDescent="0.25">
      <c r="A566" s="119" t="s">
        <v>15</v>
      </c>
      <c r="B566" s="27" t="s">
        <v>803</v>
      </c>
      <c r="C566" s="27" t="s">
        <v>804</v>
      </c>
      <c r="D566" s="72" t="str">
        <f>HYPERLINK("https://twitter.com/BurundiGov","https://twitter.com/BurundiGov")</f>
        <v>https://twitter.com/BurundiGov</v>
      </c>
      <c r="E566" s="72" t="str">
        <f>HYPERLINK("http://twiplomacy.com/info/africa/Burundi","http://twiplomacy.com/info/africa/Burundi")</f>
        <v>http://twiplomacy.com/info/africa/Burundi</v>
      </c>
      <c r="F566" s="10" t="s">
        <v>1</v>
      </c>
      <c r="G566" s="10" t="s">
        <v>13</v>
      </c>
      <c r="H566" s="10" t="s">
        <v>788</v>
      </c>
      <c r="I566" s="10" t="s">
        <v>782</v>
      </c>
      <c r="J566" s="27" t="s">
        <v>779</v>
      </c>
      <c r="K566" s="15" t="s">
        <v>777</v>
      </c>
      <c r="L566" s="10" t="s">
        <v>771</v>
      </c>
      <c r="M566" s="10" t="s">
        <v>771</v>
      </c>
      <c r="N566" s="30" t="str">
        <f>HYPERLINK("https://twitter.com/BurundiGov/statuses/21144762689","https://twitter.com/BurundiGov/statuses/21144762689")</f>
        <v>https://twitter.com/BurundiGov/statuses/21144762689</v>
      </c>
      <c r="O566" s="27" t="s">
        <v>5720</v>
      </c>
      <c r="P566" s="80">
        <v>62</v>
      </c>
      <c r="Q566" s="80">
        <v>17</v>
      </c>
      <c r="R566" s="27" t="s">
        <v>2994</v>
      </c>
      <c r="S566" s="10" t="s">
        <v>805</v>
      </c>
      <c r="T566" s="10" t="s">
        <v>771</v>
      </c>
      <c r="U566" s="10" t="s">
        <v>771</v>
      </c>
      <c r="V566" s="10" t="s">
        <v>771</v>
      </c>
      <c r="W566" s="10"/>
      <c r="X566" s="27" t="s">
        <v>15</v>
      </c>
      <c r="Y566" s="27" t="s">
        <v>803</v>
      </c>
      <c r="Z566" s="80">
        <v>410</v>
      </c>
      <c r="AA566" s="27">
        <v>15</v>
      </c>
      <c r="AB566" s="80">
        <v>6062</v>
      </c>
      <c r="AC566" s="27">
        <v>4</v>
      </c>
      <c r="AD566" s="27" t="s">
        <v>3532</v>
      </c>
      <c r="AE566" s="27">
        <v>178298916</v>
      </c>
      <c r="AF566" s="27" t="s">
        <v>804</v>
      </c>
      <c r="AG566" s="27" t="s">
        <v>13</v>
      </c>
      <c r="AH566" s="79">
        <v>0.196360153256705</v>
      </c>
      <c r="AI566" s="83">
        <v>0.197971994205698</v>
      </c>
      <c r="AJ566" s="80">
        <v>2.9299719887955198</v>
      </c>
      <c r="AK566" s="80">
        <v>0.71428571428571397</v>
      </c>
      <c r="AL566" s="13">
        <v>0</v>
      </c>
      <c r="AM566" s="97">
        <f>SUM(AL566/Z566)</f>
        <v>0</v>
      </c>
      <c r="AN566" s="27" t="s">
        <v>15</v>
      </c>
      <c r="AO566" s="27">
        <v>0</v>
      </c>
      <c r="AP566" s="27">
        <v>6</v>
      </c>
      <c r="AQ566" s="27">
        <v>3</v>
      </c>
      <c r="AR566" s="27">
        <f>SUM(AO566:AQ566)</f>
        <v>9</v>
      </c>
      <c r="AS566" s="27"/>
      <c r="AT566" s="27" t="s">
        <v>6277</v>
      </c>
      <c r="AU566" s="84" t="s">
        <v>4667</v>
      </c>
      <c r="AV566" s="77"/>
      <c r="AW566" s="77"/>
      <c r="AX566" s="77"/>
      <c r="AY566" s="77"/>
      <c r="AZ566" s="77"/>
      <c r="BA566" s="77"/>
      <c r="BB566" s="77"/>
      <c r="BC566" s="77"/>
      <c r="BD566" s="77"/>
      <c r="BE566" s="77"/>
      <c r="BF566" s="77"/>
      <c r="BG566" s="77"/>
      <c r="BH566" s="77"/>
      <c r="BI566" s="77"/>
      <c r="BJ566" s="77"/>
      <c r="BK566" s="77"/>
      <c r="BL566" s="77"/>
      <c r="BM566" s="77"/>
      <c r="BN566" s="77"/>
      <c r="BO566" s="77"/>
      <c r="BP566" s="77"/>
      <c r="BQ566" s="16"/>
      <c r="BR566" s="16"/>
      <c r="BS566" s="16"/>
      <c r="BT566" s="16"/>
      <c r="BU566" s="16"/>
      <c r="BV566" s="16"/>
      <c r="BW566" s="16"/>
      <c r="BX566" s="16"/>
      <c r="BY566" s="16"/>
      <c r="BZ566" s="16"/>
      <c r="CA566" s="16"/>
      <c r="CB566" s="16"/>
      <c r="CC566" s="77"/>
      <c r="CD566" s="77"/>
      <c r="CE566" s="77"/>
      <c r="CF566" s="77"/>
      <c r="CG566" s="77"/>
      <c r="CH566" s="77"/>
      <c r="CI566" s="77"/>
      <c r="CJ566" s="77"/>
      <c r="CK566" s="77"/>
      <c r="CL566" s="77"/>
      <c r="CM566" s="77"/>
      <c r="CN566" s="77"/>
      <c r="CO566" s="77"/>
      <c r="CP566" s="77"/>
      <c r="CQ566" s="77"/>
      <c r="CR566" s="77"/>
      <c r="CS566" s="77"/>
      <c r="CT566" s="77"/>
      <c r="CU566" s="77"/>
      <c r="CV566" s="77"/>
      <c r="CW566" s="77"/>
      <c r="CX566" s="77"/>
      <c r="CY566" s="77"/>
      <c r="CZ566" s="77"/>
      <c r="DA566" s="77"/>
      <c r="DB566" s="77"/>
      <c r="DC566" s="77"/>
      <c r="DD566" s="77"/>
      <c r="DE566" s="77"/>
      <c r="DF566" s="77"/>
      <c r="DG566" s="77"/>
      <c r="DH566" s="77"/>
      <c r="DI566" s="77"/>
      <c r="DJ566" s="77"/>
      <c r="DK566" s="77"/>
      <c r="DL566" s="77"/>
      <c r="DM566" s="77"/>
      <c r="DN566" s="77"/>
      <c r="DO566" s="77"/>
      <c r="DP566" s="77"/>
      <c r="DQ566" s="77"/>
      <c r="DR566" s="77"/>
      <c r="DS566" s="77"/>
      <c r="DT566" s="77"/>
      <c r="DU566" s="77"/>
      <c r="DV566" s="77"/>
      <c r="DW566" s="77"/>
      <c r="DX566" s="77"/>
      <c r="DY566" s="77"/>
      <c r="DZ566" s="77"/>
      <c r="EA566" s="77"/>
      <c r="EB566" s="77"/>
      <c r="EC566" s="77"/>
      <c r="ED566" s="77"/>
      <c r="EE566" s="77"/>
      <c r="EF566" s="77"/>
      <c r="EG566" s="77"/>
      <c r="EH566" s="77"/>
      <c r="EI566" s="77"/>
      <c r="EJ566" s="77"/>
      <c r="EK566" s="77"/>
      <c r="EL566" s="77"/>
      <c r="EM566" s="77"/>
      <c r="EN566" s="77"/>
      <c r="EO566" s="77"/>
      <c r="EP566" s="77"/>
      <c r="EQ566" s="77"/>
      <c r="ER566" s="77"/>
      <c r="ES566" s="77"/>
      <c r="ET566" s="77"/>
      <c r="EU566" s="77"/>
      <c r="EV566" s="77"/>
      <c r="EW566" s="77"/>
      <c r="EX566" s="77"/>
      <c r="EY566" s="77"/>
      <c r="EZ566" s="77"/>
      <c r="FA566" s="77"/>
      <c r="FB566" s="77"/>
      <c r="FC566" s="77"/>
      <c r="FD566" s="77"/>
      <c r="FE566" s="77"/>
      <c r="FF566" s="77"/>
      <c r="FG566" s="77"/>
      <c r="FH566" s="77"/>
      <c r="FI566" s="77"/>
      <c r="FJ566" s="77"/>
      <c r="FK566" s="77"/>
      <c r="FL566" s="77"/>
      <c r="FM566" s="77"/>
      <c r="FN566" s="77"/>
      <c r="FO566" s="77"/>
      <c r="FP566" s="77"/>
      <c r="FQ566" s="77"/>
      <c r="FR566" s="77"/>
      <c r="FS566" s="77"/>
      <c r="FT566" s="77"/>
      <c r="FU566" s="77"/>
      <c r="FV566" s="77"/>
      <c r="FW566" s="77"/>
      <c r="FX566" s="77"/>
      <c r="FY566" s="77"/>
      <c r="FZ566" s="77"/>
      <c r="GA566" s="77"/>
      <c r="GB566" s="77"/>
      <c r="GC566" s="77"/>
      <c r="GD566" s="77"/>
      <c r="GE566" s="77"/>
      <c r="GF566" s="77"/>
      <c r="GG566" s="77"/>
      <c r="GH566" s="77"/>
      <c r="GI566" s="77"/>
      <c r="GJ566" s="77"/>
      <c r="GK566" s="77"/>
      <c r="GL566" s="77"/>
      <c r="GM566" s="77"/>
      <c r="GN566" s="77"/>
      <c r="GO566" s="77"/>
      <c r="GP566" s="77"/>
      <c r="GQ566" s="77"/>
      <c r="GR566" s="77"/>
      <c r="GS566" s="77"/>
      <c r="GT566" s="77"/>
      <c r="GU566" s="77"/>
      <c r="GV566" s="77"/>
      <c r="GW566" s="77"/>
      <c r="GX566" s="77"/>
      <c r="GY566" s="77"/>
      <c r="GZ566" s="77"/>
      <c r="HA566" s="77"/>
      <c r="HB566" s="77"/>
      <c r="HC566" s="77"/>
      <c r="HD566" s="77"/>
      <c r="HE566" s="77"/>
      <c r="HF566" s="77"/>
      <c r="HG566" s="77"/>
      <c r="HH566" s="77"/>
      <c r="HI566" s="77"/>
      <c r="HJ566" s="77"/>
      <c r="HK566" s="77"/>
      <c r="HL566" s="77"/>
      <c r="HM566" s="77"/>
      <c r="HN566" s="77"/>
      <c r="HO566" s="77"/>
      <c r="HP566" s="77"/>
      <c r="HQ566" s="77"/>
      <c r="HR566" s="77"/>
      <c r="HS566" s="77"/>
      <c r="HT566" s="77"/>
      <c r="HU566" s="77"/>
      <c r="HV566" s="77"/>
      <c r="HW566" s="77"/>
      <c r="HX566" s="77"/>
      <c r="HY566" s="77"/>
      <c r="HZ566" s="77"/>
      <c r="IA566" s="77"/>
      <c r="IB566" s="77"/>
      <c r="IC566" s="77"/>
      <c r="IF566" s="77"/>
      <c r="IG566" s="77"/>
      <c r="IH566" s="77"/>
      <c r="II566" s="77"/>
      <c r="IJ566" s="77"/>
      <c r="IK566" s="77"/>
      <c r="IL566" s="77"/>
      <c r="IM566" s="77"/>
      <c r="IN566" s="77"/>
      <c r="IO566" s="77"/>
      <c r="IP566" s="77"/>
      <c r="IQ566" s="77"/>
      <c r="IR566" s="77"/>
      <c r="IS566" s="77"/>
      <c r="IT566" s="77"/>
      <c r="IU566" s="77"/>
      <c r="IV566" s="77"/>
      <c r="IW566" s="77"/>
      <c r="IX566" s="77"/>
      <c r="IY566" s="77"/>
      <c r="IZ566" s="77"/>
      <c r="JA566" s="77"/>
      <c r="JB566" s="77"/>
      <c r="JC566" s="77"/>
      <c r="JD566" s="77"/>
      <c r="JE566" s="77"/>
      <c r="JF566" s="77"/>
      <c r="JG566" s="77"/>
      <c r="JH566" s="77"/>
      <c r="JI566" s="77"/>
      <c r="JJ566" s="77"/>
      <c r="JK566" s="77"/>
      <c r="JL566" s="77"/>
      <c r="JM566" s="77"/>
      <c r="JN566" s="77"/>
      <c r="JO566" s="77"/>
      <c r="JP566" s="77"/>
      <c r="JQ566" s="77"/>
      <c r="JR566" s="77"/>
      <c r="JS566" s="77"/>
      <c r="JT566" s="77"/>
      <c r="JU566" s="77"/>
      <c r="JV566" s="77"/>
      <c r="JW566" s="77"/>
      <c r="JX566" s="77"/>
      <c r="JY566" s="77"/>
      <c r="JZ566" s="77"/>
      <c r="KA566" s="77"/>
      <c r="KB566" s="77"/>
      <c r="KC566" s="77"/>
      <c r="KD566" s="77"/>
      <c r="KE566" s="77"/>
      <c r="KF566" s="77"/>
      <c r="KG566" s="77"/>
      <c r="KH566" s="77"/>
      <c r="KI566" s="77"/>
      <c r="KJ566" s="77"/>
      <c r="KK566" s="77"/>
      <c r="KL566" s="77"/>
      <c r="MS566" s="77"/>
      <c r="MT566" s="77"/>
      <c r="MU566" s="77"/>
      <c r="MV566" s="77"/>
      <c r="MW566" s="77"/>
      <c r="MX566" s="77"/>
      <c r="MY566" s="77"/>
      <c r="MZ566" s="77"/>
      <c r="NA566" s="77"/>
      <c r="NB566" s="77"/>
      <c r="NC566" s="77"/>
    </row>
    <row r="567" spans="1:421" s="21" customFormat="1" ht="18.600000000000001" customHeight="1" x14ac:dyDescent="0.25">
      <c r="A567" s="119" t="s">
        <v>418</v>
      </c>
      <c r="B567" s="27" t="s">
        <v>1952</v>
      </c>
      <c r="C567" s="27" t="s">
        <v>4359</v>
      </c>
      <c r="D567" s="19" t="s">
        <v>3024</v>
      </c>
      <c r="E567" s="34" t="s">
        <v>1955</v>
      </c>
      <c r="F567" s="38" t="s">
        <v>332</v>
      </c>
      <c r="G567" s="38" t="s">
        <v>416</v>
      </c>
      <c r="H567" s="38" t="s">
        <v>781</v>
      </c>
      <c r="I567" s="38" t="s">
        <v>782</v>
      </c>
      <c r="J567" s="27" t="s">
        <v>789</v>
      </c>
      <c r="K567" s="15" t="s">
        <v>777</v>
      </c>
      <c r="L567" s="42" t="s">
        <v>771</v>
      </c>
      <c r="M567" s="42" t="s">
        <v>770</v>
      </c>
      <c r="N567" s="34" t="s">
        <v>1956</v>
      </c>
      <c r="O567" s="27" t="s">
        <v>3180</v>
      </c>
      <c r="P567" s="80">
        <v>383</v>
      </c>
      <c r="Q567" s="80">
        <v>303</v>
      </c>
      <c r="R567" s="27" t="s">
        <v>2994</v>
      </c>
      <c r="S567" s="101" t="s">
        <v>1957</v>
      </c>
      <c r="T567" s="10" t="s">
        <v>771</v>
      </c>
      <c r="U567" s="10" t="s">
        <v>771</v>
      </c>
      <c r="V567" s="10" t="s">
        <v>771</v>
      </c>
      <c r="W567" s="42"/>
      <c r="X567" s="27" t="s">
        <v>418</v>
      </c>
      <c r="Y567" s="27" t="s">
        <v>1952</v>
      </c>
      <c r="Z567" s="80">
        <v>402</v>
      </c>
      <c r="AA567" s="27">
        <v>25</v>
      </c>
      <c r="AB567" s="80">
        <v>10877</v>
      </c>
      <c r="AC567" s="27">
        <v>395</v>
      </c>
      <c r="AD567" s="27" t="s">
        <v>4360</v>
      </c>
      <c r="AE567" s="27">
        <v>569892832</v>
      </c>
      <c r="AF567" s="27" t="s">
        <v>4359</v>
      </c>
      <c r="AG567" s="27" t="s">
        <v>416</v>
      </c>
      <c r="AH567" s="79">
        <v>0.27534246575342503</v>
      </c>
      <c r="AI567" s="83">
        <v>2.8510638297872299</v>
      </c>
      <c r="AJ567" s="80">
        <v>21.972826086956498</v>
      </c>
      <c r="AK567" s="80">
        <v>26.239130434782599</v>
      </c>
      <c r="AL567" s="27">
        <v>4</v>
      </c>
      <c r="AM567" s="97">
        <f>SUM(AL567/Z567)</f>
        <v>9.9502487562189053E-3</v>
      </c>
      <c r="AN567" s="27" t="s">
        <v>418</v>
      </c>
      <c r="AO567" s="27">
        <v>0</v>
      </c>
      <c r="AP567" s="27">
        <v>10</v>
      </c>
      <c r="AQ567" s="27">
        <v>1</v>
      </c>
      <c r="AR567" s="27">
        <f>SUM(AO567:AQ567)</f>
        <v>11</v>
      </c>
      <c r="AS567" s="27"/>
      <c r="AT567" s="27" t="s">
        <v>6840</v>
      </c>
      <c r="AU567" s="84" t="s">
        <v>420</v>
      </c>
      <c r="AV567" s="77"/>
      <c r="AW567" s="77"/>
      <c r="AX567" s="77"/>
      <c r="AY567" s="77"/>
      <c r="AZ567" s="77"/>
      <c r="BA567" s="77"/>
      <c r="BB567" s="77"/>
      <c r="BC567" s="77"/>
      <c r="BD567" s="77"/>
      <c r="BE567" s="77"/>
      <c r="BF567" s="77"/>
      <c r="BG567" s="77"/>
      <c r="BH567" s="77"/>
      <c r="BI567" s="77"/>
      <c r="BJ567" s="77"/>
      <c r="BK567" s="77"/>
      <c r="BL567" s="77"/>
      <c r="BM567" s="77"/>
      <c r="BN567" s="77"/>
      <c r="BO567" s="77"/>
      <c r="BP567" s="77"/>
      <c r="BQ567" s="77"/>
      <c r="BR567" s="77"/>
      <c r="BS567" s="77"/>
      <c r="BT567" s="77"/>
      <c r="BU567" s="77"/>
      <c r="BV567" s="77"/>
      <c r="BW567" s="77"/>
      <c r="BX567" s="77"/>
      <c r="BY567" s="77"/>
      <c r="BZ567" s="77"/>
      <c r="CA567" s="77"/>
      <c r="CB567" s="77"/>
      <c r="CC567" s="77"/>
      <c r="CD567" s="77"/>
      <c r="CE567" s="77"/>
      <c r="CF567" s="77"/>
      <c r="CG567" s="77"/>
      <c r="CH567" s="77"/>
      <c r="CI567" s="77"/>
      <c r="CJ567" s="77"/>
      <c r="CK567" s="77"/>
      <c r="CL567" s="77"/>
      <c r="CM567" s="77"/>
      <c r="CN567" s="77"/>
      <c r="CO567" s="77"/>
      <c r="CP567" s="77"/>
      <c r="CQ567" s="77"/>
      <c r="CR567" s="77"/>
      <c r="CS567" s="77"/>
      <c r="CT567" s="77"/>
      <c r="CU567" s="77"/>
      <c r="CV567" s="77"/>
      <c r="CW567" s="77"/>
      <c r="CX567" s="77"/>
      <c r="CY567" s="77"/>
      <c r="CZ567" s="77"/>
      <c r="DA567" s="77"/>
      <c r="DB567" s="77"/>
      <c r="DC567" s="77"/>
      <c r="DD567" s="77"/>
      <c r="DE567" s="77"/>
      <c r="DF567" s="77"/>
      <c r="DG567" s="77"/>
      <c r="DH567" s="77"/>
      <c r="DI567" s="77"/>
      <c r="DJ567" s="77"/>
      <c r="DK567" s="77"/>
      <c r="DL567" s="77"/>
      <c r="DM567" s="77"/>
      <c r="DN567" s="77"/>
      <c r="DO567" s="77"/>
      <c r="DP567" s="77"/>
      <c r="DQ567" s="77"/>
      <c r="DR567" s="77"/>
      <c r="DS567" s="77"/>
      <c r="DT567" s="77"/>
      <c r="DU567" s="77"/>
      <c r="DV567" s="77"/>
      <c r="DW567" s="77"/>
      <c r="DX567" s="77"/>
      <c r="DY567" s="77"/>
      <c r="DZ567" s="77"/>
      <c r="EA567" s="77"/>
      <c r="EB567" s="77"/>
      <c r="EC567" s="77"/>
      <c r="ED567" s="77"/>
      <c r="EE567" s="77"/>
      <c r="EF567" s="77"/>
      <c r="EG567" s="77"/>
      <c r="EH567" s="77"/>
      <c r="EI567" s="77"/>
      <c r="EJ567" s="77"/>
      <c r="EK567" s="77"/>
      <c r="EL567" s="77"/>
      <c r="EM567" s="77"/>
      <c r="EN567" s="77"/>
      <c r="EO567" s="77"/>
      <c r="EP567" s="77"/>
      <c r="EQ567" s="77"/>
      <c r="ER567" s="77"/>
      <c r="ES567" s="77"/>
      <c r="ET567" s="77"/>
      <c r="EU567" s="77"/>
      <c r="EV567" s="77"/>
      <c r="EW567" s="77"/>
      <c r="EX567" s="77"/>
      <c r="EY567" s="77"/>
      <c r="EZ567" s="77"/>
      <c r="FA567" s="77"/>
      <c r="FB567" s="77"/>
      <c r="FC567" s="77"/>
      <c r="FD567" s="77"/>
      <c r="FE567" s="77"/>
      <c r="FF567" s="77"/>
      <c r="FG567" s="77"/>
      <c r="FH567" s="77"/>
      <c r="FI567" s="77"/>
      <c r="FJ567" s="77"/>
      <c r="FK567" s="77"/>
      <c r="FL567" s="77"/>
      <c r="FM567" s="77"/>
      <c r="FN567" s="77"/>
      <c r="FO567" s="77"/>
      <c r="FP567" s="77"/>
      <c r="FQ567" s="77"/>
      <c r="FR567" s="77"/>
      <c r="FS567" s="77"/>
      <c r="FT567" s="77"/>
      <c r="FU567" s="77"/>
      <c r="FV567" s="77"/>
      <c r="FW567" s="77"/>
      <c r="FX567" s="77"/>
      <c r="FY567" s="77"/>
      <c r="FZ567" s="77"/>
      <c r="GA567" s="77"/>
      <c r="GB567" s="77"/>
      <c r="GC567" s="77"/>
      <c r="GD567" s="77"/>
      <c r="GE567" s="77"/>
      <c r="GF567" s="77"/>
      <c r="GG567" s="77"/>
      <c r="GH567" s="77"/>
      <c r="GI567" s="77"/>
      <c r="GJ567" s="77"/>
      <c r="GK567" s="77"/>
      <c r="GL567" s="77"/>
      <c r="GM567" s="77"/>
      <c r="GN567" s="77"/>
      <c r="GO567" s="77"/>
      <c r="GP567" s="77"/>
      <c r="GQ567" s="77"/>
      <c r="GR567" s="77"/>
      <c r="GS567" s="77"/>
      <c r="GT567" s="77"/>
      <c r="GU567" s="77"/>
      <c r="GV567" s="77"/>
      <c r="GW567" s="77"/>
      <c r="GX567" s="77"/>
      <c r="GY567" s="77"/>
      <c r="GZ567" s="77"/>
      <c r="HA567" s="77"/>
      <c r="HB567" s="77"/>
      <c r="HC567" s="77"/>
      <c r="HD567" s="77"/>
      <c r="HE567" s="77"/>
      <c r="HF567" s="77"/>
      <c r="HG567" s="77"/>
      <c r="HH567" s="77"/>
      <c r="HI567" s="77"/>
      <c r="HJ567" s="77"/>
      <c r="HK567" s="77"/>
      <c r="HL567" s="77"/>
      <c r="HM567" s="77"/>
      <c r="HN567" s="77"/>
      <c r="HO567" s="77"/>
      <c r="HP567" s="77"/>
      <c r="HQ567" s="77"/>
      <c r="HR567" s="77"/>
      <c r="HS567" s="77"/>
      <c r="HT567" s="77"/>
      <c r="HU567" s="77"/>
      <c r="HV567" s="77"/>
      <c r="HW567" s="77"/>
      <c r="HX567" s="77"/>
      <c r="HY567" s="77"/>
      <c r="HZ567" s="77"/>
      <c r="IA567" s="77"/>
      <c r="IB567" s="77"/>
      <c r="IC567" s="77"/>
      <c r="ID567" s="77"/>
      <c r="IE567" s="77"/>
      <c r="IF567" s="77"/>
      <c r="IG567" s="77"/>
      <c r="IH567" s="77"/>
      <c r="II567" s="77"/>
      <c r="IJ567" s="77"/>
      <c r="IK567" s="77"/>
      <c r="IL567" s="77"/>
      <c r="IM567" s="77"/>
      <c r="IN567" s="77"/>
      <c r="IO567" s="77"/>
      <c r="IP567" s="77"/>
      <c r="IQ567" s="77"/>
      <c r="IR567" s="77"/>
      <c r="IS567" s="77"/>
      <c r="IT567" s="77"/>
      <c r="IU567" s="77"/>
      <c r="IV567" s="77"/>
      <c r="IW567" s="77"/>
      <c r="IX567" s="77"/>
      <c r="IY567" s="77"/>
      <c r="IZ567" s="77"/>
      <c r="JA567" s="77"/>
      <c r="JB567" s="77"/>
      <c r="JC567" s="77"/>
      <c r="JD567" s="77"/>
      <c r="JE567" s="77"/>
      <c r="JF567" s="77"/>
      <c r="JG567" s="77"/>
      <c r="JH567" s="77"/>
      <c r="JI567" s="77"/>
      <c r="JJ567" s="77"/>
      <c r="JK567" s="77"/>
      <c r="JL567" s="77"/>
      <c r="JM567" s="77"/>
      <c r="JN567" s="77"/>
      <c r="JO567" s="77"/>
      <c r="JP567" s="77"/>
      <c r="JQ567" s="77"/>
      <c r="JR567" s="77"/>
      <c r="JS567" s="77"/>
      <c r="JT567" s="77"/>
      <c r="JU567" s="77"/>
      <c r="JV567" s="77"/>
      <c r="JW567" s="77"/>
      <c r="JX567" s="77"/>
      <c r="JY567" s="77"/>
      <c r="JZ567" s="77"/>
      <c r="KA567" s="77"/>
      <c r="KB567" s="77"/>
      <c r="KC567" s="77"/>
      <c r="KD567" s="77"/>
      <c r="KE567" s="77"/>
      <c r="KF567" s="77"/>
      <c r="KG567" s="77"/>
      <c r="KH567" s="77"/>
      <c r="KI567" s="77"/>
      <c r="KJ567" s="77"/>
      <c r="KK567" s="77"/>
      <c r="KL567" s="77"/>
      <c r="LL567" s="16"/>
      <c r="LM567" s="16"/>
      <c r="LN567" s="16"/>
      <c r="LO567" s="16"/>
      <c r="LP567" s="16"/>
      <c r="LQ567" s="16"/>
      <c r="LR567" s="16"/>
      <c r="LS567" s="16"/>
      <c r="LT567" s="16"/>
      <c r="LU567" s="16"/>
      <c r="LV567" s="16"/>
    </row>
    <row r="568" spans="1:421" s="21" customFormat="1" ht="18.600000000000001" customHeight="1" x14ac:dyDescent="0.25">
      <c r="A568" s="119" t="s">
        <v>578</v>
      </c>
      <c r="B568" s="27" t="s">
        <v>2949</v>
      </c>
      <c r="C568" s="27"/>
      <c r="D568" s="30" t="str">
        <f>HYPERLINK("https://twitter.com/cancilleriacrc","https://twitter.com/cancilleriacrc")</f>
        <v>https://twitter.com/cancilleriacrc</v>
      </c>
      <c r="E568" s="30" t="str">
        <f>HYPERLINK("http://twiplomacy.com/info/north-america/Costa-Rica","http://twiplomacy.com/info/north-america/Costa-Rica")</f>
        <v>http://twiplomacy.com/info/north-america/Costa-Rica</v>
      </c>
      <c r="F568" s="10" t="s">
        <v>558</v>
      </c>
      <c r="G568" s="10" t="s">
        <v>574</v>
      </c>
      <c r="H568" s="10" t="s">
        <v>795</v>
      </c>
      <c r="I568" s="10" t="s">
        <v>782</v>
      </c>
      <c r="J568" s="27" t="s">
        <v>2226</v>
      </c>
      <c r="K568" s="15" t="s">
        <v>1069</v>
      </c>
      <c r="L568" s="14" t="s">
        <v>771</v>
      </c>
      <c r="M568" s="14" t="s">
        <v>770</v>
      </c>
      <c r="N568" s="100" t="str">
        <f>HYPERLINK("https://twitter.com/presidenciacr/statuses/91325683204239360","https://twitter.com/presidenciacr/statuses/91325683204239360")</f>
        <v>https://twitter.com/presidenciacr/statuses/91325683204239360</v>
      </c>
      <c r="O568" s="27" t="s">
        <v>5729</v>
      </c>
      <c r="P568" s="80">
        <v>8</v>
      </c>
      <c r="Q568" s="80">
        <v>0</v>
      </c>
      <c r="R568" s="27" t="s">
        <v>2995</v>
      </c>
      <c r="S568" s="10" t="s">
        <v>2950</v>
      </c>
      <c r="T568" s="10" t="s">
        <v>771</v>
      </c>
      <c r="U568" s="10" t="s">
        <v>771</v>
      </c>
      <c r="V568" s="10" t="s">
        <v>771</v>
      </c>
      <c r="W568" s="14"/>
      <c r="X568" s="27" t="s">
        <v>578</v>
      </c>
      <c r="Y568" s="27" t="s">
        <v>2949</v>
      </c>
      <c r="Z568" s="80">
        <v>401</v>
      </c>
      <c r="AA568" s="27">
        <v>384</v>
      </c>
      <c r="AB568" s="80">
        <v>13496</v>
      </c>
      <c r="AC568" s="27">
        <v>1</v>
      </c>
      <c r="AD568" s="27" t="s">
        <v>3557</v>
      </c>
      <c r="AE568" s="27">
        <v>159546977</v>
      </c>
      <c r="AF568" s="27"/>
      <c r="AG568" s="27"/>
      <c r="AH568" s="79">
        <v>0.18709073900841899</v>
      </c>
      <c r="AI568" s="83">
        <v>0.58040935672514604</v>
      </c>
      <c r="AJ568" s="80">
        <v>0.92105263157894701</v>
      </c>
      <c r="AK568" s="80">
        <v>5.2631578947368397E-2</v>
      </c>
      <c r="AL568" s="27">
        <v>1</v>
      </c>
      <c r="AM568" s="97">
        <f>SUM(AL568/Z568)</f>
        <v>2.4937655860349127E-3</v>
      </c>
      <c r="AN568" s="27" t="s">
        <v>578</v>
      </c>
      <c r="AO568" s="27">
        <v>24</v>
      </c>
      <c r="AP568" s="27">
        <v>21</v>
      </c>
      <c r="AQ568" s="27">
        <v>8</v>
      </c>
      <c r="AR568" s="27">
        <f>SUM(AO568:AQ568)</f>
        <v>53</v>
      </c>
      <c r="AS568" s="27" t="s">
        <v>6636</v>
      </c>
      <c r="AT568" s="27" t="s">
        <v>5059</v>
      </c>
      <c r="AU568" s="84" t="s">
        <v>4677</v>
      </c>
      <c r="AV568" s="77"/>
      <c r="AW568" s="77"/>
      <c r="AX568" s="77"/>
      <c r="AY568" s="77"/>
      <c r="AZ568" s="77"/>
      <c r="BA568" s="77"/>
      <c r="BB568" s="77"/>
      <c r="BC568" s="77"/>
      <c r="BD568" s="77"/>
      <c r="BE568" s="77"/>
      <c r="BF568" s="77"/>
      <c r="BG568" s="77"/>
      <c r="BH568" s="77"/>
      <c r="BI568" s="77"/>
      <c r="BJ568" s="77"/>
      <c r="BK568" s="77"/>
      <c r="BL568" s="77"/>
      <c r="BM568" s="77"/>
      <c r="BN568" s="77"/>
      <c r="BO568" s="77"/>
      <c r="BP568" s="77"/>
      <c r="BQ568" s="77"/>
      <c r="BR568" s="77"/>
      <c r="BS568" s="77"/>
      <c r="BT568" s="77"/>
      <c r="BU568" s="77"/>
      <c r="BV568" s="77"/>
      <c r="BW568" s="77"/>
      <c r="BX568" s="77"/>
      <c r="BY568" s="77"/>
      <c r="BZ568" s="77"/>
      <c r="CA568" s="77"/>
      <c r="CB568" s="77"/>
      <c r="CC568" s="77"/>
      <c r="CD568" s="77"/>
      <c r="CE568" s="77"/>
      <c r="CF568" s="77"/>
      <c r="CG568" s="77"/>
      <c r="CH568" s="77"/>
      <c r="CI568" s="77"/>
      <c r="CJ568" s="77"/>
      <c r="EM568" s="77"/>
      <c r="EN568" s="77"/>
      <c r="EO568" s="77"/>
      <c r="EP568" s="77"/>
      <c r="GL568" s="77"/>
      <c r="GM568" s="77"/>
      <c r="GN568" s="77"/>
      <c r="GO568" s="77"/>
      <c r="GP568" s="77"/>
      <c r="GQ568" s="77"/>
      <c r="GR568" s="77"/>
      <c r="GS568" s="77"/>
      <c r="GT568" s="77"/>
      <c r="GU568" s="77"/>
      <c r="GV568" s="77"/>
      <c r="GW568" s="77"/>
      <c r="GX568" s="77"/>
      <c r="GY568" s="77"/>
      <c r="GZ568" s="77"/>
      <c r="HA568" s="77"/>
      <c r="HB568" s="77"/>
      <c r="HC568" s="77"/>
      <c r="HD568" s="77"/>
      <c r="HE568" s="77"/>
      <c r="HF568" s="77"/>
      <c r="HG568" s="77"/>
      <c r="HH568" s="77"/>
      <c r="HI568" s="77"/>
      <c r="HJ568" s="77"/>
      <c r="HK568" s="77"/>
      <c r="ID568" s="77"/>
      <c r="IE568" s="77"/>
      <c r="IF568" s="77"/>
      <c r="IG568" s="77"/>
      <c r="IH568" s="77"/>
      <c r="II568" s="77"/>
      <c r="IJ568" s="77"/>
      <c r="IK568" s="77"/>
      <c r="IL568" s="77"/>
      <c r="IM568" s="77"/>
      <c r="IN568" s="77"/>
      <c r="IO568" s="77"/>
      <c r="IP568" s="77"/>
      <c r="IQ568" s="77"/>
      <c r="IR568" s="77"/>
      <c r="IS568" s="77"/>
      <c r="IT568" s="77"/>
      <c r="IU568" s="77"/>
      <c r="IV568" s="77"/>
      <c r="IW568" s="77"/>
      <c r="IX568" s="77"/>
      <c r="IY568" s="77"/>
      <c r="IZ568" s="77"/>
      <c r="JA568" s="77"/>
      <c r="JB568" s="77"/>
      <c r="JC568" s="77"/>
      <c r="JD568" s="77"/>
      <c r="JE568" s="77"/>
      <c r="JF568" s="77"/>
      <c r="JG568" s="77"/>
      <c r="JH568" s="77"/>
      <c r="JI568" s="77"/>
      <c r="JJ568" s="77"/>
      <c r="JK568" s="77"/>
      <c r="JL568" s="77"/>
      <c r="JM568" s="77"/>
      <c r="JN568" s="77"/>
      <c r="JO568" s="77"/>
      <c r="JP568" s="77"/>
      <c r="JQ568" s="77"/>
      <c r="JR568" s="77"/>
      <c r="JS568" s="77"/>
      <c r="JT568" s="77"/>
      <c r="JU568" s="77"/>
      <c r="JV568" s="77"/>
      <c r="JW568" s="77"/>
      <c r="JX568" s="77"/>
      <c r="MS568" s="77"/>
    </row>
    <row r="569" spans="1:421" s="21" customFormat="1" ht="18.600000000000001" customHeight="1" x14ac:dyDescent="0.25">
      <c r="A569" s="119" t="s">
        <v>2279</v>
      </c>
      <c r="B569" s="27" t="s">
        <v>2258</v>
      </c>
      <c r="C569" s="27" t="s">
        <v>6364</v>
      </c>
      <c r="D569" s="30" t="str">
        <f>HYPERLINK("https://twitter.com/A_Davutoglu_ar","https://twitter.com/A_Davutoglu_ar")</f>
        <v>https://twitter.com/A_Davutoglu_ar</v>
      </c>
      <c r="E569" s="30" t="str">
        <f>HYPERLINK("http://twiplomacy.com/info/europe/Turkey","http://twiplomacy.com/info/europe/Turkey")</f>
        <v>http://twiplomacy.com/info/europe/Turkey</v>
      </c>
      <c r="F569" s="10" t="s">
        <v>332</v>
      </c>
      <c r="G569" s="10" t="s">
        <v>536</v>
      </c>
      <c r="H569" s="10" t="s">
        <v>776</v>
      </c>
      <c r="I569" s="10" t="s">
        <v>773</v>
      </c>
      <c r="J569" s="27" t="s">
        <v>2254</v>
      </c>
      <c r="K569" s="15" t="s">
        <v>5584</v>
      </c>
      <c r="L569" s="10" t="s">
        <v>771</v>
      </c>
      <c r="M569" s="10" t="s">
        <v>771</v>
      </c>
      <c r="N569" s="30" t="str">
        <f>HYPERLINK("https://twitter.com/A_Davutoglu_ar/statuses/185814472642932738","https://twitter.com/A_Davutoglu_ar/statuses/185814472642932738")</f>
        <v>https://twitter.com/A_Davutoglu_ar/statuses/185814472642932738</v>
      </c>
      <c r="O569" s="27" t="s">
        <v>5665</v>
      </c>
      <c r="P569" s="80">
        <v>191</v>
      </c>
      <c r="Q569" s="80">
        <v>25</v>
      </c>
      <c r="R569" s="27" t="s">
        <v>2994</v>
      </c>
      <c r="S569" s="10" t="s">
        <v>2280</v>
      </c>
      <c r="T569" s="10" t="s">
        <v>771</v>
      </c>
      <c r="U569" s="10" t="s">
        <v>771</v>
      </c>
      <c r="V569" s="10" t="s">
        <v>771</v>
      </c>
      <c r="W569" s="10"/>
      <c r="X569" s="27" t="s">
        <v>2279</v>
      </c>
      <c r="Y569" s="27" t="s">
        <v>2258</v>
      </c>
      <c r="Z569" s="80">
        <v>396</v>
      </c>
      <c r="AA569" s="27">
        <v>1</v>
      </c>
      <c r="AB569" s="80">
        <v>53839</v>
      </c>
      <c r="AC569" s="27">
        <v>0</v>
      </c>
      <c r="AD569" s="27" t="s">
        <v>3419</v>
      </c>
      <c r="AE569" s="27">
        <v>434882299</v>
      </c>
      <c r="AF569" s="27" t="s">
        <v>6364</v>
      </c>
      <c r="AG569" s="27" t="s">
        <v>2257</v>
      </c>
      <c r="AH569" s="79">
        <v>0.24703680598877101</v>
      </c>
      <c r="AI569" s="83">
        <v>0.456221198156682</v>
      </c>
      <c r="AJ569" s="80">
        <v>16.677664974619301</v>
      </c>
      <c r="AK569" s="80">
        <v>8.18274111675127</v>
      </c>
      <c r="AL569" s="96">
        <v>4</v>
      </c>
      <c r="AM569" s="97">
        <f>SUM(AL569/Z569)</f>
        <v>1.0101010101010102E-2</v>
      </c>
      <c r="AN569" s="27" t="s">
        <v>2279</v>
      </c>
      <c r="AO569" s="27">
        <v>0</v>
      </c>
      <c r="AP569" s="27">
        <v>9</v>
      </c>
      <c r="AQ569" s="27">
        <v>1</v>
      </c>
      <c r="AR569" s="27">
        <f>SUM(AO569:AQ569)</f>
        <v>10</v>
      </c>
      <c r="AS569" s="27"/>
      <c r="AT569" s="27" t="s">
        <v>4998</v>
      </c>
      <c r="AU569" s="84" t="s">
        <v>539</v>
      </c>
      <c r="AV569" s="77"/>
      <c r="AW569" s="77"/>
      <c r="AX569" s="77"/>
      <c r="AY569" s="77"/>
      <c r="AZ569" s="77"/>
      <c r="BA569" s="77"/>
      <c r="BB569" s="77"/>
      <c r="BC569" s="77"/>
      <c r="BD569" s="77"/>
      <c r="BE569" s="77"/>
      <c r="BF569" s="77"/>
      <c r="BG569" s="77"/>
      <c r="BH569" s="77"/>
      <c r="BI569" s="77"/>
      <c r="BJ569" s="77"/>
      <c r="BK569" s="77"/>
      <c r="BL569" s="77"/>
      <c r="BM569" s="77"/>
      <c r="BQ569" s="77"/>
      <c r="BR569" s="77"/>
      <c r="BS569" s="77"/>
      <c r="BT569" s="77"/>
      <c r="BU569" s="77"/>
      <c r="BV569" s="77"/>
      <c r="BW569" s="77"/>
      <c r="BX569" s="77"/>
      <c r="BY569" s="77"/>
      <c r="BZ569" s="77"/>
      <c r="CA569" s="77"/>
      <c r="CB569" s="77"/>
      <c r="CC569" s="77"/>
      <c r="CD569" s="77"/>
      <c r="CE569" s="77"/>
      <c r="CF569" s="77"/>
      <c r="CG569" s="77"/>
      <c r="CH569" s="77"/>
      <c r="CI569" s="77"/>
      <c r="CJ569" s="77"/>
      <c r="CK569" s="77"/>
      <c r="CL569" s="77"/>
      <c r="CM569" s="77"/>
      <c r="CN569" s="77"/>
      <c r="CO569" s="77"/>
      <c r="CP569" s="77"/>
      <c r="CQ569" s="77"/>
      <c r="CR569" s="77"/>
      <c r="CS569" s="77"/>
      <c r="CT569" s="77"/>
      <c r="CU569" s="77"/>
      <c r="CV569" s="77"/>
      <c r="CW569" s="77"/>
      <c r="CX569" s="77"/>
      <c r="CY569" s="77"/>
      <c r="CZ569" s="77"/>
      <c r="DA569" s="77"/>
      <c r="DB569" s="77"/>
      <c r="DC569" s="77"/>
      <c r="DD569" s="77"/>
      <c r="DE569" s="77"/>
      <c r="DF569" s="77"/>
      <c r="DG569" s="77"/>
      <c r="DH569" s="77"/>
      <c r="DI569" s="77"/>
      <c r="DJ569" s="77"/>
      <c r="DK569" s="77"/>
      <c r="DL569" s="77"/>
      <c r="DM569" s="77"/>
      <c r="DN569" s="77"/>
      <c r="DO569" s="77"/>
      <c r="DP569" s="77"/>
      <c r="DQ569" s="77"/>
      <c r="DR569" s="77"/>
      <c r="DS569" s="77"/>
      <c r="DT569" s="77"/>
      <c r="DU569" s="77"/>
      <c r="DV569" s="77"/>
      <c r="DW569" s="77"/>
      <c r="DX569" s="77"/>
      <c r="DY569" s="77"/>
      <c r="DZ569" s="77"/>
      <c r="EA569" s="77"/>
      <c r="EB569" s="77"/>
      <c r="EC569" s="77"/>
      <c r="ED569" s="77"/>
      <c r="EE569" s="77"/>
      <c r="EF569" s="77"/>
      <c r="EG569" s="77"/>
      <c r="EH569" s="77"/>
      <c r="EI569" s="77"/>
      <c r="EJ569" s="77"/>
      <c r="EK569" s="77"/>
      <c r="EL569" s="77"/>
      <c r="EM569" s="77"/>
      <c r="EN569" s="77"/>
      <c r="EO569" s="77"/>
      <c r="EP569" s="77"/>
      <c r="EQ569" s="77"/>
      <c r="ER569" s="77"/>
      <c r="ES569" s="77"/>
      <c r="ET569" s="77"/>
      <c r="EU569" s="77"/>
      <c r="EV569" s="77"/>
      <c r="EW569" s="77"/>
      <c r="EX569" s="77"/>
      <c r="EY569" s="77"/>
      <c r="EZ569" s="77"/>
      <c r="FA569" s="77"/>
      <c r="FB569" s="77"/>
      <c r="FC569" s="77"/>
      <c r="FD569" s="77"/>
      <c r="FE569" s="77"/>
      <c r="FF569" s="77"/>
      <c r="FG569" s="77"/>
      <c r="FH569" s="77"/>
      <c r="FI569" s="77"/>
      <c r="FJ569" s="77"/>
      <c r="FK569" s="77"/>
      <c r="FL569" s="77"/>
      <c r="FM569" s="77"/>
      <c r="FN569" s="77"/>
      <c r="FO569" s="77"/>
      <c r="FP569" s="77"/>
      <c r="FQ569" s="77"/>
      <c r="FR569" s="77"/>
      <c r="FS569" s="77"/>
      <c r="FT569" s="77"/>
      <c r="FU569" s="77"/>
      <c r="FV569" s="77"/>
      <c r="FW569" s="77"/>
      <c r="FX569" s="77"/>
      <c r="FY569" s="77"/>
      <c r="FZ569" s="77"/>
      <c r="GA569" s="77"/>
      <c r="GB569" s="77"/>
      <c r="GC569" s="77"/>
      <c r="GD569" s="77"/>
      <c r="GE569" s="77"/>
      <c r="GF569" s="77"/>
      <c r="GG569" s="77"/>
      <c r="GH569" s="77"/>
      <c r="GI569" s="77"/>
      <c r="GJ569" s="77"/>
      <c r="GK569" s="77"/>
      <c r="GL569" s="77"/>
      <c r="GM569" s="77"/>
      <c r="GN569" s="77"/>
      <c r="GO569" s="77"/>
      <c r="GP569" s="77"/>
      <c r="GQ569" s="77"/>
      <c r="GR569" s="77"/>
      <c r="GS569" s="77"/>
      <c r="GT569" s="77"/>
      <c r="GU569" s="77"/>
      <c r="GV569" s="77"/>
      <c r="GW569" s="77"/>
      <c r="GX569" s="77"/>
      <c r="GY569" s="77"/>
      <c r="GZ569" s="77"/>
      <c r="HA569" s="77"/>
      <c r="HB569" s="77"/>
      <c r="HC569" s="77"/>
      <c r="HD569" s="77"/>
      <c r="HE569" s="77"/>
      <c r="HF569" s="77"/>
      <c r="HG569" s="77"/>
      <c r="HH569" s="77"/>
      <c r="HI569" s="77"/>
      <c r="HJ569" s="77"/>
      <c r="HK569" s="77"/>
      <c r="HL569" s="77"/>
      <c r="HM569" s="77"/>
      <c r="HN569" s="77"/>
      <c r="HO569" s="77"/>
      <c r="HP569" s="77"/>
      <c r="HQ569" s="77"/>
      <c r="HR569" s="77"/>
      <c r="HS569" s="77"/>
      <c r="HT569" s="77"/>
      <c r="HU569" s="77"/>
      <c r="HV569" s="77"/>
      <c r="HW569" s="77"/>
      <c r="HX569" s="77"/>
      <c r="HY569" s="77"/>
      <c r="HZ569" s="77"/>
      <c r="IA569" s="77"/>
      <c r="IB569" s="77"/>
      <c r="IC569" s="77"/>
      <c r="ID569" s="77"/>
      <c r="IE569" s="77"/>
      <c r="JY569" s="77"/>
      <c r="JZ569" s="77"/>
      <c r="KA569" s="77"/>
      <c r="KB569" s="77"/>
      <c r="KC569" s="77"/>
      <c r="KD569" s="77"/>
      <c r="KE569" s="77"/>
      <c r="KF569" s="77"/>
      <c r="KG569" s="77"/>
      <c r="KH569" s="77"/>
      <c r="KI569" s="77"/>
      <c r="KJ569" s="77"/>
      <c r="KK569" s="77"/>
      <c r="KL569" s="77"/>
      <c r="LL569" s="77"/>
      <c r="LM569" s="77"/>
      <c r="LN569" s="77"/>
      <c r="LO569" s="77"/>
      <c r="LP569" s="77"/>
      <c r="LQ569" s="77"/>
      <c r="LR569" s="77"/>
      <c r="LS569" s="77"/>
      <c r="LT569" s="77"/>
      <c r="LU569" s="77"/>
      <c r="LV569" s="77"/>
      <c r="LW569" s="16"/>
      <c r="LX569" s="16"/>
      <c r="LY569" s="77"/>
      <c r="LZ569" s="77"/>
      <c r="MA569" s="77"/>
      <c r="MB569" s="77"/>
      <c r="MC569" s="77"/>
      <c r="MD569" s="77"/>
      <c r="ME569" s="77"/>
      <c r="MF569" s="77"/>
      <c r="MG569" s="77"/>
      <c r="MH569" s="77"/>
      <c r="MI569" s="77"/>
      <c r="MJ569" s="77"/>
      <c r="MK569" s="77"/>
      <c r="ML569" s="77"/>
      <c r="MM569" s="77"/>
      <c r="MN569" s="77"/>
      <c r="MO569" s="77"/>
      <c r="MP569" s="77"/>
      <c r="MQ569" s="77"/>
      <c r="MR569" s="77"/>
    </row>
    <row r="570" spans="1:421" s="58" customFormat="1" ht="18.600000000000001" customHeight="1" x14ac:dyDescent="0.25">
      <c r="A570" s="119" t="s">
        <v>602</v>
      </c>
      <c r="B570" s="27" t="s">
        <v>4001</v>
      </c>
      <c r="C570" s="27" t="s">
        <v>4002</v>
      </c>
      <c r="D570" s="31" t="s">
        <v>3057</v>
      </c>
      <c r="E570" s="30" t="str">
        <f>HYPERLINK("http://twiplomacy.com/info/north-america/Haiti","http://twiplomacy.com/info/north-america/Haiti")</f>
        <v>http://twiplomacy.com/info/north-america/Haiti</v>
      </c>
      <c r="F570" s="10" t="s">
        <v>558</v>
      </c>
      <c r="G570" s="10" t="s">
        <v>599</v>
      </c>
      <c r="H570" s="10" t="s">
        <v>795</v>
      </c>
      <c r="I570" s="10" t="s">
        <v>782</v>
      </c>
      <c r="J570" s="27" t="s">
        <v>779</v>
      </c>
      <c r="K570" s="15" t="s">
        <v>777</v>
      </c>
      <c r="L570" s="10" t="s">
        <v>771</v>
      </c>
      <c r="M570" s="10" t="s">
        <v>770</v>
      </c>
      <c r="N570" s="30" t="s">
        <v>3114</v>
      </c>
      <c r="O570" s="27" t="s">
        <v>5916</v>
      </c>
      <c r="P570" s="80">
        <v>37</v>
      </c>
      <c r="Q570" s="80">
        <v>0</v>
      </c>
      <c r="R570" s="27" t="s">
        <v>2995</v>
      </c>
      <c r="S570" s="12" t="str">
        <f>HYPERLINK("https://twitter.com/MAECHaiti/lists","https://twitter.com/MAEHaiti/lists")</f>
        <v>https://twitter.com/MAEHaiti/lists</v>
      </c>
      <c r="T570" s="10" t="s">
        <v>771</v>
      </c>
      <c r="U570" s="10">
        <v>1</v>
      </c>
      <c r="V570" s="10" t="s">
        <v>771</v>
      </c>
      <c r="W570" s="10"/>
      <c r="X570" s="27" t="s">
        <v>602</v>
      </c>
      <c r="Y570" s="27" t="s">
        <v>4001</v>
      </c>
      <c r="Z570" s="80">
        <v>396</v>
      </c>
      <c r="AA570" s="27">
        <v>117</v>
      </c>
      <c r="AB570" s="80">
        <v>940</v>
      </c>
      <c r="AC570" s="27">
        <v>31</v>
      </c>
      <c r="AD570" s="27" t="s">
        <v>4003</v>
      </c>
      <c r="AE570" s="27">
        <v>3448489044</v>
      </c>
      <c r="AF570" s="27" t="s">
        <v>4002</v>
      </c>
      <c r="AG570" s="27" t="s">
        <v>599</v>
      </c>
      <c r="AH570" s="79">
        <v>1.6431535269709501</v>
      </c>
      <c r="AI570" s="83">
        <v>1.65690376569038</v>
      </c>
      <c r="AJ570" s="80">
        <v>6.0898876404494402</v>
      </c>
      <c r="AK570" s="80">
        <v>1.8764044943820199</v>
      </c>
      <c r="AL570" s="27">
        <v>2</v>
      </c>
      <c r="AM570" s="97">
        <f>SUM(AL570/Z570)</f>
        <v>5.0505050505050509E-3</v>
      </c>
      <c r="AN570" s="27" t="s">
        <v>602</v>
      </c>
      <c r="AO570" s="27">
        <v>4</v>
      </c>
      <c r="AP570" s="27">
        <v>8</v>
      </c>
      <c r="AQ570" s="27">
        <v>4</v>
      </c>
      <c r="AR570" s="27">
        <f>SUM(AO570:AQ570)</f>
        <v>16</v>
      </c>
      <c r="AS570" s="27" t="s">
        <v>5268</v>
      </c>
      <c r="AT570" s="27" t="s">
        <v>5269</v>
      </c>
      <c r="AU570" s="84" t="s">
        <v>5594</v>
      </c>
      <c r="AV570" s="77"/>
      <c r="AW570" s="77"/>
      <c r="AX570" s="77"/>
      <c r="AY570" s="77"/>
      <c r="AZ570" s="77"/>
      <c r="BA570" s="77"/>
      <c r="BB570" s="77"/>
      <c r="BC570" s="77"/>
      <c r="BD570" s="77"/>
      <c r="BE570" s="77"/>
      <c r="BF570" s="77"/>
      <c r="BG570" s="77"/>
      <c r="BH570" s="77"/>
      <c r="BI570" s="77"/>
      <c r="BJ570" s="77"/>
      <c r="BK570" s="77"/>
      <c r="BL570" s="77"/>
      <c r="BM570" s="77"/>
      <c r="BN570" s="77"/>
      <c r="BO570" s="77"/>
      <c r="BP570" s="77"/>
      <c r="BQ570" s="77"/>
      <c r="BR570" s="77"/>
      <c r="BS570" s="77"/>
      <c r="BT570" s="77"/>
      <c r="BU570" s="77"/>
      <c r="BV570" s="77"/>
      <c r="BW570" s="77"/>
      <c r="BX570" s="77"/>
      <c r="BY570" s="77"/>
      <c r="BZ570" s="77"/>
      <c r="CA570" s="77"/>
      <c r="CB570" s="77"/>
      <c r="CC570" s="77"/>
      <c r="CD570" s="77"/>
      <c r="CE570" s="77"/>
      <c r="CF570" s="77"/>
      <c r="CG570" s="77"/>
      <c r="CH570" s="77"/>
      <c r="CI570" s="77"/>
      <c r="CJ570" s="77"/>
      <c r="CK570" s="77"/>
      <c r="CL570" s="77"/>
      <c r="CM570" s="77"/>
      <c r="CN570" s="77"/>
      <c r="CO570" s="77"/>
      <c r="CP570" s="77"/>
      <c r="CQ570" s="77"/>
      <c r="CR570" s="77"/>
      <c r="CS570" s="77"/>
      <c r="CT570" s="77"/>
      <c r="CU570" s="77"/>
      <c r="CV570" s="77"/>
      <c r="CW570" s="77"/>
      <c r="CX570" s="77"/>
      <c r="CY570" s="77"/>
      <c r="CZ570" s="77"/>
      <c r="DA570" s="77"/>
      <c r="DB570" s="77"/>
      <c r="DC570" s="77"/>
      <c r="DD570" s="77"/>
      <c r="DE570" s="77"/>
      <c r="DF570" s="77"/>
      <c r="DG570" s="77"/>
      <c r="DH570" s="77"/>
      <c r="DI570" s="77"/>
      <c r="DJ570" s="77"/>
      <c r="DK570" s="77"/>
      <c r="DL570" s="77"/>
      <c r="DM570" s="77"/>
      <c r="DN570" s="77"/>
      <c r="DO570" s="77"/>
      <c r="DP570" s="77"/>
      <c r="DQ570" s="77"/>
      <c r="DR570" s="77"/>
      <c r="DS570" s="77"/>
      <c r="DT570" s="77"/>
      <c r="DU570" s="77"/>
      <c r="DV570" s="77"/>
      <c r="DW570" s="77"/>
      <c r="DX570" s="77"/>
      <c r="DY570" s="77"/>
      <c r="DZ570" s="77"/>
      <c r="EA570" s="77"/>
      <c r="EB570" s="77"/>
      <c r="EC570" s="77"/>
      <c r="ED570" s="77"/>
      <c r="EE570" s="77"/>
      <c r="EF570" s="77"/>
      <c r="EG570" s="77"/>
      <c r="EH570" s="77"/>
      <c r="EI570" s="77"/>
      <c r="EJ570" s="77"/>
      <c r="EK570" s="77"/>
      <c r="EL570" s="77"/>
      <c r="EM570" s="77"/>
      <c r="EN570" s="77"/>
      <c r="EO570" s="77"/>
      <c r="EP570" s="77"/>
      <c r="EQ570" s="77"/>
      <c r="GL570" s="77"/>
      <c r="GM570" s="77"/>
      <c r="GN570" s="77"/>
      <c r="GO570" s="77"/>
      <c r="GP570" s="77"/>
      <c r="GQ570" s="77"/>
      <c r="GR570" s="77"/>
      <c r="GS570" s="77"/>
      <c r="GT570" s="77"/>
      <c r="GU570" s="77"/>
      <c r="GV570" s="77"/>
      <c r="GW570" s="77"/>
      <c r="GX570" s="77"/>
      <c r="GY570" s="77"/>
      <c r="GZ570" s="77"/>
      <c r="HA570" s="77"/>
      <c r="HB570" s="77"/>
      <c r="HC570" s="77"/>
      <c r="HD570" s="77"/>
      <c r="HE570" s="77"/>
      <c r="HF570" s="77"/>
      <c r="HG570" s="77"/>
      <c r="HH570" s="77"/>
      <c r="HI570" s="77"/>
      <c r="HJ570" s="77"/>
      <c r="HK570" s="77"/>
      <c r="IF570" s="77"/>
      <c r="IG570" s="77"/>
      <c r="IH570" s="77"/>
      <c r="II570" s="77"/>
      <c r="IJ570" s="77"/>
      <c r="IK570" s="77"/>
      <c r="IL570" s="77"/>
      <c r="IM570" s="77"/>
      <c r="IN570" s="77"/>
      <c r="IO570" s="77"/>
      <c r="IP570" s="77"/>
      <c r="IQ570" s="77"/>
      <c r="IR570" s="77"/>
      <c r="IS570" s="77"/>
      <c r="IT570" s="77"/>
      <c r="IU570" s="77"/>
      <c r="IV570" s="77"/>
      <c r="IW570" s="77"/>
      <c r="IX570" s="77"/>
      <c r="IY570" s="77"/>
      <c r="IZ570" s="77"/>
      <c r="JA570" s="77"/>
      <c r="JB570" s="77"/>
      <c r="JC570" s="77"/>
      <c r="JD570" s="77"/>
      <c r="JE570" s="77"/>
      <c r="JF570" s="77"/>
      <c r="JG570" s="77"/>
      <c r="JH570" s="77"/>
      <c r="JI570" s="77"/>
      <c r="JJ570" s="77"/>
      <c r="JK570" s="77"/>
      <c r="JL570" s="77"/>
      <c r="JM570" s="77"/>
      <c r="JN570" s="77"/>
      <c r="JO570" s="77"/>
      <c r="JP570" s="77"/>
      <c r="JQ570" s="77"/>
      <c r="JR570" s="77"/>
      <c r="JS570" s="77"/>
      <c r="JT570" s="77"/>
      <c r="JU570" s="77"/>
      <c r="JV570" s="77"/>
      <c r="JW570" s="77"/>
      <c r="JX570" s="77"/>
      <c r="LL570" s="77"/>
      <c r="LM570" s="77"/>
      <c r="LN570" s="77"/>
      <c r="LO570" s="77"/>
      <c r="LP570" s="77"/>
      <c r="LQ570" s="77"/>
      <c r="LR570" s="77"/>
      <c r="LS570" s="77"/>
      <c r="LT570" s="77"/>
      <c r="LU570" s="77"/>
      <c r="LV570" s="77"/>
      <c r="LW570" s="77"/>
      <c r="LX570" s="77"/>
    </row>
    <row r="571" spans="1:421" s="21" customFormat="1" ht="18.600000000000001" customHeight="1" x14ac:dyDescent="0.25">
      <c r="A571" s="119" t="s">
        <v>3364</v>
      </c>
      <c r="B571" s="27" t="s">
        <v>3581</v>
      </c>
      <c r="C571" s="27" t="s">
        <v>3582</v>
      </c>
      <c r="D571" s="51" t="s">
        <v>3355</v>
      </c>
      <c r="E571" s="30" t="str">
        <f>HYPERLINK("http://twiplomacy.com/info/south-america/Chile","http://twiplomacy.com/info/south-america/Chile")</f>
        <v>http://twiplomacy.com/info/south-america/Chile</v>
      </c>
      <c r="F571" s="10" t="s">
        <v>668</v>
      </c>
      <c r="G571" s="10" t="s">
        <v>678</v>
      </c>
      <c r="H571" s="10" t="s">
        <v>795</v>
      </c>
      <c r="I571" s="10" t="s">
        <v>782</v>
      </c>
      <c r="J571" s="27" t="s">
        <v>2226</v>
      </c>
      <c r="K571" s="15" t="s">
        <v>777</v>
      </c>
      <c r="L571" s="10"/>
      <c r="M571" s="10"/>
      <c r="N571" s="30" t="s">
        <v>3395</v>
      </c>
      <c r="O571" s="27" t="s">
        <v>3407</v>
      </c>
      <c r="P571" s="80">
        <v>22</v>
      </c>
      <c r="Q571" s="80">
        <v>28</v>
      </c>
      <c r="R571" s="27" t="s">
        <v>2995</v>
      </c>
      <c r="S571" s="12" t="s">
        <v>3371</v>
      </c>
      <c r="T571" s="10" t="s">
        <v>771</v>
      </c>
      <c r="U571" s="10" t="s">
        <v>771</v>
      </c>
      <c r="V571" s="10" t="s">
        <v>771</v>
      </c>
      <c r="W571" s="10"/>
      <c r="X571" s="27" t="s">
        <v>3364</v>
      </c>
      <c r="Y571" s="27" t="s">
        <v>3581</v>
      </c>
      <c r="Z571" s="80">
        <v>380</v>
      </c>
      <c r="AA571" s="27">
        <v>638</v>
      </c>
      <c r="AB571" s="80">
        <v>393</v>
      </c>
      <c r="AC571" s="27">
        <v>95</v>
      </c>
      <c r="AD571" s="27" t="s">
        <v>3583</v>
      </c>
      <c r="AE571" s="27">
        <v>4164602427</v>
      </c>
      <c r="AF571" s="27" t="s">
        <v>3582</v>
      </c>
      <c r="AG571" s="27" t="s">
        <v>3584</v>
      </c>
      <c r="AH571" s="79">
        <v>2.19653179190751</v>
      </c>
      <c r="AI571" s="83">
        <v>4.6913580246913602</v>
      </c>
      <c r="AJ571" s="80">
        <v>1.4448818897637801</v>
      </c>
      <c r="AK571" s="80">
        <v>1.1102362204724401</v>
      </c>
      <c r="AL571" s="27">
        <v>3</v>
      </c>
      <c r="AM571" s="97">
        <f>SUM(AL571/Z571)</f>
        <v>7.8947368421052634E-3</v>
      </c>
      <c r="AN571" s="27" t="s">
        <v>3364</v>
      </c>
      <c r="AO571" s="27">
        <v>112</v>
      </c>
      <c r="AP571" s="27">
        <v>2</v>
      </c>
      <c r="AQ571" s="27">
        <v>8</v>
      </c>
      <c r="AR571" s="27">
        <f>SUM(AO571:AQ571)</f>
        <v>122</v>
      </c>
      <c r="AS571" s="27" t="s">
        <v>6554</v>
      </c>
      <c r="AT571" s="27" t="s">
        <v>5069</v>
      </c>
      <c r="AU571" s="84" t="s">
        <v>4681</v>
      </c>
      <c r="AV571" s="77"/>
      <c r="AW571" s="77"/>
      <c r="AX571" s="77"/>
      <c r="AY571" s="77"/>
      <c r="AZ571" s="77"/>
      <c r="BA571" s="77"/>
      <c r="BB571" s="77"/>
      <c r="BC571" s="77"/>
      <c r="BD571" s="77"/>
      <c r="BE571" s="77"/>
      <c r="BF571" s="77"/>
      <c r="BG571" s="77"/>
      <c r="BH571" s="77"/>
      <c r="BI571" s="77"/>
      <c r="BJ571" s="77"/>
      <c r="BK571" s="77"/>
      <c r="BL571" s="77"/>
      <c r="BM571" s="77"/>
      <c r="BN571" s="77"/>
      <c r="BO571" s="77"/>
      <c r="BP571" s="77"/>
      <c r="BQ571" s="71"/>
      <c r="BR571" s="71"/>
      <c r="BS571" s="71"/>
      <c r="BT571" s="71"/>
      <c r="BU571" s="71"/>
      <c r="BV571" s="71"/>
      <c r="BW571" s="71"/>
      <c r="BX571" s="71"/>
      <c r="BY571" s="71"/>
      <c r="BZ571" s="71"/>
      <c r="CA571" s="71"/>
      <c r="CB571" s="71"/>
      <c r="CC571" s="77"/>
      <c r="CD571" s="77"/>
      <c r="CE571" s="77"/>
      <c r="CF571" s="77"/>
      <c r="CG571" s="77"/>
      <c r="CH571" s="77"/>
      <c r="CI571" s="77"/>
      <c r="CJ571" s="77"/>
      <c r="CK571" s="77"/>
      <c r="CL571" s="77"/>
      <c r="CM571" s="77"/>
      <c r="CN571" s="77"/>
      <c r="CO571" s="77"/>
      <c r="CP571" s="77"/>
      <c r="CQ571" s="77"/>
      <c r="CR571" s="77"/>
      <c r="CS571" s="77"/>
      <c r="CT571" s="77"/>
      <c r="CU571" s="77"/>
      <c r="CV571" s="77"/>
      <c r="CW571" s="77"/>
      <c r="CX571" s="77"/>
      <c r="CY571" s="77"/>
      <c r="CZ571" s="77"/>
      <c r="DA571" s="77"/>
      <c r="DB571" s="77"/>
      <c r="DC571" s="77"/>
      <c r="DD571" s="77"/>
      <c r="DE571" s="77"/>
      <c r="DF571" s="77"/>
      <c r="DG571" s="77"/>
      <c r="DH571" s="77"/>
      <c r="DI571" s="77"/>
      <c r="DJ571" s="77"/>
      <c r="DK571" s="77"/>
      <c r="DL571" s="77"/>
      <c r="DM571" s="77"/>
      <c r="DN571" s="77"/>
      <c r="DO571" s="77"/>
      <c r="DP571" s="77"/>
      <c r="DQ571" s="77"/>
      <c r="DR571" s="77"/>
      <c r="DS571" s="77"/>
      <c r="DT571" s="77"/>
      <c r="DU571" s="77"/>
      <c r="DV571" s="77"/>
      <c r="DW571" s="77"/>
      <c r="DX571" s="77"/>
      <c r="DY571" s="77"/>
      <c r="DZ571" s="77"/>
      <c r="EA571" s="77"/>
      <c r="EB571" s="77"/>
      <c r="EC571" s="77"/>
      <c r="ED571" s="77"/>
      <c r="EE571" s="77"/>
      <c r="EF571" s="77"/>
      <c r="EG571" s="77"/>
      <c r="EH571" s="77"/>
      <c r="EI571" s="77"/>
      <c r="EJ571" s="77"/>
      <c r="EK571" s="77"/>
      <c r="EL571" s="77"/>
      <c r="EM571" s="16"/>
      <c r="EN571" s="16"/>
      <c r="EO571" s="16"/>
      <c r="EQ571" s="77"/>
      <c r="ER571" s="77"/>
      <c r="ES571" s="77"/>
      <c r="ET571" s="77"/>
      <c r="EU571" s="77"/>
      <c r="EV571" s="77"/>
      <c r="EW571" s="77"/>
      <c r="EX571" s="77"/>
      <c r="EY571" s="77"/>
      <c r="EZ571" s="77"/>
      <c r="FA571" s="77"/>
      <c r="FB571" s="77"/>
      <c r="FC571" s="77"/>
      <c r="FD571" s="77"/>
      <c r="FE571" s="77"/>
      <c r="FF571" s="77"/>
      <c r="FG571" s="77"/>
      <c r="FH571" s="77"/>
      <c r="FI571" s="77"/>
      <c r="FJ571" s="77"/>
      <c r="FK571" s="77"/>
      <c r="FL571" s="77"/>
      <c r="FM571" s="77"/>
      <c r="FN571" s="77"/>
      <c r="FO571" s="77"/>
      <c r="FP571" s="77"/>
      <c r="FQ571" s="77"/>
      <c r="FR571" s="77"/>
      <c r="FS571" s="77"/>
      <c r="FT571" s="77"/>
      <c r="FU571" s="77"/>
      <c r="FV571" s="77"/>
      <c r="FW571" s="77"/>
      <c r="FX571" s="77"/>
      <c r="FY571" s="77"/>
      <c r="FZ571" s="77"/>
      <c r="GA571" s="77"/>
      <c r="GB571" s="77"/>
      <c r="GC571" s="77"/>
      <c r="GD571" s="77"/>
      <c r="GE571" s="77"/>
      <c r="GF571" s="77"/>
      <c r="GG571" s="77"/>
      <c r="GH571" s="77"/>
      <c r="GI571" s="77"/>
      <c r="GJ571" s="77"/>
      <c r="GK571" s="77"/>
      <c r="HL571" s="77"/>
      <c r="HM571" s="77"/>
      <c r="HN571" s="77"/>
      <c r="HO571" s="77"/>
      <c r="HP571" s="77"/>
      <c r="HQ571" s="77"/>
      <c r="HR571" s="77"/>
      <c r="HS571" s="77"/>
      <c r="HT571" s="77"/>
      <c r="HU571" s="77"/>
      <c r="HV571" s="77"/>
      <c r="HW571" s="77"/>
      <c r="HX571" s="77"/>
      <c r="HY571" s="77"/>
      <c r="HZ571" s="77"/>
      <c r="IA571" s="77"/>
      <c r="IB571" s="77"/>
      <c r="IC571" s="77"/>
      <c r="IF571" s="77"/>
      <c r="IG571" s="77"/>
      <c r="IH571" s="77"/>
      <c r="II571" s="77"/>
      <c r="IJ571" s="77"/>
      <c r="IK571" s="77"/>
      <c r="IL571" s="77"/>
      <c r="IM571" s="77"/>
      <c r="IN571" s="77"/>
      <c r="IO571" s="77"/>
      <c r="IP571" s="77"/>
      <c r="IQ571" s="77"/>
      <c r="IR571" s="77"/>
      <c r="IS571" s="77"/>
      <c r="IT571" s="77"/>
      <c r="IU571" s="77"/>
      <c r="IV571" s="77"/>
      <c r="IW571" s="77"/>
      <c r="IX571" s="77"/>
      <c r="IY571" s="77"/>
      <c r="IZ571" s="77"/>
      <c r="JA571" s="77"/>
      <c r="JB571" s="77"/>
      <c r="JC571" s="77"/>
      <c r="JD571" s="77"/>
      <c r="JE571" s="77"/>
      <c r="JF571" s="77"/>
      <c r="JG571" s="77"/>
      <c r="JH571" s="77"/>
      <c r="JI571" s="77"/>
      <c r="JJ571" s="77"/>
      <c r="JK571" s="77"/>
      <c r="JL571" s="77"/>
      <c r="JM571" s="77"/>
      <c r="JN571" s="77"/>
      <c r="JO571" s="77"/>
      <c r="JP571" s="77"/>
      <c r="JQ571" s="77"/>
      <c r="JR571" s="77"/>
      <c r="JS571" s="77"/>
      <c r="JT571" s="77"/>
      <c r="JU571" s="77"/>
      <c r="JV571" s="77"/>
      <c r="JW571" s="77"/>
      <c r="JX571" s="77"/>
      <c r="JY571" s="77"/>
      <c r="JZ571" s="77"/>
      <c r="KA571" s="77"/>
      <c r="KB571" s="77"/>
      <c r="KC571" s="77"/>
      <c r="KD571" s="77"/>
      <c r="KE571" s="77"/>
      <c r="KF571" s="77"/>
      <c r="KG571" s="77"/>
      <c r="KH571" s="77"/>
      <c r="KI571" s="77"/>
      <c r="KJ571" s="77"/>
      <c r="KK571" s="77"/>
      <c r="KL571" s="77"/>
      <c r="KM571" s="77"/>
      <c r="KN571" s="77"/>
      <c r="KO571" s="77"/>
      <c r="KP571" s="77"/>
      <c r="KQ571" s="77"/>
      <c r="KR571" s="77"/>
      <c r="KS571" s="77"/>
      <c r="KT571" s="77"/>
      <c r="KU571" s="77"/>
      <c r="KV571" s="77"/>
      <c r="KW571" s="77"/>
      <c r="KX571" s="77"/>
      <c r="KY571" s="77"/>
      <c r="KZ571" s="77"/>
      <c r="LA571" s="77"/>
      <c r="LB571" s="77"/>
      <c r="LC571" s="77"/>
      <c r="LD571" s="77"/>
      <c r="LE571" s="77"/>
      <c r="LF571" s="77"/>
      <c r="LG571" s="77"/>
      <c r="LH571" s="77"/>
      <c r="LI571" s="77"/>
      <c r="LJ571" s="77"/>
      <c r="LK571" s="77"/>
      <c r="LL571" s="77"/>
      <c r="LM571" s="77"/>
      <c r="LN571" s="77"/>
      <c r="LO571" s="77"/>
      <c r="LP571" s="77"/>
      <c r="LQ571" s="77"/>
      <c r="LR571" s="77"/>
      <c r="LS571" s="77"/>
      <c r="LT571" s="77"/>
      <c r="LU571" s="77"/>
      <c r="LV571" s="77"/>
      <c r="LW571" s="77"/>
      <c r="LX571" s="77"/>
    </row>
    <row r="572" spans="1:421" s="21" customFormat="1" ht="18.600000000000001" customHeight="1" x14ac:dyDescent="0.25">
      <c r="A572" s="119" t="s">
        <v>622</v>
      </c>
      <c r="B572" s="27" t="s">
        <v>2525</v>
      </c>
      <c r="C572" s="27" t="s">
        <v>2526</v>
      </c>
      <c r="D572" s="30" t="str">
        <f>HYPERLINK("https://twitter.com/CancilleriaPA","https://twitter.com/CancilleriaPA")</f>
        <v>https://twitter.com/CancilleriaPA</v>
      </c>
      <c r="E572" s="30" t="str">
        <f>HYPERLINK("http://twiplomacy.com/info/north-america/Panama","http://twiplomacy.com/info/north-america/Panama")</f>
        <v>http://twiplomacy.com/info/north-america/Panama</v>
      </c>
      <c r="F572" s="10" t="s">
        <v>558</v>
      </c>
      <c r="G572" s="10" t="s">
        <v>617</v>
      </c>
      <c r="H572" s="10" t="s">
        <v>795</v>
      </c>
      <c r="I572" s="10" t="s">
        <v>782</v>
      </c>
      <c r="J572" s="27" t="s">
        <v>2226</v>
      </c>
      <c r="K572" s="15" t="s">
        <v>2528</v>
      </c>
      <c r="L572" s="10" t="s">
        <v>771</v>
      </c>
      <c r="M572" s="10" t="s">
        <v>770</v>
      </c>
      <c r="N572" s="30" t="str">
        <f>HYPERLINK("https://twitter.com/CancilleriaPA/statuses/274592518270775296","https://twitter.com/CancilleriaPA/statuses/274592518270775296")</f>
        <v>https://twitter.com/CancilleriaPA/statuses/274592518270775296</v>
      </c>
      <c r="O572" s="27" t="s">
        <v>5731</v>
      </c>
      <c r="P572" s="80">
        <v>10</v>
      </c>
      <c r="Q572" s="80">
        <v>0</v>
      </c>
      <c r="R572" s="27" t="s">
        <v>2995</v>
      </c>
      <c r="S572" s="10" t="s">
        <v>2529</v>
      </c>
      <c r="T572" s="10" t="s">
        <v>771</v>
      </c>
      <c r="U572" s="10" t="s">
        <v>771</v>
      </c>
      <c r="V572" s="10" t="s">
        <v>771</v>
      </c>
      <c r="W572" s="10"/>
      <c r="X572" s="27" t="s">
        <v>622</v>
      </c>
      <c r="Y572" s="27" t="s">
        <v>2525</v>
      </c>
      <c r="Z572" s="80">
        <v>375</v>
      </c>
      <c r="AA572" s="27">
        <v>20</v>
      </c>
      <c r="AB572" s="80">
        <v>2005</v>
      </c>
      <c r="AC572" s="27">
        <v>4</v>
      </c>
      <c r="AD572" s="27" t="s">
        <v>3560</v>
      </c>
      <c r="AE572" s="27">
        <v>886983307</v>
      </c>
      <c r="AF572" s="27" t="s">
        <v>2526</v>
      </c>
      <c r="AG572" s="27" t="s">
        <v>2530</v>
      </c>
      <c r="AH572" s="79">
        <v>0.29002320185614799</v>
      </c>
      <c r="AI572" s="83">
        <v>0.99468085106382997</v>
      </c>
      <c r="AJ572" s="80">
        <v>0.81021897810219001</v>
      </c>
      <c r="AK572" s="80">
        <v>9.8540145985401506E-2</v>
      </c>
      <c r="AL572" s="27">
        <v>7</v>
      </c>
      <c r="AM572" s="97">
        <f>SUM(AL572/Z572)</f>
        <v>1.8666666666666668E-2</v>
      </c>
      <c r="AN572" s="27" t="s">
        <v>622</v>
      </c>
      <c r="AO572" s="27">
        <v>4</v>
      </c>
      <c r="AP572" s="27">
        <v>22</v>
      </c>
      <c r="AQ572" s="27">
        <v>4</v>
      </c>
      <c r="AR572" s="27">
        <f>SUM(AO572:AQ572)</f>
        <v>30</v>
      </c>
      <c r="AS572" s="27" t="s">
        <v>5060</v>
      </c>
      <c r="AT572" s="27" t="s">
        <v>5061</v>
      </c>
      <c r="AU572" s="84" t="s">
        <v>4678</v>
      </c>
      <c r="AV572" s="77"/>
      <c r="AW572" s="77"/>
      <c r="AX572" s="77"/>
      <c r="AY572" s="77"/>
      <c r="AZ572" s="77"/>
      <c r="BA572" s="77"/>
      <c r="BB572" s="77"/>
      <c r="BC572" s="77"/>
      <c r="BD572" s="77"/>
      <c r="BE572" s="77"/>
      <c r="BF572" s="77"/>
      <c r="BG572" s="77"/>
      <c r="BH572" s="77"/>
      <c r="BI572" s="77"/>
      <c r="BJ572" s="77"/>
      <c r="BK572" s="77"/>
      <c r="BL572" s="77"/>
      <c r="BM572" s="64"/>
      <c r="BN572" s="77"/>
      <c r="BO572" s="77"/>
      <c r="BP572" s="77"/>
      <c r="BQ572" s="77"/>
      <c r="BR572" s="77"/>
      <c r="BS572" s="77"/>
      <c r="BT572" s="77"/>
      <c r="BU572" s="77"/>
      <c r="BV572" s="77"/>
      <c r="BW572" s="77"/>
      <c r="BX572" s="77"/>
      <c r="BY572" s="77"/>
      <c r="BZ572" s="77"/>
      <c r="CA572" s="77"/>
      <c r="CB572" s="77"/>
      <c r="CX572" s="77"/>
      <c r="CY572" s="77"/>
      <c r="CZ572" s="77"/>
      <c r="DA572" s="77"/>
      <c r="DB572" s="77"/>
      <c r="DC572" s="77"/>
      <c r="DD572" s="77"/>
      <c r="DE572" s="77"/>
      <c r="DF572" s="77"/>
      <c r="DG572" s="77"/>
      <c r="DH572" s="77"/>
      <c r="DI572" s="77"/>
      <c r="DJ572" s="77"/>
      <c r="DK572" s="77"/>
      <c r="DL572" s="77"/>
      <c r="DM572" s="77"/>
      <c r="DN572" s="77"/>
      <c r="DO572" s="77"/>
      <c r="DP572" s="77"/>
      <c r="DQ572" s="77"/>
      <c r="DR572" s="77"/>
      <c r="DS572" s="77"/>
      <c r="DT572" s="77"/>
      <c r="DU572" s="77"/>
      <c r="DV572" s="77"/>
      <c r="DW572" s="77"/>
      <c r="DX572" s="77"/>
      <c r="DY572" s="77"/>
      <c r="DZ572" s="77"/>
      <c r="EA572" s="77"/>
      <c r="EB572" s="77"/>
      <c r="EC572" s="77"/>
      <c r="ED572" s="77"/>
      <c r="EE572" s="77"/>
      <c r="EF572" s="77"/>
      <c r="EG572" s="77"/>
      <c r="EH572" s="77"/>
      <c r="EI572" s="77"/>
      <c r="EJ572" s="77"/>
      <c r="EK572" s="77"/>
      <c r="EL572" s="77"/>
      <c r="EP572" s="77"/>
      <c r="EQ572" s="77"/>
      <c r="ER572" s="77"/>
      <c r="ES572" s="77"/>
      <c r="ET572" s="77"/>
      <c r="EU572" s="77"/>
      <c r="EV572" s="77"/>
      <c r="EW572" s="77"/>
      <c r="EX572" s="77"/>
      <c r="EY572" s="77"/>
      <c r="EZ572" s="77"/>
      <c r="FA572" s="77"/>
      <c r="FB572" s="77"/>
      <c r="FC572" s="77"/>
      <c r="FD572" s="77"/>
      <c r="FE572" s="77"/>
      <c r="FF572" s="77"/>
      <c r="FG572" s="77"/>
      <c r="FH572" s="77"/>
      <c r="FI572" s="77"/>
      <c r="FJ572" s="77"/>
      <c r="FK572" s="77"/>
      <c r="FL572" s="77"/>
      <c r="FM572" s="77"/>
      <c r="FN572" s="77"/>
      <c r="FO572" s="77"/>
      <c r="FP572" s="77"/>
      <c r="FQ572" s="77"/>
      <c r="FR572" s="77"/>
      <c r="FS572" s="77"/>
      <c r="FT572" s="77"/>
      <c r="FU572" s="77"/>
      <c r="FV572" s="77"/>
      <c r="FW572" s="77"/>
      <c r="FX572" s="77"/>
      <c r="FY572" s="77"/>
      <c r="FZ572" s="77"/>
      <c r="GA572" s="77"/>
      <c r="GB572" s="77"/>
      <c r="GC572" s="77"/>
      <c r="GD572" s="77"/>
      <c r="GE572" s="77"/>
      <c r="GF572" s="77"/>
      <c r="GG572" s="77"/>
      <c r="GH572" s="77"/>
      <c r="GI572" s="77"/>
      <c r="GJ572" s="77"/>
      <c r="GK572" s="77"/>
      <c r="GL572" s="77"/>
      <c r="GM572" s="77"/>
      <c r="GN572" s="77"/>
      <c r="GO572" s="77"/>
      <c r="GP572" s="77"/>
      <c r="GQ572" s="77"/>
      <c r="GR572" s="77"/>
      <c r="GS572" s="77"/>
      <c r="GT572" s="77"/>
      <c r="GU572" s="77"/>
      <c r="GV572" s="77"/>
      <c r="GW572" s="77"/>
      <c r="GX572" s="77"/>
      <c r="GY572" s="77"/>
      <c r="GZ572" s="77"/>
      <c r="HA572" s="77"/>
      <c r="HB572" s="77"/>
      <c r="HC572" s="77"/>
      <c r="HD572" s="77"/>
      <c r="HE572" s="77"/>
      <c r="HF572" s="77"/>
      <c r="HG572" s="77"/>
      <c r="HH572" s="77"/>
      <c r="HI572" s="77"/>
      <c r="HJ572" s="77"/>
      <c r="HK572" s="77"/>
      <c r="ID572" s="77"/>
      <c r="IE572" s="77"/>
      <c r="KM572" s="77"/>
      <c r="KN572" s="77"/>
      <c r="KO572" s="77"/>
      <c r="KP572" s="77"/>
      <c r="KQ572" s="77"/>
      <c r="KR572" s="77"/>
      <c r="KS572" s="77"/>
      <c r="KT572" s="77"/>
      <c r="KU572" s="77"/>
      <c r="KV572" s="77"/>
      <c r="KW572" s="77"/>
      <c r="KX572" s="77"/>
      <c r="KY572" s="77"/>
      <c r="KZ572" s="77"/>
      <c r="LA572" s="77"/>
      <c r="LB572" s="77"/>
      <c r="LC572" s="77"/>
      <c r="LD572" s="77"/>
      <c r="LE572" s="77"/>
      <c r="LF572" s="77"/>
      <c r="LG572" s="77"/>
      <c r="LH572" s="77"/>
      <c r="LI572" s="77"/>
      <c r="LJ572" s="77"/>
      <c r="LK572" s="77"/>
      <c r="LL572" s="77"/>
      <c r="LM572" s="77"/>
      <c r="LN572" s="77"/>
      <c r="LO572" s="77"/>
      <c r="LP572" s="77"/>
      <c r="LQ572" s="77"/>
      <c r="LR572" s="77"/>
      <c r="LS572" s="77"/>
      <c r="LT572" s="77"/>
      <c r="LU572" s="77"/>
      <c r="LV572" s="77"/>
    </row>
    <row r="573" spans="1:421" s="21" customFormat="1" ht="18.600000000000001" customHeight="1" x14ac:dyDescent="0.25">
      <c r="A573" s="119" t="s">
        <v>1393</v>
      </c>
      <c r="B573" s="27" t="s">
        <v>1393</v>
      </c>
      <c r="C573" s="27" t="s">
        <v>1394</v>
      </c>
      <c r="D573" s="30" t="str">
        <f>HYPERLINK("https://twitter.com/japan","https://twitter.com/japan")</f>
        <v>https://twitter.com/japan</v>
      </c>
      <c r="E573" s="30" t="str">
        <f>HYPERLINK("http://twiplomacy.com/info/asia/japan/","http://twiplomacy.com/info/asia/japan/")</f>
        <v>http://twiplomacy.com/info/asia/japan/</v>
      </c>
      <c r="F573" s="10" t="s">
        <v>154</v>
      </c>
      <c r="G573" s="10" t="s">
        <v>213</v>
      </c>
      <c r="H573" s="10" t="s">
        <v>788</v>
      </c>
      <c r="I573" s="10" t="s">
        <v>782</v>
      </c>
      <c r="J573" s="27" t="s">
        <v>789</v>
      </c>
      <c r="K573" s="10" t="s">
        <v>777</v>
      </c>
      <c r="L573" s="10" t="s">
        <v>771</v>
      </c>
      <c r="M573" s="10" t="s">
        <v>771</v>
      </c>
      <c r="N573" s="30" t="str">
        <f>HYPERLINK("https://twitter.com/japan/status/113657185002717184","https://twitter.com/japan/status/113657185002717184")</f>
        <v>https://twitter.com/japan/status/113657185002717184</v>
      </c>
      <c r="O573" s="27" t="s">
        <v>1395</v>
      </c>
      <c r="P573" s="80">
        <v>393</v>
      </c>
      <c r="Q573" s="80">
        <v>264</v>
      </c>
      <c r="R573" s="27" t="s">
        <v>2994</v>
      </c>
      <c r="S573" s="30" t="str">
        <f>HYPERLINK("https://twitter.com/japan/lists","https://twitter.com/japan/lists")</f>
        <v>https://twitter.com/japan/lists</v>
      </c>
      <c r="T573" s="10" t="s">
        <v>771</v>
      </c>
      <c r="U573" s="10" t="s">
        <v>771</v>
      </c>
      <c r="V573" s="10" t="s">
        <v>771</v>
      </c>
      <c r="W573" s="10"/>
      <c r="X573" s="27" t="s">
        <v>1393</v>
      </c>
      <c r="Y573" s="27" t="s">
        <v>1393</v>
      </c>
      <c r="Z573" s="80">
        <v>371</v>
      </c>
      <c r="AA573" s="27">
        <v>625</v>
      </c>
      <c r="AB573" s="80">
        <v>56437</v>
      </c>
      <c r="AC573" s="27">
        <v>15</v>
      </c>
      <c r="AD573" s="27" t="s">
        <v>3878</v>
      </c>
      <c r="AE573" s="27">
        <v>869231</v>
      </c>
      <c r="AF573" s="27" t="s">
        <v>1394</v>
      </c>
      <c r="AG573" s="27"/>
      <c r="AH573" s="79">
        <v>0.11104459742592</v>
      </c>
      <c r="AI573" s="83">
        <v>0.219064535227946</v>
      </c>
      <c r="AJ573" s="80">
        <v>35.312925170067999</v>
      </c>
      <c r="AK573" s="80">
        <v>44.887755102040799</v>
      </c>
      <c r="AL573" s="27">
        <v>2</v>
      </c>
      <c r="AM573" s="97">
        <f>SUM(AL573/Z573)</f>
        <v>5.3908355795148251E-3</v>
      </c>
      <c r="AN573" s="27" t="s">
        <v>1393</v>
      </c>
      <c r="AO573" s="27">
        <v>3</v>
      </c>
      <c r="AP573" s="27">
        <v>4</v>
      </c>
      <c r="AQ573" s="27">
        <v>1</v>
      </c>
      <c r="AR573" s="27">
        <f>SUM(AO573:AQ573)</f>
        <v>8</v>
      </c>
      <c r="AS573" s="27" t="s">
        <v>5214</v>
      </c>
      <c r="AT573" s="27" t="s">
        <v>5215</v>
      </c>
      <c r="AU573" s="84" t="s">
        <v>216</v>
      </c>
      <c r="AV573" s="77"/>
      <c r="AW573" s="77"/>
      <c r="AX573" s="77"/>
      <c r="AY573" s="77"/>
      <c r="AZ573" s="77"/>
      <c r="BA573" s="77"/>
      <c r="BB573" s="77"/>
      <c r="BC573" s="77"/>
      <c r="BD573" s="77"/>
      <c r="BE573" s="77"/>
      <c r="BF573" s="77"/>
      <c r="BG573" s="77"/>
      <c r="BH573" s="77"/>
      <c r="BI573" s="77"/>
      <c r="BJ573" s="77"/>
      <c r="BK573" s="77"/>
      <c r="BL573" s="77"/>
      <c r="BM573" s="77"/>
      <c r="BN573" s="77"/>
      <c r="BO573" s="77"/>
      <c r="BP573" s="77"/>
      <c r="BQ573" s="77"/>
      <c r="BR573" s="77"/>
      <c r="BS573" s="77"/>
      <c r="BT573" s="77"/>
      <c r="BU573" s="77"/>
      <c r="BV573" s="77"/>
      <c r="BW573" s="77"/>
      <c r="BX573" s="77"/>
      <c r="BY573" s="77"/>
      <c r="BZ573" s="77"/>
      <c r="CA573" s="77"/>
      <c r="CB573" s="77"/>
      <c r="CC573" s="77"/>
      <c r="CD573" s="77"/>
      <c r="CE573" s="77"/>
      <c r="CF573" s="77"/>
      <c r="CG573" s="77"/>
      <c r="CH573" s="77"/>
      <c r="CI573" s="77"/>
      <c r="CJ573" s="77"/>
      <c r="CK573" s="77"/>
      <c r="CL573" s="77"/>
      <c r="CM573" s="77"/>
      <c r="CN573" s="77"/>
      <c r="CO573" s="77"/>
      <c r="CP573" s="77"/>
      <c r="CQ573" s="77"/>
      <c r="CR573" s="77"/>
      <c r="CS573" s="77"/>
      <c r="CT573" s="77"/>
      <c r="CU573" s="77"/>
      <c r="CV573" s="77"/>
      <c r="CW573" s="77"/>
      <c r="CX573" s="77"/>
      <c r="CY573" s="77"/>
      <c r="CZ573" s="77"/>
      <c r="DA573" s="77"/>
      <c r="DB573" s="77"/>
      <c r="DC573" s="77"/>
      <c r="DD573" s="77"/>
      <c r="DE573" s="77"/>
      <c r="DF573" s="77"/>
      <c r="DG573" s="77"/>
      <c r="DH573" s="77"/>
      <c r="DI573" s="77"/>
      <c r="DJ573" s="77"/>
      <c r="DK573" s="77"/>
      <c r="DL573" s="77"/>
      <c r="DM573" s="77"/>
      <c r="DN573" s="77"/>
      <c r="DO573" s="77"/>
      <c r="DP573" s="77"/>
      <c r="DQ573" s="77"/>
      <c r="DR573" s="77"/>
      <c r="DS573" s="77"/>
      <c r="DT573" s="77"/>
      <c r="DU573" s="77"/>
      <c r="DV573" s="77"/>
      <c r="DW573" s="77"/>
      <c r="DX573" s="77"/>
      <c r="DY573" s="77"/>
      <c r="DZ573" s="77"/>
      <c r="EA573" s="77"/>
      <c r="EB573" s="77"/>
      <c r="EC573" s="77"/>
      <c r="ED573" s="77"/>
      <c r="EE573" s="77"/>
      <c r="EF573" s="77"/>
      <c r="EG573" s="77"/>
      <c r="EH573" s="77"/>
      <c r="EI573" s="77"/>
      <c r="EJ573" s="77"/>
      <c r="EK573" s="77"/>
      <c r="EL573" s="77"/>
      <c r="EM573" s="16"/>
      <c r="EN573" s="16"/>
      <c r="EO573" s="16"/>
      <c r="EP573" s="16"/>
      <c r="ER573" s="77"/>
      <c r="ES573" s="77"/>
      <c r="ET573" s="77"/>
      <c r="EU573" s="77"/>
      <c r="EV573" s="77"/>
      <c r="EW573" s="77"/>
      <c r="EX573" s="77"/>
      <c r="EY573" s="77"/>
      <c r="EZ573" s="77"/>
      <c r="FA573" s="77"/>
      <c r="FB573" s="77"/>
      <c r="FC573" s="77"/>
      <c r="FD573" s="77"/>
      <c r="FE573" s="77"/>
      <c r="FF573" s="77"/>
      <c r="FG573" s="77"/>
      <c r="FH573" s="77"/>
      <c r="FI573" s="77"/>
      <c r="FJ573" s="77"/>
      <c r="FK573" s="77"/>
      <c r="FL573" s="77"/>
      <c r="FM573" s="77"/>
      <c r="FN573" s="77"/>
      <c r="FO573" s="77"/>
      <c r="FP573" s="77"/>
      <c r="FQ573" s="77"/>
      <c r="FR573" s="77"/>
      <c r="FS573" s="77"/>
      <c r="FT573" s="77"/>
      <c r="FU573" s="77"/>
      <c r="FV573" s="77"/>
      <c r="FW573" s="77"/>
      <c r="FX573" s="77"/>
      <c r="FY573" s="77"/>
      <c r="FZ573" s="77"/>
      <c r="GA573" s="77"/>
      <c r="GB573" s="77"/>
      <c r="GC573" s="77"/>
      <c r="GD573" s="77"/>
      <c r="GE573" s="77"/>
      <c r="GF573" s="77"/>
      <c r="GG573" s="77"/>
      <c r="GH573" s="77"/>
      <c r="GI573" s="77"/>
      <c r="GJ573" s="77"/>
      <c r="GK573" s="77"/>
      <c r="GL573" s="77"/>
      <c r="GM573" s="77"/>
      <c r="GN573" s="77"/>
      <c r="GO573" s="77"/>
      <c r="GP573" s="77"/>
      <c r="GQ573" s="77"/>
      <c r="GR573" s="77"/>
      <c r="GS573" s="77"/>
      <c r="GT573" s="77"/>
      <c r="GU573" s="77"/>
      <c r="GV573" s="77"/>
      <c r="GW573" s="77"/>
      <c r="GX573" s="77"/>
      <c r="GY573" s="77"/>
      <c r="GZ573" s="77"/>
      <c r="HA573" s="77"/>
      <c r="HB573" s="77"/>
      <c r="HC573" s="77"/>
      <c r="HD573" s="77"/>
      <c r="HE573" s="77"/>
      <c r="HF573" s="77"/>
      <c r="HG573" s="77"/>
      <c r="HH573" s="77"/>
      <c r="HI573" s="77"/>
      <c r="HJ573" s="77"/>
      <c r="HK573" s="77"/>
      <c r="ID573" s="77"/>
      <c r="IE573" s="77"/>
      <c r="IF573" s="77"/>
      <c r="IG573" s="77"/>
      <c r="IH573" s="77"/>
      <c r="II573" s="77"/>
      <c r="IJ573" s="77"/>
      <c r="IK573" s="77"/>
      <c r="IL573" s="77"/>
      <c r="IM573" s="77"/>
      <c r="IN573" s="77"/>
      <c r="IO573" s="77"/>
      <c r="IP573" s="77"/>
      <c r="IQ573" s="77"/>
      <c r="IR573" s="77"/>
      <c r="IS573" s="77"/>
      <c r="IT573" s="77"/>
      <c r="IU573" s="77"/>
      <c r="IV573" s="77"/>
      <c r="IW573" s="77"/>
      <c r="IX573" s="77"/>
      <c r="IY573" s="77"/>
      <c r="IZ573" s="77"/>
      <c r="JA573" s="77"/>
      <c r="JB573" s="77"/>
      <c r="JC573" s="77"/>
      <c r="JD573" s="77"/>
      <c r="JE573" s="77"/>
      <c r="JF573" s="77"/>
      <c r="JG573" s="77"/>
      <c r="JH573" s="77"/>
      <c r="JI573" s="77"/>
      <c r="JJ573" s="77"/>
      <c r="JK573" s="77"/>
      <c r="JL573" s="77"/>
      <c r="JM573" s="77"/>
      <c r="JN573" s="77"/>
      <c r="JO573" s="77"/>
      <c r="JP573" s="77"/>
      <c r="JQ573" s="77"/>
      <c r="JR573" s="77"/>
      <c r="JS573" s="77"/>
      <c r="JT573" s="77"/>
      <c r="JU573" s="77"/>
      <c r="JV573" s="77"/>
      <c r="JW573" s="77"/>
      <c r="JX573" s="77"/>
      <c r="KM573" s="16"/>
      <c r="KN573" s="16"/>
      <c r="KO573" s="16"/>
      <c r="KP573" s="16"/>
      <c r="KQ573" s="16"/>
      <c r="KR573" s="16"/>
      <c r="KS573" s="16"/>
      <c r="KT573" s="16"/>
      <c r="KU573" s="16"/>
      <c r="KV573" s="16"/>
      <c r="KW573" s="16"/>
      <c r="KX573" s="16"/>
      <c r="KY573" s="16"/>
      <c r="KZ573" s="16"/>
      <c r="LA573" s="16"/>
      <c r="LB573" s="16"/>
      <c r="LC573" s="16"/>
      <c r="LD573" s="16"/>
      <c r="LE573" s="16"/>
      <c r="LF573" s="16"/>
      <c r="LG573" s="16"/>
      <c r="LH573" s="16"/>
      <c r="LI573" s="16"/>
      <c r="LJ573" s="16"/>
      <c r="LK573" s="16"/>
      <c r="LL573" s="77"/>
      <c r="LM573" s="77"/>
      <c r="LN573" s="77"/>
      <c r="LO573" s="77"/>
      <c r="LP573" s="77"/>
      <c r="LQ573" s="77"/>
      <c r="LR573" s="77"/>
      <c r="LS573" s="77"/>
      <c r="LT573" s="77"/>
      <c r="LU573" s="77"/>
      <c r="LV573" s="77"/>
      <c r="LY573" s="77"/>
      <c r="LZ573" s="77"/>
      <c r="MA573" s="77"/>
      <c r="MB573" s="77"/>
      <c r="MC573" s="77"/>
      <c r="MD573" s="77"/>
      <c r="ME573" s="77"/>
      <c r="MF573" s="77"/>
      <c r="MG573" s="77"/>
      <c r="MH573" s="77"/>
      <c r="MI573" s="77"/>
      <c r="MJ573" s="77"/>
      <c r="MK573" s="77"/>
      <c r="ML573" s="77"/>
      <c r="MM573" s="77"/>
      <c r="MN573" s="77"/>
      <c r="MO573" s="77"/>
      <c r="MP573" s="77"/>
      <c r="MQ573" s="77"/>
      <c r="MR573" s="77"/>
      <c r="NE573" s="77"/>
      <c r="NF573" s="77"/>
      <c r="NG573" s="77"/>
      <c r="NH573" s="77"/>
      <c r="NI573" s="77"/>
      <c r="NJ573" s="77"/>
      <c r="NK573" s="77"/>
      <c r="NL573" s="77"/>
      <c r="NM573" s="77"/>
      <c r="NN573" s="77"/>
      <c r="NO573" s="77"/>
      <c r="NP573" s="77"/>
      <c r="NQ573" s="77"/>
      <c r="NR573" s="77"/>
      <c r="NS573" s="77"/>
      <c r="NT573" s="77"/>
      <c r="NU573" s="77"/>
      <c r="NV573" s="77"/>
      <c r="NW573" s="77"/>
      <c r="NX573" s="77"/>
      <c r="NY573" s="77"/>
      <c r="NZ573" s="77"/>
      <c r="OA573" s="77"/>
      <c r="OB573" s="77"/>
      <c r="OC573" s="77"/>
      <c r="OD573" s="77"/>
      <c r="OE573" s="77"/>
      <c r="OF573" s="77"/>
      <c r="OG573" s="77"/>
      <c r="OH573" s="77"/>
      <c r="OI573" s="77"/>
      <c r="OJ573" s="77"/>
      <c r="OK573" s="77"/>
      <c r="OL573" s="77"/>
      <c r="OM573" s="77"/>
      <c r="ON573" s="77"/>
      <c r="OO573" s="77"/>
      <c r="OP573" s="77"/>
      <c r="OQ573" s="77"/>
      <c r="OR573" s="77"/>
      <c r="OS573" s="77"/>
      <c r="OT573" s="77"/>
      <c r="OU573" s="77"/>
      <c r="OV573" s="77"/>
      <c r="OW573" s="77"/>
      <c r="OX573" s="77"/>
      <c r="OY573" s="77"/>
      <c r="OZ573" s="77"/>
      <c r="PA573" s="77"/>
      <c r="PB573" s="77"/>
      <c r="PC573" s="77"/>
      <c r="PD573" s="77"/>
      <c r="PE573" s="77"/>
    </row>
    <row r="574" spans="1:421" s="21" customFormat="1" ht="18.600000000000001" customHeight="1" x14ac:dyDescent="0.25">
      <c r="A574" s="119" t="s">
        <v>3943</v>
      </c>
      <c r="B574" s="27" t="s">
        <v>1764</v>
      </c>
      <c r="C574" s="27" t="s">
        <v>3944</v>
      </c>
      <c r="D574" s="30" t="str">
        <f>HYPERLINK("https://twitter.com/kolindagk","https://twitter.com/kolindagk")</f>
        <v>https://twitter.com/kolindagk</v>
      </c>
      <c r="E574" s="30" t="str">
        <f>HYPERLINK("http://twiplomacy.com/info/europe/Croatia","http://twiplomacy.com/info/europe/Croatia")</f>
        <v>http://twiplomacy.com/info/europe/Croatia</v>
      </c>
      <c r="F574" s="10" t="s">
        <v>332</v>
      </c>
      <c r="G574" s="10" t="s">
        <v>358</v>
      </c>
      <c r="H574" s="10" t="s">
        <v>772</v>
      </c>
      <c r="I574" s="10" t="s">
        <v>773</v>
      </c>
      <c r="J574" s="27" t="s">
        <v>789</v>
      </c>
      <c r="K574" s="15" t="s">
        <v>777</v>
      </c>
      <c r="L574" s="10"/>
      <c r="M574" s="10" t="s">
        <v>770</v>
      </c>
      <c r="N574" s="30" t="str">
        <f>HYPERLINK("https://twitter.com/kolindagk/status/536185002829295616","https://twitter.com/kolindagk/status/536185002829295616")</f>
        <v>https://twitter.com/kolindagk/status/536185002829295616</v>
      </c>
      <c r="O574" s="27" t="s">
        <v>5903</v>
      </c>
      <c r="P574" s="80">
        <v>168</v>
      </c>
      <c r="Q574" s="80">
        <v>225</v>
      </c>
      <c r="R574" s="27" t="s">
        <v>2995</v>
      </c>
      <c r="S574" s="30" t="str">
        <f>HYPERLINK("https://twitter.com/kolindagk/lists","https://twitter.com/kolindagk/lists")</f>
        <v>https://twitter.com/kolindagk/lists</v>
      </c>
      <c r="T574" s="10" t="s">
        <v>771</v>
      </c>
      <c r="U574" s="10" t="s">
        <v>771</v>
      </c>
      <c r="V574" s="10" t="s">
        <v>771</v>
      </c>
      <c r="W574" s="10"/>
      <c r="X574" s="27" t="s">
        <v>3943</v>
      </c>
      <c r="Y574" s="27" t="s">
        <v>1764</v>
      </c>
      <c r="Z574" s="80">
        <v>367</v>
      </c>
      <c r="AA574" s="27">
        <v>266</v>
      </c>
      <c r="AB574" s="80">
        <v>17089</v>
      </c>
      <c r="AC574" s="27">
        <v>68</v>
      </c>
      <c r="AD574" s="27" t="s">
        <v>3945</v>
      </c>
      <c r="AE574" s="27">
        <v>2809906864</v>
      </c>
      <c r="AF574" s="27" t="s">
        <v>3944</v>
      </c>
      <c r="AG574" s="27" t="s">
        <v>358</v>
      </c>
      <c r="AH574" s="79">
        <v>0.63937282229965198</v>
      </c>
      <c r="AI574" s="83">
        <v>0.70038167938931295</v>
      </c>
      <c r="AJ574" s="80">
        <v>11.5048231511254</v>
      </c>
      <c r="AK574" s="80">
        <v>34.768488745980697</v>
      </c>
      <c r="AL574" s="27">
        <v>11</v>
      </c>
      <c r="AM574" s="97">
        <f>SUM(AL574/Z574)</f>
        <v>2.9972752043596729E-2</v>
      </c>
      <c r="AN574" s="27" t="s">
        <v>3943</v>
      </c>
      <c r="AO574" s="27">
        <v>15</v>
      </c>
      <c r="AP574" s="27">
        <v>15</v>
      </c>
      <c r="AQ574" s="27">
        <v>11</v>
      </c>
      <c r="AR574" s="27">
        <f>SUM(AO574:AQ574)</f>
        <v>41</v>
      </c>
      <c r="AS574" s="27" t="s">
        <v>5240</v>
      </c>
      <c r="AT574" s="27" t="s">
        <v>6306</v>
      </c>
      <c r="AU574" s="84" t="s">
        <v>4798</v>
      </c>
      <c r="AV574" s="77"/>
      <c r="AW574" s="77"/>
      <c r="AX574" s="77"/>
      <c r="AY574" s="77"/>
      <c r="AZ574" s="77"/>
      <c r="BA574" s="77"/>
      <c r="BB574" s="77"/>
      <c r="BC574" s="77"/>
      <c r="BD574" s="77"/>
      <c r="BE574" s="77"/>
      <c r="BF574" s="77"/>
      <c r="BG574" s="77"/>
      <c r="BH574" s="77"/>
      <c r="BI574" s="77"/>
      <c r="BJ574" s="77"/>
      <c r="BK574" s="77"/>
      <c r="BL574" s="77"/>
      <c r="BM574" s="69"/>
      <c r="BQ574" s="77"/>
      <c r="BR574" s="77"/>
      <c r="BS574" s="77"/>
      <c r="BT574" s="77"/>
      <c r="BU574" s="77"/>
      <c r="BV574" s="77"/>
      <c r="BW574" s="77"/>
      <c r="BX574" s="77"/>
      <c r="BY574" s="77"/>
      <c r="BZ574" s="77"/>
      <c r="CA574" s="77"/>
      <c r="CB574" s="77"/>
      <c r="CC574" s="77"/>
      <c r="CD574" s="77"/>
      <c r="CE574" s="77"/>
      <c r="CF574" s="77"/>
      <c r="CG574" s="77"/>
      <c r="CH574" s="77"/>
      <c r="CI574" s="77"/>
      <c r="CJ574" s="77"/>
      <c r="CK574" s="77"/>
      <c r="CL574" s="77"/>
      <c r="CM574" s="77"/>
      <c r="CN574" s="77"/>
      <c r="CO574" s="77"/>
      <c r="CP574" s="77"/>
      <c r="CQ574" s="77"/>
      <c r="CR574" s="77"/>
      <c r="CS574" s="77"/>
      <c r="CT574" s="77"/>
      <c r="CU574" s="77"/>
      <c r="CV574" s="77"/>
      <c r="CW574" s="77"/>
      <c r="CX574" s="77"/>
      <c r="CY574" s="77"/>
      <c r="CZ574" s="77"/>
      <c r="DA574" s="77"/>
      <c r="DB574" s="77"/>
      <c r="DC574" s="77"/>
      <c r="DD574" s="77"/>
      <c r="DE574" s="77"/>
      <c r="DF574" s="77"/>
      <c r="DG574" s="77"/>
      <c r="DH574" s="77"/>
      <c r="DI574" s="77"/>
      <c r="DJ574" s="77"/>
      <c r="DK574" s="77"/>
      <c r="DL574" s="77"/>
      <c r="DM574" s="77"/>
      <c r="DN574" s="77"/>
      <c r="DO574" s="77"/>
      <c r="DP574" s="77"/>
      <c r="DQ574" s="77"/>
      <c r="DR574" s="77"/>
      <c r="DS574" s="77"/>
      <c r="DT574" s="77"/>
      <c r="DU574" s="77"/>
      <c r="DV574" s="77"/>
      <c r="DW574" s="77"/>
      <c r="DX574" s="77"/>
      <c r="DY574" s="77"/>
      <c r="DZ574" s="77"/>
      <c r="EA574" s="77"/>
      <c r="EB574" s="77"/>
      <c r="EC574" s="77"/>
      <c r="ED574" s="77"/>
      <c r="EE574" s="77"/>
      <c r="EF574" s="77"/>
      <c r="EG574" s="77"/>
      <c r="EH574" s="77"/>
      <c r="EI574" s="77"/>
      <c r="EJ574" s="77"/>
      <c r="EK574" s="77"/>
      <c r="EL574" s="77"/>
      <c r="EM574" s="77"/>
      <c r="EN574" s="77"/>
      <c r="EO574" s="77"/>
      <c r="EQ574" s="77"/>
      <c r="GL574" s="77"/>
      <c r="GM574" s="77"/>
      <c r="GN574" s="77"/>
      <c r="GO574" s="77"/>
      <c r="GP574" s="77"/>
      <c r="GQ574" s="77"/>
      <c r="GR574" s="77"/>
      <c r="GS574" s="77"/>
      <c r="GT574" s="77"/>
      <c r="GU574" s="77"/>
      <c r="GV574" s="77"/>
      <c r="GW574" s="77"/>
      <c r="GX574" s="77"/>
      <c r="GY574" s="77"/>
      <c r="GZ574" s="77"/>
      <c r="HA574" s="77"/>
      <c r="HB574" s="77"/>
      <c r="HC574" s="77"/>
      <c r="HD574" s="77"/>
      <c r="HE574" s="77"/>
      <c r="HF574" s="77"/>
      <c r="HG574" s="77"/>
      <c r="HH574" s="77"/>
      <c r="HI574" s="77"/>
      <c r="HJ574" s="77"/>
      <c r="HK574" s="77"/>
      <c r="ID574" s="77"/>
      <c r="IE574" s="77"/>
      <c r="IF574" s="77"/>
      <c r="IG574" s="77"/>
      <c r="IH574" s="77"/>
      <c r="II574" s="77"/>
      <c r="IJ574" s="77"/>
      <c r="IK574" s="77"/>
      <c r="IL574" s="77"/>
      <c r="IM574" s="77"/>
      <c r="IN574" s="77"/>
      <c r="IO574" s="77"/>
      <c r="IP574" s="77"/>
      <c r="IQ574" s="77"/>
      <c r="IR574" s="77"/>
      <c r="IS574" s="77"/>
      <c r="IT574" s="77"/>
      <c r="IU574" s="77"/>
      <c r="IV574" s="77"/>
      <c r="IW574" s="77"/>
      <c r="IX574" s="77"/>
      <c r="IY574" s="77"/>
      <c r="IZ574" s="77"/>
      <c r="JA574" s="77"/>
      <c r="JB574" s="77"/>
      <c r="JC574" s="77"/>
      <c r="JD574" s="77"/>
      <c r="JE574" s="77"/>
      <c r="JF574" s="77"/>
      <c r="JG574" s="77"/>
      <c r="JH574" s="77"/>
      <c r="JI574" s="77"/>
      <c r="JJ574" s="77"/>
      <c r="JK574" s="77"/>
      <c r="JL574" s="77"/>
      <c r="JM574" s="77"/>
      <c r="JN574" s="77"/>
      <c r="JO574" s="77"/>
      <c r="JP574" s="77"/>
      <c r="JQ574" s="77"/>
      <c r="JR574" s="77"/>
      <c r="JS574" s="77"/>
      <c r="JT574" s="77"/>
      <c r="JU574" s="77"/>
      <c r="JV574" s="77"/>
      <c r="JW574" s="77"/>
      <c r="JX574" s="77"/>
      <c r="JY574" s="77"/>
      <c r="JZ574" s="77"/>
      <c r="KA574" s="77"/>
      <c r="KB574" s="77"/>
      <c r="KC574" s="77"/>
      <c r="KD574" s="77"/>
      <c r="KE574" s="77"/>
      <c r="KF574" s="77"/>
      <c r="KG574" s="77"/>
      <c r="KH574" s="77"/>
      <c r="KI574" s="77"/>
      <c r="KJ574" s="77"/>
      <c r="KK574" s="77"/>
      <c r="KL574" s="77"/>
      <c r="KM574" s="77"/>
      <c r="KN574" s="77"/>
      <c r="KO574" s="77"/>
      <c r="KP574" s="77"/>
      <c r="KQ574" s="77"/>
      <c r="KR574" s="77"/>
      <c r="KS574" s="77"/>
      <c r="KT574" s="77"/>
      <c r="KU574" s="77"/>
      <c r="KV574" s="77"/>
      <c r="KW574" s="77"/>
      <c r="KX574" s="77"/>
      <c r="KY574" s="77"/>
      <c r="KZ574" s="77"/>
      <c r="LA574" s="77"/>
      <c r="LB574" s="77"/>
      <c r="LC574" s="77"/>
      <c r="LD574" s="77"/>
      <c r="LE574" s="77"/>
      <c r="LF574" s="77"/>
      <c r="LG574" s="77"/>
      <c r="LH574" s="77"/>
      <c r="LI574" s="77"/>
      <c r="LJ574" s="77"/>
      <c r="LK574" s="77"/>
      <c r="LL574" s="16"/>
      <c r="LM574" s="16"/>
      <c r="LN574" s="16"/>
      <c r="LO574" s="16"/>
      <c r="LP574" s="16"/>
      <c r="LQ574" s="16"/>
      <c r="LR574" s="16"/>
      <c r="LS574" s="16"/>
      <c r="LT574" s="16"/>
      <c r="LU574" s="16"/>
      <c r="LV574" s="16"/>
      <c r="LW574" s="77"/>
      <c r="LX574" s="77"/>
      <c r="LY574" s="77"/>
      <c r="LZ574" s="77"/>
      <c r="MA574" s="77"/>
      <c r="MB574" s="77"/>
      <c r="MC574" s="77"/>
      <c r="MD574" s="77"/>
      <c r="ME574" s="77"/>
      <c r="MF574" s="77"/>
      <c r="MG574" s="77"/>
      <c r="MH574" s="77"/>
      <c r="MI574" s="77"/>
      <c r="MJ574" s="77"/>
      <c r="MK574" s="77"/>
      <c r="ML574" s="77"/>
      <c r="MM574" s="77"/>
      <c r="MN574" s="77"/>
      <c r="MO574" s="77"/>
      <c r="MP574" s="77"/>
      <c r="MQ574" s="77"/>
      <c r="MR574" s="77"/>
      <c r="MS574" s="77"/>
    </row>
    <row r="575" spans="1:421" s="21" customFormat="1" ht="18.600000000000001" customHeight="1" x14ac:dyDescent="0.25">
      <c r="A575" s="119" t="s">
        <v>79</v>
      </c>
      <c r="B575" s="27" t="s">
        <v>3470</v>
      </c>
      <c r="C575" s="27" t="s">
        <v>3471</v>
      </c>
      <c r="D575" s="30" t="s">
        <v>978</v>
      </c>
      <c r="E575" s="30" t="str">
        <f>HYPERLINK("http://twiplomacy.com/info/africa/Malawi","http://twiplomacy.com/info/africa/Malawi")</f>
        <v>http://twiplomacy.com/info/africa/Malawi</v>
      </c>
      <c r="F575" s="10" t="s">
        <v>1</v>
      </c>
      <c r="G575" s="10" t="s">
        <v>78</v>
      </c>
      <c r="H575" s="10" t="s">
        <v>772</v>
      </c>
      <c r="I575" s="10" t="s">
        <v>773</v>
      </c>
      <c r="J575" s="27" t="s">
        <v>789</v>
      </c>
      <c r="K575" s="15" t="s">
        <v>777</v>
      </c>
      <c r="L575" s="15"/>
      <c r="M575" s="10" t="s">
        <v>771</v>
      </c>
      <c r="N575" s="30" t="str">
        <f>HYPERLINK("https://twitter.com/ProfMutharika/statuses/466254593916420096","https://twitter.com/ProfMutharika/statuses/466254593916420096")</f>
        <v>https://twitter.com/ProfMutharika/statuses/466254593916420096</v>
      </c>
      <c r="O575" s="27" t="s">
        <v>5687</v>
      </c>
      <c r="P575" s="80">
        <v>11</v>
      </c>
      <c r="Q575" s="80">
        <v>10</v>
      </c>
      <c r="R575" s="27" t="s">
        <v>2995</v>
      </c>
      <c r="S575" s="30" t="str">
        <f>HYPERLINK("https://twitter.com/ProfMutharika/lists","https://twitter.com/ProfMutharika/lists")</f>
        <v>https://twitter.com/ProfMutharika/lists</v>
      </c>
      <c r="T575" s="10" t="s">
        <v>771</v>
      </c>
      <c r="U575" s="10" t="s">
        <v>771</v>
      </c>
      <c r="V575" s="10" t="s">
        <v>771</v>
      </c>
      <c r="W575" s="10"/>
      <c r="X575" s="27" t="s">
        <v>79</v>
      </c>
      <c r="Y575" s="27" t="s">
        <v>3470</v>
      </c>
      <c r="Z575" s="80">
        <v>364</v>
      </c>
      <c r="AA575" s="27">
        <v>18</v>
      </c>
      <c r="AB575" s="80">
        <v>507</v>
      </c>
      <c r="AC575" s="27">
        <v>9</v>
      </c>
      <c r="AD575" s="27" t="s">
        <v>3472</v>
      </c>
      <c r="AE575" s="27">
        <v>2858673641</v>
      </c>
      <c r="AF575" s="27" t="s">
        <v>3471</v>
      </c>
      <c r="AG575" s="27" t="s">
        <v>3473</v>
      </c>
      <c r="AH575" s="79">
        <v>0.66666666666666696</v>
      </c>
      <c r="AI575" s="83">
        <v>0.66666666666666696</v>
      </c>
      <c r="AJ575" s="80">
        <v>0.37950138504155101</v>
      </c>
      <c r="AK575" s="80">
        <v>0.39612188365651002</v>
      </c>
      <c r="AL575" s="13">
        <v>0</v>
      </c>
      <c r="AM575" s="97">
        <f>SUM(AL575/Z575)</f>
        <v>0</v>
      </c>
      <c r="AN575" s="27" t="s">
        <v>79</v>
      </c>
      <c r="AO575" s="27">
        <v>1</v>
      </c>
      <c r="AP575" s="27">
        <v>1</v>
      </c>
      <c r="AQ575" s="27">
        <v>0</v>
      </c>
      <c r="AR575" s="27">
        <f>SUM(AO575:AQ575)</f>
        <v>2</v>
      </c>
      <c r="AS575" s="27" t="s">
        <v>66</v>
      </c>
      <c r="AT575" s="27" t="s">
        <v>705</v>
      </c>
      <c r="AU575" s="84"/>
      <c r="AV575" s="77"/>
      <c r="AW575" s="77"/>
      <c r="AX575" s="77"/>
      <c r="AY575" s="77"/>
      <c r="AZ575" s="77"/>
      <c r="BA575" s="77"/>
      <c r="BB575" s="77"/>
      <c r="BC575" s="77"/>
      <c r="BD575" s="77"/>
      <c r="BE575" s="77"/>
      <c r="BF575" s="77"/>
      <c r="BG575" s="77"/>
      <c r="BH575" s="77"/>
      <c r="BI575" s="77"/>
      <c r="BJ575" s="77"/>
      <c r="BK575" s="77"/>
      <c r="BL575" s="77"/>
      <c r="BM575" s="77"/>
      <c r="BN575" s="77"/>
      <c r="BO575" s="77"/>
      <c r="BP575" s="77"/>
      <c r="BQ575" s="77"/>
      <c r="BR575" s="77"/>
      <c r="BS575" s="77"/>
      <c r="BT575" s="77"/>
      <c r="BU575" s="77"/>
      <c r="BV575" s="77"/>
      <c r="BW575" s="77"/>
      <c r="BX575" s="77"/>
      <c r="BY575" s="77"/>
      <c r="BZ575" s="77"/>
      <c r="CA575" s="77"/>
      <c r="CB575" s="77"/>
      <c r="CC575" s="77"/>
      <c r="CD575" s="77"/>
      <c r="CE575" s="77"/>
      <c r="CF575" s="77"/>
      <c r="CG575" s="77"/>
      <c r="CH575" s="77"/>
      <c r="CI575" s="77"/>
      <c r="CJ575" s="77"/>
      <c r="CK575" s="77"/>
      <c r="CL575" s="77"/>
      <c r="CM575" s="77"/>
      <c r="CN575" s="77"/>
      <c r="CO575" s="77"/>
      <c r="CP575" s="77"/>
      <c r="CQ575" s="77"/>
      <c r="CR575" s="77"/>
      <c r="CS575" s="77"/>
      <c r="CT575" s="77"/>
      <c r="CU575" s="77"/>
      <c r="CV575" s="77"/>
      <c r="CW575" s="77"/>
      <c r="CX575" s="77"/>
      <c r="CY575" s="77"/>
      <c r="CZ575" s="77"/>
      <c r="DA575" s="77"/>
      <c r="DB575" s="77"/>
      <c r="DC575" s="77"/>
      <c r="DD575" s="77"/>
      <c r="DE575" s="77"/>
      <c r="DF575" s="77"/>
      <c r="DG575" s="77"/>
      <c r="DH575" s="77"/>
      <c r="DI575" s="77"/>
      <c r="DJ575" s="77"/>
      <c r="DK575" s="77"/>
      <c r="DL575" s="77"/>
      <c r="DM575" s="77"/>
      <c r="DN575" s="77"/>
      <c r="DO575" s="77"/>
      <c r="DP575" s="77"/>
      <c r="DQ575" s="77"/>
      <c r="DR575" s="77"/>
      <c r="DS575" s="77"/>
      <c r="DT575" s="77"/>
      <c r="DU575" s="77"/>
      <c r="DV575" s="77"/>
      <c r="DW575" s="77"/>
      <c r="DX575" s="77"/>
      <c r="DY575" s="77"/>
      <c r="DZ575" s="77"/>
      <c r="EA575" s="77"/>
      <c r="EB575" s="77"/>
      <c r="EC575" s="77"/>
      <c r="ED575" s="77"/>
      <c r="EE575" s="77"/>
      <c r="EF575" s="77"/>
      <c r="EG575" s="77"/>
      <c r="EH575" s="77"/>
      <c r="EI575" s="77"/>
      <c r="EJ575" s="77"/>
      <c r="EK575" s="77"/>
      <c r="EL575" s="77"/>
      <c r="EM575" s="77"/>
      <c r="EN575" s="77"/>
      <c r="EO575" s="77"/>
      <c r="EP575" s="77"/>
      <c r="EQ575" s="77"/>
      <c r="HL575" s="77"/>
      <c r="HM575" s="77"/>
      <c r="HN575" s="77"/>
      <c r="HO575" s="77"/>
      <c r="HP575" s="77"/>
      <c r="HQ575" s="77"/>
      <c r="HR575" s="77"/>
      <c r="HS575" s="77"/>
      <c r="HT575" s="77"/>
      <c r="HU575" s="77"/>
      <c r="HV575" s="77"/>
      <c r="HW575" s="77"/>
      <c r="HX575" s="77"/>
      <c r="HY575" s="77"/>
      <c r="HZ575" s="77"/>
      <c r="IA575" s="77"/>
      <c r="IB575" s="77"/>
      <c r="IC575" s="77"/>
      <c r="ID575" s="77"/>
      <c r="IE575" s="77"/>
      <c r="IF575" s="16"/>
      <c r="IG575" s="16"/>
      <c r="IH575" s="16"/>
      <c r="II575" s="16"/>
      <c r="IJ575" s="16"/>
      <c r="IK575" s="16"/>
      <c r="IL575" s="16"/>
      <c r="IM575" s="16"/>
      <c r="IN575" s="16"/>
      <c r="IO575" s="16"/>
      <c r="IP575" s="16"/>
      <c r="IQ575" s="16"/>
      <c r="IR575" s="16"/>
      <c r="IS575" s="16"/>
      <c r="IT575" s="16"/>
      <c r="IU575" s="16"/>
      <c r="IV575" s="16"/>
      <c r="IW575" s="16"/>
      <c r="IX575" s="16"/>
      <c r="IY575" s="16"/>
      <c r="IZ575" s="16"/>
      <c r="JA575" s="16"/>
      <c r="JB575" s="16"/>
      <c r="JC575" s="16"/>
      <c r="JD575" s="16"/>
      <c r="JE575" s="16"/>
      <c r="JF575" s="16"/>
      <c r="JG575" s="16"/>
      <c r="JH575" s="16"/>
      <c r="JI575" s="16"/>
      <c r="JJ575" s="16"/>
      <c r="JK575" s="16"/>
      <c r="JL575" s="16"/>
      <c r="JM575" s="16"/>
      <c r="JN575" s="16"/>
      <c r="JO575" s="16"/>
      <c r="JP575" s="16"/>
      <c r="JQ575" s="16"/>
      <c r="JR575" s="16"/>
      <c r="JS575" s="16"/>
      <c r="JT575" s="16"/>
      <c r="JU575" s="16"/>
      <c r="JV575" s="16"/>
      <c r="JW575" s="16"/>
      <c r="JX575" s="16"/>
      <c r="KM575" s="77"/>
      <c r="KN575" s="77"/>
      <c r="KO575" s="77"/>
      <c r="KP575" s="77"/>
      <c r="KQ575" s="77"/>
      <c r="KR575" s="77"/>
      <c r="KS575" s="77"/>
      <c r="KT575" s="77"/>
      <c r="KU575" s="77"/>
      <c r="KV575" s="77"/>
      <c r="KW575" s="77"/>
      <c r="KX575" s="77"/>
      <c r="KY575" s="77"/>
      <c r="KZ575" s="77"/>
      <c r="LA575" s="77"/>
      <c r="LB575" s="77"/>
      <c r="LC575" s="77"/>
      <c r="LD575" s="77"/>
      <c r="LE575" s="77"/>
      <c r="LF575" s="77"/>
      <c r="LG575" s="77"/>
      <c r="LH575" s="77"/>
      <c r="LI575" s="77"/>
      <c r="LJ575" s="77"/>
      <c r="LK575" s="77"/>
      <c r="LL575" s="77"/>
      <c r="LM575" s="77"/>
      <c r="LN575" s="77"/>
      <c r="LO575" s="77"/>
      <c r="LP575" s="77"/>
      <c r="LQ575" s="77"/>
      <c r="LR575" s="77"/>
      <c r="LS575" s="77"/>
      <c r="LT575" s="77"/>
      <c r="LU575" s="77"/>
      <c r="LV575" s="77"/>
      <c r="ND575" s="77"/>
    </row>
    <row r="576" spans="1:421" s="21" customFormat="1" ht="18.600000000000001" customHeight="1" x14ac:dyDescent="0.25">
      <c r="A576" s="119" t="s">
        <v>3</v>
      </c>
      <c r="B576" s="27" t="s">
        <v>780</v>
      </c>
      <c r="C576" s="27" t="s">
        <v>6377</v>
      </c>
      <c r="D576" s="72" t="str">
        <f>HYPERLINK("https://twitter.com/CasaCivilPRA","https://twitter.com/CasaCivilPRA")</f>
        <v>https://twitter.com/CasaCivilPRA</v>
      </c>
      <c r="E576" s="72" t="str">
        <f>HYPERLINK("http://twiplomacy.com/info/africa/Angola","http://twiplomacy.com/info/africa/Angola")</f>
        <v>http://twiplomacy.com/info/africa/Angola</v>
      </c>
      <c r="F576" s="10" t="s">
        <v>1</v>
      </c>
      <c r="G576" s="10" t="s">
        <v>2</v>
      </c>
      <c r="H576" s="10" t="s">
        <v>781</v>
      </c>
      <c r="I576" s="10" t="s">
        <v>782</v>
      </c>
      <c r="J576" s="27" t="s">
        <v>785</v>
      </c>
      <c r="K576" s="10" t="s">
        <v>783</v>
      </c>
      <c r="L576" s="10" t="s">
        <v>771</v>
      </c>
      <c r="M576" s="10" t="s">
        <v>771</v>
      </c>
      <c r="N576" s="30" t="str">
        <f>HYPERLINK("https://twitter.com/CasaCivilPRA/statuses/139778197058371584","https://twitter.com/CasaCivilPRA/statuses/139778197058371584")</f>
        <v>https://twitter.com/CasaCivilPRA/statuses/139778197058371584</v>
      </c>
      <c r="O576" s="27" t="s">
        <v>5735</v>
      </c>
      <c r="P576" s="80">
        <v>6</v>
      </c>
      <c r="Q576" s="80">
        <v>2</v>
      </c>
      <c r="R576" s="27" t="s">
        <v>2995</v>
      </c>
      <c r="S576" s="10" t="s">
        <v>784</v>
      </c>
      <c r="T576" s="10" t="s">
        <v>771</v>
      </c>
      <c r="U576" s="10" t="s">
        <v>771</v>
      </c>
      <c r="V576" s="10" t="s">
        <v>771</v>
      </c>
      <c r="W576" s="10"/>
      <c r="X576" s="27" t="s">
        <v>3</v>
      </c>
      <c r="Y576" s="27" t="s">
        <v>780</v>
      </c>
      <c r="Z576" s="80">
        <v>360</v>
      </c>
      <c r="AA576" s="27">
        <v>122</v>
      </c>
      <c r="AB576" s="80">
        <v>610</v>
      </c>
      <c r="AC576" s="27">
        <v>0</v>
      </c>
      <c r="AD576" s="27" t="s">
        <v>3572</v>
      </c>
      <c r="AE576" s="27">
        <v>373310880</v>
      </c>
      <c r="AF576" s="27" t="s">
        <v>6377</v>
      </c>
      <c r="AG576" s="27" t="s">
        <v>2</v>
      </c>
      <c r="AH576" s="79">
        <v>0.21276595744680901</v>
      </c>
      <c r="AI576" s="83">
        <v>1.32841328413284</v>
      </c>
      <c r="AJ576" s="80">
        <v>0.108333333333333</v>
      </c>
      <c r="AK576" s="80">
        <v>3.8888888888888903E-2</v>
      </c>
      <c r="AL576" s="13">
        <v>0</v>
      </c>
      <c r="AM576" s="97">
        <f>SUM(AL576/Z576)</f>
        <v>0</v>
      </c>
      <c r="AN576" s="27" t="s">
        <v>3</v>
      </c>
      <c r="AO576" s="27">
        <v>9</v>
      </c>
      <c r="AP576" s="27">
        <v>4</v>
      </c>
      <c r="AQ576" s="27">
        <v>0</v>
      </c>
      <c r="AR576" s="27">
        <f>SUM(AO576:AQ576)</f>
        <v>13</v>
      </c>
      <c r="AS576" s="27" t="s">
        <v>6552</v>
      </c>
      <c r="AT576" s="27" t="s">
        <v>5063</v>
      </c>
      <c r="AU576" s="84"/>
      <c r="AV576" s="77"/>
      <c r="AW576" s="77"/>
      <c r="AX576" s="77"/>
      <c r="AY576" s="77"/>
      <c r="AZ576" s="77"/>
      <c r="BA576" s="77"/>
      <c r="BB576" s="77"/>
      <c r="BC576" s="77"/>
      <c r="BD576" s="77"/>
      <c r="BE576" s="77"/>
      <c r="BF576" s="77"/>
      <c r="BG576" s="77"/>
      <c r="BH576" s="77"/>
      <c r="BI576" s="77"/>
      <c r="BJ576" s="77"/>
      <c r="BK576" s="77"/>
      <c r="BL576" s="77"/>
      <c r="BM576" s="77"/>
      <c r="BN576" s="77"/>
      <c r="BO576" s="77"/>
      <c r="BP576" s="77"/>
      <c r="BQ576" s="77"/>
      <c r="BR576" s="77"/>
      <c r="BS576" s="77"/>
      <c r="BT576" s="77"/>
      <c r="BU576" s="77"/>
      <c r="BV576" s="77"/>
      <c r="BW576" s="77"/>
      <c r="BX576" s="77"/>
      <c r="BY576" s="77"/>
      <c r="BZ576" s="77"/>
      <c r="CA576" s="77"/>
      <c r="CB576" s="77"/>
      <c r="CC576" s="77"/>
      <c r="CD576" s="77"/>
      <c r="CE576" s="77"/>
      <c r="CF576" s="77"/>
      <c r="CG576" s="77"/>
      <c r="CH576" s="77"/>
      <c r="CI576" s="77"/>
      <c r="CJ576" s="77"/>
      <c r="CK576" s="77"/>
      <c r="CL576" s="77"/>
      <c r="CM576" s="77"/>
      <c r="CN576" s="77"/>
      <c r="CO576" s="77"/>
      <c r="CP576" s="77"/>
      <c r="CQ576" s="77"/>
      <c r="CR576" s="77"/>
      <c r="CS576" s="77"/>
      <c r="CT576" s="77"/>
      <c r="CU576" s="77"/>
      <c r="CV576" s="77"/>
      <c r="CW576" s="77"/>
      <c r="CX576" s="77"/>
      <c r="CY576" s="77"/>
      <c r="CZ576" s="77"/>
      <c r="DA576" s="77"/>
      <c r="DB576" s="77"/>
      <c r="DC576" s="77"/>
      <c r="DD576" s="77"/>
      <c r="DE576" s="77"/>
      <c r="DF576" s="77"/>
      <c r="DG576" s="77"/>
      <c r="DH576" s="77"/>
      <c r="DI576" s="77"/>
      <c r="DJ576" s="77"/>
      <c r="DK576" s="77"/>
      <c r="DL576" s="77"/>
      <c r="DM576" s="77"/>
      <c r="DN576" s="77"/>
      <c r="DO576" s="77"/>
      <c r="DP576" s="77"/>
      <c r="DQ576" s="77"/>
      <c r="DR576" s="77"/>
      <c r="DS576" s="77"/>
      <c r="DT576" s="77"/>
      <c r="DU576" s="77"/>
      <c r="DV576" s="77"/>
      <c r="DW576" s="77"/>
      <c r="DX576" s="77"/>
      <c r="DY576" s="77"/>
      <c r="DZ576" s="77"/>
      <c r="EA576" s="77"/>
      <c r="EB576" s="77"/>
      <c r="EC576" s="77"/>
      <c r="ED576" s="77"/>
      <c r="EE576" s="77"/>
      <c r="EF576" s="77"/>
      <c r="EG576" s="77"/>
      <c r="EH576" s="77"/>
      <c r="EI576" s="77"/>
      <c r="EJ576" s="77"/>
      <c r="EK576" s="77"/>
      <c r="EL576" s="77"/>
      <c r="EM576" s="77"/>
      <c r="EN576" s="77"/>
      <c r="EO576" s="77"/>
      <c r="EQ576" s="16"/>
      <c r="ER576" s="77"/>
      <c r="ES576" s="77"/>
      <c r="ET576" s="77"/>
      <c r="EU576" s="77"/>
      <c r="EV576" s="77"/>
      <c r="EW576" s="77"/>
      <c r="EX576" s="77"/>
      <c r="EY576" s="77"/>
      <c r="EZ576" s="77"/>
      <c r="FA576" s="77"/>
      <c r="FB576" s="77"/>
      <c r="FC576" s="77"/>
      <c r="FD576" s="77"/>
      <c r="FE576" s="77"/>
      <c r="FF576" s="77"/>
      <c r="FG576" s="77"/>
      <c r="FH576" s="77"/>
      <c r="FI576" s="77"/>
      <c r="FJ576" s="77"/>
      <c r="FK576" s="77"/>
      <c r="FL576" s="77"/>
      <c r="FM576" s="77"/>
      <c r="FN576" s="77"/>
      <c r="FO576" s="77"/>
      <c r="FP576" s="77"/>
      <c r="FQ576" s="77"/>
      <c r="FR576" s="77"/>
      <c r="FS576" s="77"/>
      <c r="FT576" s="77"/>
      <c r="FU576" s="77"/>
      <c r="FV576" s="77"/>
      <c r="FW576" s="77"/>
      <c r="FX576" s="77"/>
      <c r="FY576" s="77"/>
      <c r="FZ576" s="77"/>
      <c r="GA576" s="77"/>
      <c r="GB576" s="77"/>
      <c r="GC576" s="77"/>
      <c r="GD576" s="77"/>
      <c r="GE576" s="77"/>
      <c r="GF576" s="77"/>
      <c r="GG576" s="77"/>
      <c r="GH576" s="77"/>
      <c r="GI576" s="77"/>
      <c r="GJ576" s="77"/>
      <c r="GK576" s="77"/>
      <c r="GL576" s="77"/>
      <c r="GM576" s="77"/>
      <c r="GN576" s="77"/>
      <c r="GO576" s="77"/>
      <c r="GP576" s="77"/>
      <c r="GQ576" s="77"/>
      <c r="GR576" s="77"/>
      <c r="GS576" s="77"/>
      <c r="GT576" s="77"/>
      <c r="GU576" s="77"/>
      <c r="GV576" s="77"/>
      <c r="GW576" s="77"/>
      <c r="GX576" s="77"/>
      <c r="GY576" s="77"/>
      <c r="GZ576" s="77"/>
      <c r="HA576" s="77"/>
      <c r="HB576" s="77"/>
      <c r="HC576" s="77"/>
      <c r="HD576" s="77"/>
      <c r="HE576" s="77"/>
      <c r="HF576" s="77"/>
      <c r="HG576" s="77"/>
      <c r="HH576" s="77"/>
      <c r="HI576" s="77"/>
      <c r="HJ576" s="77"/>
      <c r="HK576" s="77"/>
      <c r="HL576" s="77"/>
      <c r="HM576" s="77"/>
      <c r="HN576" s="77"/>
      <c r="HO576" s="77"/>
      <c r="HP576" s="77"/>
      <c r="HQ576" s="77"/>
      <c r="HR576" s="77"/>
      <c r="HS576" s="77"/>
      <c r="HT576" s="77"/>
      <c r="HU576" s="77"/>
      <c r="HV576" s="77"/>
      <c r="HW576" s="77"/>
      <c r="HX576" s="77"/>
      <c r="HY576" s="77"/>
      <c r="HZ576" s="77"/>
      <c r="IA576" s="77"/>
      <c r="IB576" s="77"/>
      <c r="IC576" s="77"/>
      <c r="ID576" s="77"/>
      <c r="IE576" s="77"/>
      <c r="IF576" s="77"/>
      <c r="IG576" s="77"/>
      <c r="IH576" s="77"/>
      <c r="II576" s="77"/>
      <c r="IJ576" s="77"/>
      <c r="IK576" s="77"/>
      <c r="IL576" s="77"/>
      <c r="IM576" s="77"/>
      <c r="IN576" s="77"/>
      <c r="IO576" s="77"/>
      <c r="IP576" s="77"/>
      <c r="IQ576" s="77"/>
      <c r="IR576" s="77"/>
      <c r="IS576" s="77"/>
      <c r="IT576" s="77"/>
      <c r="IU576" s="77"/>
      <c r="IV576" s="77"/>
      <c r="IW576" s="77"/>
      <c r="IX576" s="77"/>
      <c r="IY576" s="77"/>
      <c r="IZ576" s="77"/>
      <c r="JA576" s="77"/>
      <c r="JB576" s="77"/>
      <c r="JC576" s="77"/>
      <c r="JD576" s="77"/>
      <c r="JE576" s="77"/>
      <c r="JF576" s="77"/>
      <c r="JG576" s="77"/>
      <c r="JH576" s="77"/>
      <c r="JI576" s="77"/>
      <c r="JJ576" s="77"/>
      <c r="JK576" s="77"/>
      <c r="JL576" s="77"/>
      <c r="JM576" s="77"/>
      <c r="JN576" s="77"/>
      <c r="JO576" s="77"/>
      <c r="JP576" s="77"/>
      <c r="JQ576" s="77"/>
      <c r="JR576" s="77"/>
      <c r="JS576" s="77"/>
      <c r="JT576" s="77"/>
      <c r="JU576" s="77"/>
      <c r="JV576" s="77"/>
      <c r="JW576" s="77"/>
      <c r="JX576" s="77"/>
      <c r="JY576" s="77"/>
      <c r="JZ576" s="77"/>
      <c r="KA576" s="77"/>
      <c r="KB576" s="77"/>
      <c r="KC576" s="77"/>
      <c r="KD576" s="77"/>
      <c r="KE576" s="77"/>
      <c r="KF576" s="77"/>
      <c r="KG576" s="77"/>
      <c r="KH576" s="77"/>
      <c r="KI576" s="77"/>
      <c r="KJ576" s="77"/>
      <c r="KK576" s="77"/>
      <c r="KL576" s="77"/>
      <c r="KM576" s="77"/>
      <c r="KN576" s="77"/>
      <c r="KO576" s="77"/>
      <c r="KP576" s="77"/>
      <c r="KQ576" s="77"/>
      <c r="KR576" s="77"/>
      <c r="KS576" s="77"/>
      <c r="KT576" s="77"/>
      <c r="KU576" s="77"/>
      <c r="KV576" s="77"/>
      <c r="KW576" s="77"/>
      <c r="KX576" s="77"/>
      <c r="KY576" s="77"/>
      <c r="KZ576" s="77"/>
      <c r="LA576" s="77"/>
      <c r="LB576" s="77"/>
      <c r="LC576" s="77"/>
      <c r="LD576" s="77"/>
      <c r="LE576" s="77"/>
      <c r="LF576" s="77"/>
      <c r="LG576" s="77"/>
      <c r="LH576" s="77"/>
      <c r="LI576" s="77"/>
      <c r="LJ576" s="77"/>
      <c r="LK576" s="77"/>
      <c r="LW576" s="16"/>
      <c r="LX576" s="16"/>
      <c r="MS576" s="77"/>
      <c r="MT576" s="77"/>
      <c r="MU576" s="77"/>
      <c r="MV576" s="77"/>
      <c r="MW576" s="77"/>
      <c r="MX576" s="77"/>
      <c r="MY576" s="77"/>
      <c r="MZ576" s="77"/>
      <c r="NA576" s="77"/>
      <c r="NB576" s="77"/>
      <c r="NC576" s="77"/>
    </row>
    <row r="577" spans="1:421" s="21" customFormat="1" ht="18.600000000000001" customHeight="1" x14ac:dyDescent="0.25">
      <c r="A577" s="119" t="s">
        <v>3032</v>
      </c>
      <c r="B577" s="27" t="s">
        <v>4210</v>
      </c>
      <c r="C577" s="27" t="s">
        <v>4211</v>
      </c>
      <c r="D577" s="31" t="s">
        <v>3031</v>
      </c>
      <c r="E577" s="30" t="str">
        <f>HYPERLINK("http://twiplomacy.com/info/north-america/Trinidad-and-Tobago","http://twiplomacy.com/info/north-america/Trinidad-and-Tobago")</f>
        <v>http://twiplomacy.com/info/north-america/Trinidad-and-Tobago</v>
      </c>
      <c r="F577" s="10" t="s">
        <v>558</v>
      </c>
      <c r="G577" s="10" t="s">
        <v>629</v>
      </c>
      <c r="H577" s="10" t="s">
        <v>788</v>
      </c>
      <c r="I577" s="10" t="s">
        <v>782</v>
      </c>
      <c r="J577" s="27" t="s">
        <v>789</v>
      </c>
      <c r="K577" s="15" t="s">
        <v>777</v>
      </c>
      <c r="L577" s="10" t="s">
        <v>771</v>
      </c>
      <c r="M577" s="10" t="s">
        <v>770</v>
      </c>
      <c r="N577" s="30" t="s">
        <v>3033</v>
      </c>
      <c r="O577" s="27" t="s">
        <v>5998</v>
      </c>
      <c r="P577" s="80">
        <v>9</v>
      </c>
      <c r="Q577" s="80">
        <v>4</v>
      </c>
      <c r="R577" s="27" t="s">
        <v>2995</v>
      </c>
      <c r="S577" s="12" t="s">
        <v>3095</v>
      </c>
      <c r="T577" s="10" t="s">
        <v>771</v>
      </c>
      <c r="U577" s="10" t="s">
        <v>771</v>
      </c>
      <c r="V577" s="10" t="s">
        <v>771</v>
      </c>
      <c r="W577" s="10"/>
      <c r="X577" s="27" t="s">
        <v>3032</v>
      </c>
      <c r="Y577" s="27" t="s">
        <v>4210</v>
      </c>
      <c r="Z577" s="80">
        <v>357</v>
      </c>
      <c r="AA577" s="27">
        <v>24</v>
      </c>
      <c r="AB577" s="80">
        <v>93</v>
      </c>
      <c r="AC577" s="27">
        <v>0</v>
      </c>
      <c r="AD577" s="27" t="s">
        <v>4212</v>
      </c>
      <c r="AE577" s="27">
        <v>3993436034</v>
      </c>
      <c r="AF577" s="27" t="s">
        <v>4211</v>
      </c>
      <c r="AG577" s="27" t="s">
        <v>629</v>
      </c>
      <c r="AH577" s="79">
        <v>1.859375</v>
      </c>
      <c r="AI577" s="83">
        <v>1.9402173913043499</v>
      </c>
      <c r="AJ577" s="80">
        <v>5.93220338983051E-2</v>
      </c>
      <c r="AK577" s="80">
        <v>4.8022598870056499E-2</v>
      </c>
      <c r="AL577" s="13">
        <v>0</v>
      </c>
      <c r="AM577" s="97">
        <f>SUM(AL577/Z577)</f>
        <v>0</v>
      </c>
      <c r="AN577" s="27" t="s">
        <v>3032</v>
      </c>
      <c r="AO577" s="27">
        <v>0</v>
      </c>
      <c r="AP577" s="27">
        <v>0</v>
      </c>
      <c r="AQ577" s="27">
        <v>0</v>
      </c>
      <c r="AR577" s="27">
        <f>SUM(AO577:AQ577)</f>
        <v>0</v>
      </c>
      <c r="AS577" s="27"/>
      <c r="AT577" s="27"/>
      <c r="AU577" s="84"/>
      <c r="AV577" s="77"/>
      <c r="AW577" s="77"/>
      <c r="AX577" s="77"/>
      <c r="AY577" s="77"/>
      <c r="AZ577" s="77"/>
      <c r="BA577" s="77"/>
      <c r="BB577" s="77"/>
      <c r="BC577" s="77"/>
      <c r="BD577" s="77"/>
      <c r="BE577" s="77"/>
      <c r="BF577" s="77"/>
      <c r="BG577" s="77"/>
      <c r="BH577" s="77"/>
      <c r="BI577" s="77"/>
      <c r="BJ577" s="77"/>
      <c r="BK577" s="77"/>
      <c r="BL577" s="77"/>
      <c r="BM577" s="77"/>
      <c r="BN577" s="77"/>
      <c r="BO577" s="77"/>
      <c r="BP577" s="77"/>
      <c r="BQ577" s="77"/>
      <c r="BR577" s="77"/>
      <c r="BS577" s="77"/>
      <c r="BT577" s="77"/>
      <c r="BU577" s="77"/>
      <c r="BV577" s="77"/>
      <c r="BW577" s="77"/>
      <c r="BX577" s="77"/>
      <c r="BY577" s="77"/>
      <c r="BZ577" s="77"/>
      <c r="CA577" s="77"/>
      <c r="CB577" s="77"/>
      <c r="CC577" s="77"/>
      <c r="CD577" s="77"/>
      <c r="CE577" s="77"/>
      <c r="CF577" s="77"/>
      <c r="CG577" s="77"/>
      <c r="CH577" s="77"/>
      <c r="CI577" s="77"/>
      <c r="CJ577" s="77"/>
      <c r="CK577" s="77"/>
      <c r="CL577" s="77"/>
      <c r="CM577" s="77"/>
      <c r="CN577" s="77"/>
      <c r="CO577" s="77"/>
      <c r="CP577" s="77"/>
      <c r="CQ577" s="77"/>
      <c r="CR577" s="77"/>
      <c r="CS577" s="77"/>
      <c r="CT577" s="77"/>
      <c r="CU577" s="77"/>
      <c r="CV577" s="77"/>
      <c r="CW577" s="77"/>
      <c r="CX577" s="77"/>
      <c r="CY577" s="77"/>
      <c r="CZ577" s="77"/>
      <c r="DA577" s="77"/>
      <c r="DB577" s="77"/>
      <c r="DC577" s="77"/>
      <c r="DD577" s="77"/>
      <c r="DE577" s="77"/>
      <c r="DF577" s="77"/>
      <c r="DG577" s="77"/>
      <c r="DH577" s="77"/>
      <c r="DI577" s="77"/>
      <c r="DJ577" s="77"/>
      <c r="DK577" s="77"/>
      <c r="DL577" s="77"/>
      <c r="DM577" s="77"/>
      <c r="DN577" s="77"/>
      <c r="DO577" s="77"/>
      <c r="DP577" s="77"/>
      <c r="DQ577" s="77"/>
      <c r="DR577" s="77"/>
      <c r="DS577" s="77"/>
      <c r="DT577" s="77"/>
      <c r="DU577" s="77"/>
      <c r="DV577" s="77"/>
      <c r="DW577" s="77"/>
      <c r="DX577" s="77"/>
      <c r="DY577" s="77"/>
      <c r="DZ577" s="77"/>
      <c r="EA577" s="77"/>
      <c r="EB577" s="77"/>
      <c r="EC577" s="77"/>
      <c r="ED577" s="77"/>
      <c r="EE577" s="77"/>
      <c r="EF577" s="77"/>
      <c r="EG577" s="77"/>
      <c r="EH577" s="77"/>
      <c r="EI577" s="77"/>
      <c r="EJ577" s="77"/>
      <c r="EK577" s="77"/>
      <c r="EL577" s="77"/>
      <c r="EP577" s="77"/>
      <c r="EQ577" s="77"/>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77"/>
      <c r="HM577" s="77"/>
      <c r="HN577" s="77"/>
      <c r="HO577" s="77"/>
      <c r="HP577" s="77"/>
      <c r="HQ577" s="77"/>
      <c r="HR577" s="77"/>
      <c r="HS577" s="77"/>
      <c r="HT577" s="77"/>
      <c r="HU577" s="77"/>
      <c r="HV577" s="77"/>
      <c r="HW577" s="77"/>
      <c r="HX577" s="77"/>
      <c r="HY577" s="77"/>
      <c r="HZ577" s="77"/>
      <c r="IA577" s="77"/>
      <c r="IB577" s="77"/>
      <c r="IC577" s="77"/>
      <c r="ID577" s="77"/>
      <c r="IE577" s="77"/>
      <c r="IF577" s="77"/>
      <c r="IG577" s="77"/>
      <c r="IH577" s="77"/>
      <c r="II577" s="77"/>
      <c r="IJ577" s="77"/>
      <c r="IK577" s="77"/>
      <c r="IL577" s="77"/>
      <c r="IM577" s="77"/>
      <c r="IN577" s="77"/>
      <c r="IO577" s="77"/>
      <c r="IP577" s="77"/>
      <c r="IQ577" s="77"/>
      <c r="IR577" s="77"/>
      <c r="IS577" s="77"/>
      <c r="IT577" s="77"/>
      <c r="IU577" s="77"/>
      <c r="IV577" s="77"/>
      <c r="IW577" s="77"/>
      <c r="IX577" s="77"/>
      <c r="IY577" s="77"/>
      <c r="IZ577" s="77"/>
      <c r="JA577" s="77"/>
      <c r="JB577" s="77"/>
      <c r="JC577" s="77"/>
      <c r="JD577" s="77"/>
      <c r="JE577" s="77"/>
      <c r="JF577" s="77"/>
      <c r="JG577" s="77"/>
      <c r="JH577" s="77"/>
      <c r="JI577" s="77"/>
      <c r="JJ577" s="77"/>
      <c r="JK577" s="77"/>
      <c r="JL577" s="77"/>
      <c r="JM577" s="77"/>
      <c r="JN577" s="77"/>
      <c r="JO577" s="77"/>
      <c r="JP577" s="77"/>
      <c r="JQ577" s="77"/>
      <c r="JR577" s="77"/>
      <c r="JS577" s="77"/>
      <c r="JT577" s="77"/>
      <c r="JU577" s="77"/>
      <c r="JV577" s="77"/>
      <c r="JW577" s="77"/>
      <c r="JX577" s="77"/>
      <c r="JY577" s="77"/>
      <c r="JZ577" s="77"/>
      <c r="KA577" s="77"/>
      <c r="KB577" s="77"/>
      <c r="KC577" s="77"/>
      <c r="KD577" s="77"/>
      <c r="KE577" s="77"/>
      <c r="KF577" s="77"/>
      <c r="KG577" s="77"/>
      <c r="KH577" s="77"/>
      <c r="KI577" s="77"/>
      <c r="KJ577" s="77"/>
      <c r="KK577" s="77"/>
      <c r="KL577" s="77"/>
      <c r="LL577" s="77"/>
      <c r="LM577" s="77"/>
      <c r="LN577" s="77"/>
      <c r="LO577" s="77"/>
      <c r="LP577" s="77"/>
      <c r="LQ577" s="77"/>
      <c r="LR577" s="77"/>
      <c r="LS577" s="77"/>
      <c r="LT577" s="77"/>
      <c r="LU577" s="77"/>
      <c r="LV577" s="77"/>
      <c r="LW577" s="77"/>
      <c r="LX577" s="77"/>
      <c r="LY577" s="77"/>
      <c r="LZ577" s="77"/>
      <c r="MA577" s="77"/>
      <c r="MB577" s="77"/>
      <c r="MC577" s="77"/>
      <c r="MD577" s="77"/>
      <c r="ME577" s="77"/>
      <c r="MF577" s="77"/>
      <c r="MG577" s="77"/>
      <c r="MH577" s="77"/>
      <c r="MI577" s="77"/>
      <c r="MJ577" s="77"/>
      <c r="MK577" s="77"/>
      <c r="ML577" s="77"/>
      <c r="MM577" s="77"/>
      <c r="MN577" s="77"/>
      <c r="MO577" s="77"/>
      <c r="MP577" s="77"/>
      <c r="MQ577" s="77"/>
      <c r="MR577" s="77"/>
      <c r="ND577" s="77"/>
    </row>
    <row r="578" spans="1:421" s="21" customFormat="1" ht="18.600000000000001" customHeight="1" x14ac:dyDescent="0.25">
      <c r="A578" s="119" t="s">
        <v>10</v>
      </c>
      <c r="B578" s="27" t="s">
        <v>10</v>
      </c>
      <c r="C578" s="27" t="s">
        <v>794</v>
      </c>
      <c r="D578" s="72" t="str">
        <f>HYPERLINK("https://twitter.com/MOFAIC","https://twitter.com/MOFAIC")</f>
        <v>https://twitter.com/MOFAIC</v>
      </c>
      <c r="E578" s="72" t="str">
        <f>HYPERLINK("http://twiplomacy.com/info/africa/Botswana","http://twiplomacy.com/info/africa/Botswana")</f>
        <v>http://twiplomacy.com/info/africa/Botswana</v>
      </c>
      <c r="F578" s="10" t="s">
        <v>1</v>
      </c>
      <c r="G578" s="10" t="s">
        <v>8</v>
      </c>
      <c r="H578" s="10" t="s">
        <v>795</v>
      </c>
      <c r="I578" s="10" t="s">
        <v>782</v>
      </c>
      <c r="J578" s="27" t="s">
        <v>789</v>
      </c>
      <c r="K578" s="15" t="s">
        <v>777</v>
      </c>
      <c r="L578" s="10" t="s">
        <v>771</v>
      </c>
      <c r="M578" s="10" t="s">
        <v>771</v>
      </c>
      <c r="N578" s="30" t="str">
        <f>HYPERLINK("https://twitter.com/MOFAIC/statuses/220084974257315840","https://twitter.com/MOFAIC/statuses/220084974257315840")</f>
        <v>https://twitter.com/MOFAIC/statuses/220084974257315840</v>
      </c>
      <c r="O578" s="27" t="s">
        <v>5969</v>
      </c>
      <c r="P578" s="80">
        <v>5</v>
      </c>
      <c r="Q578" s="80">
        <v>0</v>
      </c>
      <c r="R578" s="27" t="s">
        <v>2995</v>
      </c>
      <c r="S578" s="10" t="s">
        <v>796</v>
      </c>
      <c r="T578" s="10" t="s">
        <v>771</v>
      </c>
      <c r="U578" s="10" t="s">
        <v>771</v>
      </c>
      <c r="V578" s="10" t="s">
        <v>771</v>
      </c>
      <c r="W578" s="10"/>
      <c r="X578" s="27" t="s">
        <v>10</v>
      </c>
      <c r="Y578" s="27" t="s">
        <v>10</v>
      </c>
      <c r="Z578" s="80">
        <v>355</v>
      </c>
      <c r="AA578" s="27">
        <v>10</v>
      </c>
      <c r="AB578" s="80">
        <v>504</v>
      </c>
      <c r="AC578" s="27">
        <v>0</v>
      </c>
      <c r="AD578" s="27" t="s">
        <v>4140</v>
      </c>
      <c r="AE578" s="27">
        <v>625399627</v>
      </c>
      <c r="AF578" s="27" t="s">
        <v>794</v>
      </c>
      <c r="AG578" s="27"/>
      <c r="AH578" s="79">
        <v>0.25375268048606098</v>
      </c>
      <c r="AI578" s="83">
        <v>0.254662840746054</v>
      </c>
      <c r="AJ578" s="80">
        <v>0.29295774647887302</v>
      </c>
      <c r="AK578" s="80">
        <v>0.104225352112676</v>
      </c>
      <c r="AL578" s="13">
        <v>0</v>
      </c>
      <c r="AM578" s="97">
        <f>SUM(AL578/Z578)</f>
        <v>0</v>
      </c>
      <c r="AN578" s="27" t="s">
        <v>10</v>
      </c>
      <c r="AO578" s="27">
        <v>1</v>
      </c>
      <c r="AP578" s="27">
        <v>29</v>
      </c>
      <c r="AQ578" s="27">
        <v>1</v>
      </c>
      <c r="AR578" s="27">
        <f>SUM(AO578:AQ578)</f>
        <v>31</v>
      </c>
      <c r="AS578" s="27" t="s">
        <v>634</v>
      </c>
      <c r="AT578" s="27" t="s">
        <v>5338</v>
      </c>
      <c r="AU578" s="84" t="s">
        <v>9</v>
      </c>
      <c r="AV578" s="77"/>
      <c r="AW578" s="77"/>
      <c r="AX578" s="77"/>
      <c r="AY578" s="77"/>
      <c r="AZ578" s="77"/>
      <c r="BA578" s="77"/>
      <c r="BB578" s="77"/>
      <c r="BC578" s="77"/>
      <c r="BD578" s="77"/>
      <c r="BE578" s="77"/>
      <c r="BF578" s="77"/>
      <c r="BG578" s="77"/>
      <c r="BH578" s="77"/>
      <c r="BI578" s="77"/>
      <c r="BJ578" s="77"/>
      <c r="BK578" s="77"/>
      <c r="BL578" s="77"/>
      <c r="BM578" s="77"/>
      <c r="BN578" s="77"/>
      <c r="BO578" s="77"/>
      <c r="BP578" s="77"/>
      <c r="BQ578" s="77"/>
      <c r="BR578" s="77"/>
      <c r="BS578" s="77"/>
      <c r="BT578" s="77"/>
      <c r="BU578" s="77"/>
      <c r="BV578" s="77"/>
      <c r="BW578" s="77"/>
      <c r="BX578" s="77"/>
      <c r="BY578" s="77"/>
      <c r="BZ578" s="77"/>
      <c r="CA578" s="77"/>
      <c r="CB578" s="77"/>
      <c r="CC578" s="77"/>
      <c r="CD578" s="77"/>
      <c r="CE578" s="77"/>
      <c r="CF578" s="77"/>
      <c r="CG578" s="77"/>
      <c r="CH578" s="77"/>
      <c r="CI578" s="77"/>
      <c r="CJ578" s="77"/>
      <c r="CK578" s="77"/>
      <c r="CL578" s="77"/>
      <c r="CM578" s="77"/>
      <c r="CN578" s="77"/>
      <c r="CO578" s="77"/>
      <c r="CP578" s="77"/>
      <c r="CQ578" s="77"/>
      <c r="CR578" s="77"/>
      <c r="CS578" s="77"/>
      <c r="CT578" s="77"/>
      <c r="CU578" s="77"/>
      <c r="CV578" s="77"/>
      <c r="CW578" s="77"/>
      <c r="CX578" s="77"/>
      <c r="CY578" s="77"/>
      <c r="CZ578" s="77"/>
      <c r="DA578" s="77"/>
      <c r="DB578" s="77"/>
      <c r="DC578" s="77"/>
      <c r="DD578" s="77"/>
      <c r="DE578" s="77"/>
      <c r="DF578" s="77"/>
      <c r="DG578" s="77"/>
      <c r="DH578" s="77"/>
      <c r="DI578" s="77"/>
      <c r="DJ578" s="77"/>
      <c r="DK578" s="77"/>
      <c r="DL578" s="77"/>
      <c r="DM578" s="77"/>
      <c r="DN578" s="77"/>
      <c r="DO578" s="77"/>
      <c r="DP578" s="77"/>
      <c r="DQ578" s="77"/>
      <c r="DR578" s="77"/>
      <c r="DS578" s="77"/>
      <c r="DT578" s="77"/>
      <c r="DU578" s="77"/>
      <c r="DV578" s="77"/>
      <c r="DW578" s="77"/>
      <c r="DX578" s="77"/>
      <c r="DY578" s="77"/>
      <c r="DZ578" s="77"/>
      <c r="EA578" s="77"/>
      <c r="EB578" s="77"/>
      <c r="EC578" s="77"/>
      <c r="ED578" s="77"/>
      <c r="EE578" s="77"/>
      <c r="EF578" s="77"/>
      <c r="EG578" s="77"/>
      <c r="EH578" s="77"/>
      <c r="EI578" s="77"/>
      <c r="EJ578" s="77"/>
      <c r="EK578" s="77"/>
      <c r="EL578" s="77"/>
      <c r="EP578" s="77"/>
      <c r="EQ578" s="77"/>
      <c r="ER578" s="77"/>
      <c r="ES578" s="77"/>
      <c r="ET578" s="77"/>
      <c r="EU578" s="77"/>
      <c r="EV578" s="77"/>
      <c r="EW578" s="77"/>
      <c r="EX578" s="77"/>
      <c r="EY578" s="77"/>
      <c r="EZ578" s="77"/>
      <c r="FA578" s="77"/>
      <c r="FB578" s="77"/>
      <c r="FC578" s="77"/>
      <c r="FD578" s="77"/>
      <c r="FE578" s="77"/>
      <c r="FF578" s="77"/>
      <c r="FG578" s="77"/>
      <c r="FH578" s="77"/>
      <c r="FI578" s="77"/>
      <c r="FJ578" s="77"/>
      <c r="FK578" s="77"/>
      <c r="FL578" s="77"/>
      <c r="FM578" s="77"/>
      <c r="FN578" s="77"/>
      <c r="FO578" s="77"/>
      <c r="FP578" s="77"/>
      <c r="FQ578" s="77"/>
      <c r="FR578" s="77"/>
      <c r="FS578" s="77"/>
      <c r="FT578" s="77"/>
      <c r="FU578" s="77"/>
      <c r="FV578" s="77"/>
      <c r="FW578" s="77"/>
      <c r="FX578" s="77"/>
      <c r="FY578" s="77"/>
      <c r="FZ578" s="77"/>
      <c r="GA578" s="77"/>
      <c r="GB578" s="77"/>
      <c r="GC578" s="77"/>
      <c r="GD578" s="77"/>
      <c r="GE578" s="77"/>
      <c r="GF578" s="77"/>
      <c r="GG578" s="77"/>
      <c r="GH578" s="77"/>
      <c r="GI578" s="77"/>
      <c r="GJ578" s="77"/>
      <c r="GK578" s="77"/>
      <c r="GL578" s="77"/>
      <c r="GM578" s="77"/>
      <c r="GN578" s="77"/>
      <c r="GO578" s="77"/>
      <c r="GP578" s="77"/>
      <c r="GQ578" s="77"/>
      <c r="GR578" s="77"/>
      <c r="GS578" s="77"/>
      <c r="GT578" s="77"/>
      <c r="GU578" s="77"/>
      <c r="GV578" s="77"/>
      <c r="GW578" s="77"/>
      <c r="GX578" s="77"/>
      <c r="GY578" s="77"/>
      <c r="GZ578" s="77"/>
      <c r="HA578" s="77"/>
      <c r="HB578" s="77"/>
      <c r="HC578" s="77"/>
      <c r="HD578" s="77"/>
      <c r="HE578" s="77"/>
      <c r="HF578" s="77"/>
      <c r="HG578" s="77"/>
      <c r="HH578" s="77"/>
      <c r="HI578" s="77"/>
      <c r="HJ578" s="77"/>
      <c r="HK578" s="77"/>
      <c r="ID578" s="77"/>
      <c r="IE578" s="77"/>
      <c r="IF578" s="77"/>
      <c r="IG578" s="77"/>
      <c r="IH578" s="77"/>
      <c r="II578" s="77"/>
      <c r="IJ578" s="77"/>
      <c r="IK578" s="77"/>
      <c r="IL578" s="77"/>
      <c r="IM578" s="77"/>
      <c r="IN578" s="77"/>
      <c r="IO578" s="77"/>
      <c r="IP578" s="77"/>
      <c r="IQ578" s="77"/>
      <c r="IR578" s="77"/>
      <c r="IS578" s="77"/>
      <c r="IT578" s="77"/>
      <c r="IU578" s="77"/>
      <c r="IV578" s="77"/>
      <c r="IW578" s="77"/>
      <c r="IX578" s="77"/>
      <c r="IY578" s="77"/>
      <c r="IZ578" s="77"/>
      <c r="JA578" s="77"/>
      <c r="JB578" s="77"/>
      <c r="JC578" s="77"/>
      <c r="JD578" s="77"/>
      <c r="JE578" s="77"/>
      <c r="JF578" s="77"/>
      <c r="JG578" s="77"/>
      <c r="JH578" s="77"/>
      <c r="JI578" s="77"/>
      <c r="JJ578" s="77"/>
      <c r="JK578" s="77"/>
      <c r="JL578" s="77"/>
      <c r="JM578" s="77"/>
      <c r="JN578" s="77"/>
      <c r="JO578" s="77"/>
      <c r="JP578" s="77"/>
      <c r="JQ578" s="77"/>
      <c r="JR578" s="77"/>
      <c r="JS578" s="77"/>
      <c r="JT578" s="77"/>
      <c r="JU578" s="77"/>
      <c r="JV578" s="77"/>
      <c r="JW578" s="77"/>
      <c r="JX578" s="77"/>
      <c r="LW578" s="77"/>
      <c r="LX578" s="77"/>
      <c r="LY578" s="77"/>
      <c r="LZ578" s="77"/>
      <c r="MA578" s="77"/>
      <c r="MB578" s="77"/>
      <c r="MC578" s="77"/>
      <c r="MD578" s="77"/>
      <c r="ME578" s="77"/>
      <c r="MF578" s="77"/>
      <c r="MG578" s="77"/>
      <c r="MH578" s="77"/>
      <c r="MI578" s="77"/>
      <c r="MJ578" s="77"/>
      <c r="MK578" s="77"/>
      <c r="ML578" s="77"/>
      <c r="MM578" s="77"/>
      <c r="MN578" s="77"/>
      <c r="MO578" s="77"/>
      <c r="MP578" s="77"/>
      <c r="MQ578" s="77"/>
      <c r="MR578" s="77"/>
      <c r="MT578" s="77"/>
      <c r="MU578" s="77"/>
      <c r="MV578" s="77"/>
      <c r="MW578" s="77"/>
      <c r="MX578" s="77"/>
      <c r="MY578" s="77"/>
      <c r="MZ578" s="77"/>
      <c r="NA578" s="77"/>
      <c r="NB578" s="77"/>
      <c r="NC578" s="77"/>
    </row>
    <row r="579" spans="1:421" s="21" customFormat="1" ht="18.600000000000001" customHeight="1" x14ac:dyDescent="0.25">
      <c r="A579" s="119" t="s">
        <v>251</v>
      </c>
      <c r="B579" s="27" t="s">
        <v>3439</v>
      </c>
      <c r="C579" s="27" t="s">
        <v>3440</v>
      </c>
      <c r="D579" s="34" t="s">
        <v>2835</v>
      </c>
      <c r="E579" s="34" t="s">
        <v>2834</v>
      </c>
      <c r="F579" s="38" t="s">
        <v>154</v>
      </c>
      <c r="G579" s="38" t="s">
        <v>250</v>
      </c>
      <c r="H579" s="38" t="s">
        <v>772</v>
      </c>
      <c r="I579" s="38" t="s">
        <v>773</v>
      </c>
      <c r="J579" s="27" t="s">
        <v>789</v>
      </c>
      <c r="K579" s="15" t="s">
        <v>777</v>
      </c>
      <c r="L579" s="10"/>
      <c r="M579" s="10" t="s">
        <v>770</v>
      </c>
      <c r="N579" s="34" t="s">
        <v>2836</v>
      </c>
      <c r="O579" s="27" t="s">
        <v>3152</v>
      </c>
      <c r="P579" s="80">
        <v>83</v>
      </c>
      <c r="Q579" s="80">
        <v>29</v>
      </c>
      <c r="R579" s="27" t="s">
        <v>2995</v>
      </c>
      <c r="S579" s="34" t="s">
        <v>2837</v>
      </c>
      <c r="T579" s="10" t="s">
        <v>771</v>
      </c>
      <c r="U579" s="10" t="s">
        <v>771</v>
      </c>
      <c r="V579" s="10" t="s">
        <v>771</v>
      </c>
      <c r="W579" s="38"/>
      <c r="X579" s="27" t="s">
        <v>251</v>
      </c>
      <c r="Y579" s="27" t="s">
        <v>3439</v>
      </c>
      <c r="Z579" s="80">
        <v>354</v>
      </c>
      <c r="AA579" s="27">
        <v>2042</v>
      </c>
      <c r="AB579" s="80">
        <v>2444</v>
      </c>
      <c r="AC579" s="27">
        <v>15</v>
      </c>
      <c r="AD579" s="27" t="s">
        <v>3441</v>
      </c>
      <c r="AE579" s="27">
        <v>157253297</v>
      </c>
      <c r="AF579" s="27" t="s">
        <v>3440</v>
      </c>
      <c r="AG579" s="27" t="s">
        <v>250</v>
      </c>
      <c r="AH579" s="79">
        <v>0.16511194029850701</v>
      </c>
      <c r="AI579" s="83">
        <v>0.26818181818181802</v>
      </c>
      <c r="AJ579" s="80">
        <v>2.51943462897527</v>
      </c>
      <c r="AK579" s="80">
        <v>3.4275618374558299</v>
      </c>
      <c r="AL579" s="96">
        <v>21</v>
      </c>
      <c r="AM579" s="97">
        <f>SUM(AL579/Z579)</f>
        <v>5.9322033898305086E-2</v>
      </c>
      <c r="AN579" s="27" t="s">
        <v>251</v>
      </c>
      <c r="AO579" s="27">
        <v>11</v>
      </c>
      <c r="AP579" s="27">
        <v>1</v>
      </c>
      <c r="AQ579" s="27">
        <v>0</v>
      </c>
      <c r="AR579" s="27">
        <f>SUM(AO579:AQ579)</f>
        <v>12</v>
      </c>
      <c r="AS579" s="27" t="s">
        <v>5008</v>
      </c>
      <c r="AT579" s="27" t="s">
        <v>3283</v>
      </c>
      <c r="AU579" s="84"/>
      <c r="AV579" s="77"/>
      <c r="AW579" s="77"/>
      <c r="AX579" s="77"/>
      <c r="AY579" s="77"/>
      <c r="AZ579" s="77"/>
      <c r="BA579" s="77"/>
      <c r="BB579" s="77"/>
      <c r="BC579" s="77"/>
      <c r="BD579" s="77"/>
      <c r="BE579" s="77"/>
      <c r="BF579" s="77"/>
      <c r="BG579" s="77"/>
      <c r="BH579" s="77"/>
      <c r="BI579" s="77"/>
      <c r="BJ579" s="77"/>
      <c r="BK579" s="77"/>
      <c r="BL579" s="77"/>
      <c r="BM579" s="77"/>
      <c r="BN579" s="77"/>
      <c r="BO579" s="77"/>
      <c r="BP579" s="77"/>
      <c r="BQ579" s="77"/>
      <c r="BR579" s="77"/>
      <c r="BS579" s="77"/>
      <c r="BT579" s="77"/>
      <c r="BU579" s="77"/>
      <c r="BV579" s="77"/>
      <c r="BW579" s="77"/>
      <c r="BX579" s="77"/>
      <c r="BY579" s="77"/>
      <c r="BZ579" s="77"/>
      <c r="CA579" s="77"/>
      <c r="CB579" s="77"/>
      <c r="CC579" s="77"/>
      <c r="CD579" s="77"/>
      <c r="CE579" s="77"/>
      <c r="CF579" s="77"/>
      <c r="CG579" s="77"/>
      <c r="CH579" s="77"/>
      <c r="CI579" s="77"/>
      <c r="CJ579" s="77"/>
      <c r="CK579" s="77"/>
      <c r="CL579" s="77"/>
      <c r="CM579" s="77"/>
      <c r="CN579" s="77"/>
      <c r="CO579" s="77"/>
      <c r="CP579" s="77"/>
      <c r="CQ579" s="77"/>
      <c r="CR579" s="77"/>
      <c r="CS579" s="77"/>
      <c r="CT579" s="77"/>
      <c r="CU579" s="77"/>
      <c r="CV579" s="77"/>
      <c r="CW579" s="77"/>
      <c r="CX579" s="77"/>
      <c r="CY579" s="77"/>
      <c r="CZ579" s="77"/>
      <c r="DA579" s="77"/>
      <c r="DB579" s="77"/>
      <c r="DC579" s="77"/>
      <c r="DD579" s="77"/>
      <c r="DE579" s="77"/>
      <c r="DF579" s="77"/>
      <c r="DG579" s="77"/>
      <c r="DH579" s="77"/>
      <c r="DI579" s="77"/>
      <c r="DJ579" s="77"/>
      <c r="DK579" s="77"/>
      <c r="DL579" s="77"/>
      <c r="DM579" s="77"/>
      <c r="DN579" s="77"/>
      <c r="DO579" s="77"/>
      <c r="DP579" s="77"/>
      <c r="DQ579" s="77"/>
      <c r="DR579" s="77"/>
      <c r="DS579" s="77"/>
      <c r="DT579" s="77"/>
      <c r="DU579" s="77"/>
      <c r="DV579" s="77"/>
      <c r="DW579" s="77"/>
      <c r="DX579" s="77"/>
      <c r="DY579" s="77"/>
      <c r="DZ579" s="77"/>
      <c r="EA579" s="77"/>
      <c r="EB579" s="77"/>
      <c r="EC579" s="77"/>
      <c r="ED579" s="77"/>
      <c r="EE579" s="77"/>
      <c r="EF579" s="77"/>
      <c r="EG579" s="77"/>
      <c r="EH579" s="77"/>
      <c r="EI579" s="77"/>
      <c r="EJ579" s="77"/>
      <c r="EK579" s="77"/>
      <c r="EL579" s="77"/>
      <c r="EM579" s="16"/>
      <c r="EN579" s="16"/>
      <c r="EO579" s="16"/>
      <c r="EP579" s="77"/>
      <c r="EQ579" s="77"/>
      <c r="HL579" s="77"/>
      <c r="HM579" s="77"/>
      <c r="HN579" s="77"/>
      <c r="HO579" s="77"/>
      <c r="HP579" s="77"/>
      <c r="HQ579" s="77"/>
      <c r="HR579" s="77"/>
      <c r="HS579" s="77"/>
      <c r="HT579" s="77"/>
      <c r="HU579" s="77"/>
      <c r="HV579" s="77"/>
      <c r="HW579" s="77"/>
      <c r="HX579" s="77"/>
      <c r="HY579" s="77"/>
      <c r="HZ579" s="77"/>
      <c r="IA579" s="77"/>
      <c r="IB579" s="77"/>
      <c r="IC579" s="77"/>
      <c r="ID579" s="77"/>
      <c r="IE579" s="77"/>
      <c r="IF579" s="77"/>
      <c r="IG579" s="77"/>
      <c r="IH579" s="77"/>
      <c r="II579" s="77"/>
      <c r="IJ579" s="77"/>
      <c r="IK579" s="77"/>
      <c r="IL579" s="77"/>
      <c r="IM579" s="77"/>
      <c r="IN579" s="77"/>
      <c r="IO579" s="77"/>
      <c r="IP579" s="77"/>
      <c r="IQ579" s="77"/>
      <c r="IR579" s="77"/>
      <c r="IS579" s="77"/>
      <c r="IT579" s="77"/>
      <c r="IU579" s="77"/>
      <c r="IV579" s="77"/>
      <c r="IW579" s="77"/>
      <c r="IX579" s="77"/>
      <c r="IY579" s="77"/>
      <c r="IZ579" s="77"/>
      <c r="JA579" s="77"/>
      <c r="JB579" s="77"/>
      <c r="JC579" s="77"/>
      <c r="JD579" s="77"/>
      <c r="JE579" s="77"/>
      <c r="JF579" s="77"/>
      <c r="JG579" s="77"/>
      <c r="JH579" s="77"/>
      <c r="JI579" s="77"/>
      <c r="JJ579" s="77"/>
      <c r="JK579" s="77"/>
      <c r="JL579" s="77"/>
      <c r="JM579" s="77"/>
      <c r="JN579" s="77"/>
      <c r="JO579" s="77"/>
      <c r="JP579" s="77"/>
      <c r="JQ579" s="77"/>
      <c r="JR579" s="77"/>
      <c r="JS579" s="77"/>
      <c r="JT579" s="77"/>
      <c r="JU579" s="77"/>
      <c r="JV579" s="77"/>
      <c r="JW579" s="77"/>
      <c r="JX579" s="77"/>
      <c r="JY579" s="77"/>
      <c r="JZ579" s="77"/>
      <c r="KA579" s="77"/>
      <c r="KB579" s="77"/>
      <c r="KC579" s="77"/>
      <c r="KD579" s="77"/>
      <c r="KE579" s="77"/>
      <c r="KF579" s="77"/>
      <c r="KG579" s="77"/>
      <c r="KH579" s="77"/>
      <c r="KI579" s="77"/>
      <c r="KJ579" s="77"/>
      <c r="KK579" s="77"/>
      <c r="KL579" s="77"/>
      <c r="LW579" s="77"/>
      <c r="LX579" s="77"/>
    </row>
    <row r="580" spans="1:421" s="21" customFormat="1" ht="18.600000000000001" customHeight="1" x14ac:dyDescent="0.25">
      <c r="A580" s="119" t="s">
        <v>190</v>
      </c>
      <c r="B580" s="27" t="s">
        <v>1293</v>
      </c>
      <c r="C580" s="27" t="s">
        <v>3896</v>
      </c>
      <c r="D580" s="30" t="str">
        <f>HYPERLINK("https://twitter.com/jokowi","https://twitter.com/jokowi")</f>
        <v>https://twitter.com/jokowi</v>
      </c>
      <c r="E580" s="30" t="str">
        <f>HYPERLINK("http://twiplomacy.com/info/asia/Indonesia","http://twiplomacy.com/info/asia/Indonesia")</f>
        <v>http://twiplomacy.com/info/asia/Indonesia</v>
      </c>
      <c r="F580" s="10" t="s">
        <v>154</v>
      </c>
      <c r="G580" s="10" t="s">
        <v>189</v>
      </c>
      <c r="H580" s="10" t="s">
        <v>772</v>
      </c>
      <c r="I580" s="10" t="s">
        <v>773</v>
      </c>
      <c r="J580" s="27" t="s">
        <v>789</v>
      </c>
      <c r="K580" s="15" t="s">
        <v>777</v>
      </c>
      <c r="L580" s="10" t="s">
        <v>771</v>
      </c>
      <c r="M580" s="10" t="s">
        <v>770</v>
      </c>
      <c r="N580" s="30" t="str">
        <f>HYPERLINK("https://twitter.com/jokowi_do2/status/109890722416689152","https://twitter.com/jokowi/status/109890722416689152")</f>
        <v>https://twitter.com/jokowi/status/109890722416689152</v>
      </c>
      <c r="O580" s="12" t="str">
        <f>HYPERLINK("https://twitter.com/jokowi_do2/statuses/491641006614269953","https://twitter.com/jokowi/statuses/491641006614269953")</f>
        <v>https://twitter.com/jokowi/statuses/491641006614269953</v>
      </c>
      <c r="P580" s="46">
        <v>26507</v>
      </c>
      <c r="Q580" s="46">
        <v>5715</v>
      </c>
      <c r="R580" s="27" t="s">
        <v>2994</v>
      </c>
      <c r="S580" s="30" t="str">
        <f>HYPERLINK("https://twitter.com/jokowi_do2/lists","https://twitter.com/jokowi/lists")</f>
        <v>https://twitter.com/jokowi/lists</v>
      </c>
      <c r="T580" s="10" t="s">
        <v>771</v>
      </c>
      <c r="U580" s="10" t="s">
        <v>771</v>
      </c>
      <c r="V580" s="10" t="s">
        <v>771</v>
      </c>
      <c r="W580" s="10"/>
      <c r="X580" s="27" t="s">
        <v>190</v>
      </c>
      <c r="Y580" s="27" t="s">
        <v>1293</v>
      </c>
      <c r="Z580" s="80">
        <v>353</v>
      </c>
      <c r="AA580" s="27">
        <v>59</v>
      </c>
      <c r="AB580" s="80">
        <v>4942448</v>
      </c>
      <c r="AC580" s="27">
        <v>0</v>
      </c>
      <c r="AD580" s="27" t="s">
        <v>3897</v>
      </c>
      <c r="AE580" s="27">
        <v>366987179</v>
      </c>
      <c r="AF580" s="27" t="s">
        <v>3896</v>
      </c>
      <c r="AG580" s="27" t="s">
        <v>1294</v>
      </c>
      <c r="AH580" s="79">
        <v>0.20728126834997099</v>
      </c>
      <c r="AI580" s="83">
        <v>1.11708860759494</v>
      </c>
      <c r="AJ580" s="80">
        <v>1223.67897727273</v>
      </c>
      <c r="AK580" s="80">
        <v>1438.89204545455</v>
      </c>
      <c r="AL580" s="27">
        <v>2</v>
      </c>
      <c r="AM580" s="97">
        <f>SUM(AL580/Z580)</f>
        <v>5.6657223796033997E-3</v>
      </c>
      <c r="AN580" s="27" t="s">
        <v>190</v>
      </c>
      <c r="AO580" s="27">
        <v>0</v>
      </c>
      <c r="AP580" s="27">
        <v>7</v>
      </c>
      <c r="AQ580" s="27">
        <v>2</v>
      </c>
      <c r="AR580" s="27">
        <f>SUM(AO580:AQ580)</f>
        <v>9</v>
      </c>
      <c r="AS580" s="27"/>
      <c r="AT580" s="27" t="s">
        <v>5219</v>
      </c>
      <c r="AU580" s="84" t="s">
        <v>4780</v>
      </c>
      <c r="AV580" s="77"/>
      <c r="AW580" s="77"/>
      <c r="AX580" s="77"/>
      <c r="AY580" s="77"/>
      <c r="AZ580" s="77"/>
      <c r="BA580" s="77"/>
      <c r="BB580" s="77"/>
      <c r="BC580" s="77"/>
      <c r="BD580" s="77"/>
      <c r="BE580" s="77"/>
      <c r="BF580" s="77"/>
      <c r="BG580" s="77"/>
      <c r="BH580" s="77"/>
      <c r="BI580" s="77"/>
      <c r="BJ580" s="77"/>
      <c r="BK580" s="77"/>
      <c r="BL580" s="77"/>
      <c r="BM580" s="77"/>
      <c r="BN580" s="77"/>
      <c r="BO580" s="77"/>
      <c r="BP580" s="77"/>
      <c r="BQ580" s="77"/>
      <c r="BR580" s="77"/>
      <c r="BS580" s="77"/>
      <c r="BT580" s="77"/>
      <c r="BU580" s="77"/>
      <c r="BV580" s="77"/>
      <c r="BW580" s="77"/>
      <c r="BX580" s="77"/>
      <c r="BY580" s="77"/>
      <c r="BZ580" s="77"/>
      <c r="CA580" s="77"/>
      <c r="CB580" s="77"/>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77"/>
      <c r="EN580" s="77"/>
      <c r="EO580" s="77"/>
      <c r="EP580" s="77"/>
      <c r="EQ580" s="77"/>
      <c r="GL580" s="77"/>
      <c r="GM580" s="77"/>
      <c r="GN580" s="77"/>
      <c r="GO580" s="77"/>
      <c r="GP580" s="77"/>
      <c r="GQ580" s="77"/>
      <c r="GR580" s="77"/>
      <c r="GS580" s="77"/>
      <c r="GT580" s="77"/>
      <c r="GU580" s="77"/>
      <c r="GV580" s="77"/>
      <c r="GW580" s="77"/>
      <c r="GX580" s="77"/>
      <c r="GY580" s="77"/>
      <c r="GZ580" s="77"/>
      <c r="HA580" s="77"/>
      <c r="HB580" s="77"/>
      <c r="HC580" s="77"/>
      <c r="HD580" s="77"/>
      <c r="HE580" s="77"/>
      <c r="HF580" s="77"/>
      <c r="HG580" s="77"/>
      <c r="HH580" s="77"/>
      <c r="HI580" s="77"/>
      <c r="HJ580" s="77"/>
      <c r="HK580" s="77"/>
      <c r="ID580" s="77"/>
      <c r="IE580" s="77"/>
      <c r="IF580" s="77"/>
      <c r="IG580" s="77"/>
      <c r="IH580" s="77"/>
      <c r="II580" s="77"/>
      <c r="IJ580" s="77"/>
      <c r="IK580" s="77"/>
      <c r="IL580" s="77"/>
      <c r="IM580" s="77"/>
      <c r="IN580" s="77"/>
      <c r="IO580" s="77"/>
      <c r="IP580" s="77"/>
      <c r="IQ580" s="77"/>
      <c r="IR580" s="77"/>
      <c r="IS580" s="77"/>
      <c r="IT580" s="77"/>
      <c r="IU580" s="77"/>
      <c r="IV580" s="77"/>
      <c r="IW580" s="77"/>
      <c r="IX580" s="77"/>
      <c r="IY580" s="77"/>
      <c r="IZ580" s="77"/>
      <c r="JA580" s="77"/>
      <c r="JB580" s="77"/>
      <c r="JC580" s="77"/>
      <c r="JD580" s="77"/>
      <c r="JE580" s="77"/>
      <c r="JF580" s="77"/>
      <c r="JG580" s="77"/>
      <c r="JH580" s="77"/>
      <c r="JI580" s="77"/>
      <c r="JJ580" s="77"/>
      <c r="JK580" s="77"/>
      <c r="JL580" s="77"/>
      <c r="JM580" s="77"/>
      <c r="JN580" s="77"/>
      <c r="JO580" s="77"/>
      <c r="JP580" s="77"/>
      <c r="JQ580" s="77"/>
      <c r="JR580" s="77"/>
      <c r="JS580" s="77"/>
      <c r="JT580" s="77"/>
      <c r="JU580" s="77"/>
      <c r="JV580" s="77"/>
      <c r="JW580" s="77"/>
      <c r="JX580" s="77"/>
      <c r="LL580" s="77"/>
      <c r="LM580" s="77"/>
      <c r="LN580" s="77"/>
      <c r="LO580" s="77"/>
      <c r="LP580" s="77"/>
      <c r="LQ580" s="77"/>
      <c r="LR580" s="77"/>
      <c r="LS580" s="77"/>
      <c r="LT580" s="77"/>
      <c r="LU580" s="77"/>
      <c r="LV580" s="77"/>
      <c r="LW580" s="77"/>
      <c r="LX580" s="77"/>
    </row>
    <row r="581" spans="1:421" s="21" customFormat="1" ht="18.600000000000001" customHeight="1" x14ac:dyDescent="0.25">
      <c r="A581" s="119" t="s">
        <v>179</v>
      </c>
      <c r="B581" s="27" t="s">
        <v>1268</v>
      </c>
      <c r="C581" s="27" t="s">
        <v>1269</v>
      </c>
      <c r="D581" s="30" t="str">
        <f>HYPERLINK("https://twitter.com/MargvelashviliG","https://twitter.com/MargvelashviliG")</f>
        <v>https://twitter.com/MargvelashviliG</v>
      </c>
      <c r="E581" s="30" t="str">
        <f>HYPERLINK("http://twiplomacy.com/info/asia/Georgia","http://twiplomacy.com/info/asia/Georgia")</f>
        <v>http://twiplomacy.com/info/asia/Georgia</v>
      </c>
      <c r="F581" s="10" t="s">
        <v>154</v>
      </c>
      <c r="G581" s="10" t="s">
        <v>178</v>
      </c>
      <c r="H581" s="10" t="s">
        <v>772</v>
      </c>
      <c r="I581" s="10" t="s">
        <v>773</v>
      </c>
      <c r="J581" s="27" t="s">
        <v>789</v>
      </c>
      <c r="K581" s="15" t="s">
        <v>777</v>
      </c>
      <c r="L581" s="15"/>
      <c r="M581" s="10" t="s">
        <v>770</v>
      </c>
      <c r="N581" s="30" t="str">
        <f>HYPERLINK("https://twitter.com/MargvelashviliG/statuses/425156185755381760","https://twitter.com/MargvelashviliG/statuses/425156185755381760")</f>
        <v>https://twitter.com/MargvelashviliG/statuses/425156185755381760</v>
      </c>
      <c r="O581" s="27" t="s">
        <v>5925</v>
      </c>
      <c r="P581" s="80">
        <v>110</v>
      </c>
      <c r="Q581" s="80">
        <v>131</v>
      </c>
      <c r="R581" s="27" t="s">
        <v>2995</v>
      </c>
      <c r="S581" s="10" t="s">
        <v>1270</v>
      </c>
      <c r="T581" s="10" t="s">
        <v>771</v>
      </c>
      <c r="U581" s="10" t="s">
        <v>771</v>
      </c>
      <c r="V581" s="10" t="s">
        <v>771</v>
      </c>
      <c r="W581" s="10"/>
      <c r="X581" s="27" t="s">
        <v>179</v>
      </c>
      <c r="Y581" s="27" t="s">
        <v>1268</v>
      </c>
      <c r="Z581" s="80">
        <v>341</v>
      </c>
      <c r="AA581" s="27">
        <v>289</v>
      </c>
      <c r="AB581" s="80">
        <v>7144</v>
      </c>
      <c r="AC581" s="27">
        <v>0</v>
      </c>
      <c r="AD581" s="27" t="s">
        <v>4025</v>
      </c>
      <c r="AE581" s="27">
        <v>2243475914</v>
      </c>
      <c r="AF581" s="27" t="s">
        <v>1269</v>
      </c>
      <c r="AG581" s="27" t="s">
        <v>1271</v>
      </c>
      <c r="AH581" s="79">
        <v>0.39150401836969001</v>
      </c>
      <c r="AI581" s="83">
        <v>0.414337788578372</v>
      </c>
      <c r="AJ581" s="80">
        <v>5.5384615384615401</v>
      </c>
      <c r="AK581" s="80">
        <v>7.3356643356643403</v>
      </c>
      <c r="AL581" s="27">
        <v>8</v>
      </c>
      <c r="AM581" s="97">
        <f>SUM(AL581/Z581)</f>
        <v>2.3460410557184751E-2</v>
      </c>
      <c r="AN581" s="27" t="s">
        <v>179</v>
      </c>
      <c r="AO581" s="27">
        <v>39</v>
      </c>
      <c r="AP581" s="27">
        <v>4</v>
      </c>
      <c r="AQ581" s="27">
        <v>10</v>
      </c>
      <c r="AR581" s="27">
        <f>SUM(AO581:AQ581)</f>
        <v>53</v>
      </c>
      <c r="AS581" s="27" t="s">
        <v>5278</v>
      </c>
      <c r="AT581" s="27" t="s">
        <v>6780</v>
      </c>
      <c r="AU581" s="84" t="s">
        <v>4825</v>
      </c>
      <c r="AV581" s="77"/>
      <c r="AW581" s="77"/>
      <c r="AX581" s="77"/>
      <c r="AY581" s="77"/>
      <c r="AZ581" s="77"/>
      <c r="BA581" s="77"/>
      <c r="BB581" s="77"/>
      <c r="BC581" s="77"/>
      <c r="BD581" s="77"/>
      <c r="BE581" s="77"/>
      <c r="BF581" s="77"/>
      <c r="BG581" s="77"/>
      <c r="BH581" s="77"/>
      <c r="BI581" s="77"/>
      <c r="BJ581" s="77"/>
      <c r="BK581" s="77"/>
      <c r="BL581" s="77"/>
      <c r="BM581" s="77"/>
      <c r="BN581" s="77"/>
      <c r="BO581" s="77"/>
      <c r="BP581" s="77"/>
      <c r="BQ581" s="77"/>
      <c r="BR581" s="77"/>
      <c r="BS581" s="77"/>
      <c r="BT581" s="77"/>
      <c r="BU581" s="77"/>
      <c r="BV581" s="77"/>
      <c r="BW581" s="77"/>
      <c r="BX581" s="77"/>
      <c r="BY581" s="77"/>
      <c r="BZ581" s="77"/>
      <c r="CA581" s="77"/>
      <c r="CB581" s="77"/>
      <c r="CC581" s="77"/>
      <c r="CD581" s="77"/>
      <c r="CE581" s="77"/>
      <c r="CF581" s="77"/>
      <c r="CG581" s="77"/>
      <c r="CH581" s="77"/>
      <c r="CI581" s="77"/>
      <c r="CJ581" s="77"/>
      <c r="CK581" s="77"/>
      <c r="CL581" s="77"/>
      <c r="CM581" s="77"/>
      <c r="CN581" s="77"/>
      <c r="CO581" s="77"/>
      <c r="CP581" s="77"/>
      <c r="CQ581" s="77"/>
      <c r="CR581" s="77"/>
      <c r="CS581" s="77"/>
      <c r="CT581" s="77"/>
      <c r="CU581" s="77"/>
      <c r="CV581" s="77"/>
      <c r="CW581" s="77"/>
      <c r="CX581" s="77"/>
      <c r="CY581" s="77"/>
      <c r="CZ581" s="77"/>
      <c r="DA581" s="77"/>
      <c r="DB581" s="77"/>
      <c r="DC581" s="77"/>
      <c r="DD581" s="77"/>
      <c r="DE581" s="77"/>
      <c r="DF581" s="77"/>
      <c r="DG581" s="77"/>
      <c r="DH581" s="77"/>
      <c r="DI581" s="77"/>
      <c r="DJ581" s="77"/>
      <c r="DK581" s="77"/>
      <c r="DL581" s="77"/>
      <c r="DM581" s="77"/>
      <c r="DN581" s="77"/>
      <c r="DO581" s="77"/>
      <c r="DP581" s="77"/>
      <c r="DQ581" s="77"/>
      <c r="DR581" s="77"/>
      <c r="DS581" s="77"/>
      <c r="DT581" s="77"/>
      <c r="DU581" s="77"/>
      <c r="DV581" s="77"/>
      <c r="DW581" s="77"/>
      <c r="DX581" s="77"/>
      <c r="DY581" s="77"/>
      <c r="DZ581" s="77"/>
      <c r="EA581" s="77"/>
      <c r="EB581" s="77"/>
      <c r="EC581" s="77"/>
      <c r="ED581" s="77"/>
      <c r="EE581" s="77"/>
      <c r="EF581" s="77"/>
      <c r="EG581" s="77"/>
      <c r="EH581" s="77"/>
      <c r="EI581" s="77"/>
      <c r="EJ581" s="77"/>
      <c r="EK581" s="77"/>
      <c r="EL581" s="77"/>
      <c r="EM581" s="77"/>
      <c r="EN581" s="77"/>
      <c r="EO581" s="77"/>
      <c r="EP581" s="77"/>
      <c r="EQ581" s="77"/>
      <c r="ER581" s="77"/>
      <c r="ES581" s="77"/>
      <c r="ET581" s="77"/>
      <c r="EU581" s="77"/>
      <c r="EV581" s="77"/>
      <c r="EW581" s="77"/>
      <c r="EX581" s="77"/>
      <c r="EY581" s="77"/>
      <c r="EZ581" s="77"/>
      <c r="FA581" s="77"/>
      <c r="FB581" s="77"/>
      <c r="FC581" s="77"/>
      <c r="FD581" s="77"/>
      <c r="FE581" s="77"/>
      <c r="FF581" s="77"/>
      <c r="FG581" s="77"/>
      <c r="FH581" s="77"/>
      <c r="FI581" s="77"/>
      <c r="FJ581" s="77"/>
      <c r="FK581" s="77"/>
      <c r="FL581" s="77"/>
      <c r="FM581" s="77"/>
      <c r="FN581" s="77"/>
      <c r="FO581" s="77"/>
      <c r="FP581" s="77"/>
      <c r="FQ581" s="77"/>
      <c r="FR581" s="77"/>
      <c r="FS581" s="77"/>
      <c r="FT581" s="77"/>
      <c r="FU581" s="77"/>
      <c r="FV581" s="77"/>
      <c r="FW581" s="77"/>
      <c r="FX581" s="77"/>
      <c r="FY581" s="77"/>
      <c r="FZ581" s="77"/>
      <c r="GA581" s="77"/>
      <c r="GB581" s="77"/>
      <c r="GC581" s="77"/>
      <c r="GD581" s="77"/>
      <c r="GE581" s="77"/>
      <c r="GF581" s="77"/>
      <c r="GG581" s="77"/>
      <c r="GH581" s="77"/>
      <c r="GI581" s="77"/>
      <c r="GJ581" s="77"/>
      <c r="GK581" s="77"/>
      <c r="GL581" s="77"/>
      <c r="GM581" s="77"/>
      <c r="GN581" s="77"/>
      <c r="GO581" s="77"/>
      <c r="GP581" s="77"/>
      <c r="GQ581" s="77"/>
      <c r="GR581" s="77"/>
      <c r="GS581" s="77"/>
      <c r="GT581" s="77"/>
      <c r="GU581" s="77"/>
      <c r="GV581" s="77"/>
      <c r="GW581" s="77"/>
      <c r="GX581" s="77"/>
      <c r="GY581" s="77"/>
      <c r="GZ581" s="77"/>
      <c r="HA581" s="77"/>
      <c r="HB581" s="77"/>
      <c r="HC581" s="77"/>
      <c r="HD581" s="77"/>
      <c r="HE581" s="77"/>
      <c r="HF581" s="77"/>
      <c r="HG581" s="77"/>
      <c r="HH581" s="77"/>
      <c r="HI581" s="77"/>
      <c r="HJ581" s="77"/>
      <c r="HK581" s="77"/>
      <c r="HL581" s="77"/>
      <c r="HM581" s="77"/>
      <c r="HN581" s="77"/>
      <c r="HO581" s="77"/>
      <c r="HP581" s="77"/>
      <c r="HQ581" s="77"/>
      <c r="HR581" s="77"/>
      <c r="HS581" s="77"/>
      <c r="HT581" s="77"/>
      <c r="HU581" s="77"/>
      <c r="HV581" s="77"/>
      <c r="HW581" s="77"/>
      <c r="HX581" s="77"/>
      <c r="HY581" s="77"/>
      <c r="HZ581" s="77"/>
      <c r="IA581" s="77"/>
      <c r="IB581" s="77"/>
      <c r="IC581" s="77"/>
      <c r="ID581" s="77"/>
      <c r="IE581" s="77"/>
      <c r="JY581" s="77"/>
      <c r="JZ581" s="77"/>
      <c r="KA581" s="77"/>
      <c r="KB581" s="77"/>
      <c r="KC581" s="77"/>
      <c r="KD581" s="77"/>
      <c r="KE581" s="77"/>
      <c r="KF581" s="77"/>
      <c r="KG581" s="77"/>
      <c r="KH581" s="77"/>
      <c r="KI581" s="77"/>
      <c r="KJ581" s="77"/>
      <c r="KK581" s="77"/>
      <c r="KL581" s="77"/>
      <c r="KM581" s="77"/>
      <c r="KN581" s="77"/>
      <c r="KO581" s="77"/>
      <c r="KP581" s="77"/>
      <c r="KQ581" s="77"/>
      <c r="KR581" s="77"/>
      <c r="KS581" s="77"/>
      <c r="KT581" s="77"/>
      <c r="KU581" s="77"/>
      <c r="KV581" s="77"/>
      <c r="KW581" s="77"/>
      <c r="KX581" s="77"/>
      <c r="KY581" s="77"/>
      <c r="KZ581" s="77"/>
      <c r="LA581" s="77"/>
      <c r="LB581" s="77"/>
      <c r="LC581" s="77"/>
      <c r="LD581" s="77"/>
      <c r="LE581" s="77"/>
      <c r="LF581" s="77"/>
      <c r="LG581" s="77"/>
      <c r="LH581" s="77"/>
      <c r="LI581" s="77"/>
      <c r="LJ581" s="77"/>
      <c r="LK581" s="77"/>
      <c r="LL581" s="77"/>
      <c r="LM581" s="77"/>
      <c r="LN581" s="77"/>
      <c r="LO581" s="77"/>
      <c r="LP581" s="77"/>
      <c r="LQ581" s="77"/>
      <c r="LR581" s="77"/>
      <c r="LS581" s="77"/>
      <c r="LT581" s="77"/>
      <c r="LU581" s="77"/>
      <c r="LV581" s="77"/>
      <c r="LW581" s="77"/>
      <c r="LX581" s="77"/>
      <c r="ND581" s="77"/>
    </row>
    <row r="582" spans="1:421" s="21" customFormat="1" ht="18.600000000000001" customHeight="1" x14ac:dyDescent="0.25">
      <c r="A582" s="119" t="s">
        <v>3045</v>
      </c>
      <c r="B582" s="27" t="s">
        <v>4029</v>
      </c>
      <c r="C582" s="27"/>
      <c r="D582" s="30" t="s">
        <v>3217</v>
      </c>
      <c r="E582" s="30" t="str">
        <f>HYPERLINK("http://twiplomacy.com/info/europe/Latvia","http://twiplomacy.com/info/europe/Latvia")</f>
        <v>http://twiplomacy.com/info/europe/Latvia</v>
      </c>
      <c r="F582" s="10" t="s">
        <v>332</v>
      </c>
      <c r="G582" s="10" t="s">
        <v>428</v>
      </c>
      <c r="H582" s="10" t="s">
        <v>776</v>
      </c>
      <c r="I582" s="10" t="s">
        <v>773</v>
      </c>
      <c r="J582" s="27" t="s">
        <v>789</v>
      </c>
      <c r="K582" s="15" t="s">
        <v>777</v>
      </c>
      <c r="L582" s="10"/>
      <c r="M582" s="10" t="s">
        <v>770</v>
      </c>
      <c r="N582" s="30" t="s">
        <v>3220</v>
      </c>
      <c r="O582" s="27" t="s">
        <v>3219</v>
      </c>
      <c r="P582" s="80">
        <v>20</v>
      </c>
      <c r="Q582" s="80">
        <v>19</v>
      </c>
      <c r="R582" s="27" t="s">
        <v>2995</v>
      </c>
      <c r="S582" s="12" t="s">
        <v>3218</v>
      </c>
      <c r="T582" s="10">
        <v>1</v>
      </c>
      <c r="U582" s="10" t="s">
        <v>771</v>
      </c>
      <c r="V582" s="10" t="s">
        <v>771</v>
      </c>
      <c r="W582" s="10"/>
      <c r="X582" s="27" t="s">
        <v>3045</v>
      </c>
      <c r="Y582" s="27" t="s">
        <v>4029</v>
      </c>
      <c r="Z582" s="80">
        <v>340</v>
      </c>
      <c r="AA582" s="27">
        <v>950</v>
      </c>
      <c r="AB582" s="80">
        <v>2043</v>
      </c>
      <c r="AC582" s="27">
        <v>57</v>
      </c>
      <c r="AD582" s="27" t="s">
        <v>4030</v>
      </c>
      <c r="AE582" s="27">
        <v>912753266</v>
      </c>
      <c r="AF582" s="27"/>
      <c r="AG582" s="27"/>
      <c r="AH582" s="79">
        <v>0.26541764246682298</v>
      </c>
      <c r="AI582" s="83">
        <v>0.35015447991761101</v>
      </c>
      <c r="AJ582" s="80">
        <v>2.2339622641509398</v>
      </c>
      <c r="AK582" s="80">
        <v>2.3471698113207502</v>
      </c>
      <c r="AL582" s="27">
        <v>83</v>
      </c>
      <c r="AM582" s="97">
        <f>SUM(AL582/Z582)</f>
        <v>0.24411764705882352</v>
      </c>
      <c r="AN582" s="27" t="s">
        <v>3045</v>
      </c>
      <c r="AO582" s="27">
        <v>1</v>
      </c>
      <c r="AP582" s="27">
        <v>1</v>
      </c>
      <c r="AQ582" s="27">
        <v>4</v>
      </c>
      <c r="AR582" s="27">
        <f>SUM(AO582:AQ582)</f>
        <v>6</v>
      </c>
      <c r="AS582" s="27" t="s">
        <v>430</v>
      </c>
      <c r="AT582" s="27" t="s">
        <v>441</v>
      </c>
      <c r="AU582" s="84" t="s">
        <v>4827</v>
      </c>
      <c r="AV582" s="77"/>
      <c r="AW582" s="77"/>
      <c r="AX582" s="77"/>
      <c r="AY582" s="77"/>
      <c r="AZ582" s="77"/>
      <c r="BA582" s="77"/>
      <c r="BB582" s="77"/>
      <c r="BC582" s="77"/>
      <c r="BD582" s="77"/>
      <c r="BE582" s="77"/>
      <c r="BF582" s="77"/>
      <c r="BG582" s="77"/>
      <c r="BH582" s="77"/>
      <c r="BI582" s="77"/>
      <c r="BJ582" s="77"/>
      <c r="BK582" s="77"/>
      <c r="BL582" s="77"/>
      <c r="BM582" s="77"/>
      <c r="BN582" s="70"/>
      <c r="BO582" s="70"/>
      <c r="BP582" s="70"/>
      <c r="BQ582" s="77"/>
      <c r="BR582" s="77"/>
      <c r="BS582" s="77"/>
      <c r="BT582" s="77"/>
      <c r="BU582" s="77"/>
      <c r="BV582" s="77"/>
      <c r="BW582" s="77"/>
      <c r="BX582" s="77"/>
      <c r="BY582" s="77"/>
      <c r="BZ582" s="77"/>
      <c r="CA582" s="77"/>
      <c r="CB582" s="77"/>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77"/>
      <c r="EN582" s="77"/>
      <c r="EO582" s="77"/>
      <c r="EP582" s="77"/>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77"/>
      <c r="GM582" s="77"/>
      <c r="GN582" s="77"/>
      <c r="GO582" s="77"/>
      <c r="GP582" s="77"/>
      <c r="GQ582" s="77"/>
      <c r="GR582" s="77"/>
      <c r="GS582" s="77"/>
      <c r="GT582" s="77"/>
      <c r="GU582" s="77"/>
      <c r="GV582" s="77"/>
      <c r="GW582" s="77"/>
      <c r="GX582" s="77"/>
      <c r="GY582" s="77"/>
      <c r="GZ582" s="77"/>
      <c r="HA582" s="77"/>
      <c r="HB582" s="77"/>
      <c r="HC582" s="77"/>
      <c r="HD582" s="77"/>
      <c r="HE582" s="77"/>
      <c r="HF582" s="77"/>
      <c r="HG582" s="77"/>
      <c r="HH582" s="77"/>
      <c r="HI582" s="77"/>
      <c r="HJ582" s="77"/>
      <c r="HK582" s="77"/>
      <c r="HL582" s="77"/>
      <c r="HM582" s="77"/>
      <c r="HN582" s="77"/>
      <c r="HO582" s="77"/>
      <c r="HP582" s="77"/>
      <c r="HQ582" s="77"/>
      <c r="HR582" s="77"/>
      <c r="HS582" s="77"/>
      <c r="HT582" s="77"/>
      <c r="HU582" s="77"/>
      <c r="HV582" s="77"/>
      <c r="HW582" s="77"/>
      <c r="HX582" s="77"/>
      <c r="HY582" s="77"/>
      <c r="HZ582" s="77"/>
      <c r="IA582" s="77"/>
      <c r="IB582" s="77"/>
      <c r="IC582" s="77"/>
      <c r="ID582" s="77"/>
      <c r="IE582" s="77"/>
      <c r="IF582" s="77"/>
      <c r="IG582" s="77"/>
      <c r="IH582" s="77"/>
      <c r="II582" s="77"/>
      <c r="IJ582" s="77"/>
      <c r="IK582" s="77"/>
      <c r="IL582" s="77"/>
      <c r="IM582" s="77"/>
      <c r="IN582" s="77"/>
      <c r="IO582" s="77"/>
      <c r="IP582" s="77"/>
      <c r="IQ582" s="77"/>
      <c r="IR582" s="77"/>
      <c r="IS582" s="77"/>
      <c r="IT582" s="77"/>
      <c r="IU582" s="77"/>
      <c r="IV582" s="77"/>
      <c r="IW582" s="77"/>
      <c r="IX582" s="77"/>
      <c r="IY582" s="77"/>
      <c r="IZ582" s="77"/>
      <c r="JA582" s="77"/>
      <c r="JB582" s="77"/>
      <c r="JC582" s="77"/>
      <c r="JD582" s="77"/>
      <c r="JE582" s="77"/>
      <c r="JF582" s="77"/>
      <c r="JG582" s="77"/>
      <c r="JH582" s="77"/>
      <c r="JI582" s="77"/>
      <c r="JJ582" s="77"/>
      <c r="JK582" s="77"/>
      <c r="JL582" s="77"/>
      <c r="JM582" s="77"/>
      <c r="JN582" s="77"/>
      <c r="JO582" s="77"/>
      <c r="JP582" s="77"/>
      <c r="JQ582" s="77"/>
      <c r="JR582" s="77"/>
      <c r="JS582" s="77"/>
      <c r="JT582" s="77"/>
      <c r="JU582" s="77"/>
      <c r="JV582" s="77"/>
      <c r="JW582" s="77"/>
      <c r="JX582" s="77"/>
      <c r="JY582" s="77"/>
      <c r="JZ582" s="77"/>
      <c r="KA582" s="77"/>
      <c r="KB582" s="77"/>
      <c r="KC582" s="77"/>
      <c r="KD582" s="77"/>
      <c r="KE582" s="77"/>
      <c r="KF582" s="77"/>
      <c r="KG582" s="77"/>
      <c r="KH582" s="77"/>
      <c r="KI582" s="77"/>
      <c r="KJ582" s="77"/>
      <c r="KK582" s="77"/>
      <c r="KL582" s="77"/>
      <c r="KM582" s="77"/>
      <c r="KN582" s="77"/>
      <c r="KO582" s="77"/>
      <c r="KP582" s="77"/>
      <c r="KQ582" s="77"/>
      <c r="KR582" s="77"/>
      <c r="KS582" s="77"/>
      <c r="KT582" s="77"/>
      <c r="KU582" s="77"/>
      <c r="KV582" s="77"/>
      <c r="KW582" s="77"/>
      <c r="KX582" s="77"/>
      <c r="KY582" s="77"/>
      <c r="KZ582" s="77"/>
      <c r="LA582" s="77"/>
      <c r="LB582" s="77"/>
      <c r="LC582" s="77"/>
      <c r="LD582" s="77"/>
      <c r="LE582" s="77"/>
      <c r="LF582" s="77"/>
      <c r="LG582" s="77"/>
      <c r="LH582" s="77"/>
      <c r="LI582" s="77"/>
      <c r="LJ582" s="77"/>
      <c r="LK582" s="77"/>
      <c r="LW582" s="77"/>
      <c r="LX582" s="77"/>
      <c r="ND582" s="77"/>
    </row>
    <row r="583" spans="1:421" s="21" customFormat="1" ht="18.600000000000001" customHeight="1" x14ac:dyDescent="0.25">
      <c r="A583" s="119" t="s">
        <v>304</v>
      </c>
      <c r="B583" s="27" t="s">
        <v>1623</v>
      </c>
      <c r="C583" s="27" t="s">
        <v>4019</v>
      </c>
      <c r="D583" s="30" t="str">
        <f>HYPERLINK("https://twitter.com/MangalaLK","https://twitter.com/MangalaLK")</f>
        <v>https://twitter.com/MangalaLK</v>
      </c>
      <c r="E583" s="30" t="str">
        <f>HYPERLINK("http://twiplomacy.com/info/asia/Sri-Lanka","http://twiplomacy.com/info/asia/Sri-Lanka")</f>
        <v>http://twiplomacy.com/info/asia/Sri-Lanka</v>
      </c>
      <c r="F583" s="10" t="s">
        <v>154</v>
      </c>
      <c r="G583" s="10" t="s">
        <v>299</v>
      </c>
      <c r="H583" s="10" t="s">
        <v>860</v>
      </c>
      <c r="I583" s="10" t="s">
        <v>773</v>
      </c>
      <c r="J583" s="27" t="s">
        <v>789</v>
      </c>
      <c r="K583" s="15" t="s">
        <v>777</v>
      </c>
      <c r="L583" s="10" t="s">
        <v>1114</v>
      </c>
      <c r="M583" s="10" t="s">
        <v>770</v>
      </c>
      <c r="N583" s="73" t="s">
        <v>1624</v>
      </c>
      <c r="O583" s="27" t="s">
        <v>5920</v>
      </c>
      <c r="P583" s="80">
        <v>51</v>
      </c>
      <c r="Q583" s="80">
        <v>26</v>
      </c>
      <c r="R583" s="27" t="s">
        <v>2995</v>
      </c>
      <c r="S583" s="30" t="str">
        <f>HYPERLINK("https://twitter.com/MangalaLK/lists","https://twitter.com/MangalaLK/lists")</f>
        <v>https://twitter.com/MangalaLK/lists</v>
      </c>
      <c r="T583" s="10" t="s">
        <v>771</v>
      </c>
      <c r="U583" s="10">
        <v>1</v>
      </c>
      <c r="V583" s="10" t="s">
        <v>771</v>
      </c>
      <c r="W583" s="10"/>
      <c r="X583" s="27" t="s">
        <v>304</v>
      </c>
      <c r="Y583" s="27" t="s">
        <v>1623</v>
      </c>
      <c r="Z583" s="80">
        <v>336</v>
      </c>
      <c r="AA583" s="27">
        <v>31</v>
      </c>
      <c r="AB583" s="80">
        <v>7425</v>
      </c>
      <c r="AC583" s="27">
        <v>4</v>
      </c>
      <c r="AD583" s="27" t="s">
        <v>4020</v>
      </c>
      <c r="AE583" s="27">
        <v>3032260688</v>
      </c>
      <c r="AF583" s="27" t="s">
        <v>4019</v>
      </c>
      <c r="AG583" s="27" t="s">
        <v>299</v>
      </c>
      <c r="AH583" s="79">
        <v>0.76887871853546896</v>
      </c>
      <c r="AI583" s="83">
        <v>0.779582366589327</v>
      </c>
      <c r="AJ583" s="80">
        <v>7.1870229007633597</v>
      </c>
      <c r="AK583" s="80">
        <v>4.5534351145038201</v>
      </c>
      <c r="AL583" s="27">
        <v>3</v>
      </c>
      <c r="AM583" s="97">
        <f>SUM(AL583/Z583)</f>
        <v>8.9285714285714281E-3</v>
      </c>
      <c r="AN583" s="27" t="s">
        <v>304</v>
      </c>
      <c r="AO583" s="27">
        <v>9</v>
      </c>
      <c r="AP583" s="27">
        <v>15</v>
      </c>
      <c r="AQ583" s="27">
        <v>8</v>
      </c>
      <c r="AR583" s="27">
        <f>SUM(AO583:AQ583)</f>
        <v>32</v>
      </c>
      <c r="AS583" s="27" t="s">
        <v>5273</v>
      </c>
      <c r="AT583" s="27" t="s">
        <v>6313</v>
      </c>
      <c r="AU583" s="84" t="s">
        <v>4824</v>
      </c>
      <c r="AV583" s="77"/>
      <c r="AW583" s="77"/>
      <c r="AX583" s="77"/>
      <c r="AY583" s="77"/>
      <c r="AZ583" s="77"/>
      <c r="BA583" s="77"/>
      <c r="BB583" s="77"/>
      <c r="BC583" s="77"/>
      <c r="BD583" s="77"/>
      <c r="BE583" s="77"/>
      <c r="BF583" s="77"/>
      <c r="BG583" s="77"/>
      <c r="BH583" s="77"/>
      <c r="BI583" s="77"/>
      <c r="BJ583" s="77"/>
      <c r="BK583" s="77"/>
      <c r="BL583" s="77"/>
      <c r="BM583" s="77"/>
      <c r="BN583" s="77"/>
      <c r="BO583" s="77"/>
      <c r="BP583" s="77"/>
      <c r="BQ583" s="77"/>
      <c r="BR583" s="77"/>
      <c r="BS583" s="77"/>
      <c r="BT583" s="77"/>
      <c r="BU583" s="77"/>
      <c r="BV583" s="77"/>
      <c r="BW583" s="77"/>
      <c r="BX583" s="77"/>
      <c r="BY583" s="77"/>
      <c r="BZ583" s="77"/>
      <c r="CA583" s="77"/>
      <c r="CB583" s="77"/>
      <c r="CC583" s="77"/>
      <c r="CD583" s="77"/>
      <c r="CE583" s="77"/>
      <c r="CF583" s="77"/>
      <c r="CG583" s="77"/>
      <c r="CH583" s="77"/>
      <c r="CI583" s="77"/>
      <c r="CJ583" s="77"/>
      <c r="CK583" s="77"/>
      <c r="CL583" s="77"/>
      <c r="CM583" s="77"/>
      <c r="CN583" s="77"/>
      <c r="CO583" s="77"/>
      <c r="CP583" s="77"/>
      <c r="CQ583" s="77"/>
      <c r="CR583" s="77"/>
      <c r="CS583" s="77"/>
      <c r="CT583" s="77"/>
      <c r="CU583" s="77"/>
      <c r="CV583" s="77"/>
      <c r="CW583" s="77"/>
      <c r="EQ583" s="77"/>
      <c r="ER583" s="77"/>
      <c r="ES583" s="77"/>
      <c r="ET583" s="77"/>
      <c r="EU583" s="77"/>
      <c r="EV583" s="77"/>
      <c r="EW583" s="77"/>
      <c r="EX583" s="77"/>
      <c r="EY583" s="77"/>
      <c r="EZ583" s="77"/>
      <c r="FA583" s="77"/>
      <c r="FB583" s="77"/>
      <c r="FC583" s="77"/>
      <c r="FD583" s="77"/>
      <c r="FE583" s="77"/>
      <c r="FF583" s="77"/>
      <c r="FG583" s="77"/>
      <c r="FH583" s="77"/>
      <c r="FI583" s="77"/>
      <c r="FJ583" s="77"/>
      <c r="FK583" s="77"/>
      <c r="FL583" s="77"/>
      <c r="FM583" s="77"/>
      <c r="FN583" s="77"/>
      <c r="FO583" s="77"/>
      <c r="FP583" s="77"/>
      <c r="FQ583" s="77"/>
      <c r="FR583" s="77"/>
      <c r="FS583" s="77"/>
      <c r="FT583" s="77"/>
      <c r="FU583" s="77"/>
      <c r="FV583" s="77"/>
      <c r="FW583" s="77"/>
      <c r="FX583" s="77"/>
      <c r="FY583" s="77"/>
      <c r="FZ583" s="77"/>
      <c r="GA583" s="77"/>
      <c r="GB583" s="77"/>
      <c r="GC583" s="77"/>
      <c r="GD583" s="77"/>
      <c r="GE583" s="77"/>
      <c r="GF583" s="77"/>
      <c r="GG583" s="77"/>
      <c r="GH583" s="77"/>
      <c r="GI583" s="77"/>
      <c r="GJ583" s="77"/>
      <c r="GK583" s="77"/>
      <c r="GL583" s="77"/>
      <c r="GM583" s="77"/>
      <c r="GN583" s="77"/>
      <c r="GO583" s="77"/>
      <c r="GP583" s="77"/>
      <c r="GQ583" s="77"/>
      <c r="GR583" s="77"/>
      <c r="GS583" s="77"/>
      <c r="GT583" s="77"/>
      <c r="GU583" s="77"/>
      <c r="GV583" s="77"/>
      <c r="GW583" s="77"/>
      <c r="GX583" s="77"/>
      <c r="GY583" s="77"/>
      <c r="GZ583" s="77"/>
      <c r="HA583" s="77"/>
      <c r="HB583" s="77"/>
      <c r="HC583" s="77"/>
      <c r="HD583" s="77"/>
      <c r="HE583" s="77"/>
      <c r="HF583" s="77"/>
      <c r="HG583" s="77"/>
      <c r="HH583" s="77"/>
      <c r="HI583" s="77"/>
      <c r="HJ583" s="77"/>
      <c r="HK583" s="77"/>
      <c r="HL583" s="77"/>
      <c r="HM583" s="77"/>
      <c r="HN583" s="77"/>
      <c r="HO583" s="77"/>
      <c r="HP583" s="77"/>
      <c r="HQ583" s="77"/>
      <c r="HR583" s="77"/>
      <c r="HS583" s="77"/>
      <c r="HT583" s="77"/>
      <c r="HU583" s="77"/>
      <c r="HV583" s="77"/>
      <c r="HW583" s="77"/>
      <c r="HX583" s="77"/>
      <c r="HY583" s="77"/>
      <c r="HZ583" s="77"/>
      <c r="IA583" s="77"/>
      <c r="IB583" s="77"/>
      <c r="IC583" s="77"/>
      <c r="ID583" s="77"/>
      <c r="IE583" s="77"/>
      <c r="JY583" s="16"/>
      <c r="JZ583" s="16"/>
      <c r="KA583" s="16"/>
      <c r="KB583" s="16"/>
      <c r="KC583" s="16"/>
      <c r="KD583" s="16"/>
      <c r="KE583" s="16"/>
      <c r="KF583" s="16"/>
      <c r="KG583" s="16"/>
      <c r="KH583" s="16"/>
      <c r="KI583" s="16"/>
      <c r="KJ583" s="16"/>
      <c r="KK583" s="16"/>
      <c r="KL583" s="16"/>
      <c r="KM583" s="77"/>
      <c r="KN583" s="77"/>
      <c r="KO583" s="77"/>
      <c r="KP583" s="77"/>
      <c r="KQ583" s="77"/>
      <c r="KR583" s="77"/>
      <c r="KS583" s="77"/>
      <c r="KT583" s="77"/>
      <c r="KU583" s="77"/>
      <c r="KV583" s="77"/>
      <c r="KW583" s="77"/>
      <c r="KX583" s="77"/>
      <c r="KY583" s="77"/>
      <c r="KZ583" s="77"/>
      <c r="LA583" s="77"/>
      <c r="LB583" s="77"/>
      <c r="LC583" s="77"/>
      <c r="LD583" s="77"/>
      <c r="LE583" s="77"/>
      <c r="LF583" s="77"/>
      <c r="LG583" s="77"/>
      <c r="LH583" s="77"/>
      <c r="LI583" s="77"/>
      <c r="LJ583" s="77"/>
      <c r="LK583" s="77"/>
      <c r="LW583" s="77"/>
      <c r="LX583" s="77"/>
      <c r="ND583" s="77"/>
    </row>
    <row r="584" spans="1:421" ht="18.600000000000001" customHeight="1" x14ac:dyDescent="0.25">
      <c r="A584" s="119" t="s">
        <v>133</v>
      </c>
      <c r="B584" s="27" t="s">
        <v>1120</v>
      </c>
      <c r="C584" s="27" t="s">
        <v>1121</v>
      </c>
      <c r="D584" s="30" t="str">
        <f>HYPERLINK("https://twitter.com/togodiplomatie","https://twitter.com/togodiplomatie")</f>
        <v>https://twitter.com/togodiplomatie</v>
      </c>
      <c r="E584" s="30" t="str">
        <f>HYPERLINK("http://twiplomacy.com/info/africa/Togo","http://twiplomacy.com/info/africa/Togo")</f>
        <v>http://twiplomacy.com/info/africa/Togo</v>
      </c>
      <c r="F584" s="20" t="s">
        <v>1</v>
      </c>
      <c r="G584" s="10" t="s">
        <v>129</v>
      </c>
      <c r="H584" s="10" t="s">
        <v>795</v>
      </c>
      <c r="I584" s="10" t="s">
        <v>782</v>
      </c>
      <c r="J584" s="27" t="s">
        <v>779</v>
      </c>
      <c r="K584" s="10" t="s">
        <v>4619</v>
      </c>
      <c r="L584" s="10" t="s">
        <v>771</v>
      </c>
      <c r="M584" s="10" t="s">
        <v>770</v>
      </c>
      <c r="N584" s="30" t="str">
        <f>HYPERLINK("https://twitter.com/togodiplomatie/status/493027662009729024","https://twitter.com/togodiplomatie/status/493027662009729024")</f>
        <v>https://twitter.com/togodiplomatie/status/493027662009729024</v>
      </c>
      <c r="O584" s="27" t="s">
        <v>1122</v>
      </c>
      <c r="P584" s="80">
        <v>3</v>
      </c>
      <c r="Q584" s="80">
        <v>0</v>
      </c>
      <c r="R584" s="27" t="s">
        <v>2995</v>
      </c>
      <c r="S584" s="30" t="str">
        <f>HYPERLINK("https://twitter.com/togodiplomatie/lists","https://twitter.com/togodiplomatie/lists")</f>
        <v>https://twitter.com/togodiplomatie/lists</v>
      </c>
      <c r="T584" s="10" t="s">
        <v>771</v>
      </c>
      <c r="U584" s="10" t="s">
        <v>771</v>
      </c>
      <c r="V584" s="10" t="s">
        <v>771</v>
      </c>
      <c r="W584" s="10"/>
      <c r="X584" s="27" t="s">
        <v>133</v>
      </c>
      <c r="Y584" s="27" t="s">
        <v>1120</v>
      </c>
      <c r="Z584" s="80">
        <v>330</v>
      </c>
      <c r="AA584" s="27">
        <v>14</v>
      </c>
      <c r="AB584" s="80">
        <v>158</v>
      </c>
      <c r="AC584" s="27">
        <v>0</v>
      </c>
      <c r="AD584" s="27" t="s">
        <v>4527</v>
      </c>
      <c r="AE584" s="27">
        <v>2682350714</v>
      </c>
      <c r="AF584" s="27" t="s">
        <v>1121</v>
      </c>
      <c r="AG584" s="27" t="s">
        <v>1123</v>
      </c>
      <c r="AH584" s="79">
        <v>0.51083591331269396</v>
      </c>
      <c r="AI584" s="83">
        <v>0.99697885196374603</v>
      </c>
      <c r="AJ584" s="80">
        <v>6.6666666666666693E-2</v>
      </c>
      <c r="AK584" s="80">
        <v>3.9393939393939398E-2</v>
      </c>
      <c r="AL584" s="13">
        <v>0</v>
      </c>
      <c r="AM584" s="97">
        <f>SUM(AL584/Z584)</f>
        <v>0</v>
      </c>
      <c r="AN584" s="27" t="s">
        <v>133</v>
      </c>
      <c r="AO584" s="27">
        <v>2</v>
      </c>
      <c r="AP584" s="27">
        <v>2</v>
      </c>
      <c r="AQ584" s="27">
        <v>1</v>
      </c>
      <c r="AR584" s="27">
        <f>SUM(AO584:AQ584)</f>
        <v>5</v>
      </c>
      <c r="AS584" s="27" t="s">
        <v>5518</v>
      </c>
      <c r="AT584" s="27" t="s">
        <v>5467</v>
      </c>
      <c r="AU584" s="84" t="s">
        <v>131</v>
      </c>
      <c r="AV584" s="77"/>
      <c r="AW584" s="77"/>
      <c r="AX584" s="77"/>
      <c r="AY584" s="77"/>
      <c r="AZ584" s="77"/>
      <c r="BA584" s="77"/>
      <c r="BB584" s="77"/>
      <c r="BC584" s="77"/>
      <c r="BD584" s="77"/>
      <c r="BE584" s="77"/>
      <c r="BF584" s="77"/>
      <c r="BG584" s="77"/>
      <c r="BH584" s="77"/>
      <c r="BI584" s="77"/>
      <c r="BJ584" s="77"/>
      <c r="BK584" s="77"/>
      <c r="BL584" s="77"/>
      <c r="BM584" s="77"/>
      <c r="BN584" s="77"/>
      <c r="BO584" s="77"/>
      <c r="BP584" s="77"/>
      <c r="BQ584" s="77"/>
      <c r="BR584" s="77"/>
      <c r="BS584" s="77"/>
      <c r="BT584" s="77"/>
      <c r="BU584" s="77"/>
      <c r="BV584" s="77"/>
      <c r="BW584" s="77"/>
      <c r="BX584" s="77"/>
      <c r="BY584" s="77"/>
      <c r="BZ584" s="77"/>
      <c r="CA584" s="77"/>
      <c r="CB584" s="77"/>
      <c r="CC584" s="77"/>
      <c r="CD584" s="77"/>
      <c r="CE584" s="77"/>
      <c r="CF584" s="77"/>
      <c r="CG584" s="77"/>
      <c r="CH584" s="77"/>
      <c r="CI584" s="77"/>
      <c r="CJ584" s="77"/>
      <c r="CK584" s="77"/>
      <c r="CL584" s="77"/>
      <c r="CM584" s="77"/>
      <c r="CN584" s="77"/>
      <c r="CO584" s="77"/>
      <c r="CP584" s="77"/>
      <c r="CQ584" s="77"/>
      <c r="CR584" s="77"/>
      <c r="CS584" s="77"/>
      <c r="CT584" s="77"/>
      <c r="CU584" s="77"/>
      <c r="CV584" s="77"/>
      <c r="CW584" s="77"/>
      <c r="CX584" s="77"/>
      <c r="CY584" s="77"/>
      <c r="CZ584" s="77"/>
      <c r="DA584" s="77"/>
      <c r="DB584" s="77"/>
      <c r="DC584" s="77"/>
      <c r="DD584" s="77"/>
      <c r="DE584" s="77"/>
      <c r="DF584" s="77"/>
      <c r="DG584" s="77"/>
      <c r="DH584" s="77"/>
      <c r="DI584" s="77"/>
      <c r="DJ584" s="77"/>
      <c r="DK584" s="77"/>
      <c r="DL584" s="77"/>
      <c r="DM584" s="77"/>
      <c r="DN584" s="77"/>
      <c r="DO584" s="77"/>
      <c r="DP584" s="77"/>
      <c r="DQ584" s="77"/>
      <c r="DR584" s="77"/>
      <c r="DS584" s="77"/>
      <c r="DT584" s="77"/>
      <c r="DU584" s="77"/>
      <c r="DV584" s="77"/>
      <c r="DW584" s="77"/>
      <c r="DX584" s="77"/>
      <c r="DY584" s="77"/>
      <c r="DZ584" s="77"/>
      <c r="EA584" s="77"/>
      <c r="EB584" s="77"/>
      <c r="EC584" s="77"/>
      <c r="ED584" s="77"/>
      <c r="EE584" s="77"/>
      <c r="EF584" s="77"/>
      <c r="EG584" s="77"/>
      <c r="EH584" s="77"/>
      <c r="EI584" s="77"/>
      <c r="EJ584" s="77"/>
      <c r="EK584" s="77"/>
      <c r="EL584" s="77"/>
      <c r="EP584" s="77"/>
      <c r="ER584" s="77"/>
      <c r="ES584" s="77"/>
      <c r="ET584" s="77"/>
      <c r="EU584" s="77"/>
      <c r="EV584" s="77"/>
      <c r="EW584" s="77"/>
      <c r="EX584" s="77"/>
      <c r="EY584" s="77"/>
      <c r="EZ584" s="77"/>
      <c r="FA584" s="77"/>
      <c r="FB584" s="77"/>
      <c r="FC584" s="77"/>
      <c r="FD584" s="77"/>
      <c r="FE584" s="77"/>
      <c r="FF584" s="77"/>
      <c r="FG584" s="77"/>
      <c r="FH584" s="77"/>
      <c r="FI584" s="77"/>
      <c r="FJ584" s="77"/>
      <c r="FK584" s="77"/>
      <c r="FL584" s="77"/>
      <c r="FM584" s="77"/>
      <c r="FN584" s="77"/>
      <c r="FO584" s="77"/>
      <c r="FP584" s="77"/>
      <c r="FQ584" s="77"/>
      <c r="FR584" s="77"/>
      <c r="FS584" s="77"/>
      <c r="FT584" s="77"/>
      <c r="FU584" s="77"/>
      <c r="FV584" s="77"/>
      <c r="FW584" s="77"/>
      <c r="FX584" s="77"/>
      <c r="FY584" s="77"/>
      <c r="FZ584" s="77"/>
      <c r="GA584" s="77"/>
      <c r="GB584" s="77"/>
      <c r="GC584" s="77"/>
      <c r="GD584" s="77"/>
      <c r="GE584" s="77"/>
      <c r="GF584" s="77"/>
      <c r="GG584" s="77"/>
      <c r="GH584" s="77"/>
      <c r="GI584" s="77"/>
      <c r="GJ584" s="77"/>
      <c r="GK584" s="77"/>
      <c r="GL584" s="77"/>
      <c r="GM584" s="77"/>
      <c r="GN584" s="77"/>
      <c r="GO584" s="77"/>
      <c r="GP584" s="77"/>
      <c r="GQ584" s="77"/>
      <c r="GR584" s="77"/>
      <c r="GS584" s="77"/>
      <c r="GT584" s="77"/>
      <c r="GU584" s="77"/>
      <c r="GV584" s="77"/>
      <c r="GW584" s="77"/>
      <c r="GX584" s="77"/>
      <c r="GY584" s="77"/>
      <c r="GZ584" s="77"/>
      <c r="HA584" s="77"/>
      <c r="HB584" s="77"/>
      <c r="HC584" s="77"/>
      <c r="HD584" s="77"/>
      <c r="HE584" s="77"/>
      <c r="HF584" s="77"/>
      <c r="HG584" s="77"/>
      <c r="HH584" s="77"/>
      <c r="HI584" s="77"/>
      <c r="HJ584" s="77"/>
      <c r="HK584" s="77"/>
      <c r="HL584" s="77"/>
      <c r="HM584" s="77"/>
      <c r="HN584" s="77"/>
      <c r="HO584" s="77"/>
      <c r="HP584" s="77"/>
      <c r="HQ584" s="77"/>
      <c r="HR584" s="77"/>
      <c r="HS584" s="77"/>
      <c r="HT584" s="77"/>
      <c r="HU584" s="77"/>
      <c r="HV584" s="77"/>
      <c r="HW584" s="77"/>
      <c r="HX584" s="77"/>
      <c r="HY584" s="77"/>
      <c r="HZ584" s="77"/>
      <c r="IA584" s="77"/>
      <c r="IB584" s="77"/>
      <c r="IC584" s="77"/>
      <c r="ID584" s="77"/>
      <c r="IE584" s="77"/>
      <c r="JY584" s="77"/>
      <c r="JZ584" s="77"/>
      <c r="KA584" s="77"/>
      <c r="KB584" s="77"/>
      <c r="KC584" s="77"/>
      <c r="KD584" s="77"/>
      <c r="KE584" s="77"/>
      <c r="KF584" s="77"/>
      <c r="KG584" s="77"/>
      <c r="KH584" s="77"/>
      <c r="KI584" s="77"/>
      <c r="KJ584" s="77"/>
      <c r="KK584" s="77"/>
      <c r="KL584" s="77"/>
      <c r="KM584" s="77"/>
      <c r="KN584" s="77"/>
      <c r="KO584" s="77"/>
      <c r="KP584" s="77"/>
      <c r="KQ584" s="77"/>
      <c r="KR584" s="77"/>
      <c r="KS584" s="77"/>
      <c r="KT584" s="77"/>
      <c r="KU584" s="77"/>
      <c r="KV584" s="77"/>
      <c r="KW584" s="77"/>
      <c r="KX584" s="77"/>
      <c r="KY584" s="77"/>
      <c r="KZ584" s="77"/>
      <c r="LA584" s="77"/>
      <c r="LB584" s="77"/>
      <c r="LC584" s="77"/>
      <c r="LD584" s="77"/>
      <c r="LE584" s="77"/>
      <c r="LF584" s="77"/>
      <c r="LG584" s="77"/>
      <c r="LH584" s="77"/>
      <c r="LI584" s="77"/>
      <c r="LJ584" s="77"/>
      <c r="LK584" s="77"/>
    </row>
    <row r="585" spans="1:421" ht="18.600000000000001" customHeight="1" x14ac:dyDescent="0.25">
      <c r="A585" s="119" t="s">
        <v>3365</v>
      </c>
      <c r="B585" s="27" t="s">
        <v>3047</v>
      </c>
      <c r="C585" s="27" t="s">
        <v>3935</v>
      </c>
      <c r="D585" s="51" t="s">
        <v>3357</v>
      </c>
      <c r="E585" s="30" t="str">
        <f>HYPERLINK("http://twiplomacy.com/info/asia/Iran","http://twiplomacy.com/info/asia/Iran")</f>
        <v>http://twiplomacy.com/info/asia/Iran</v>
      </c>
      <c r="F585" s="10" t="s">
        <v>154</v>
      </c>
      <c r="G585" s="10" t="s">
        <v>194</v>
      </c>
      <c r="H585" s="10" t="s">
        <v>1313</v>
      </c>
      <c r="I585" s="10" t="s">
        <v>773</v>
      </c>
      <c r="J585" s="27" t="s">
        <v>789</v>
      </c>
      <c r="K585" s="15" t="s">
        <v>777</v>
      </c>
      <c r="L585" s="10"/>
      <c r="M585" s="10"/>
      <c r="N585" s="30" t="s">
        <v>3381</v>
      </c>
      <c r="O585" s="27" t="s">
        <v>5901</v>
      </c>
      <c r="P585" s="80">
        <v>138</v>
      </c>
      <c r="Q585" s="80">
        <v>17</v>
      </c>
      <c r="R585" s="27" t="s">
        <v>2995</v>
      </c>
      <c r="S585" s="12" t="s">
        <v>3373</v>
      </c>
      <c r="T585" s="10" t="s">
        <v>771</v>
      </c>
      <c r="U585" s="10" t="s">
        <v>771</v>
      </c>
      <c r="V585" s="10" t="s">
        <v>771</v>
      </c>
      <c r="W585" s="10"/>
      <c r="X585" s="27" t="s">
        <v>3365</v>
      </c>
      <c r="Y585" s="27" t="s">
        <v>3047</v>
      </c>
      <c r="Z585" s="80">
        <v>330</v>
      </c>
      <c r="AA585" s="27">
        <v>4</v>
      </c>
      <c r="AB585" s="80">
        <v>3677</v>
      </c>
      <c r="AC585" s="27">
        <v>5</v>
      </c>
      <c r="AD585" s="27" t="s">
        <v>3936</v>
      </c>
      <c r="AE585" s="27">
        <v>3290986813</v>
      </c>
      <c r="AF585" s="27" t="s">
        <v>3935</v>
      </c>
      <c r="AG585" s="27" t="s">
        <v>3937</v>
      </c>
      <c r="AH585" s="79">
        <v>1.1773049645390099</v>
      </c>
      <c r="AI585" s="83">
        <v>2.1419354838709701</v>
      </c>
      <c r="AJ585" s="80">
        <v>4.375</v>
      </c>
      <c r="AK585" s="80">
        <v>10.5518292682927</v>
      </c>
      <c r="AL585" s="13">
        <v>0</v>
      </c>
      <c r="AM585" s="97">
        <f>SUM(AL585/Z585)</f>
        <v>0</v>
      </c>
      <c r="AN585" s="27" t="s">
        <v>3365</v>
      </c>
      <c r="AO585" s="27">
        <v>0</v>
      </c>
      <c r="AP585" s="27">
        <v>0</v>
      </c>
      <c r="AQ585" s="27">
        <v>3</v>
      </c>
      <c r="AR585" s="27">
        <f>SUM(AO585:AQ585)</f>
        <v>3</v>
      </c>
      <c r="AS585" s="27"/>
      <c r="AT585" s="27"/>
      <c r="AU585" s="84" t="s">
        <v>4796</v>
      </c>
      <c r="AV585" s="77"/>
      <c r="AW585" s="77"/>
      <c r="AX585" s="77"/>
      <c r="AY585" s="77"/>
      <c r="AZ585" s="77"/>
      <c r="BA585" s="77"/>
      <c r="BB585" s="77"/>
      <c r="BC585" s="77"/>
      <c r="BD585" s="77"/>
      <c r="BE585" s="77"/>
      <c r="BF585" s="77"/>
      <c r="BG585" s="77"/>
      <c r="BH585" s="77"/>
      <c r="BI585" s="77"/>
      <c r="BJ585" s="77"/>
      <c r="BK585" s="77"/>
      <c r="BL585" s="77"/>
      <c r="BM585" s="77"/>
      <c r="BN585" s="77"/>
      <c r="BO585" s="77"/>
      <c r="BP585" s="77"/>
      <c r="BQ585" s="77"/>
      <c r="BR585" s="77"/>
      <c r="BS585" s="77"/>
      <c r="BT585" s="77"/>
      <c r="BU585" s="77"/>
      <c r="BV585" s="77"/>
      <c r="BW585" s="77"/>
      <c r="BX585" s="77"/>
      <c r="BY585" s="77"/>
      <c r="BZ585" s="77"/>
      <c r="CA585" s="77"/>
      <c r="CB585" s="77"/>
      <c r="CC585" s="77"/>
      <c r="CD585" s="77"/>
      <c r="CE585" s="77"/>
      <c r="CF585" s="77"/>
      <c r="CG585" s="77"/>
      <c r="CH585" s="77"/>
      <c r="CI585" s="77"/>
      <c r="CJ585" s="77"/>
      <c r="CK585" s="77"/>
      <c r="CL585" s="77"/>
      <c r="CM585" s="77"/>
      <c r="CN585" s="77"/>
      <c r="CO585" s="77"/>
      <c r="CP585" s="77"/>
      <c r="CQ585" s="77"/>
      <c r="CR585" s="77"/>
      <c r="CS585" s="77"/>
      <c r="CT585" s="77"/>
      <c r="CU585" s="77"/>
      <c r="CV585" s="77"/>
      <c r="CW585" s="77"/>
      <c r="CX585" s="77"/>
      <c r="CY585" s="77"/>
      <c r="CZ585" s="77"/>
      <c r="DA585" s="77"/>
      <c r="DB585" s="77"/>
      <c r="DC585" s="77"/>
      <c r="DD585" s="77"/>
      <c r="DE585" s="77"/>
      <c r="DF585" s="77"/>
      <c r="DG585" s="77"/>
      <c r="DH585" s="77"/>
      <c r="DI585" s="77"/>
      <c r="DJ585" s="77"/>
      <c r="DK585" s="77"/>
      <c r="DL585" s="77"/>
      <c r="DM585" s="77"/>
      <c r="DN585" s="77"/>
      <c r="DO585" s="77"/>
      <c r="DP585" s="77"/>
      <c r="DQ585" s="77"/>
      <c r="DR585" s="77"/>
      <c r="DS585" s="77"/>
      <c r="DT585" s="77"/>
      <c r="DU585" s="77"/>
      <c r="DV585" s="77"/>
      <c r="DW585" s="77"/>
      <c r="DX585" s="77"/>
      <c r="DY585" s="77"/>
      <c r="DZ585" s="77"/>
      <c r="EA585" s="77"/>
      <c r="EB585" s="77"/>
      <c r="EC585" s="77"/>
      <c r="ED585" s="77"/>
      <c r="EE585" s="77"/>
      <c r="EF585" s="77"/>
      <c r="EG585" s="77"/>
      <c r="EH585" s="77"/>
      <c r="EI585" s="77"/>
      <c r="EJ585" s="77"/>
      <c r="EK585" s="77"/>
      <c r="EL585" s="77"/>
      <c r="EM585" s="77"/>
      <c r="EN585" s="77"/>
      <c r="EO585" s="77"/>
      <c r="EP585" s="77"/>
      <c r="EQ585" s="77"/>
      <c r="ER585" s="77"/>
      <c r="ES585" s="77"/>
      <c r="ET585" s="77"/>
      <c r="EU585" s="77"/>
      <c r="EV585" s="77"/>
      <c r="EW585" s="77"/>
      <c r="EX585" s="77"/>
      <c r="EY585" s="77"/>
      <c r="EZ585" s="77"/>
      <c r="FA585" s="77"/>
      <c r="FB585" s="77"/>
      <c r="FC585" s="77"/>
      <c r="FD585" s="77"/>
      <c r="FE585" s="77"/>
      <c r="FF585" s="77"/>
      <c r="FG585" s="77"/>
      <c r="FH585" s="77"/>
      <c r="FI585" s="77"/>
      <c r="FJ585" s="77"/>
      <c r="FK585" s="77"/>
      <c r="FL585" s="77"/>
      <c r="FM585" s="77"/>
      <c r="FN585" s="77"/>
      <c r="FO585" s="77"/>
      <c r="FP585" s="77"/>
      <c r="FQ585" s="77"/>
      <c r="FR585" s="77"/>
      <c r="FS585" s="77"/>
      <c r="FT585" s="77"/>
      <c r="FU585" s="77"/>
      <c r="FV585" s="77"/>
      <c r="FW585" s="77"/>
      <c r="FX585" s="77"/>
      <c r="FY585" s="77"/>
      <c r="FZ585" s="77"/>
      <c r="GA585" s="77"/>
      <c r="GB585" s="77"/>
      <c r="GC585" s="77"/>
      <c r="GD585" s="77"/>
      <c r="GE585" s="77"/>
      <c r="GF585" s="77"/>
      <c r="GG585" s="77"/>
      <c r="GH585" s="77"/>
      <c r="GI585" s="77"/>
      <c r="GJ585" s="77"/>
      <c r="GK585" s="77"/>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ID585" s="77"/>
      <c r="IE585" s="77"/>
      <c r="IF585" s="77"/>
      <c r="IG585" s="77"/>
      <c r="IH585" s="77"/>
      <c r="II585" s="77"/>
      <c r="IJ585" s="77"/>
      <c r="IK585" s="77"/>
      <c r="IL585" s="77"/>
      <c r="IM585" s="77"/>
      <c r="IN585" s="77"/>
      <c r="IO585" s="77"/>
      <c r="IP585" s="77"/>
      <c r="IQ585" s="77"/>
      <c r="IR585" s="77"/>
      <c r="IS585" s="77"/>
      <c r="IT585" s="77"/>
      <c r="IU585" s="77"/>
      <c r="IV585" s="77"/>
      <c r="IW585" s="77"/>
      <c r="IX585" s="77"/>
      <c r="IY585" s="77"/>
      <c r="IZ585" s="77"/>
      <c r="JA585" s="77"/>
      <c r="JB585" s="77"/>
      <c r="JC585" s="77"/>
      <c r="JD585" s="77"/>
      <c r="JE585" s="77"/>
      <c r="JF585" s="77"/>
      <c r="JG585" s="77"/>
      <c r="JH585" s="77"/>
      <c r="JI585" s="77"/>
      <c r="JJ585" s="77"/>
      <c r="JK585" s="77"/>
      <c r="JL585" s="77"/>
      <c r="JM585" s="77"/>
      <c r="JN585" s="77"/>
      <c r="JO585" s="77"/>
      <c r="JP585" s="77"/>
      <c r="JQ585" s="77"/>
      <c r="JR585" s="77"/>
      <c r="JS585" s="77"/>
      <c r="JT585" s="77"/>
      <c r="JU585" s="77"/>
      <c r="JV585" s="77"/>
      <c r="JW585" s="77"/>
      <c r="JX585" s="77"/>
      <c r="KM585" s="77"/>
      <c r="KN585" s="77"/>
      <c r="KO585" s="77"/>
      <c r="KP585" s="77"/>
      <c r="KQ585" s="77"/>
      <c r="KR585" s="77"/>
      <c r="KS585" s="77"/>
      <c r="KT585" s="77"/>
      <c r="KU585" s="77"/>
      <c r="KV585" s="77"/>
      <c r="KW585" s="77"/>
      <c r="KX585" s="77"/>
      <c r="KY585" s="77"/>
      <c r="KZ585" s="77"/>
      <c r="LA585" s="77"/>
      <c r="LB585" s="77"/>
      <c r="LC585" s="77"/>
      <c r="LD585" s="77"/>
      <c r="LE585" s="77"/>
      <c r="LF585" s="77"/>
      <c r="LG585" s="77"/>
      <c r="LH585" s="77"/>
      <c r="LI585" s="77"/>
      <c r="LJ585" s="77"/>
      <c r="LK585" s="77"/>
      <c r="LL585" s="77"/>
      <c r="LM585" s="77"/>
      <c r="LN585" s="77"/>
      <c r="LO585" s="77"/>
      <c r="LP585" s="77"/>
      <c r="LQ585" s="77"/>
      <c r="LR585" s="77"/>
      <c r="LS585" s="77"/>
      <c r="LT585" s="77"/>
      <c r="LU585" s="77"/>
      <c r="LV585" s="77"/>
      <c r="LW585" s="77"/>
      <c r="LX585" s="77"/>
    </row>
    <row r="586" spans="1:421" s="21" customFormat="1" ht="18.600000000000001" customHeight="1" x14ac:dyDescent="0.25">
      <c r="A586" s="119" t="s">
        <v>392</v>
      </c>
      <c r="B586" s="27" t="s">
        <v>1872</v>
      </c>
      <c r="C586" s="27" t="s">
        <v>3904</v>
      </c>
      <c r="D586" s="30" t="str">
        <f>HYPERLINK("https://twitter.com/juhasipila","https://twitter.com/juhasipila")</f>
        <v>https://twitter.com/juhasipila</v>
      </c>
      <c r="E586" s="30" t="str">
        <f>HYPERLINK("http://twiplomacy.com/info/europe/Finland","http://twiplomacy.com/info/europe/Finland")</f>
        <v>http://twiplomacy.com/info/europe/Finland</v>
      </c>
      <c r="F586" s="10" t="s">
        <v>332</v>
      </c>
      <c r="G586" s="10" t="s">
        <v>389</v>
      </c>
      <c r="H586" s="10" t="s">
        <v>776</v>
      </c>
      <c r="I586" s="10" t="s">
        <v>773</v>
      </c>
      <c r="J586" s="27" t="s">
        <v>789</v>
      </c>
      <c r="K586" s="15" t="s">
        <v>777</v>
      </c>
      <c r="L586" s="10" t="s">
        <v>905</v>
      </c>
      <c r="M586" s="10" t="s">
        <v>770</v>
      </c>
      <c r="N586" s="30" t="str">
        <f>HYPERLINK("https://twitter.com/alexstubb/statuses/4863774049701889","https://twitter.com/alexstubb/statuses/4863774049701889")</f>
        <v>https://twitter.com/alexstubb/statuses/4863774049701889</v>
      </c>
      <c r="O586" s="27" t="s">
        <v>5892</v>
      </c>
      <c r="P586" s="80">
        <v>880</v>
      </c>
      <c r="Q586" s="80">
        <v>1759</v>
      </c>
      <c r="R586" s="27" t="s">
        <v>2995</v>
      </c>
      <c r="S586" s="30" t="str">
        <f>HYPERLINK("https://twitter.com/alexstubb/lists","https://twitter.com/alexstubb/lists")</f>
        <v>https://twitter.com/alexstubb/lists</v>
      </c>
      <c r="T586" s="10" t="s">
        <v>771</v>
      </c>
      <c r="U586" s="10" t="s">
        <v>771</v>
      </c>
      <c r="V586" s="10" t="s">
        <v>771</v>
      </c>
      <c r="W586" s="10"/>
      <c r="X586" s="27" t="s">
        <v>392</v>
      </c>
      <c r="Y586" s="27" t="s">
        <v>1872</v>
      </c>
      <c r="Z586" s="80">
        <v>329</v>
      </c>
      <c r="AA586" s="27">
        <v>235</v>
      </c>
      <c r="AB586" s="80">
        <v>56897</v>
      </c>
      <c r="AC586" s="27">
        <v>2</v>
      </c>
      <c r="AD586" s="27" t="s">
        <v>3905</v>
      </c>
      <c r="AE586" s="27">
        <v>212592239</v>
      </c>
      <c r="AF586" s="27" t="s">
        <v>3904</v>
      </c>
      <c r="AG586" s="27" t="s">
        <v>3906</v>
      </c>
      <c r="AH586" s="79">
        <v>0.164171656686627</v>
      </c>
      <c r="AI586" s="83">
        <v>0.16708989334687699</v>
      </c>
      <c r="AJ586" s="80">
        <v>24.8913043478261</v>
      </c>
      <c r="AK586" s="80">
        <v>49.813664596273298</v>
      </c>
      <c r="AL586" s="27">
        <v>12</v>
      </c>
      <c r="AM586" s="97">
        <f>SUM(AL586/Z586)</f>
        <v>3.64741641337386E-2</v>
      </c>
      <c r="AN586" s="27" t="s">
        <v>392</v>
      </c>
      <c r="AO586" s="27">
        <v>3</v>
      </c>
      <c r="AP586" s="27">
        <v>9</v>
      </c>
      <c r="AQ586" s="27">
        <v>1</v>
      </c>
      <c r="AR586" s="27">
        <f>SUM(AO586:AQ586)</f>
        <v>13</v>
      </c>
      <c r="AS586" s="27" t="s">
        <v>5221</v>
      </c>
      <c r="AT586" s="27" t="s">
        <v>6302</v>
      </c>
      <c r="AU586" s="84" t="s">
        <v>380</v>
      </c>
      <c r="AV586" s="77"/>
      <c r="AW586" s="77"/>
      <c r="AX586" s="77"/>
      <c r="AY586" s="77"/>
      <c r="AZ586" s="77"/>
      <c r="BA586" s="77"/>
      <c r="BB586" s="77"/>
      <c r="BC586" s="77"/>
      <c r="BD586" s="77"/>
      <c r="BE586" s="77"/>
      <c r="BF586" s="77"/>
      <c r="BG586" s="77"/>
      <c r="BH586" s="77"/>
      <c r="BI586" s="77"/>
      <c r="BJ586" s="77"/>
      <c r="BK586" s="77"/>
      <c r="BL586" s="77"/>
      <c r="BM586" s="77"/>
      <c r="BN586" s="77"/>
      <c r="BO586" s="77"/>
      <c r="BP586" s="77"/>
      <c r="BQ586" s="77"/>
      <c r="BR586" s="77"/>
      <c r="BS586" s="77"/>
      <c r="BT586" s="77"/>
      <c r="BU586" s="77"/>
      <c r="BV586" s="77"/>
      <c r="BW586" s="77"/>
      <c r="BX586" s="77"/>
      <c r="BY586" s="77"/>
      <c r="BZ586" s="77"/>
      <c r="CA586" s="77"/>
      <c r="CB586" s="77"/>
      <c r="CX586" s="77"/>
      <c r="CY586" s="77"/>
      <c r="CZ586" s="77"/>
      <c r="DA586" s="77"/>
      <c r="DB586" s="77"/>
      <c r="DC586" s="77"/>
      <c r="DD586" s="77"/>
      <c r="DE586" s="77"/>
      <c r="DF586" s="77"/>
      <c r="DG586" s="77"/>
      <c r="DH586" s="77"/>
      <c r="DI586" s="77"/>
      <c r="DJ586" s="77"/>
      <c r="DK586" s="77"/>
      <c r="DL586" s="77"/>
      <c r="DM586" s="77"/>
      <c r="DN586" s="77"/>
      <c r="DO586" s="77"/>
      <c r="DP586" s="77"/>
      <c r="DQ586" s="77"/>
      <c r="DR586" s="77"/>
      <c r="DS586" s="77"/>
      <c r="DT586" s="77"/>
      <c r="DU586" s="77"/>
      <c r="DV586" s="77"/>
      <c r="DW586" s="77"/>
      <c r="DX586" s="77"/>
      <c r="DY586" s="77"/>
      <c r="DZ586" s="77"/>
      <c r="EA586" s="77"/>
      <c r="EB586" s="77"/>
      <c r="EC586" s="77"/>
      <c r="ED586" s="77"/>
      <c r="EE586" s="77"/>
      <c r="EF586" s="77"/>
      <c r="EG586" s="77"/>
      <c r="EH586" s="77"/>
      <c r="EI586" s="77"/>
      <c r="EJ586" s="77"/>
      <c r="EK586" s="77"/>
      <c r="EL586" s="77"/>
      <c r="EP586" s="77"/>
      <c r="EQ586" s="77"/>
      <c r="ER586" s="77"/>
      <c r="ES586" s="77"/>
      <c r="ET586" s="77"/>
      <c r="EU586" s="77"/>
      <c r="EV586" s="77"/>
      <c r="EW586" s="77"/>
      <c r="EX586" s="77"/>
      <c r="EY586" s="77"/>
      <c r="EZ586" s="77"/>
      <c r="FA586" s="77"/>
      <c r="FB586" s="77"/>
      <c r="FC586" s="77"/>
      <c r="FD586" s="77"/>
      <c r="FE586" s="77"/>
      <c r="FF586" s="77"/>
      <c r="FG586" s="77"/>
      <c r="FH586" s="77"/>
      <c r="FI586" s="77"/>
      <c r="FJ586" s="77"/>
      <c r="FK586" s="77"/>
      <c r="FL586" s="77"/>
      <c r="FM586" s="77"/>
      <c r="FN586" s="77"/>
      <c r="FO586" s="77"/>
      <c r="FP586" s="77"/>
      <c r="FQ586" s="77"/>
      <c r="FR586" s="77"/>
      <c r="FS586" s="77"/>
      <c r="FT586" s="77"/>
      <c r="FU586" s="77"/>
      <c r="FV586" s="77"/>
      <c r="FW586" s="77"/>
      <c r="FX586" s="77"/>
      <c r="FY586" s="77"/>
      <c r="FZ586" s="77"/>
      <c r="GA586" s="77"/>
      <c r="GB586" s="77"/>
      <c r="GC586" s="77"/>
      <c r="GD586" s="77"/>
      <c r="GE586" s="77"/>
      <c r="GF586" s="77"/>
      <c r="GG586" s="77"/>
      <c r="GH586" s="77"/>
      <c r="GI586" s="77"/>
      <c r="GJ586" s="77"/>
      <c r="GK586" s="77"/>
      <c r="GL586" s="77"/>
      <c r="GM586" s="77"/>
      <c r="GN586" s="77"/>
      <c r="GO586" s="77"/>
      <c r="GP586" s="77"/>
      <c r="GQ586" s="77"/>
      <c r="GR586" s="77"/>
      <c r="GS586" s="77"/>
      <c r="GT586" s="77"/>
      <c r="GU586" s="77"/>
      <c r="GV586" s="77"/>
      <c r="GW586" s="77"/>
      <c r="GX586" s="77"/>
      <c r="GY586" s="77"/>
      <c r="GZ586" s="77"/>
      <c r="HA586" s="77"/>
      <c r="HB586" s="77"/>
      <c r="HC586" s="77"/>
      <c r="HD586" s="77"/>
      <c r="HE586" s="77"/>
      <c r="HF586" s="77"/>
      <c r="HG586" s="77"/>
      <c r="HH586" s="77"/>
      <c r="HI586" s="77"/>
      <c r="HJ586" s="77"/>
      <c r="HK586" s="77"/>
      <c r="HL586" s="77"/>
      <c r="HM586" s="77"/>
      <c r="HN586" s="77"/>
      <c r="HO586" s="77"/>
      <c r="HP586" s="77"/>
      <c r="HQ586" s="77"/>
      <c r="HR586" s="77"/>
      <c r="HS586" s="77"/>
      <c r="HT586" s="77"/>
      <c r="HU586" s="77"/>
      <c r="HV586" s="77"/>
      <c r="HW586" s="77"/>
      <c r="HX586" s="77"/>
      <c r="HY586" s="77"/>
      <c r="HZ586" s="77"/>
      <c r="IA586" s="77"/>
      <c r="IB586" s="77"/>
      <c r="IC586" s="77"/>
      <c r="IF586" s="77"/>
      <c r="IG586" s="77"/>
      <c r="IH586" s="77"/>
      <c r="II586" s="77"/>
      <c r="IJ586" s="77"/>
      <c r="IK586" s="77"/>
      <c r="IL586" s="77"/>
      <c r="IM586" s="77"/>
      <c r="IN586" s="77"/>
      <c r="IO586" s="77"/>
      <c r="IP586" s="77"/>
      <c r="IQ586" s="77"/>
      <c r="IR586" s="77"/>
      <c r="IS586" s="77"/>
      <c r="IT586" s="77"/>
      <c r="IU586" s="77"/>
      <c r="IV586" s="77"/>
      <c r="IW586" s="77"/>
      <c r="IX586" s="77"/>
      <c r="IY586" s="77"/>
      <c r="IZ586" s="77"/>
      <c r="JA586" s="77"/>
      <c r="JB586" s="77"/>
      <c r="JC586" s="77"/>
      <c r="JD586" s="77"/>
      <c r="JE586" s="77"/>
      <c r="JF586" s="77"/>
      <c r="JG586" s="77"/>
      <c r="JH586" s="77"/>
      <c r="JI586" s="77"/>
      <c r="JJ586" s="77"/>
      <c r="JK586" s="77"/>
      <c r="JL586" s="77"/>
      <c r="JM586" s="77"/>
      <c r="JN586" s="77"/>
      <c r="JO586" s="77"/>
      <c r="JP586" s="77"/>
      <c r="JQ586" s="77"/>
      <c r="JR586" s="77"/>
      <c r="JS586" s="77"/>
      <c r="JT586" s="77"/>
      <c r="JU586" s="77"/>
      <c r="JV586" s="77"/>
      <c r="JW586" s="77"/>
      <c r="JX586" s="77"/>
      <c r="KM586" s="77"/>
      <c r="KN586" s="77"/>
      <c r="KO586" s="77"/>
      <c r="KP586" s="77"/>
      <c r="KQ586" s="77"/>
      <c r="KR586" s="77"/>
      <c r="KS586" s="77"/>
      <c r="KT586" s="77"/>
      <c r="KU586" s="77"/>
      <c r="KV586" s="77"/>
      <c r="KW586" s="77"/>
      <c r="KX586" s="77"/>
      <c r="KY586" s="77"/>
      <c r="KZ586" s="77"/>
      <c r="LA586" s="77"/>
      <c r="LB586" s="77"/>
      <c r="LC586" s="77"/>
      <c r="LD586" s="77"/>
      <c r="LE586" s="77"/>
      <c r="LF586" s="77"/>
      <c r="LG586" s="77"/>
      <c r="LH586" s="77"/>
      <c r="LI586" s="77"/>
      <c r="LJ586" s="77"/>
      <c r="LK586" s="77"/>
      <c r="LL586" s="77"/>
      <c r="LM586" s="77"/>
      <c r="LN586" s="77"/>
      <c r="LO586" s="77"/>
      <c r="LP586" s="77"/>
      <c r="LQ586" s="77"/>
      <c r="LR586" s="77"/>
      <c r="LS586" s="77"/>
      <c r="LT586" s="77"/>
      <c r="LU586" s="77"/>
      <c r="LV586" s="77"/>
      <c r="LW586" s="77"/>
      <c r="LX586" s="77"/>
    </row>
    <row r="587" spans="1:421" s="21" customFormat="1" ht="18.600000000000001" customHeight="1" x14ac:dyDescent="0.25">
      <c r="A587" s="119" t="s">
        <v>128</v>
      </c>
      <c r="B587" s="27" t="s">
        <v>128</v>
      </c>
      <c r="C587" s="27" t="s">
        <v>5653</v>
      </c>
      <c r="D587" s="30" t="str">
        <f>HYPERLINK("https://twitter.com/foreigntanzania","https://twitter.com/foreigntanzania")</f>
        <v>https://twitter.com/foreigntanzania</v>
      </c>
      <c r="E587" s="30" t="str">
        <f>HYPERLINK("http://twiplomacy.com/info/africa/Tanzania","http://twiplomacy.com/info/africa/Tanzania")</f>
        <v>http://twiplomacy.com/info/africa/Tanzania</v>
      </c>
      <c r="F587" s="10" t="s">
        <v>1</v>
      </c>
      <c r="G587" s="10" t="s">
        <v>127</v>
      </c>
      <c r="H587" s="10" t="s">
        <v>795</v>
      </c>
      <c r="I587" s="10" t="s">
        <v>782</v>
      </c>
      <c r="J587" s="27" t="s">
        <v>814</v>
      </c>
      <c r="K587" s="15" t="s">
        <v>777</v>
      </c>
      <c r="L587" s="10" t="s">
        <v>771</v>
      </c>
      <c r="M587" s="10" t="s">
        <v>771</v>
      </c>
      <c r="N587" s="30" t="str">
        <f>HYPERLINK("https://twitter.com/foreigntanzania/statuses/433904532796342272","https://twitter.com/foreigntanzania/statuses/433904532796342272")</f>
        <v>https://twitter.com/foreigntanzania/statuses/433904532796342272</v>
      </c>
      <c r="O587" s="27" t="s">
        <v>5772</v>
      </c>
      <c r="P587" s="80">
        <v>59</v>
      </c>
      <c r="Q587" s="80">
        <v>23</v>
      </c>
      <c r="R587" s="27" t="s">
        <v>2995</v>
      </c>
      <c r="S587" s="10" t="s">
        <v>1113</v>
      </c>
      <c r="T587" s="10" t="s">
        <v>771</v>
      </c>
      <c r="U587" s="10" t="s">
        <v>771</v>
      </c>
      <c r="V587" s="10" t="s">
        <v>771</v>
      </c>
      <c r="W587" s="10"/>
      <c r="X587" s="27" t="s">
        <v>128</v>
      </c>
      <c r="Y587" s="27" t="s">
        <v>128</v>
      </c>
      <c r="Z587" s="80">
        <v>324</v>
      </c>
      <c r="AA587" s="27">
        <v>110</v>
      </c>
      <c r="AB587" s="80">
        <v>1298</v>
      </c>
      <c r="AC587" s="27">
        <v>18</v>
      </c>
      <c r="AD587" s="27" t="s">
        <v>3701</v>
      </c>
      <c r="AE587" s="27">
        <v>2341682708</v>
      </c>
      <c r="AF587" s="27" t="s">
        <v>5653</v>
      </c>
      <c r="AG587" s="27"/>
      <c r="AH587" s="79">
        <v>0.400494437577256</v>
      </c>
      <c r="AI587" s="83">
        <v>0.400494437577256</v>
      </c>
      <c r="AJ587" s="80">
        <v>2.60424028268551</v>
      </c>
      <c r="AK587" s="80">
        <v>1.6784452296819801</v>
      </c>
      <c r="AL587" s="27">
        <v>35</v>
      </c>
      <c r="AM587" s="97">
        <f>SUM(AL587/Z587)</f>
        <v>0.10802469135802469</v>
      </c>
      <c r="AN587" s="27" t="s">
        <v>128</v>
      </c>
      <c r="AO587" s="27">
        <v>20</v>
      </c>
      <c r="AP587" s="27">
        <v>18</v>
      </c>
      <c r="AQ587" s="27">
        <v>5</v>
      </c>
      <c r="AR587" s="27">
        <f>SUM(AO587:AQ587)</f>
        <v>43</v>
      </c>
      <c r="AS587" s="27" t="s">
        <v>5607</v>
      </c>
      <c r="AT587" s="27" t="s">
        <v>5126</v>
      </c>
      <c r="AU587" s="84" t="s">
        <v>4723</v>
      </c>
      <c r="AV587" s="77"/>
      <c r="AW587" s="77"/>
      <c r="AX587" s="77"/>
      <c r="AY587" s="77"/>
      <c r="AZ587" s="77"/>
      <c r="BA587" s="77"/>
      <c r="BB587" s="77"/>
      <c r="BC587" s="77"/>
      <c r="BD587" s="77"/>
      <c r="BE587" s="77"/>
      <c r="BF587" s="77"/>
      <c r="BG587" s="77"/>
      <c r="BH587" s="77"/>
      <c r="BI587" s="77"/>
      <c r="BJ587" s="77"/>
      <c r="BK587" s="77"/>
      <c r="BL587" s="77"/>
      <c r="BM587" s="77"/>
      <c r="BN587" s="77"/>
      <c r="BO587" s="77"/>
      <c r="BP587" s="77"/>
      <c r="BQ587" s="77"/>
      <c r="BR587" s="77"/>
      <c r="BS587" s="77"/>
      <c r="BT587" s="77"/>
      <c r="BU587" s="77"/>
      <c r="BV587" s="77"/>
      <c r="BW587" s="77"/>
      <c r="BX587" s="77"/>
      <c r="BY587" s="77"/>
      <c r="BZ587" s="77"/>
      <c r="CA587" s="77"/>
      <c r="CB587" s="77"/>
      <c r="CC587" s="77"/>
      <c r="CD587" s="77"/>
      <c r="CE587" s="77"/>
      <c r="CF587" s="77"/>
      <c r="CG587" s="77"/>
      <c r="CH587" s="77"/>
      <c r="CI587" s="77"/>
      <c r="CJ587" s="77"/>
      <c r="CK587" s="77"/>
      <c r="CL587" s="77"/>
      <c r="CM587" s="77"/>
      <c r="CN587" s="77"/>
      <c r="CO587" s="77"/>
      <c r="CP587" s="77"/>
      <c r="CQ587" s="77"/>
      <c r="CR587" s="77"/>
      <c r="CS587" s="77"/>
      <c r="CT587" s="77"/>
      <c r="CU587" s="77"/>
      <c r="CV587" s="77"/>
      <c r="CW587" s="77"/>
      <c r="CX587" s="77"/>
      <c r="CY587" s="77"/>
      <c r="CZ587" s="77"/>
      <c r="DA587" s="77"/>
      <c r="DB587" s="77"/>
      <c r="DC587" s="77"/>
      <c r="DD587" s="77"/>
      <c r="DE587" s="77"/>
      <c r="DF587" s="77"/>
      <c r="DG587" s="77"/>
      <c r="DH587" s="77"/>
      <c r="DI587" s="77"/>
      <c r="DJ587" s="77"/>
      <c r="DK587" s="77"/>
      <c r="DL587" s="77"/>
      <c r="DM587" s="77"/>
      <c r="DN587" s="77"/>
      <c r="DO587" s="77"/>
      <c r="DP587" s="77"/>
      <c r="DQ587" s="77"/>
      <c r="DR587" s="77"/>
      <c r="DS587" s="77"/>
      <c r="DT587" s="77"/>
      <c r="DU587" s="77"/>
      <c r="DV587" s="77"/>
      <c r="DW587" s="77"/>
      <c r="DX587" s="77"/>
      <c r="DY587" s="77"/>
      <c r="DZ587" s="77"/>
      <c r="EA587" s="77"/>
      <c r="EB587" s="77"/>
      <c r="EC587" s="77"/>
      <c r="ED587" s="77"/>
      <c r="EE587" s="77"/>
      <c r="EF587" s="77"/>
      <c r="EG587" s="77"/>
      <c r="EH587" s="77"/>
      <c r="EI587" s="77"/>
      <c r="EJ587" s="77"/>
      <c r="EK587" s="77"/>
      <c r="EL587" s="77"/>
      <c r="EP587" s="77"/>
      <c r="EQ587" s="77"/>
      <c r="ER587" s="77"/>
      <c r="ES587" s="77"/>
      <c r="ET587" s="77"/>
      <c r="EU587" s="77"/>
      <c r="EV587" s="77"/>
      <c r="EW587" s="77"/>
      <c r="EX587" s="77"/>
      <c r="EY587" s="77"/>
      <c r="EZ587" s="77"/>
      <c r="FA587" s="77"/>
      <c r="FB587" s="77"/>
      <c r="FC587" s="77"/>
      <c r="FD587" s="77"/>
      <c r="FE587" s="77"/>
      <c r="FF587" s="77"/>
      <c r="FG587" s="77"/>
      <c r="FH587" s="77"/>
      <c r="FI587" s="77"/>
      <c r="FJ587" s="77"/>
      <c r="FK587" s="77"/>
      <c r="FL587" s="77"/>
      <c r="FM587" s="77"/>
      <c r="FN587" s="77"/>
      <c r="FO587" s="77"/>
      <c r="FP587" s="77"/>
      <c r="FQ587" s="77"/>
      <c r="FR587" s="77"/>
      <c r="FS587" s="77"/>
      <c r="FT587" s="77"/>
      <c r="FU587" s="77"/>
      <c r="FV587" s="77"/>
      <c r="FW587" s="77"/>
      <c r="FX587" s="77"/>
      <c r="FY587" s="77"/>
      <c r="FZ587" s="77"/>
      <c r="GA587" s="77"/>
      <c r="GB587" s="77"/>
      <c r="GC587" s="77"/>
      <c r="GD587" s="77"/>
      <c r="GE587" s="77"/>
      <c r="GF587" s="77"/>
      <c r="GG587" s="77"/>
      <c r="GH587" s="77"/>
      <c r="GI587" s="77"/>
      <c r="GJ587" s="77"/>
      <c r="GK587" s="77"/>
      <c r="GL587" s="77"/>
      <c r="GM587" s="77"/>
      <c r="GN587" s="77"/>
      <c r="GO587" s="77"/>
      <c r="GP587" s="77"/>
      <c r="GQ587" s="77"/>
      <c r="GR587" s="77"/>
      <c r="GS587" s="77"/>
      <c r="GT587" s="77"/>
      <c r="GU587" s="77"/>
      <c r="GV587" s="77"/>
      <c r="GW587" s="77"/>
      <c r="GX587" s="77"/>
      <c r="GY587" s="77"/>
      <c r="GZ587" s="77"/>
      <c r="HA587" s="77"/>
      <c r="HB587" s="77"/>
      <c r="HC587" s="77"/>
      <c r="HD587" s="77"/>
      <c r="HE587" s="77"/>
      <c r="HF587" s="77"/>
      <c r="HG587" s="77"/>
      <c r="HH587" s="77"/>
      <c r="HI587" s="77"/>
      <c r="HJ587" s="77"/>
      <c r="HK587" s="77"/>
      <c r="HL587" s="77"/>
      <c r="HM587" s="77"/>
      <c r="HN587" s="77"/>
      <c r="HO587" s="77"/>
      <c r="HP587" s="77"/>
      <c r="HQ587" s="77"/>
      <c r="HR587" s="77"/>
      <c r="HS587" s="77"/>
      <c r="HT587" s="77"/>
      <c r="HU587" s="77"/>
      <c r="HV587" s="77"/>
      <c r="HW587" s="77"/>
      <c r="HX587" s="77"/>
      <c r="HY587" s="77"/>
      <c r="HZ587" s="77"/>
      <c r="IA587" s="77"/>
      <c r="IB587" s="77"/>
      <c r="IC587" s="77"/>
      <c r="JY587" s="77"/>
      <c r="JZ587" s="77"/>
      <c r="KA587" s="77"/>
      <c r="KB587" s="77"/>
      <c r="KC587" s="77"/>
      <c r="KD587" s="77"/>
      <c r="KE587" s="77"/>
      <c r="KF587" s="77"/>
      <c r="KG587" s="77"/>
      <c r="KH587" s="77"/>
      <c r="KI587" s="77"/>
      <c r="KJ587" s="77"/>
      <c r="KK587" s="77"/>
      <c r="KL587" s="77"/>
      <c r="LL587" s="77"/>
      <c r="LM587" s="77"/>
      <c r="LN587" s="77"/>
      <c r="LO587" s="77"/>
      <c r="LP587" s="77"/>
      <c r="LQ587" s="77"/>
      <c r="LR587" s="77"/>
      <c r="LS587" s="77"/>
      <c r="LT587" s="77"/>
      <c r="LU587" s="77"/>
      <c r="LV587" s="77"/>
      <c r="LW587" s="77"/>
      <c r="LX587" s="77"/>
    </row>
    <row r="588" spans="1:421" s="21" customFormat="1" ht="18.600000000000001" customHeight="1" x14ac:dyDescent="0.25">
      <c r="A588" s="119" t="s">
        <v>1013</v>
      </c>
      <c r="B588" s="27" t="s">
        <v>1009</v>
      </c>
      <c r="C588" s="27" t="s">
        <v>1016</v>
      </c>
      <c r="D588" s="30" t="str">
        <f>HYPERLINK("https://twitter.com/FilipeNyusi","https://twitter.com/FilipeNyusi")</f>
        <v>https://twitter.com/FilipeNyusi</v>
      </c>
      <c r="E588" s="30" t="s">
        <v>1008</v>
      </c>
      <c r="F588" s="10" t="s">
        <v>1</v>
      </c>
      <c r="G588" s="10" t="s">
        <v>89</v>
      </c>
      <c r="H588" s="10" t="s">
        <v>772</v>
      </c>
      <c r="I588" s="10" t="s">
        <v>773</v>
      </c>
      <c r="J588" s="27" t="s">
        <v>789</v>
      </c>
      <c r="K588" s="15" t="s">
        <v>1014</v>
      </c>
      <c r="L588" s="10" t="s">
        <v>771</v>
      </c>
      <c r="M588" s="10" t="s">
        <v>770</v>
      </c>
      <c r="N588" s="30" t="s">
        <v>1015</v>
      </c>
      <c r="O588" s="27" t="s">
        <v>5763</v>
      </c>
      <c r="P588" s="80">
        <v>2</v>
      </c>
      <c r="Q588" s="80">
        <v>2</v>
      </c>
      <c r="R588" s="27" t="s">
        <v>2995</v>
      </c>
      <c r="S588" s="30" t="str">
        <f>HYPERLINK("https://twitter.com/FilipeNyusi/lists","https://twitter.com/FilipeNyusi/lists")</f>
        <v>https://twitter.com/FilipeNyusi/lists</v>
      </c>
      <c r="T588" s="10" t="s">
        <v>771</v>
      </c>
      <c r="U588" s="10" t="s">
        <v>771</v>
      </c>
      <c r="V588" s="10" t="s">
        <v>771</v>
      </c>
      <c r="W588" s="10"/>
      <c r="X588" s="27" t="s">
        <v>1013</v>
      </c>
      <c r="Y588" s="27" t="s">
        <v>1009</v>
      </c>
      <c r="Z588" s="80">
        <v>321</v>
      </c>
      <c r="AA588" s="27">
        <v>1217</v>
      </c>
      <c r="AB588" s="80">
        <v>821</v>
      </c>
      <c r="AC588" s="27">
        <v>341</v>
      </c>
      <c r="AD588" s="27" t="s">
        <v>3688</v>
      </c>
      <c r="AE588" s="27">
        <v>2650979022</v>
      </c>
      <c r="AF588" s="27" t="s">
        <v>1016</v>
      </c>
      <c r="AG588" s="27" t="s">
        <v>1017</v>
      </c>
      <c r="AH588" s="79">
        <v>0.48932926829268297</v>
      </c>
      <c r="AI588" s="83">
        <v>5.8</v>
      </c>
      <c r="AJ588" s="80">
        <v>0.19886363636363599</v>
      </c>
      <c r="AK588" s="80">
        <v>0.34659090909090901</v>
      </c>
      <c r="AL588" s="27">
        <v>30</v>
      </c>
      <c r="AM588" s="97">
        <f>SUM(AL588/Z588)</f>
        <v>9.3457943925233641E-2</v>
      </c>
      <c r="AN588" s="27" t="s">
        <v>1013</v>
      </c>
      <c r="AO588" s="27">
        <v>3</v>
      </c>
      <c r="AP588" s="27">
        <v>0</v>
      </c>
      <c r="AQ588" s="27">
        <v>0</v>
      </c>
      <c r="AR588" s="27">
        <f>SUM(AO588:AQ588)</f>
        <v>3</v>
      </c>
      <c r="AS588" s="27" t="s">
        <v>5117</v>
      </c>
      <c r="AT588" s="27"/>
      <c r="AU588" s="84"/>
      <c r="AV588" s="77"/>
      <c r="AW588" s="77"/>
      <c r="AX588" s="77"/>
      <c r="AY588" s="77"/>
      <c r="AZ588" s="77"/>
      <c r="BA588" s="77"/>
      <c r="BB588" s="77"/>
      <c r="BC588" s="77"/>
      <c r="BD588" s="77"/>
      <c r="BE588" s="77"/>
      <c r="BF588" s="77"/>
      <c r="BG588" s="77"/>
      <c r="BH588" s="77"/>
      <c r="BI588" s="77"/>
      <c r="BJ588" s="77"/>
      <c r="BK588" s="77"/>
      <c r="BL588" s="77"/>
      <c r="BM588" s="77"/>
      <c r="BN588" s="77"/>
      <c r="BO588" s="77"/>
      <c r="BP588" s="77"/>
      <c r="BQ588" s="75"/>
      <c r="BR588" s="75"/>
      <c r="BS588" s="75"/>
      <c r="BT588" s="75"/>
      <c r="BU588" s="75"/>
      <c r="BV588" s="75"/>
      <c r="BW588" s="75"/>
      <c r="BX588" s="75"/>
      <c r="BY588" s="75"/>
      <c r="BZ588" s="75"/>
      <c r="CA588" s="75"/>
      <c r="CB588" s="75"/>
      <c r="CC588" s="77"/>
      <c r="CD588" s="77"/>
      <c r="CE588" s="77"/>
      <c r="CF588" s="77"/>
      <c r="CG588" s="77"/>
      <c r="CH588" s="77"/>
      <c r="CI588" s="77"/>
      <c r="CJ588" s="77"/>
      <c r="CK588" s="77"/>
      <c r="CL588" s="77"/>
      <c r="CM588" s="77"/>
      <c r="CN588" s="77"/>
      <c r="CO588" s="77"/>
      <c r="CP588" s="77"/>
      <c r="CQ588" s="77"/>
      <c r="CR588" s="77"/>
      <c r="CS588" s="77"/>
      <c r="CT588" s="77"/>
      <c r="CU588" s="77"/>
      <c r="CV588" s="77"/>
      <c r="CW588" s="77"/>
      <c r="CX588" s="77"/>
      <c r="CY588" s="77"/>
      <c r="CZ588" s="77"/>
      <c r="DA588" s="77"/>
      <c r="DB588" s="77"/>
      <c r="DC588" s="77"/>
      <c r="DD588" s="77"/>
      <c r="DE588" s="77"/>
      <c r="DF588" s="77"/>
      <c r="DG588" s="77"/>
      <c r="DH588" s="77"/>
      <c r="DI588" s="77"/>
      <c r="DJ588" s="77"/>
      <c r="DK588" s="77"/>
      <c r="DL588" s="77"/>
      <c r="DM588" s="77"/>
      <c r="DN588" s="77"/>
      <c r="DO588" s="77"/>
      <c r="DP588" s="77"/>
      <c r="DQ588" s="77"/>
      <c r="DR588" s="77"/>
      <c r="DS588" s="77"/>
      <c r="DT588" s="77"/>
      <c r="DU588" s="77"/>
      <c r="DV588" s="77"/>
      <c r="DW588" s="77"/>
      <c r="DX588" s="77"/>
      <c r="DY588" s="77"/>
      <c r="DZ588" s="77"/>
      <c r="EA588" s="77"/>
      <c r="EB588" s="77"/>
      <c r="EC588" s="77"/>
      <c r="ED588" s="77"/>
      <c r="EE588" s="77"/>
      <c r="EF588" s="77"/>
      <c r="EG588" s="77"/>
      <c r="EH588" s="77"/>
      <c r="EI588" s="77"/>
      <c r="EJ588" s="77"/>
      <c r="EK588" s="77"/>
      <c r="EL588" s="77"/>
      <c r="EP588" s="77"/>
      <c r="EQ588" s="77"/>
      <c r="ER588" s="77"/>
      <c r="ES588" s="77"/>
      <c r="ET588" s="77"/>
      <c r="EU588" s="77"/>
      <c r="EV588" s="77"/>
      <c r="EW588" s="77"/>
      <c r="EX588" s="77"/>
      <c r="EY588" s="77"/>
      <c r="EZ588" s="77"/>
      <c r="FA588" s="77"/>
      <c r="FB588" s="77"/>
      <c r="FC588" s="77"/>
      <c r="FD588" s="77"/>
      <c r="FE588" s="77"/>
      <c r="FF588" s="77"/>
      <c r="FG588" s="77"/>
      <c r="FH588" s="77"/>
      <c r="FI588" s="77"/>
      <c r="FJ588" s="77"/>
      <c r="FK588" s="77"/>
      <c r="FL588" s="77"/>
      <c r="FM588" s="77"/>
      <c r="FN588" s="77"/>
      <c r="FO588" s="77"/>
      <c r="FP588" s="77"/>
      <c r="FQ588" s="77"/>
      <c r="FR588" s="77"/>
      <c r="FS588" s="77"/>
      <c r="FT588" s="77"/>
      <c r="FU588" s="77"/>
      <c r="FV588" s="77"/>
      <c r="FW588" s="77"/>
      <c r="FX588" s="77"/>
      <c r="FY588" s="77"/>
      <c r="FZ588" s="77"/>
      <c r="GA588" s="77"/>
      <c r="GB588" s="77"/>
      <c r="GC588" s="77"/>
      <c r="GD588" s="77"/>
      <c r="GE588" s="77"/>
      <c r="GF588" s="77"/>
      <c r="GG588" s="77"/>
      <c r="GH588" s="77"/>
      <c r="GI588" s="77"/>
      <c r="GJ588" s="77"/>
      <c r="GK588" s="77"/>
      <c r="GL588" s="77"/>
      <c r="GM588" s="77"/>
      <c r="GN588" s="77"/>
      <c r="GO588" s="77"/>
      <c r="GP588" s="77"/>
      <c r="GQ588" s="77"/>
      <c r="GR588" s="77"/>
      <c r="GS588" s="77"/>
      <c r="GT588" s="77"/>
      <c r="GU588" s="77"/>
      <c r="GV588" s="77"/>
      <c r="GW588" s="77"/>
      <c r="GX588" s="77"/>
      <c r="GY588" s="77"/>
      <c r="GZ588" s="77"/>
      <c r="HA588" s="77"/>
      <c r="HB588" s="77"/>
      <c r="HC588" s="77"/>
      <c r="HD588" s="77"/>
      <c r="HE588" s="77"/>
      <c r="HF588" s="77"/>
      <c r="HG588" s="77"/>
      <c r="HH588" s="77"/>
      <c r="HI588" s="77"/>
      <c r="HJ588" s="77"/>
      <c r="HK588" s="77"/>
      <c r="ID588" s="77"/>
      <c r="IE588" s="77"/>
      <c r="IF588" s="77"/>
      <c r="IG588" s="77"/>
      <c r="IH588" s="77"/>
      <c r="II588" s="77"/>
      <c r="IJ588" s="77"/>
      <c r="IK588" s="77"/>
      <c r="IL588" s="77"/>
      <c r="IM588" s="77"/>
      <c r="IN588" s="77"/>
      <c r="IO588" s="77"/>
      <c r="IP588" s="77"/>
      <c r="IQ588" s="77"/>
      <c r="IR588" s="77"/>
      <c r="IS588" s="77"/>
      <c r="IT588" s="77"/>
      <c r="IU588" s="77"/>
      <c r="IV588" s="77"/>
      <c r="IW588" s="77"/>
      <c r="IX588" s="77"/>
      <c r="IY588" s="77"/>
      <c r="IZ588" s="77"/>
      <c r="JA588" s="77"/>
      <c r="JB588" s="77"/>
      <c r="JC588" s="77"/>
      <c r="JD588" s="77"/>
      <c r="JE588" s="77"/>
      <c r="JF588" s="77"/>
      <c r="JG588" s="77"/>
      <c r="JH588" s="77"/>
      <c r="JI588" s="77"/>
      <c r="JJ588" s="77"/>
      <c r="JK588" s="77"/>
      <c r="JL588" s="77"/>
      <c r="JM588" s="77"/>
      <c r="JN588" s="77"/>
      <c r="JO588" s="77"/>
      <c r="JP588" s="77"/>
      <c r="JQ588" s="77"/>
      <c r="JR588" s="77"/>
      <c r="JS588" s="77"/>
      <c r="JT588" s="77"/>
      <c r="JU588" s="77"/>
      <c r="JV588" s="77"/>
      <c r="JW588" s="77"/>
      <c r="JX588" s="77"/>
      <c r="JY588" s="77"/>
      <c r="JZ588" s="77"/>
      <c r="KA588" s="77"/>
      <c r="KB588" s="77"/>
      <c r="KC588" s="77"/>
      <c r="KD588" s="77"/>
      <c r="KE588" s="77"/>
      <c r="KF588" s="77"/>
      <c r="KG588" s="77"/>
      <c r="KH588" s="77"/>
      <c r="KI588" s="77"/>
      <c r="KJ588" s="77"/>
      <c r="KK588" s="77"/>
      <c r="KL588" s="77"/>
      <c r="KM588" s="77"/>
      <c r="KN588" s="77"/>
      <c r="KO588" s="77"/>
      <c r="KP588" s="77"/>
      <c r="KQ588" s="77"/>
      <c r="KR588" s="77"/>
      <c r="KS588" s="77"/>
      <c r="KT588" s="77"/>
      <c r="KU588" s="77"/>
      <c r="KV588" s="77"/>
      <c r="KW588" s="77"/>
      <c r="KX588" s="77"/>
      <c r="KY588" s="77"/>
      <c r="KZ588" s="77"/>
      <c r="LA588" s="77"/>
      <c r="LB588" s="77"/>
      <c r="LC588" s="77"/>
      <c r="LD588" s="77"/>
      <c r="LE588" s="77"/>
      <c r="LF588" s="77"/>
      <c r="LG588" s="77"/>
      <c r="LH588" s="77"/>
      <c r="LI588" s="77"/>
      <c r="LJ588" s="77"/>
      <c r="LK588" s="77"/>
      <c r="LL588" s="77"/>
      <c r="LM588" s="77"/>
      <c r="LN588" s="77"/>
      <c r="LO588" s="77"/>
      <c r="LP588" s="77"/>
      <c r="LQ588" s="77"/>
      <c r="LR588" s="77"/>
      <c r="LS588" s="77"/>
      <c r="LT588" s="77"/>
      <c r="LU588" s="77"/>
      <c r="LV588" s="77"/>
      <c r="LW588" s="77"/>
      <c r="LX588" s="77"/>
      <c r="LY588" s="77"/>
      <c r="LZ588" s="77"/>
      <c r="MA588" s="77"/>
      <c r="MB588" s="77"/>
      <c r="MC588" s="77"/>
      <c r="MD588" s="77"/>
      <c r="ME588" s="77"/>
      <c r="MF588" s="77"/>
      <c r="MG588" s="77"/>
      <c r="MH588" s="77"/>
      <c r="MI588" s="77"/>
      <c r="MJ588" s="77"/>
      <c r="MK588" s="77"/>
      <c r="ML588" s="77"/>
      <c r="MM588" s="77"/>
      <c r="MN588" s="77"/>
      <c r="MO588" s="77"/>
      <c r="MP588" s="77"/>
      <c r="MQ588" s="77"/>
      <c r="MR588" s="77"/>
      <c r="MS588" s="77"/>
    </row>
    <row r="589" spans="1:421" s="21" customFormat="1" ht="18.600000000000001" customHeight="1" x14ac:dyDescent="0.25">
      <c r="A589" s="119" t="s">
        <v>3010</v>
      </c>
      <c r="B589" s="27" t="s">
        <v>4270</v>
      </c>
      <c r="C589" s="27" t="s">
        <v>6440</v>
      </c>
      <c r="D589" s="33" t="s">
        <v>3011</v>
      </c>
      <c r="E589" s="34" t="s">
        <v>1267</v>
      </c>
      <c r="F589" s="38" t="s">
        <v>154</v>
      </c>
      <c r="G589" s="38" t="s">
        <v>175</v>
      </c>
      <c r="H589" s="38" t="s">
        <v>776</v>
      </c>
      <c r="I589" s="10" t="s">
        <v>782</v>
      </c>
      <c r="J589" s="27" t="s">
        <v>789</v>
      </c>
      <c r="K589" s="15" t="s">
        <v>777</v>
      </c>
      <c r="L589" s="10" t="s">
        <v>771</v>
      </c>
      <c r="M589" s="10" t="s">
        <v>770</v>
      </c>
      <c r="N589" s="33" t="s">
        <v>3013</v>
      </c>
      <c r="O589" s="27" t="s">
        <v>3169</v>
      </c>
      <c r="P589" s="80">
        <v>10</v>
      </c>
      <c r="Q589" s="80">
        <v>4</v>
      </c>
      <c r="R589" s="27" t="s">
        <v>2995</v>
      </c>
      <c r="S589" s="31" t="s">
        <v>3012</v>
      </c>
      <c r="T589" s="10" t="s">
        <v>771</v>
      </c>
      <c r="U589" s="10" t="s">
        <v>771</v>
      </c>
      <c r="V589" s="10" t="s">
        <v>771</v>
      </c>
      <c r="W589" s="38"/>
      <c r="X589" s="27" t="s">
        <v>3010</v>
      </c>
      <c r="Y589" s="27" t="s">
        <v>4270</v>
      </c>
      <c r="Z589" s="80">
        <v>317</v>
      </c>
      <c r="AA589" s="27">
        <v>12</v>
      </c>
      <c r="AB589" s="80">
        <v>623</v>
      </c>
      <c r="AC589" s="27">
        <v>2</v>
      </c>
      <c r="AD589" s="27" t="s">
        <v>4271</v>
      </c>
      <c r="AE589" s="27">
        <v>3133989613</v>
      </c>
      <c r="AF589" s="27" t="s">
        <v>6440</v>
      </c>
      <c r="AG589" s="27" t="s">
        <v>1265</v>
      </c>
      <c r="AH589" s="79">
        <v>0.80253164556961998</v>
      </c>
      <c r="AI589" s="83">
        <v>0.98142414860681104</v>
      </c>
      <c r="AJ589" s="80">
        <v>1.2712418300653601</v>
      </c>
      <c r="AK589" s="80">
        <v>1.04901960784314</v>
      </c>
      <c r="AL589" s="27">
        <v>13</v>
      </c>
      <c r="AM589" s="97">
        <f>SUM(AL589/Z589)</f>
        <v>4.1009463722397478E-2</v>
      </c>
      <c r="AN589" s="27" t="s">
        <v>3010</v>
      </c>
      <c r="AO589" s="27">
        <v>1</v>
      </c>
      <c r="AP589" s="27">
        <v>0</v>
      </c>
      <c r="AQ589" s="27">
        <v>0</v>
      </c>
      <c r="AR589" s="27">
        <f>SUM(AO589:AQ589)</f>
        <v>1</v>
      </c>
      <c r="AS589" s="27" t="s">
        <v>177</v>
      </c>
      <c r="AT589" s="27"/>
      <c r="AU589" s="84"/>
      <c r="AV589" s="71"/>
      <c r="AW589" s="71"/>
      <c r="AX589" s="71"/>
      <c r="AY589" s="71"/>
      <c r="AZ589" s="71"/>
      <c r="BA589" s="71"/>
      <c r="BB589" s="71"/>
      <c r="BC589" s="71"/>
      <c r="BD589" s="71"/>
      <c r="BE589" s="71"/>
      <c r="BF589" s="71"/>
      <c r="BG589" s="71"/>
      <c r="BH589" s="71"/>
      <c r="BI589" s="71"/>
      <c r="BJ589" s="71"/>
      <c r="BK589" s="71"/>
      <c r="BL589" s="71"/>
      <c r="BM589" s="71"/>
      <c r="BN589" s="77"/>
      <c r="BO589" s="77"/>
      <c r="BP589" s="77"/>
      <c r="BQ589" s="77"/>
      <c r="BR589" s="77"/>
      <c r="BS589" s="77"/>
      <c r="BT589" s="77"/>
      <c r="BU589" s="77"/>
      <c r="BV589" s="77"/>
      <c r="BW589" s="77"/>
      <c r="BX589" s="77"/>
      <c r="BY589" s="77"/>
      <c r="BZ589" s="77"/>
      <c r="CA589" s="77"/>
      <c r="CB589" s="77"/>
      <c r="CC589" s="77"/>
      <c r="CD589" s="77"/>
      <c r="CE589" s="77"/>
      <c r="CF589" s="77"/>
      <c r="CG589" s="77"/>
      <c r="CH589" s="77"/>
      <c r="CI589" s="77"/>
      <c r="CJ589" s="77"/>
      <c r="CK589" s="77"/>
      <c r="CL589" s="77"/>
      <c r="CM589" s="77"/>
      <c r="CN589" s="77"/>
      <c r="CO589" s="77"/>
      <c r="CP589" s="77"/>
      <c r="CQ589" s="77"/>
      <c r="CR589" s="77"/>
      <c r="CS589" s="77"/>
      <c r="CT589" s="77"/>
      <c r="CU589" s="77"/>
      <c r="CV589" s="77"/>
      <c r="CW589" s="77"/>
      <c r="CX589" s="77"/>
      <c r="CY589" s="77"/>
      <c r="CZ589" s="77"/>
      <c r="DA589" s="77"/>
      <c r="DB589" s="77"/>
      <c r="DC589" s="77"/>
      <c r="DD589" s="77"/>
      <c r="DE589" s="77"/>
      <c r="DF589" s="77"/>
      <c r="DG589" s="77"/>
      <c r="DH589" s="77"/>
      <c r="DI589" s="77"/>
      <c r="DJ589" s="77"/>
      <c r="DK589" s="77"/>
      <c r="DL589" s="77"/>
      <c r="DM589" s="77"/>
      <c r="DN589" s="77"/>
      <c r="DO589" s="77"/>
      <c r="DP589" s="77"/>
      <c r="DQ589" s="77"/>
      <c r="DR589" s="77"/>
      <c r="DS589" s="77"/>
      <c r="DT589" s="77"/>
      <c r="DU589" s="77"/>
      <c r="DV589" s="77"/>
      <c r="DW589" s="77"/>
      <c r="DX589" s="77"/>
      <c r="DY589" s="77"/>
      <c r="DZ589" s="77"/>
      <c r="EA589" s="77"/>
      <c r="EB589" s="77"/>
      <c r="EC589" s="77"/>
      <c r="ED589" s="77"/>
      <c r="EE589" s="77"/>
      <c r="EF589" s="77"/>
      <c r="EG589" s="77"/>
      <c r="EH589" s="77"/>
      <c r="EI589" s="77"/>
      <c r="EJ589" s="77"/>
      <c r="EK589" s="77"/>
      <c r="EL589" s="77"/>
      <c r="EM589" s="77"/>
      <c r="EN589" s="77"/>
      <c r="EO589" s="77"/>
      <c r="EP589" s="77"/>
      <c r="EQ589" s="77"/>
      <c r="ER589" s="77"/>
      <c r="ES589" s="77"/>
      <c r="ET589" s="77"/>
      <c r="EU589" s="77"/>
      <c r="EV589" s="77"/>
      <c r="EW589" s="77"/>
      <c r="EX589" s="77"/>
      <c r="EY589" s="77"/>
      <c r="EZ589" s="77"/>
      <c r="FA589" s="77"/>
      <c r="FB589" s="77"/>
      <c r="FC589" s="77"/>
      <c r="FD589" s="77"/>
      <c r="FE589" s="77"/>
      <c r="FF589" s="77"/>
      <c r="FG589" s="77"/>
      <c r="FH589" s="77"/>
      <c r="FI589" s="77"/>
      <c r="FJ589" s="77"/>
      <c r="FK589" s="77"/>
      <c r="FL589" s="77"/>
      <c r="FM589" s="77"/>
      <c r="FN589" s="77"/>
      <c r="FO589" s="77"/>
      <c r="FP589" s="77"/>
      <c r="FQ589" s="77"/>
      <c r="FR589" s="77"/>
      <c r="FS589" s="77"/>
      <c r="FT589" s="77"/>
      <c r="FU589" s="77"/>
      <c r="FV589" s="77"/>
      <c r="FW589" s="77"/>
      <c r="FX589" s="77"/>
      <c r="FY589" s="77"/>
      <c r="FZ589" s="77"/>
      <c r="GA589" s="77"/>
      <c r="GB589" s="77"/>
      <c r="GC589" s="77"/>
      <c r="GD589" s="77"/>
      <c r="GE589" s="77"/>
      <c r="GF589" s="77"/>
      <c r="GG589" s="77"/>
      <c r="GH589" s="77"/>
      <c r="GI589" s="77"/>
      <c r="GJ589" s="77"/>
      <c r="GK589" s="77"/>
      <c r="GL589" s="77"/>
      <c r="GM589" s="77"/>
      <c r="GN589" s="77"/>
      <c r="GO589" s="77"/>
      <c r="GP589" s="77"/>
      <c r="GQ589" s="77"/>
      <c r="GR589" s="77"/>
      <c r="GS589" s="77"/>
      <c r="GT589" s="77"/>
      <c r="GU589" s="77"/>
      <c r="GV589" s="77"/>
      <c r="GW589" s="77"/>
      <c r="GX589" s="77"/>
      <c r="GY589" s="77"/>
      <c r="GZ589" s="77"/>
      <c r="HA589" s="77"/>
      <c r="HB589" s="77"/>
      <c r="HC589" s="77"/>
      <c r="HD589" s="77"/>
      <c r="HE589" s="77"/>
      <c r="HF589" s="77"/>
      <c r="HG589" s="77"/>
      <c r="HH589" s="77"/>
      <c r="HI589" s="77"/>
      <c r="HJ589" s="77"/>
      <c r="HK589" s="77"/>
      <c r="HL589" s="77"/>
      <c r="HM589" s="77"/>
      <c r="HN589" s="77"/>
      <c r="HO589" s="77"/>
      <c r="HP589" s="77"/>
      <c r="HQ589" s="77"/>
      <c r="HR589" s="77"/>
      <c r="HS589" s="77"/>
      <c r="HT589" s="77"/>
      <c r="HU589" s="77"/>
      <c r="HV589" s="77"/>
      <c r="HW589" s="77"/>
      <c r="HX589" s="77"/>
      <c r="HY589" s="77"/>
      <c r="HZ589" s="77"/>
      <c r="IA589" s="77"/>
      <c r="IB589" s="77"/>
      <c r="IC589" s="77"/>
      <c r="IF589" s="77"/>
      <c r="IG589" s="77"/>
      <c r="IH589" s="77"/>
      <c r="II589" s="77"/>
      <c r="IJ589" s="77"/>
      <c r="IK589" s="77"/>
      <c r="IL589" s="77"/>
      <c r="IM589" s="77"/>
      <c r="IN589" s="77"/>
      <c r="IO589" s="77"/>
      <c r="IP589" s="77"/>
      <c r="IQ589" s="77"/>
      <c r="IR589" s="77"/>
      <c r="IS589" s="77"/>
      <c r="IT589" s="77"/>
      <c r="IU589" s="77"/>
      <c r="IV589" s="77"/>
      <c r="IW589" s="77"/>
      <c r="IX589" s="77"/>
      <c r="IY589" s="77"/>
      <c r="IZ589" s="77"/>
      <c r="JA589" s="77"/>
      <c r="JB589" s="77"/>
      <c r="JC589" s="77"/>
      <c r="JD589" s="77"/>
      <c r="JE589" s="77"/>
      <c r="JF589" s="77"/>
      <c r="JG589" s="77"/>
      <c r="JH589" s="77"/>
      <c r="JI589" s="77"/>
      <c r="JJ589" s="77"/>
      <c r="JK589" s="77"/>
      <c r="JL589" s="77"/>
      <c r="JM589" s="77"/>
      <c r="JN589" s="77"/>
      <c r="JO589" s="77"/>
      <c r="JP589" s="77"/>
      <c r="JQ589" s="77"/>
      <c r="JR589" s="77"/>
      <c r="JS589" s="77"/>
      <c r="JT589" s="77"/>
      <c r="JU589" s="77"/>
      <c r="JV589" s="77"/>
      <c r="JW589" s="77"/>
      <c r="JX589" s="77"/>
      <c r="JY589" s="77"/>
      <c r="JZ589" s="77"/>
      <c r="KA589" s="77"/>
      <c r="KB589" s="77"/>
      <c r="KC589" s="77"/>
      <c r="KD589" s="77"/>
      <c r="KE589" s="77"/>
      <c r="KF589" s="77"/>
      <c r="KG589" s="77"/>
      <c r="KH589" s="77"/>
      <c r="KI589" s="77"/>
      <c r="KJ589" s="77"/>
      <c r="KK589" s="77"/>
      <c r="KL589" s="77"/>
      <c r="KM589" s="77"/>
      <c r="KN589" s="77"/>
      <c r="KO589" s="77"/>
      <c r="KP589" s="77"/>
      <c r="KQ589" s="77"/>
      <c r="KR589" s="77"/>
      <c r="KS589" s="77"/>
      <c r="KT589" s="77"/>
      <c r="KU589" s="77"/>
      <c r="KV589" s="77"/>
      <c r="KW589" s="77"/>
      <c r="KX589" s="77"/>
      <c r="KY589" s="77"/>
      <c r="KZ589" s="77"/>
      <c r="LA589" s="77"/>
      <c r="LB589" s="77"/>
      <c r="LC589" s="77"/>
      <c r="LD589" s="77"/>
      <c r="LE589" s="77"/>
      <c r="LF589" s="77"/>
      <c r="LG589" s="77"/>
      <c r="LH589" s="77"/>
      <c r="LI589" s="77"/>
      <c r="LJ589" s="77"/>
      <c r="LK589" s="77"/>
      <c r="LL589" s="77"/>
      <c r="LM589" s="77"/>
      <c r="LN589" s="77"/>
      <c r="LO589" s="77"/>
      <c r="LP589" s="77"/>
      <c r="LQ589" s="77"/>
      <c r="LR589" s="77"/>
      <c r="LS589" s="77"/>
      <c r="LT589" s="77"/>
      <c r="LU589" s="77"/>
      <c r="LV589" s="77"/>
      <c r="MS589" s="77"/>
      <c r="MT589" s="77"/>
      <c r="MU589" s="77"/>
      <c r="MV589" s="77"/>
      <c r="MW589" s="77"/>
      <c r="MX589" s="77"/>
      <c r="MY589" s="77"/>
      <c r="MZ589" s="77"/>
      <c r="NA589" s="77"/>
      <c r="NB589" s="77"/>
      <c r="NC589" s="77"/>
      <c r="ND589" s="77"/>
    </row>
    <row r="590" spans="1:421" s="21" customFormat="1" ht="18.600000000000001" customHeight="1" x14ac:dyDescent="0.25">
      <c r="A590" s="119" t="s">
        <v>270</v>
      </c>
      <c r="B590" s="27" t="s">
        <v>1557</v>
      </c>
      <c r="C590" s="27" t="s">
        <v>6438</v>
      </c>
      <c r="D590" s="30" t="str">
        <f>HYPERLINK("https://twitter.com/PM_GOV_PG","https://twitter.com/PM_GOV_PG")</f>
        <v>https://twitter.com/PM_GOV_PG</v>
      </c>
      <c r="E590" s="30" t="str">
        <f>HYPERLINK("http://twiplomacy.com/info/asia/Papua-New-Guinea","http://twiplomacy.com/info/asia/Papua-New-Guinea")</f>
        <v>http://twiplomacy.com/info/asia/Papua-New-Guinea</v>
      </c>
      <c r="F590" s="20" t="s">
        <v>154</v>
      </c>
      <c r="G590" s="10" t="s">
        <v>269</v>
      </c>
      <c r="H590" s="10" t="s">
        <v>776</v>
      </c>
      <c r="I590" s="10" t="s">
        <v>782</v>
      </c>
      <c r="J590" s="27" t="s">
        <v>789</v>
      </c>
      <c r="K590" s="15" t="s">
        <v>5590</v>
      </c>
      <c r="L590" s="10" t="s">
        <v>771</v>
      </c>
      <c r="M590" s="10" t="s">
        <v>770</v>
      </c>
      <c r="N590" s="30" t="str">
        <f>HYPERLINK("https://twitter.com/PM_GOV_PG/status/504969369974083584","https://twitter.com/PM_GOV_PG/status/504969369974083584")</f>
        <v>https://twitter.com/PM_GOV_PG/status/504969369974083584</v>
      </c>
      <c r="O590" s="27" t="s">
        <v>6011</v>
      </c>
      <c r="P590" s="80">
        <v>14</v>
      </c>
      <c r="Q590" s="80">
        <v>6</v>
      </c>
      <c r="R590" s="27" t="s">
        <v>2995</v>
      </c>
      <c r="S590" s="30" t="str">
        <f>HYPERLINK("https://twitter.com/PM_GOV_PG/lists","https://twitter.com/PM_GOV_PG/lists")</f>
        <v>https://twitter.com/PM_GOV_PG/lists</v>
      </c>
      <c r="T590" s="10" t="s">
        <v>771</v>
      </c>
      <c r="U590" s="10" t="s">
        <v>771</v>
      </c>
      <c r="V590" s="10" t="s">
        <v>771</v>
      </c>
      <c r="W590" s="10"/>
      <c r="X590" s="27" t="s">
        <v>270</v>
      </c>
      <c r="Y590" s="27" t="s">
        <v>1557</v>
      </c>
      <c r="Z590" s="80">
        <v>316</v>
      </c>
      <c r="AA590" s="27">
        <v>240</v>
      </c>
      <c r="AB590" s="80">
        <v>1313</v>
      </c>
      <c r="AC590" s="27">
        <v>0</v>
      </c>
      <c r="AD590" s="27" t="s">
        <v>4249</v>
      </c>
      <c r="AE590" s="27">
        <v>2726058284</v>
      </c>
      <c r="AF590" s="27" t="s">
        <v>6438</v>
      </c>
      <c r="AG590" s="27" t="s">
        <v>269</v>
      </c>
      <c r="AH590" s="79">
        <v>0.50238473767885505</v>
      </c>
      <c r="AI590" s="83">
        <v>0.81233933161953698</v>
      </c>
      <c r="AJ590" s="80">
        <v>1.8488745980707399</v>
      </c>
      <c r="AK590" s="80">
        <v>1.43408360128617</v>
      </c>
      <c r="AL590" s="27">
        <v>1</v>
      </c>
      <c r="AM590" s="97">
        <f>SUM(AL590/Z590)</f>
        <v>3.1645569620253164E-3</v>
      </c>
      <c r="AN590" s="27" t="s">
        <v>270</v>
      </c>
      <c r="AO590" s="27">
        <v>3</v>
      </c>
      <c r="AP590" s="27">
        <v>1</v>
      </c>
      <c r="AQ590" s="27">
        <v>1</v>
      </c>
      <c r="AR590" s="27">
        <f>SUM(AO590:AQ590)</f>
        <v>5</v>
      </c>
      <c r="AS590" s="27" t="s">
        <v>5389</v>
      </c>
      <c r="AT590" s="27" t="s">
        <v>705</v>
      </c>
      <c r="AU590" s="84" t="s">
        <v>2662</v>
      </c>
      <c r="AV590" s="77"/>
      <c r="AW590" s="77"/>
      <c r="AX590" s="77"/>
      <c r="AY590" s="77"/>
      <c r="AZ590" s="77"/>
      <c r="BA590" s="77"/>
      <c r="BB590" s="77"/>
      <c r="BC590" s="77"/>
      <c r="BD590" s="77"/>
      <c r="BE590" s="77"/>
      <c r="BF590" s="77"/>
      <c r="BG590" s="77"/>
      <c r="BH590" s="77"/>
      <c r="BI590" s="77"/>
      <c r="BJ590" s="77"/>
      <c r="BK590" s="77"/>
      <c r="BL590" s="77"/>
      <c r="BM590" s="77"/>
      <c r="BN590" s="77"/>
      <c r="BO590" s="77"/>
      <c r="BP590" s="77"/>
      <c r="BQ590" s="77"/>
      <c r="BR590" s="77"/>
      <c r="BS590" s="77"/>
      <c r="BT590" s="77"/>
      <c r="BU590" s="77"/>
      <c r="BV590" s="77"/>
      <c r="BW590" s="77"/>
      <c r="BX590" s="77"/>
      <c r="BY590" s="77"/>
      <c r="BZ590" s="77"/>
      <c r="CA590" s="77"/>
      <c r="CB590" s="77"/>
      <c r="CC590" s="77"/>
      <c r="CD590" s="77"/>
      <c r="CE590" s="77"/>
      <c r="CF590" s="77"/>
      <c r="CG590" s="77"/>
      <c r="CH590" s="77"/>
      <c r="CI590" s="77"/>
      <c r="CJ590" s="77"/>
      <c r="CK590" s="77"/>
      <c r="CL590" s="77"/>
      <c r="CM590" s="77"/>
      <c r="CN590" s="77"/>
      <c r="CO590" s="77"/>
      <c r="CP590" s="77"/>
      <c r="CQ590" s="77"/>
      <c r="CR590" s="77"/>
      <c r="CS590" s="77"/>
      <c r="CT590" s="77"/>
      <c r="CU590" s="77"/>
      <c r="CV590" s="77"/>
      <c r="CW590" s="77"/>
      <c r="CX590" s="77"/>
      <c r="CY590" s="77"/>
      <c r="CZ590" s="77"/>
      <c r="DA590" s="77"/>
      <c r="DB590" s="77"/>
      <c r="DC590" s="77"/>
      <c r="DD590" s="77"/>
      <c r="DE590" s="77"/>
      <c r="DF590" s="77"/>
      <c r="DG590" s="77"/>
      <c r="DH590" s="77"/>
      <c r="DI590" s="77"/>
      <c r="DJ590" s="77"/>
      <c r="DK590" s="77"/>
      <c r="DL590" s="77"/>
      <c r="DM590" s="77"/>
      <c r="DN590" s="77"/>
      <c r="DO590" s="77"/>
      <c r="DP590" s="77"/>
      <c r="DQ590" s="77"/>
      <c r="DR590" s="77"/>
      <c r="DS590" s="77"/>
      <c r="DT590" s="77"/>
      <c r="DU590" s="77"/>
      <c r="DV590" s="77"/>
      <c r="DW590" s="77"/>
      <c r="DX590" s="77"/>
      <c r="DY590" s="77"/>
      <c r="DZ590" s="77"/>
      <c r="EA590" s="77"/>
      <c r="EB590" s="77"/>
      <c r="EC590" s="77"/>
      <c r="ED590" s="77"/>
      <c r="EE590" s="77"/>
      <c r="EF590" s="77"/>
      <c r="EG590" s="77"/>
      <c r="EH590" s="77"/>
      <c r="EI590" s="77"/>
      <c r="EJ590" s="77"/>
      <c r="EK590" s="77"/>
      <c r="EL590" s="77"/>
      <c r="EM590" s="77"/>
      <c r="EN590" s="77"/>
      <c r="EO590" s="77"/>
      <c r="EP590" s="77"/>
      <c r="EQ590" s="77"/>
      <c r="ER590" s="77"/>
      <c r="ES590" s="77"/>
      <c r="ET590" s="77"/>
      <c r="EU590" s="77"/>
      <c r="EV590" s="77"/>
      <c r="EW590" s="77"/>
      <c r="EX590" s="77"/>
      <c r="EY590" s="77"/>
      <c r="EZ590" s="77"/>
      <c r="FA590" s="77"/>
      <c r="FB590" s="77"/>
      <c r="FC590" s="77"/>
      <c r="FD590" s="77"/>
      <c r="FE590" s="77"/>
      <c r="FF590" s="77"/>
      <c r="FG590" s="77"/>
      <c r="FH590" s="77"/>
      <c r="FI590" s="77"/>
      <c r="FJ590" s="77"/>
      <c r="FK590" s="77"/>
      <c r="FL590" s="77"/>
      <c r="FM590" s="77"/>
      <c r="FN590" s="77"/>
      <c r="FO590" s="77"/>
      <c r="FP590" s="77"/>
      <c r="FQ590" s="77"/>
      <c r="FR590" s="77"/>
      <c r="FS590" s="77"/>
      <c r="FT590" s="77"/>
      <c r="FU590" s="77"/>
      <c r="FV590" s="77"/>
      <c r="FW590" s="77"/>
      <c r="FX590" s="77"/>
      <c r="FY590" s="77"/>
      <c r="FZ590" s="77"/>
      <c r="GA590" s="77"/>
      <c r="GB590" s="77"/>
      <c r="GC590" s="77"/>
      <c r="GD590" s="77"/>
      <c r="GE590" s="77"/>
      <c r="GF590" s="77"/>
      <c r="GG590" s="77"/>
      <c r="GH590" s="77"/>
      <c r="GI590" s="77"/>
      <c r="GJ590" s="77"/>
      <c r="GK590" s="77"/>
      <c r="GL590" s="77"/>
      <c r="GM590" s="77"/>
      <c r="GN590" s="77"/>
      <c r="GO590" s="77"/>
      <c r="GP590" s="77"/>
      <c r="GQ590" s="77"/>
      <c r="GR590" s="77"/>
      <c r="GS590" s="77"/>
      <c r="GT590" s="77"/>
      <c r="GU590" s="77"/>
      <c r="GV590" s="77"/>
      <c r="GW590" s="77"/>
      <c r="GX590" s="77"/>
      <c r="GY590" s="77"/>
      <c r="GZ590" s="77"/>
      <c r="HA590" s="77"/>
      <c r="HB590" s="77"/>
      <c r="HC590" s="77"/>
      <c r="HD590" s="77"/>
      <c r="HE590" s="77"/>
      <c r="HF590" s="77"/>
      <c r="HG590" s="77"/>
      <c r="HH590" s="77"/>
      <c r="HI590" s="77"/>
      <c r="HJ590" s="77"/>
      <c r="HK590" s="77"/>
      <c r="ID590" s="77"/>
      <c r="IE590" s="77"/>
      <c r="IF590" s="77"/>
      <c r="IG590" s="77"/>
      <c r="IH590" s="77"/>
      <c r="II590" s="77"/>
      <c r="IJ590" s="77"/>
      <c r="IK590" s="77"/>
      <c r="IL590" s="77"/>
      <c r="IM590" s="77"/>
      <c r="IN590" s="77"/>
      <c r="IO590" s="77"/>
      <c r="IP590" s="77"/>
      <c r="IQ590" s="77"/>
      <c r="IR590" s="77"/>
      <c r="IS590" s="77"/>
      <c r="IT590" s="77"/>
      <c r="IU590" s="77"/>
      <c r="IV590" s="77"/>
      <c r="IW590" s="77"/>
      <c r="IX590" s="77"/>
      <c r="IY590" s="77"/>
      <c r="IZ590" s="77"/>
      <c r="JA590" s="77"/>
      <c r="JB590" s="77"/>
      <c r="JC590" s="77"/>
      <c r="JD590" s="77"/>
      <c r="JE590" s="77"/>
      <c r="JF590" s="77"/>
      <c r="JG590" s="77"/>
      <c r="JH590" s="77"/>
      <c r="JI590" s="77"/>
      <c r="JJ590" s="77"/>
      <c r="JK590" s="77"/>
      <c r="JL590" s="77"/>
      <c r="JM590" s="77"/>
      <c r="JN590" s="77"/>
      <c r="JO590" s="77"/>
      <c r="JP590" s="77"/>
      <c r="JQ590" s="77"/>
      <c r="JR590" s="77"/>
      <c r="JS590" s="77"/>
      <c r="JT590" s="77"/>
      <c r="JU590" s="77"/>
      <c r="JV590" s="77"/>
      <c r="JW590" s="77"/>
      <c r="JX590" s="77"/>
      <c r="JY590" s="77"/>
      <c r="JZ590" s="77"/>
      <c r="KA590" s="77"/>
      <c r="KB590" s="77"/>
      <c r="KC590" s="77"/>
      <c r="KD590" s="77"/>
      <c r="KE590" s="77"/>
      <c r="KF590" s="77"/>
      <c r="KG590" s="77"/>
      <c r="KH590" s="77"/>
      <c r="KI590" s="77"/>
      <c r="KJ590" s="77"/>
      <c r="KK590" s="77"/>
      <c r="KL590" s="77"/>
      <c r="KM590" s="77"/>
      <c r="KN590" s="77"/>
      <c r="KO590" s="77"/>
      <c r="KP590" s="77"/>
      <c r="KQ590" s="77"/>
      <c r="KR590" s="77"/>
      <c r="KS590" s="77"/>
      <c r="KT590" s="77"/>
      <c r="KU590" s="77"/>
      <c r="KV590" s="77"/>
      <c r="KW590" s="77"/>
      <c r="KX590" s="77"/>
      <c r="KY590" s="77"/>
      <c r="KZ590" s="77"/>
      <c r="LA590" s="77"/>
      <c r="LB590" s="77"/>
      <c r="LC590" s="77"/>
      <c r="LD590" s="77"/>
      <c r="LE590" s="77"/>
      <c r="LF590" s="77"/>
      <c r="LG590" s="77"/>
      <c r="LH590" s="77"/>
      <c r="LI590" s="77"/>
      <c r="LJ590" s="77"/>
      <c r="LK590" s="77"/>
      <c r="LL590" s="77"/>
      <c r="LM590" s="77"/>
      <c r="LN590" s="77"/>
      <c r="LO590" s="77"/>
      <c r="LP590" s="77"/>
      <c r="LQ590" s="77"/>
      <c r="LR590" s="77"/>
      <c r="LS590" s="77"/>
      <c r="LT590" s="77"/>
      <c r="LU590" s="77"/>
      <c r="LV590" s="77"/>
      <c r="LW590" s="16"/>
      <c r="LX590" s="16"/>
      <c r="LY590" s="77"/>
      <c r="LZ590" s="77"/>
      <c r="MA590" s="77"/>
      <c r="MB590" s="77"/>
      <c r="MC590" s="77"/>
      <c r="MD590" s="77"/>
      <c r="ME590" s="77"/>
      <c r="MF590" s="77"/>
      <c r="MG590" s="77"/>
      <c r="MH590" s="77"/>
      <c r="MI590" s="77"/>
      <c r="MJ590" s="77"/>
      <c r="MK590" s="77"/>
      <c r="ML590" s="77"/>
      <c r="MM590" s="77"/>
      <c r="MN590" s="77"/>
      <c r="MO590" s="77"/>
      <c r="MP590" s="77"/>
      <c r="MQ590" s="77"/>
      <c r="MR590" s="77"/>
      <c r="MS590" s="77"/>
      <c r="NE590" s="77"/>
      <c r="NF590" s="77"/>
      <c r="NG590" s="77"/>
      <c r="NH590" s="77"/>
      <c r="NI590" s="77"/>
      <c r="NJ590" s="77"/>
      <c r="NK590" s="77"/>
      <c r="NL590" s="77"/>
      <c r="NM590" s="77"/>
      <c r="NN590" s="77"/>
      <c r="NO590" s="77"/>
      <c r="NP590" s="77"/>
      <c r="NQ590" s="77"/>
      <c r="NR590" s="77"/>
      <c r="NS590" s="77"/>
      <c r="NT590" s="77"/>
      <c r="NU590" s="77"/>
      <c r="NV590" s="77"/>
      <c r="NW590" s="77"/>
      <c r="NX590" s="77"/>
      <c r="NY590" s="77"/>
      <c r="NZ590" s="77"/>
      <c r="OA590" s="77"/>
      <c r="OB590" s="77"/>
      <c r="OC590" s="77"/>
      <c r="OD590" s="77"/>
      <c r="OE590" s="77"/>
      <c r="OF590" s="77"/>
      <c r="OG590" s="77"/>
      <c r="OH590" s="77"/>
      <c r="OI590" s="77"/>
      <c r="OJ590" s="77"/>
      <c r="OK590" s="77"/>
      <c r="OL590" s="77"/>
      <c r="OM590" s="77"/>
      <c r="ON590" s="77"/>
      <c r="OO590" s="77"/>
      <c r="OP590" s="77"/>
      <c r="OQ590" s="77"/>
      <c r="OR590" s="77"/>
      <c r="OS590" s="77"/>
      <c r="OT590" s="77"/>
      <c r="OU590" s="77"/>
      <c r="OV590" s="77"/>
      <c r="OW590" s="77"/>
      <c r="OX590" s="77"/>
      <c r="OY590" s="77"/>
      <c r="OZ590" s="77"/>
      <c r="PA590" s="77"/>
      <c r="PB590" s="77"/>
      <c r="PC590" s="77"/>
      <c r="PD590" s="77"/>
      <c r="PE590" s="77"/>
    </row>
    <row r="591" spans="1:421" s="68" customFormat="1" ht="18.600000000000001" customHeight="1" x14ac:dyDescent="0.25">
      <c r="A591" s="119" t="s">
        <v>268</v>
      </c>
      <c r="B591" s="27" t="s">
        <v>1542</v>
      </c>
      <c r="C591" s="27" t="s">
        <v>1543</v>
      </c>
      <c r="D591" s="30" t="str">
        <f>HYPERLINK("https://twitter.com/PakDiplomacy","https://twitter.com/PakDiplomacy")</f>
        <v>https://twitter.com/PakDiplomacy</v>
      </c>
      <c r="E591" s="30" t="str">
        <f>HYPERLINK("http://twiplomacy.com/info/asia/Pakistan","http://twiplomacy.com/info/asia/Pakistan")</f>
        <v>http://twiplomacy.com/info/asia/Pakistan</v>
      </c>
      <c r="F591" s="10" t="s">
        <v>154</v>
      </c>
      <c r="G591" s="10" t="s">
        <v>265</v>
      </c>
      <c r="H591" s="10" t="s">
        <v>795</v>
      </c>
      <c r="I591" s="10" t="s">
        <v>782</v>
      </c>
      <c r="J591" s="27" t="s">
        <v>789</v>
      </c>
      <c r="K591" s="15" t="s">
        <v>1544</v>
      </c>
      <c r="L591" s="10" t="s">
        <v>771</v>
      </c>
      <c r="M591" s="10" t="s">
        <v>771</v>
      </c>
      <c r="N591" s="30" t="str">
        <f>HYPERLINK("https://twitter.com/PakDiplomacy/statuses/206357041000890368","https://twitter.com/PakDiplomacy/statuses/206357041000890368")</f>
        <v>https://twitter.com/PakDiplomacy/statuses/206357041000890368</v>
      </c>
      <c r="O591" s="27" t="s">
        <v>1545</v>
      </c>
      <c r="P591" s="80">
        <v>22</v>
      </c>
      <c r="Q591" s="80">
        <v>0</v>
      </c>
      <c r="R591" s="27" t="s">
        <v>2995</v>
      </c>
      <c r="S591" s="10" t="s">
        <v>1546</v>
      </c>
      <c r="T591" s="10" t="s">
        <v>771</v>
      </c>
      <c r="U591" s="10" t="s">
        <v>771</v>
      </c>
      <c r="V591" s="10" t="s">
        <v>771</v>
      </c>
      <c r="W591" s="10"/>
      <c r="X591" s="27" t="s">
        <v>268</v>
      </c>
      <c r="Y591" s="27" t="s">
        <v>1542</v>
      </c>
      <c r="Z591" s="80">
        <v>315</v>
      </c>
      <c r="AA591" s="27">
        <v>209</v>
      </c>
      <c r="AB591" s="80">
        <v>2051</v>
      </c>
      <c r="AC591" s="27">
        <v>0</v>
      </c>
      <c r="AD591" s="27" t="s">
        <v>4228</v>
      </c>
      <c r="AE591" s="27">
        <v>517943270</v>
      </c>
      <c r="AF591" s="27" t="s">
        <v>1543</v>
      </c>
      <c r="AG591" s="27" t="s">
        <v>1547</v>
      </c>
      <c r="AH591" s="79">
        <v>0.20778364116094999</v>
      </c>
      <c r="AI591" s="83">
        <v>0.83199999999999996</v>
      </c>
      <c r="AJ591" s="80">
        <v>1.9962264150943401</v>
      </c>
      <c r="AK591" s="80">
        <v>0.30943396226415099</v>
      </c>
      <c r="AL591" s="27">
        <v>3</v>
      </c>
      <c r="AM591" s="97">
        <f>SUM(AL591/Z591)</f>
        <v>9.5238095238095247E-3</v>
      </c>
      <c r="AN591" s="27" t="s">
        <v>268</v>
      </c>
      <c r="AO591" s="27">
        <v>31</v>
      </c>
      <c r="AP591" s="27">
        <v>23</v>
      </c>
      <c r="AQ591" s="27">
        <v>8</v>
      </c>
      <c r="AR591" s="27">
        <f>SUM(AO591:AQ591)</f>
        <v>62</v>
      </c>
      <c r="AS591" s="27" t="s">
        <v>5378</v>
      </c>
      <c r="AT591" s="27" t="s">
        <v>5379</v>
      </c>
      <c r="AU591" s="84" t="s">
        <v>4885</v>
      </c>
      <c r="AV591" s="77"/>
      <c r="AW591" s="77"/>
      <c r="AX591" s="77"/>
      <c r="AY591" s="77"/>
      <c r="AZ591" s="77"/>
      <c r="BA591" s="77"/>
      <c r="BB591" s="77"/>
      <c r="BC591" s="77"/>
      <c r="BD591" s="77"/>
      <c r="BE591" s="77"/>
      <c r="BF591" s="77"/>
      <c r="BG591" s="77"/>
      <c r="BH591" s="77"/>
      <c r="BI591" s="77"/>
      <c r="BJ591" s="77"/>
      <c r="BK591" s="77"/>
      <c r="BL591" s="77"/>
      <c r="BM591" s="77"/>
      <c r="BN591" s="77"/>
      <c r="BO591" s="77"/>
      <c r="BP591" s="77"/>
      <c r="BQ591" s="77"/>
      <c r="BR591" s="77"/>
      <c r="BS591" s="77"/>
      <c r="BT591" s="77"/>
      <c r="BU591" s="77"/>
      <c r="BV591" s="77"/>
      <c r="BW591" s="77"/>
      <c r="BX591" s="77"/>
      <c r="BY591" s="77"/>
      <c r="BZ591" s="77"/>
      <c r="CA591" s="77"/>
      <c r="CB591" s="77"/>
      <c r="CC591" s="77"/>
      <c r="CD591" s="77"/>
      <c r="CE591" s="77"/>
      <c r="CF591" s="77"/>
      <c r="CG591" s="77"/>
      <c r="CH591" s="77"/>
      <c r="CI591" s="77"/>
      <c r="CJ591" s="77"/>
      <c r="CK591" s="77"/>
      <c r="CL591" s="77"/>
      <c r="CM591" s="77"/>
      <c r="CN591" s="77"/>
      <c r="CO591" s="77"/>
      <c r="CP591" s="77"/>
      <c r="CQ591" s="77"/>
      <c r="CR591" s="77"/>
      <c r="CS591" s="77"/>
      <c r="CT591" s="77"/>
      <c r="CU591" s="77"/>
      <c r="CV591" s="77"/>
      <c r="CW591" s="77"/>
      <c r="CX591" s="77"/>
      <c r="CY591" s="77"/>
      <c r="CZ591" s="77"/>
      <c r="DA591" s="77"/>
      <c r="DB591" s="77"/>
      <c r="DC591" s="77"/>
      <c r="DD591" s="77"/>
      <c r="DE591" s="77"/>
      <c r="DF591" s="77"/>
      <c r="DG591" s="77"/>
      <c r="DH591" s="77"/>
      <c r="DI591" s="77"/>
      <c r="DJ591" s="77"/>
      <c r="DK591" s="77"/>
      <c r="DL591" s="77"/>
      <c r="DM591" s="77"/>
      <c r="DN591" s="77"/>
      <c r="DO591" s="77"/>
      <c r="DP591" s="77"/>
      <c r="DQ591" s="77"/>
      <c r="DR591" s="77"/>
      <c r="DS591" s="77"/>
      <c r="DT591" s="77"/>
      <c r="DU591" s="77"/>
      <c r="DV591" s="77"/>
      <c r="DW591" s="77"/>
      <c r="DX591" s="77"/>
      <c r="DY591" s="77"/>
      <c r="DZ591" s="77"/>
      <c r="EA591" s="77"/>
      <c r="EB591" s="77"/>
      <c r="EC591" s="77"/>
      <c r="ED591" s="77"/>
      <c r="EE591" s="77"/>
      <c r="EF591" s="77"/>
      <c r="EG591" s="77"/>
      <c r="EH591" s="77"/>
      <c r="EI591" s="77"/>
      <c r="EJ591" s="77"/>
      <c r="EK591" s="77"/>
      <c r="EL591" s="77"/>
      <c r="EM591" s="77"/>
      <c r="EN591" s="77"/>
      <c r="EO591" s="77"/>
      <c r="EP591" s="77"/>
      <c r="ER591" s="77"/>
      <c r="ES591" s="77"/>
      <c r="ET591" s="77"/>
      <c r="EU591" s="77"/>
      <c r="EV591" s="77"/>
      <c r="EW591" s="77"/>
      <c r="EX591" s="77"/>
      <c r="EY591" s="77"/>
      <c r="EZ591" s="77"/>
      <c r="FA591" s="77"/>
      <c r="FB591" s="77"/>
      <c r="FC591" s="77"/>
      <c r="FD591" s="77"/>
      <c r="FE591" s="77"/>
      <c r="FF591" s="77"/>
      <c r="FG591" s="77"/>
      <c r="FH591" s="77"/>
      <c r="FI591" s="77"/>
      <c r="FJ591" s="77"/>
      <c r="FK591" s="77"/>
      <c r="FL591" s="77"/>
      <c r="FM591" s="77"/>
      <c r="FN591" s="77"/>
      <c r="FO591" s="77"/>
      <c r="FP591" s="77"/>
      <c r="FQ591" s="77"/>
      <c r="FR591" s="77"/>
      <c r="FS591" s="77"/>
      <c r="FT591" s="77"/>
      <c r="FU591" s="77"/>
      <c r="FV591" s="77"/>
      <c r="FW591" s="77"/>
      <c r="FX591" s="77"/>
      <c r="FY591" s="77"/>
      <c r="FZ591" s="77"/>
      <c r="GA591" s="77"/>
      <c r="GB591" s="77"/>
      <c r="GC591" s="77"/>
      <c r="GD591" s="77"/>
      <c r="GE591" s="77"/>
      <c r="GF591" s="77"/>
      <c r="GG591" s="77"/>
      <c r="GH591" s="77"/>
      <c r="GI591" s="77"/>
      <c r="GJ591" s="77"/>
      <c r="GK591" s="77"/>
      <c r="HL591" s="77"/>
      <c r="HM591" s="77"/>
      <c r="HN591" s="77"/>
      <c r="HO591" s="77"/>
      <c r="HP591" s="77"/>
      <c r="HQ591" s="77"/>
      <c r="HR591" s="77"/>
      <c r="HS591" s="77"/>
      <c r="HT591" s="77"/>
      <c r="HU591" s="77"/>
      <c r="HV591" s="77"/>
      <c r="HW591" s="77"/>
      <c r="HX591" s="77"/>
      <c r="HY591" s="77"/>
      <c r="HZ591" s="77"/>
      <c r="IA591" s="77"/>
      <c r="IB591" s="77"/>
      <c r="IC591" s="77"/>
      <c r="ID591" s="77"/>
      <c r="IE591" s="77"/>
      <c r="IF591" s="77"/>
      <c r="IG591" s="77"/>
      <c r="IH591" s="77"/>
      <c r="II591" s="77"/>
      <c r="IJ591" s="77"/>
      <c r="IK591" s="77"/>
      <c r="IL591" s="77"/>
      <c r="IM591" s="77"/>
      <c r="IN591" s="77"/>
      <c r="IO591" s="77"/>
      <c r="IP591" s="77"/>
      <c r="IQ591" s="77"/>
      <c r="IR591" s="77"/>
      <c r="IS591" s="77"/>
      <c r="IT591" s="77"/>
      <c r="IU591" s="77"/>
      <c r="IV591" s="77"/>
      <c r="IW591" s="77"/>
      <c r="IX591" s="77"/>
      <c r="IY591" s="77"/>
      <c r="IZ591" s="77"/>
      <c r="JA591" s="77"/>
      <c r="JB591" s="77"/>
      <c r="JC591" s="77"/>
      <c r="JD591" s="77"/>
      <c r="JE591" s="77"/>
      <c r="JF591" s="77"/>
      <c r="JG591" s="77"/>
      <c r="JH591" s="77"/>
      <c r="JI591" s="77"/>
      <c r="JJ591" s="77"/>
      <c r="JK591" s="77"/>
      <c r="JL591" s="77"/>
      <c r="JM591" s="77"/>
      <c r="JN591" s="77"/>
      <c r="JO591" s="77"/>
      <c r="JP591" s="77"/>
      <c r="JQ591" s="77"/>
      <c r="JR591" s="77"/>
      <c r="JS591" s="77"/>
      <c r="JT591" s="77"/>
      <c r="JU591" s="77"/>
      <c r="JV591" s="77"/>
      <c r="JW591" s="77"/>
      <c r="JX591" s="77"/>
      <c r="JY591" s="77"/>
      <c r="JZ591" s="77"/>
      <c r="KA591" s="77"/>
      <c r="KB591" s="77"/>
      <c r="KC591" s="77"/>
      <c r="KD591" s="77"/>
      <c r="KE591" s="77"/>
      <c r="KF591" s="77"/>
      <c r="KG591" s="77"/>
      <c r="KH591" s="77"/>
      <c r="KI591" s="77"/>
      <c r="KJ591" s="77"/>
      <c r="KK591" s="77"/>
      <c r="KL591" s="77"/>
      <c r="LL591" s="77"/>
      <c r="LM591" s="77"/>
      <c r="LN591" s="77"/>
      <c r="LO591" s="77"/>
      <c r="LP591" s="77"/>
      <c r="LQ591" s="77"/>
      <c r="LR591" s="77"/>
      <c r="LS591" s="77"/>
      <c r="LT591" s="77"/>
      <c r="LU591" s="77"/>
      <c r="LV591" s="77"/>
      <c r="LW591" s="77"/>
      <c r="LX591" s="77"/>
      <c r="LY591" s="77"/>
      <c r="LZ591" s="77"/>
      <c r="MA591" s="77"/>
      <c r="MB591" s="77"/>
      <c r="MC591" s="77"/>
      <c r="MD591" s="77"/>
      <c r="ME591" s="77"/>
      <c r="MF591" s="77"/>
      <c r="MG591" s="77"/>
      <c r="MH591" s="77"/>
      <c r="MI591" s="77"/>
      <c r="MJ591" s="77"/>
      <c r="MK591" s="77"/>
      <c r="ML591" s="77"/>
      <c r="MM591" s="77"/>
      <c r="MN591" s="77"/>
      <c r="MO591" s="77"/>
      <c r="MP591" s="77"/>
      <c r="MQ591" s="77"/>
      <c r="MR591" s="77"/>
    </row>
    <row r="592" spans="1:421" s="21" customFormat="1" ht="18.600000000000001" customHeight="1" x14ac:dyDescent="0.25">
      <c r="A592" s="119" t="s">
        <v>2930</v>
      </c>
      <c r="B592" s="27" t="s">
        <v>2931</v>
      </c>
      <c r="C592" s="27" t="s">
        <v>2932</v>
      </c>
      <c r="D592" s="30" t="str">
        <f>HYPERLINK("https://twitter.com/UAEGover","https://twitter.com/UAEGover")</f>
        <v>https://twitter.com/UAEGover</v>
      </c>
      <c r="E592" s="30" t="str">
        <f>HYPERLINK("http://twiplomacy.com/info/asia/United-Arab-Emirates","http://twiplomacy.com/info/asia/United-Arab-Emirates")</f>
        <v>http://twiplomacy.com/info/asia/United-Arab-Emirates</v>
      </c>
      <c r="F592" s="14" t="s">
        <v>154</v>
      </c>
      <c r="G592" s="14" t="s">
        <v>317</v>
      </c>
      <c r="H592" s="14" t="s">
        <v>788</v>
      </c>
      <c r="I592" s="14" t="s">
        <v>782</v>
      </c>
      <c r="J592" s="27" t="s">
        <v>789</v>
      </c>
      <c r="K592" s="98" t="s">
        <v>2933</v>
      </c>
      <c r="L592" s="14" t="s">
        <v>771</v>
      </c>
      <c r="M592" s="14" t="s">
        <v>771</v>
      </c>
      <c r="N592" s="100" t="str">
        <f>HYPERLINK("https://twitter.com/DubaiPoliceHQ/statuses/127969080933224449","https://twitter.com/DubaiPoliceHQ/statuses/127969080933224449")</f>
        <v>https://twitter.com/DubaiPoliceHQ/statuses/127969080933224449</v>
      </c>
      <c r="O592" s="100" t="str">
        <f>HYPERLINK("https://twitter.com/UAEGover/statuses/171904082632638464","https://twitter.com/UAEGover/statuses/171904082632638464")</f>
        <v>https://twitter.com/UAEGover/statuses/171904082632638464</v>
      </c>
      <c r="P592" s="44">
        <v>7</v>
      </c>
      <c r="Q592" s="44">
        <v>1</v>
      </c>
      <c r="R592" s="27" t="s">
        <v>2995</v>
      </c>
      <c r="S592" s="12" t="s">
        <v>2934</v>
      </c>
      <c r="T592" s="10">
        <v>1</v>
      </c>
      <c r="U592" s="10" t="s">
        <v>771</v>
      </c>
      <c r="V592" s="10" t="s">
        <v>771</v>
      </c>
      <c r="W592" s="10"/>
      <c r="X592" s="27" t="s">
        <v>2930</v>
      </c>
      <c r="Y592" s="27" t="s">
        <v>2931</v>
      </c>
      <c r="Z592" s="80">
        <v>312</v>
      </c>
      <c r="AA592" s="27">
        <v>44</v>
      </c>
      <c r="AB592" s="80">
        <v>358</v>
      </c>
      <c r="AC592" s="27">
        <v>2</v>
      </c>
      <c r="AD592" s="27" t="s">
        <v>4545</v>
      </c>
      <c r="AE592" s="27">
        <v>395556077</v>
      </c>
      <c r="AF592" s="27" t="s">
        <v>2932</v>
      </c>
      <c r="AG592" s="27" t="s">
        <v>317</v>
      </c>
      <c r="AH592" s="79">
        <v>0.18863361547763</v>
      </c>
      <c r="AI592" s="83">
        <v>2.2391304347826102</v>
      </c>
      <c r="AJ592" s="80">
        <v>8.9430894308943104E-2</v>
      </c>
      <c r="AK592" s="80">
        <v>1.6260162601626001E-2</v>
      </c>
      <c r="AL592" s="96">
        <v>2</v>
      </c>
      <c r="AM592" s="97">
        <f>SUM(AL592/Z592)</f>
        <v>6.41025641025641E-3</v>
      </c>
      <c r="AN592" s="27" t="s">
        <v>2930</v>
      </c>
      <c r="AO592" s="27">
        <v>2</v>
      </c>
      <c r="AP592" s="27">
        <v>3</v>
      </c>
      <c r="AQ592" s="27">
        <v>0</v>
      </c>
      <c r="AR592" s="27">
        <f>SUM(AO592:AQ592)</f>
        <v>5</v>
      </c>
      <c r="AS592" s="27" t="s">
        <v>5530</v>
      </c>
      <c r="AT592" s="27" t="s">
        <v>5531</v>
      </c>
      <c r="AU592" s="84"/>
      <c r="AV592" s="71"/>
      <c r="AW592" s="71"/>
      <c r="AX592" s="71"/>
      <c r="AY592" s="71"/>
      <c r="AZ592" s="71"/>
      <c r="BA592" s="71"/>
      <c r="BB592" s="71"/>
      <c r="BC592" s="71"/>
      <c r="BD592" s="71"/>
      <c r="BE592" s="71"/>
      <c r="BF592" s="71"/>
      <c r="BG592" s="71"/>
      <c r="BH592" s="71"/>
      <c r="BI592" s="71"/>
      <c r="BJ592" s="71"/>
      <c r="BK592" s="71"/>
      <c r="BL592" s="71"/>
      <c r="BM592" s="77"/>
      <c r="BQ592" s="77"/>
      <c r="BR592" s="77"/>
      <c r="BS592" s="77"/>
      <c r="BT592" s="77"/>
      <c r="BU592" s="77"/>
      <c r="BV592" s="77"/>
      <c r="BW592" s="77"/>
      <c r="BX592" s="77"/>
      <c r="BY592" s="77"/>
      <c r="BZ592" s="77"/>
      <c r="CA592" s="77"/>
      <c r="CB592" s="77"/>
      <c r="CC592" s="77"/>
      <c r="CD592" s="77"/>
      <c r="CE592" s="77"/>
      <c r="CF592" s="77"/>
      <c r="CG592" s="77"/>
      <c r="CH592" s="77"/>
      <c r="CI592" s="77"/>
      <c r="CJ592" s="77"/>
      <c r="CK592" s="77"/>
      <c r="CL592" s="77"/>
      <c r="CM592" s="77"/>
      <c r="CN592" s="77"/>
      <c r="CO592" s="77"/>
      <c r="CP592" s="77"/>
      <c r="CQ592" s="77"/>
      <c r="CR592" s="77"/>
      <c r="CS592" s="77"/>
      <c r="CT592" s="77"/>
      <c r="CU592" s="77"/>
      <c r="CV592" s="77"/>
      <c r="CW592" s="77"/>
      <c r="CX592" s="77"/>
      <c r="CY592" s="77"/>
      <c r="CZ592" s="77"/>
      <c r="DA592" s="77"/>
      <c r="DB592" s="77"/>
      <c r="DC592" s="77"/>
      <c r="DD592" s="77"/>
      <c r="DE592" s="77"/>
      <c r="DF592" s="77"/>
      <c r="DG592" s="77"/>
      <c r="DH592" s="77"/>
      <c r="DI592" s="77"/>
      <c r="DJ592" s="77"/>
      <c r="DK592" s="77"/>
      <c r="DL592" s="77"/>
      <c r="DM592" s="77"/>
      <c r="DN592" s="77"/>
      <c r="DO592" s="77"/>
      <c r="DP592" s="77"/>
      <c r="DQ592" s="77"/>
      <c r="DR592" s="77"/>
      <c r="DS592" s="77"/>
      <c r="DT592" s="77"/>
      <c r="DU592" s="77"/>
      <c r="DV592" s="77"/>
      <c r="DW592" s="77"/>
      <c r="DX592" s="77"/>
      <c r="DY592" s="77"/>
      <c r="DZ592" s="77"/>
      <c r="EA592" s="77"/>
      <c r="EB592" s="77"/>
      <c r="EC592" s="77"/>
      <c r="ED592" s="77"/>
      <c r="EE592" s="77"/>
      <c r="EF592" s="77"/>
      <c r="EG592" s="77"/>
      <c r="EH592" s="77"/>
      <c r="EI592" s="77"/>
      <c r="EJ592" s="77"/>
      <c r="EK592" s="77"/>
      <c r="EL592" s="77"/>
      <c r="EM592" s="77"/>
      <c r="EN592" s="77"/>
      <c r="EO592" s="77"/>
      <c r="EP592" s="77"/>
      <c r="ER592" s="77"/>
      <c r="ES592" s="77"/>
      <c r="ET592" s="77"/>
      <c r="EU592" s="77"/>
      <c r="EV592" s="77"/>
      <c r="EW592" s="77"/>
      <c r="EX592" s="77"/>
      <c r="EY592" s="77"/>
      <c r="EZ592" s="77"/>
      <c r="FA592" s="77"/>
      <c r="FB592" s="77"/>
      <c r="FC592" s="77"/>
      <c r="FD592" s="77"/>
      <c r="FE592" s="77"/>
      <c r="FF592" s="77"/>
      <c r="FG592" s="77"/>
      <c r="FH592" s="77"/>
      <c r="FI592" s="77"/>
      <c r="FJ592" s="77"/>
      <c r="FK592" s="77"/>
      <c r="FL592" s="77"/>
      <c r="FM592" s="77"/>
      <c r="FN592" s="77"/>
      <c r="FO592" s="77"/>
      <c r="FP592" s="77"/>
      <c r="FQ592" s="77"/>
      <c r="FR592" s="77"/>
      <c r="FS592" s="77"/>
      <c r="FT592" s="77"/>
      <c r="FU592" s="77"/>
      <c r="FV592" s="77"/>
      <c r="FW592" s="77"/>
      <c r="FX592" s="77"/>
      <c r="FY592" s="77"/>
      <c r="FZ592" s="77"/>
      <c r="GA592" s="77"/>
      <c r="GB592" s="77"/>
      <c r="GC592" s="77"/>
      <c r="GD592" s="77"/>
      <c r="GE592" s="77"/>
      <c r="GF592" s="77"/>
      <c r="GG592" s="77"/>
      <c r="GH592" s="77"/>
      <c r="GI592" s="77"/>
      <c r="GJ592" s="77"/>
      <c r="GK592" s="77"/>
      <c r="GL592" s="77"/>
      <c r="GM592" s="77"/>
      <c r="GN592" s="77"/>
      <c r="GO592" s="77"/>
      <c r="GP592" s="77"/>
      <c r="GQ592" s="77"/>
      <c r="GR592" s="77"/>
      <c r="GS592" s="77"/>
      <c r="GT592" s="77"/>
      <c r="GU592" s="77"/>
      <c r="GV592" s="77"/>
      <c r="GW592" s="77"/>
      <c r="GX592" s="77"/>
      <c r="GY592" s="77"/>
      <c r="GZ592" s="77"/>
      <c r="HA592" s="77"/>
      <c r="HB592" s="77"/>
      <c r="HC592" s="77"/>
      <c r="HD592" s="77"/>
      <c r="HE592" s="77"/>
      <c r="HF592" s="77"/>
      <c r="HG592" s="77"/>
      <c r="HH592" s="77"/>
      <c r="HI592" s="77"/>
      <c r="HJ592" s="77"/>
      <c r="HK592" s="77"/>
      <c r="HL592" s="77"/>
      <c r="HM592" s="77"/>
      <c r="HN592" s="77"/>
      <c r="HO592" s="77"/>
      <c r="HP592" s="77"/>
      <c r="HQ592" s="77"/>
      <c r="HR592" s="77"/>
      <c r="HS592" s="77"/>
      <c r="HT592" s="77"/>
      <c r="HU592" s="77"/>
      <c r="HV592" s="77"/>
      <c r="HW592" s="77"/>
      <c r="HX592" s="77"/>
      <c r="HY592" s="77"/>
      <c r="HZ592" s="77"/>
      <c r="IA592" s="77"/>
      <c r="IB592" s="77"/>
      <c r="IC592" s="77"/>
      <c r="ID592" s="77"/>
      <c r="IE592" s="77"/>
      <c r="IF592" s="77"/>
      <c r="IG592" s="77"/>
      <c r="IH592" s="77"/>
      <c r="II592" s="77"/>
      <c r="IJ592" s="77"/>
      <c r="IK592" s="77"/>
      <c r="IL592" s="77"/>
      <c r="IM592" s="77"/>
      <c r="IN592" s="77"/>
      <c r="IO592" s="77"/>
      <c r="IP592" s="77"/>
      <c r="IQ592" s="77"/>
      <c r="IR592" s="77"/>
      <c r="IS592" s="77"/>
      <c r="IT592" s="77"/>
      <c r="IU592" s="77"/>
      <c r="IV592" s="77"/>
      <c r="IW592" s="77"/>
      <c r="IX592" s="77"/>
      <c r="IY592" s="77"/>
      <c r="IZ592" s="77"/>
      <c r="JA592" s="77"/>
      <c r="JB592" s="77"/>
      <c r="JC592" s="77"/>
      <c r="JD592" s="77"/>
      <c r="JE592" s="77"/>
      <c r="JF592" s="77"/>
      <c r="JG592" s="77"/>
      <c r="JH592" s="77"/>
      <c r="JI592" s="77"/>
      <c r="JJ592" s="77"/>
      <c r="JK592" s="77"/>
      <c r="JL592" s="77"/>
      <c r="JM592" s="77"/>
      <c r="JN592" s="77"/>
      <c r="JO592" s="77"/>
      <c r="JP592" s="77"/>
      <c r="JQ592" s="77"/>
      <c r="JR592" s="77"/>
      <c r="JS592" s="77"/>
      <c r="JT592" s="77"/>
      <c r="JU592" s="77"/>
      <c r="JV592" s="77"/>
      <c r="JW592" s="77"/>
      <c r="JX592" s="77"/>
      <c r="JY592" s="77"/>
      <c r="JZ592" s="77"/>
      <c r="KA592" s="77"/>
      <c r="KB592" s="77"/>
      <c r="KC592" s="77"/>
      <c r="KD592" s="77"/>
      <c r="KE592" s="77"/>
      <c r="KF592" s="77"/>
      <c r="KG592" s="77"/>
      <c r="KH592" s="77"/>
      <c r="KI592" s="77"/>
      <c r="KJ592" s="77"/>
      <c r="KK592" s="77"/>
      <c r="KL592" s="77"/>
      <c r="KM592" s="77"/>
      <c r="KN592" s="77"/>
      <c r="KO592" s="77"/>
      <c r="KP592" s="77"/>
      <c r="KQ592" s="77"/>
      <c r="KR592" s="77"/>
      <c r="KS592" s="77"/>
      <c r="KT592" s="77"/>
      <c r="KU592" s="77"/>
      <c r="KV592" s="77"/>
      <c r="KW592" s="77"/>
      <c r="KX592" s="77"/>
      <c r="KY592" s="77"/>
      <c r="KZ592" s="77"/>
      <c r="LA592" s="77"/>
      <c r="LB592" s="77"/>
      <c r="LC592" s="77"/>
      <c r="LD592" s="77"/>
      <c r="LE592" s="77"/>
      <c r="LF592" s="77"/>
      <c r="LG592" s="77"/>
      <c r="LH592" s="77"/>
      <c r="LI592" s="77"/>
      <c r="LJ592" s="77"/>
      <c r="LK592" s="77"/>
      <c r="LL592" s="77"/>
      <c r="LM592" s="77"/>
      <c r="LN592" s="77"/>
      <c r="LO592" s="77"/>
      <c r="LP592" s="77"/>
      <c r="LQ592" s="77"/>
      <c r="LR592" s="77"/>
      <c r="LS592" s="77"/>
      <c r="LT592" s="77"/>
      <c r="LU592" s="77"/>
      <c r="LV592" s="77"/>
      <c r="LY592" s="77"/>
      <c r="LZ592" s="77"/>
      <c r="MA592" s="77"/>
      <c r="MB592" s="77"/>
      <c r="MC592" s="77"/>
      <c r="MD592" s="77"/>
      <c r="ME592" s="77"/>
      <c r="MF592" s="77"/>
      <c r="MG592" s="77"/>
      <c r="MH592" s="77"/>
      <c r="MI592" s="77"/>
      <c r="MJ592" s="77"/>
      <c r="MK592" s="77"/>
      <c r="ML592" s="77"/>
      <c r="MM592" s="77"/>
      <c r="MN592" s="77"/>
      <c r="MO592" s="77"/>
      <c r="MP592" s="77"/>
      <c r="MQ592" s="77"/>
      <c r="MR592" s="77"/>
    </row>
    <row r="593" spans="1:421" s="21" customFormat="1" ht="18.600000000000001" customHeight="1" x14ac:dyDescent="0.25">
      <c r="A593" s="119" t="s">
        <v>283</v>
      </c>
      <c r="B593" s="27" t="s">
        <v>1586</v>
      </c>
      <c r="C593" s="27" t="s">
        <v>1587</v>
      </c>
      <c r="D593" s="30" t="str">
        <f>HYPERLINK("https://twitter.com/KingSalman","https://twitter.com/KingSalman")</f>
        <v>https://twitter.com/KingSalman</v>
      </c>
      <c r="E593" s="30" t="str">
        <f>HYPERLINK("http://twiplomacy.com/info/asia/Saudi-Arabia","http://twiplomacy.com/info/asia/Saudi-Arabia")</f>
        <v>http://twiplomacy.com/info/asia/Saudi-Arabia</v>
      </c>
      <c r="F593" s="10" t="s">
        <v>154</v>
      </c>
      <c r="G593" s="10" t="s">
        <v>282</v>
      </c>
      <c r="H593" s="10" t="s">
        <v>1588</v>
      </c>
      <c r="I593" s="10" t="s">
        <v>773</v>
      </c>
      <c r="J593" s="27" t="s">
        <v>789</v>
      </c>
      <c r="K593" s="15" t="s">
        <v>777</v>
      </c>
      <c r="L593" s="10" t="s">
        <v>771</v>
      </c>
      <c r="M593" s="10" t="s">
        <v>771</v>
      </c>
      <c r="N593" s="30" t="str">
        <f>HYPERLINK("https://twitter.com/KingSalman/statuses/305375759218913280","https://twitter.com/KingSalman/statuses/305375759218913280")</f>
        <v>https://twitter.com/KingSalman/statuses/305375759218913280</v>
      </c>
      <c r="O593" s="11" t="s">
        <v>3177</v>
      </c>
      <c r="P593" s="80">
        <v>375692</v>
      </c>
      <c r="Q593" s="80">
        <v>131979</v>
      </c>
      <c r="R593" s="27" t="s">
        <v>2994</v>
      </c>
      <c r="S593" s="10" t="s">
        <v>1589</v>
      </c>
      <c r="T593" s="10" t="s">
        <v>771</v>
      </c>
      <c r="U593" s="10" t="s">
        <v>771</v>
      </c>
      <c r="V593" s="10" t="s">
        <v>771</v>
      </c>
      <c r="W593" s="10"/>
      <c r="X593" s="27" t="s">
        <v>283</v>
      </c>
      <c r="Y593" s="27" t="s">
        <v>1586</v>
      </c>
      <c r="Z593" s="80">
        <v>305</v>
      </c>
      <c r="AA593" s="27">
        <v>0</v>
      </c>
      <c r="AB593" s="80">
        <v>4946959</v>
      </c>
      <c r="AC593" s="27">
        <v>0</v>
      </c>
      <c r="AD593" s="27" t="s">
        <v>3940</v>
      </c>
      <c r="AE593" s="27">
        <v>1072915220</v>
      </c>
      <c r="AF593" s="27" t="s">
        <v>1587</v>
      </c>
      <c r="AG593" s="27" t="s">
        <v>1590</v>
      </c>
      <c r="AH593" s="79">
        <v>0.25227460711331701</v>
      </c>
      <c r="AI593" s="83">
        <v>0.26614310645724298</v>
      </c>
      <c r="AJ593" s="80">
        <v>9986.2754098360692</v>
      </c>
      <c r="AK593" s="80">
        <v>4439.3213114754099</v>
      </c>
      <c r="AL593" s="13">
        <v>0</v>
      </c>
      <c r="AM593" s="97">
        <f>SUM(AL593/Z593)</f>
        <v>0</v>
      </c>
      <c r="AN593" s="27" t="s">
        <v>283</v>
      </c>
      <c r="AO593" s="27">
        <v>0</v>
      </c>
      <c r="AP593" s="27">
        <v>24</v>
      </c>
      <c r="AQ593" s="27">
        <v>0</v>
      </c>
      <c r="AR593" s="27">
        <f>SUM(AO593:AQ593)</f>
        <v>24</v>
      </c>
      <c r="AS593" s="27"/>
      <c r="AT593" s="27" t="s">
        <v>5239</v>
      </c>
      <c r="AU593" s="84"/>
      <c r="AV593" s="77"/>
      <c r="AW593" s="77"/>
      <c r="AX593" s="77"/>
      <c r="AY593" s="77"/>
      <c r="AZ593" s="77"/>
      <c r="BA593" s="77"/>
      <c r="BB593" s="77"/>
      <c r="BC593" s="77"/>
      <c r="BD593" s="77"/>
      <c r="BE593" s="77"/>
      <c r="BF593" s="77"/>
      <c r="BG593" s="77"/>
      <c r="BH593" s="77"/>
      <c r="BI593" s="77"/>
      <c r="BJ593" s="77"/>
      <c r="BK593" s="77"/>
      <c r="BL593" s="77"/>
      <c r="BM593" s="77"/>
      <c r="BN593" s="77"/>
      <c r="BO593" s="77"/>
      <c r="BP593" s="77"/>
      <c r="BQ593" s="71"/>
      <c r="BR593" s="71"/>
      <c r="BS593" s="71"/>
      <c r="BT593" s="71"/>
      <c r="BU593" s="71"/>
      <c r="BV593" s="71"/>
      <c r="BW593" s="71"/>
      <c r="BX593" s="71"/>
      <c r="BY593" s="71"/>
      <c r="BZ593" s="71"/>
      <c r="CA593" s="71"/>
      <c r="CB593" s="71"/>
      <c r="CC593" s="77"/>
      <c r="CD593" s="77"/>
      <c r="CE593" s="77"/>
      <c r="CF593" s="77"/>
      <c r="CG593" s="77"/>
      <c r="CH593" s="77"/>
      <c r="CI593" s="77"/>
      <c r="CJ593" s="77"/>
      <c r="CK593" s="77"/>
      <c r="CL593" s="77"/>
      <c r="CM593" s="77"/>
      <c r="CN593" s="77"/>
      <c r="CO593" s="77"/>
      <c r="CP593" s="77"/>
      <c r="CQ593" s="77"/>
      <c r="CR593" s="77"/>
      <c r="CS593" s="77"/>
      <c r="CT593" s="77"/>
      <c r="CU593" s="77"/>
      <c r="CV593" s="77"/>
      <c r="CW593" s="77"/>
      <c r="CX593" s="77"/>
      <c r="CY593" s="77"/>
      <c r="CZ593" s="77"/>
      <c r="DA593" s="77"/>
      <c r="DB593" s="77"/>
      <c r="DC593" s="77"/>
      <c r="DD593" s="77"/>
      <c r="DE593" s="77"/>
      <c r="DF593" s="77"/>
      <c r="DG593" s="77"/>
      <c r="DH593" s="77"/>
      <c r="DI593" s="77"/>
      <c r="DJ593" s="77"/>
      <c r="DK593" s="77"/>
      <c r="DL593" s="77"/>
      <c r="DM593" s="77"/>
      <c r="DN593" s="77"/>
      <c r="DO593" s="77"/>
      <c r="DP593" s="77"/>
      <c r="DQ593" s="77"/>
      <c r="DR593" s="77"/>
      <c r="DS593" s="77"/>
      <c r="DT593" s="77"/>
      <c r="DU593" s="77"/>
      <c r="DV593" s="77"/>
      <c r="DW593" s="77"/>
      <c r="DX593" s="77"/>
      <c r="DY593" s="77"/>
      <c r="DZ593" s="77"/>
      <c r="EA593" s="77"/>
      <c r="EB593" s="77"/>
      <c r="EC593" s="77"/>
      <c r="ED593" s="77"/>
      <c r="EE593" s="77"/>
      <c r="EF593" s="77"/>
      <c r="EG593" s="77"/>
      <c r="EH593" s="77"/>
      <c r="EI593" s="77"/>
      <c r="EJ593" s="77"/>
      <c r="EK593" s="77"/>
      <c r="EL593" s="77"/>
      <c r="EM593" s="77"/>
      <c r="EN593" s="77"/>
      <c r="EO593" s="77"/>
      <c r="EP593" s="77"/>
      <c r="ER593" s="77"/>
      <c r="ES593" s="77"/>
      <c r="ET593" s="77"/>
      <c r="EU593" s="77"/>
      <c r="EV593" s="77"/>
      <c r="EW593" s="77"/>
      <c r="EX593" s="77"/>
      <c r="EY593" s="77"/>
      <c r="EZ593" s="77"/>
      <c r="FA593" s="77"/>
      <c r="FB593" s="77"/>
      <c r="FC593" s="77"/>
      <c r="FD593" s="77"/>
      <c r="FE593" s="77"/>
      <c r="FF593" s="77"/>
      <c r="FG593" s="77"/>
      <c r="FH593" s="77"/>
      <c r="FI593" s="77"/>
      <c r="FJ593" s="77"/>
      <c r="FK593" s="77"/>
      <c r="FL593" s="77"/>
      <c r="FM593" s="77"/>
      <c r="FN593" s="77"/>
      <c r="FO593" s="77"/>
      <c r="FP593" s="77"/>
      <c r="FQ593" s="77"/>
      <c r="FR593" s="77"/>
      <c r="FS593" s="77"/>
      <c r="FT593" s="77"/>
      <c r="FU593" s="77"/>
      <c r="FV593" s="77"/>
      <c r="FW593" s="77"/>
      <c r="FX593" s="77"/>
      <c r="FY593" s="77"/>
      <c r="FZ593" s="77"/>
      <c r="GA593" s="77"/>
      <c r="GB593" s="77"/>
      <c r="GC593" s="77"/>
      <c r="GD593" s="77"/>
      <c r="GE593" s="77"/>
      <c r="GF593" s="77"/>
      <c r="GG593" s="77"/>
      <c r="GH593" s="77"/>
      <c r="GI593" s="77"/>
      <c r="GJ593" s="77"/>
      <c r="GK593" s="77"/>
      <c r="GL593" s="77"/>
      <c r="GM593" s="77"/>
      <c r="GN593" s="77"/>
      <c r="GO593" s="77"/>
      <c r="GP593" s="77"/>
      <c r="GQ593" s="77"/>
      <c r="GR593" s="77"/>
      <c r="GS593" s="77"/>
      <c r="GT593" s="77"/>
      <c r="GU593" s="77"/>
      <c r="GV593" s="77"/>
      <c r="GW593" s="77"/>
      <c r="GX593" s="77"/>
      <c r="GY593" s="77"/>
      <c r="GZ593" s="77"/>
      <c r="HA593" s="77"/>
      <c r="HB593" s="77"/>
      <c r="HC593" s="77"/>
      <c r="HD593" s="77"/>
      <c r="HE593" s="77"/>
      <c r="HF593" s="77"/>
      <c r="HG593" s="77"/>
      <c r="HH593" s="77"/>
      <c r="HI593" s="77"/>
      <c r="HJ593" s="77"/>
      <c r="HK593" s="77"/>
      <c r="HL593" s="77"/>
      <c r="HM593" s="77"/>
      <c r="HN593" s="77"/>
      <c r="HO593" s="77"/>
      <c r="HP593" s="77"/>
      <c r="HQ593" s="77"/>
      <c r="HR593" s="77"/>
      <c r="HS593" s="77"/>
      <c r="HT593" s="77"/>
      <c r="HU593" s="77"/>
      <c r="HV593" s="77"/>
      <c r="HW593" s="77"/>
      <c r="HX593" s="77"/>
      <c r="HY593" s="77"/>
      <c r="HZ593" s="77"/>
      <c r="IA593" s="77"/>
      <c r="IB593" s="77"/>
      <c r="IC593" s="77"/>
      <c r="ID593" s="77"/>
      <c r="IE593" s="77"/>
      <c r="IF593" s="16"/>
      <c r="IG593" s="16"/>
      <c r="IH593" s="16"/>
      <c r="II593" s="16"/>
      <c r="IJ593" s="16"/>
      <c r="IK593" s="16"/>
      <c r="IL593" s="16"/>
      <c r="IM593" s="16"/>
      <c r="IN593" s="16"/>
      <c r="IO593" s="16"/>
      <c r="IP593" s="16"/>
      <c r="IQ593" s="16"/>
      <c r="IR593" s="16"/>
      <c r="IS593" s="16"/>
      <c r="IT593" s="16"/>
      <c r="IU593" s="16"/>
      <c r="IV593" s="16"/>
      <c r="IW593" s="16"/>
      <c r="IX593" s="16"/>
      <c r="IY593" s="16"/>
      <c r="IZ593" s="16"/>
      <c r="JA593" s="16"/>
      <c r="JB593" s="16"/>
      <c r="JC593" s="16"/>
      <c r="JD593" s="16"/>
      <c r="JE593" s="16"/>
      <c r="JF593" s="16"/>
      <c r="JG593" s="16"/>
      <c r="JH593" s="16"/>
      <c r="JI593" s="16"/>
      <c r="JJ593" s="16"/>
      <c r="JK593" s="16"/>
      <c r="JL593" s="16"/>
      <c r="JM593" s="16"/>
      <c r="JN593" s="16"/>
      <c r="JO593" s="16"/>
      <c r="JP593" s="16"/>
      <c r="JQ593" s="16"/>
      <c r="JR593" s="16"/>
      <c r="JS593" s="16"/>
      <c r="JT593" s="16"/>
      <c r="JU593" s="16"/>
      <c r="JV593" s="16"/>
      <c r="JW593" s="16"/>
      <c r="JX593" s="16"/>
      <c r="JY593" s="77"/>
      <c r="JZ593" s="77"/>
      <c r="KA593" s="77"/>
      <c r="KB593" s="77"/>
      <c r="KC593" s="77"/>
      <c r="KD593" s="77"/>
      <c r="KE593" s="77"/>
      <c r="KF593" s="77"/>
      <c r="KG593" s="77"/>
      <c r="KH593" s="77"/>
      <c r="KI593" s="77"/>
      <c r="KJ593" s="77"/>
      <c r="KK593" s="77"/>
      <c r="KL593" s="77"/>
      <c r="MS593" s="77"/>
      <c r="ND593" s="77"/>
    </row>
    <row r="594" spans="1:421" s="21" customFormat="1" ht="18.600000000000001" customHeight="1" x14ac:dyDescent="0.25">
      <c r="A594" s="119" t="s">
        <v>441</v>
      </c>
      <c r="B594" s="27" t="s">
        <v>2010</v>
      </c>
      <c r="C594" s="27" t="s">
        <v>2011</v>
      </c>
      <c r="D594" s="30" t="str">
        <f>HYPERLINK("https://twitter.com/Abutkevicius","https://twitter.com/AButkevicius")</f>
        <v>https://twitter.com/AButkevicius</v>
      </c>
      <c r="E594" s="30" t="str">
        <f>HYPERLINK("http://twiplomacy.com/info/europe/Lithuania","http://twiplomacy.com/info/europe/Lithuania")</f>
        <v>http://twiplomacy.com/info/europe/Lithuania</v>
      </c>
      <c r="F594" s="10" t="s">
        <v>332</v>
      </c>
      <c r="G594" s="10" t="s">
        <v>439</v>
      </c>
      <c r="H594" s="10" t="s">
        <v>776</v>
      </c>
      <c r="I594" s="10" t="s">
        <v>773</v>
      </c>
      <c r="J594" s="27" t="s">
        <v>789</v>
      </c>
      <c r="K594" s="15" t="s">
        <v>777</v>
      </c>
      <c r="L594" s="10" t="s">
        <v>771</v>
      </c>
      <c r="M594" s="10" t="s">
        <v>771</v>
      </c>
      <c r="N594" s="30" t="str">
        <f>HYPERLINK("https://twitter.com/AButkevicius/statuses/56285233573675008","https://twitter.com/AButkevicius/statuses/56285233573675008")</f>
        <v>https://twitter.com/AButkevicius/statuses/56285233573675008</v>
      </c>
      <c r="O594" s="27" t="s">
        <v>5670</v>
      </c>
      <c r="P594" s="80">
        <v>62</v>
      </c>
      <c r="Q594" s="80">
        <v>22</v>
      </c>
      <c r="R594" s="27" t="s">
        <v>2995</v>
      </c>
      <c r="S594" s="10" t="s">
        <v>2012</v>
      </c>
      <c r="T594" s="10" t="s">
        <v>771</v>
      </c>
      <c r="U594" s="10" t="s">
        <v>771</v>
      </c>
      <c r="V594" s="10" t="s">
        <v>771</v>
      </c>
      <c r="W594" s="10"/>
      <c r="X594" s="27" t="s">
        <v>441</v>
      </c>
      <c r="Y594" s="27" t="s">
        <v>2010</v>
      </c>
      <c r="Z594" s="80">
        <v>302</v>
      </c>
      <c r="AA594" s="27">
        <v>183</v>
      </c>
      <c r="AB594" s="80">
        <v>4378</v>
      </c>
      <c r="AC594" s="27">
        <v>5</v>
      </c>
      <c r="AD594" s="27" t="s">
        <v>3427</v>
      </c>
      <c r="AE594" s="27">
        <v>271372111</v>
      </c>
      <c r="AF594" s="27" t="s">
        <v>2011</v>
      </c>
      <c r="AG594" s="27" t="s">
        <v>2013</v>
      </c>
      <c r="AH594" s="79">
        <v>0.161843515541265</v>
      </c>
      <c r="AI594" s="83">
        <v>0.29434697855750502</v>
      </c>
      <c r="AJ594" s="80">
        <v>3.6769759450171802</v>
      </c>
      <c r="AK594" s="80">
        <v>3.6769759450171802</v>
      </c>
      <c r="AL594" s="96">
        <v>6</v>
      </c>
      <c r="AM594" s="97">
        <f>SUM(AL594/Z594)</f>
        <v>1.9867549668874173E-2</v>
      </c>
      <c r="AN594" s="27" t="s">
        <v>441</v>
      </c>
      <c r="AO594" s="27">
        <v>22</v>
      </c>
      <c r="AP594" s="27">
        <v>14</v>
      </c>
      <c r="AQ594" s="27">
        <v>11</v>
      </c>
      <c r="AR594" s="27">
        <f>SUM(AO594:AQ594)</f>
        <v>47</v>
      </c>
      <c r="AS594" s="27" t="s">
        <v>6540</v>
      </c>
      <c r="AT594" s="27" t="s">
        <v>6669</v>
      </c>
      <c r="AU594" s="84" t="s">
        <v>4641</v>
      </c>
      <c r="AV594" s="77"/>
      <c r="AW594" s="77"/>
      <c r="AX594" s="77"/>
      <c r="AY594" s="77"/>
      <c r="AZ594" s="77"/>
      <c r="BA594" s="77"/>
      <c r="BB594" s="77"/>
      <c r="BC594" s="77"/>
      <c r="BD594" s="77"/>
      <c r="BE594" s="77"/>
      <c r="BF594" s="77"/>
      <c r="BG594" s="77"/>
      <c r="BH594" s="77"/>
      <c r="BI594" s="77"/>
      <c r="BJ594" s="77"/>
      <c r="BK594" s="77"/>
      <c r="BL594" s="77"/>
      <c r="BM594" s="77"/>
      <c r="BN594" s="77"/>
      <c r="BO594" s="77"/>
      <c r="BP594" s="77"/>
      <c r="BQ594" s="77"/>
      <c r="BR594" s="77"/>
      <c r="BS594" s="77"/>
      <c r="BT594" s="77"/>
      <c r="BU594" s="77"/>
      <c r="BV594" s="77"/>
      <c r="BW594" s="77"/>
      <c r="BX594" s="77"/>
      <c r="BY594" s="77"/>
      <c r="BZ594" s="77"/>
      <c r="CA594" s="77"/>
      <c r="CB594" s="77"/>
      <c r="CC594" s="77"/>
      <c r="CD594" s="77"/>
      <c r="CE594" s="77"/>
      <c r="CF594" s="77"/>
      <c r="CG594" s="77"/>
      <c r="CH594" s="77"/>
      <c r="CI594" s="77"/>
      <c r="CJ594" s="77"/>
      <c r="CK594" s="77"/>
      <c r="CL594" s="77"/>
      <c r="CM594" s="77"/>
      <c r="CN594" s="77"/>
      <c r="CO594" s="77"/>
      <c r="CP594" s="77"/>
      <c r="CQ594" s="77"/>
      <c r="CR594" s="77"/>
      <c r="CS594" s="77"/>
      <c r="CT594" s="77"/>
      <c r="CU594" s="77"/>
      <c r="CV594" s="77"/>
      <c r="CW594" s="77"/>
      <c r="CX594" s="77"/>
      <c r="CY594" s="77"/>
      <c r="CZ594" s="77"/>
      <c r="DA594" s="77"/>
      <c r="DB594" s="77"/>
      <c r="DC594" s="77"/>
      <c r="DD594" s="77"/>
      <c r="DE594" s="77"/>
      <c r="DF594" s="77"/>
      <c r="DG594" s="77"/>
      <c r="DH594" s="77"/>
      <c r="DI594" s="77"/>
      <c r="DJ594" s="77"/>
      <c r="DK594" s="77"/>
      <c r="DL594" s="77"/>
      <c r="DM594" s="77"/>
      <c r="DN594" s="77"/>
      <c r="DO594" s="77"/>
      <c r="DP594" s="77"/>
      <c r="DQ594" s="77"/>
      <c r="DR594" s="77"/>
      <c r="DS594" s="77"/>
      <c r="DT594" s="77"/>
      <c r="DU594" s="77"/>
      <c r="DV594" s="77"/>
      <c r="DW594" s="77"/>
      <c r="DX594" s="77"/>
      <c r="DY594" s="77"/>
      <c r="DZ594" s="77"/>
      <c r="EA594" s="77"/>
      <c r="EB594" s="77"/>
      <c r="EC594" s="77"/>
      <c r="ED594" s="77"/>
      <c r="EE594" s="77"/>
      <c r="EF594" s="77"/>
      <c r="EG594" s="77"/>
      <c r="EH594" s="77"/>
      <c r="EI594" s="77"/>
      <c r="EJ594" s="77"/>
      <c r="EK594" s="77"/>
      <c r="EL594" s="77"/>
      <c r="EM594" s="77"/>
      <c r="EN594" s="77"/>
      <c r="EO594" s="77"/>
      <c r="EP594" s="77"/>
      <c r="EQ594" s="77"/>
      <c r="ER594" s="77"/>
      <c r="ES594" s="77"/>
      <c r="ET594" s="77"/>
      <c r="EU594" s="77"/>
      <c r="EV594" s="77"/>
      <c r="EW594" s="77"/>
      <c r="EX594" s="77"/>
      <c r="EY594" s="77"/>
      <c r="EZ594" s="77"/>
      <c r="FA594" s="77"/>
      <c r="FB594" s="77"/>
      <c r="FC594" s="77"/>
      <c r="FD594" s="77"/>
      <c r="FE594" s="77"/>
      <c r="FF594" s="77"/>
      <c r="FG594" s="77"/>
      <c r="FH594" s="77"/>
      <c r="FI594" s="77"/>
      <c r="FJ594" s="77"/>
      <c r="FK594" s="77"/>
      <c r="FL594" s="77"/>
      <c r="FM594" s="77"/>
      <c r="FN594" s="77"/>
      <c r="FO594" s="77"/>
      <c r="FP594" s="77"/>
      <c r="FQ594" s="77"/>
      <c r="FR594" s="77"/>
      <c r="FS594" s="77"/>
      <c r="FT594" s="77"/>
      <c r="FU594" s="77"/>
      <c r="FV594" s="77"/>
      <c r="FW594" s="77"/>
      <c r="FX594" s="77"/>
      <c r="FY594" s="77"/>
      <c r="FZ594" s="77"/>
      <c r="GA594" s="77"/>
      <c r="GB594" s="77"/>
      <c r="GC594" s="77"/>
      <c r="GD594" s="77"/>
      <c r="GE594" s="77"/>
      <c r="GF594" s="77"/>
      <c r="GG594" s="77"/>
      <c r="GH594" s="77"/>
      <c r="GI594" s="77"/>
      <c r="GJ594" s="77"/>
      <c r="GK594" s="77"/>
      <c r="HL594" s="77"/>
      <c r="HM594" s="77"/>
      <c r="HN594" s="77"/>
      <c r="HO594" s="77"/>
      <c r="HP594" s="77"/>
      <c r="HQ594" s="77"/>
      <c r="HR594" s="77"/>
      <c r="HS594" s="77"/>
      <c r="HT594" s="77"/>
      <c r="HU594" s="77"/>
      <c r="HV594" s="77"/>
      <c r="HW594" s="77"/>
      <c r="HX594" s="77"/>
      <c r="HY594" s="77"/>
      <c r="HZ594" s="77"/>
      <c r="IA594" s="77"/>
      <c r="IB594" s="77"/>
      <c r="IC594" s="77"/>
      <c r="ID594" s="77"/>
      <c r="IE594" s="77"/>
      <c r="JY594" s="77"/>
      <c r="JZ594" s="77"/>
      <c r="KA594" s="77"/>
      <c r="KB594" s="77"/>
      <c r="KC594" s="77"/>
      <c r="KD594" s="77"/>
      <c r="KE594" s="77"/>
      <c r="KF594" s="77"/>
      <c r="KG594" s="77"/>
      <c r="KH594" s="77"/>
      <c r="KI594" s="77"/>
      <c r="KJ594" s="77"/>
      <c r="KK594" s="77"/>
      <c r="KL594" s="77"/>
      <c r="LW594" s="77"/>
      <c r="LX594" s="77"/>
      <c r="LY594" s="77"/>
      <c r="LZ594" s="77"/>
      <c r="MA594" s="77"/>
      <c r="MB594" s="77"/>
      <c r="MC594" s="77"/>
      <c r="MD594" s="77"/>
      <c r="ME594" s="77"/>
      <c r="MF594" s="77"/>
      <c r="MG594" s="77"/>
      <c r="MH594" s="77"/>
      <c r="MI594" s="77"/>
      <c r="MJ594" s="77"/>
      <c r="MK594" s="77"/>
      <c r="ML594" s="77"/>
      <c r="MM594" s="77"/>
      <c r="MN594" s="77"/>
      <c r="MO594" s="77"/>
      <c r="MP594" s="77"/>
      <c r="MQ594" s="77"/>
      <c r="MR594" s="77"/>
      <c r="MS594" s="77"/>
    </row>
    <row r="595" spans="1:421" s="21" customFormat="1" ht="18.600000000000001" customHeight="1" x14ac:dyDescent="0.25">
      <c r="A595" s="119" t="s">
        <v>607</v>
      </c>
      <c r="B595" s="27" t="s">
        <v>2960</v>
      </c>
      <c r="C595" s="27"/>
      <c r="D595" s="30" t="str">
        <f>HYPERLINK("https://twitter.com/PresidenciadeHN","https://twitter.com/PresidenciadeHN")</f>
        <v>https://twitter.com/PresidenciadeHN</v>
      </c>
      <c r="E595" s="30" t="str">
        <f>HYPERLINK("http://twiplomacy.com/info/north-america/Honduras","http://twiplomacy.com/info/north-america/Honduras")</f>
        <v>http://twiplomacy.com/info/north-america/Honduras</v>
      </c>
      <c r="F595" s="14" t="s">
        <v>558</v>
      </c>
      <c r="G595" s="10" t="s">
        <v>603</v>
      </c>
      <c r="H595" s="14" t="s">
        <v>781</v>
      </c>
      <c r="I595" s="14" t="s">
        <v>782</v>
      </c>
      <c r="J595" s="27" t="s">
        <v>2226</v>
      </c>
      <c r="K595" s="98" t="s">
        <v>2961</v>
      </c>
      <c r="L595" s="14" t="s">
        <v>771</v>
      </c>
      <c r="M595" s="14" t="s">
        <v>771</v>
      </c>
      <c r="N595" s="100" t="str">
        <f>HYPERLINK("https://twitter.com/PresidenciadeHN/statuses/19863821122","https://twitter.com/PresidenciadeHN/statuses/19863821122")</f>
        <v>https://twitter.com/PresidenciadeHN/statuses/19863821122</v>
      </c>
      <c r="O595" s="27" t="s">
        <v>6040</v>
      </c>
      <c r="P595" s="80">
        <v>5</v>
      </c>
      <c r="Q595" s="80">
        <v>0</v>
      </c>
      <c r="R595" s="27" t="s">
        <v>2995</v>
      </c>
      <c r="S595" s="10" t="s">
        <v>2962</v>
      </c>
      <c r="T595" s="10" t="s">
        <v>771</v>
      </c>
      <c r="U595" s="10" t="s">
        <v>771</v>
      </c>
      <c r="V595" s="10" t="s">
        <v>771</v>
      </c>
      <c r="W595" s="10"/>
      <c r="X595" s="27" t="s">
        <v>607</v>
      </c>
      <c r="Y595" s="27" t="s">
        <v>2960</v>
      </c>
      <c r="Z595" s="80">
        <v>301</v>
      </c>
      <c r="AA595" s="27">
        <v>8</v>
      </c>
      <c r="AB595" s="80">
        <v>2914</v>
      </c>
      <c r="AC595" s="27">
        <v>0</v>
      </c>
      <c r="AD595" s="27" t="s">
        <v>4337</v>
      </c>
      <c r="AE595" s="27">
        <v>169572405</v>
      </c>
      <c r="AF595" s="27"/>
      <c r="AG595" s="27"/>
      <c r="AH595" s="79">
        <v>0.14258645191852201</v>
      </c>
      <c r="AI595" s="83">
        <v>0.93167701863354002</v>
      </c>
      <c r="AJ595" s="80">
        <v>0.456666666666667</v>
      </c>
      <c r="AK595" s="80">
        <v>1.6666666666666701E-2</v>
      </c>
      <c r="AL595" s="27">
        <v>1</v>
      </c>
      <c r="AM595" s="97">
        <f>SUM(AL595/Z595)</f>
        <v>3.3222591362126247E-3</v>
      </c>
      <c r="AN595" s="27" t="s">
        <v>607</v>
      </c>
      <c r="AO595" s="27">
        <v>0</v>
      </c>
      <c r="AP595" s="27">
        <v>6</v>
      </c>
      <c r="AQ595" s="27">
        <v>0</v>
      </c>
      <c r="AR595" s="27">
        <f>SUM(AO595:AQ595)</f>
        <v>6</v>
      </c>
      <c r="AS595" s="27"/>
      <c r="AT595" s="27" t="s">
        <v>5427</v>
      </c>
      <c r="AU595" s="84"/>
      <c r="AV595" s="77"/>
      <c r="AW595" s="77"/>
      <c r="AX595" s="77"/>
      <c r="AY595" s="77"/>
      <c r="AZ595" s="77"/>
      <c r="BA595" s="77"/>
      <c r="BB595" s="77"/>
      <c r="BC595" s="77"/>
      <c r="BD595" s="77"/>
      <c r="BE595" s="77"/>
      <c r="BF595" s="77"/>
      <c r="BG595" s="77"/>
      <c r="BH595" s="77"/>
      <c r="BI595" s="77"/>
      <c r="BJ595" s="77"/>
      <c r="BK595" s="77"/>
      <c r="BL595" s="77"/>
      <c r="BM595" s="77"/>
      <c r="BN595" s="77"/>
      <c r="BO595" s="77"/>
      <c r="BP595" s="77"/>
      <c r="BQ595" s="77"/>
      <c r="BR595" s="77"/>
      <c r="BS595" s="77"/>
      <c r="BT595" s="77"/>
      <c r="BU595" s="77"/>
      <c r="BV595" s="77"/>
      <c r="BW595" s="77"/>
      <c r="BX595" s="77"/>
      <c r="BY595" s="77"/>
      <c r="BZ595" s="77"/>
      <c r="CA595" s="77"/>
      <c r="CB595" s="77"/>
      <c r="CC595" s="77"/>
      <c r="CD595" s="77"/>
      <c r="CE595" s="77"/>
      <c r="CF595" s="77"/>
      <c r="CG595" s="77"/>
      <c r="CH595" s="77"/>
      <c r="CI595" s="77"/>
      <c r="CJ595" s="77"/>
      <c r="CK595" s="77"/>
      <c r="CL595" s="77"/>
      <c r="CM595" s="77"/>
      <c r="CN595" s="77"/>
      <c r="CO595" s="77"/>
      <c r="CP595" s="77"/>
      <c r="CQ595" s="77"/>
      <c r="CR595" s="77"/>
      <c r="CS595" s="77"/>
      <c r="CT595" s="77"/>
      <c r="CU595" s="77"/>
      <c r="CV595" s="77"/>
      <c r="CW595" s="77"/>
      <c r="CX595" s="77"/>
      <c r="CY595" s="77"/>
      <c r="CZ595" s="77"/>
      <c r="DA595" s="77"/>
      <c r="DB595" s="77"/>
      <c r="DC595" s="77"/>
      <c r="DD595" s="77"/>
      <c r="DE595" s="77"/>
      <c r="DF595" s="77"/>
      <c r="DG595" s="77"/>
      <c r="DH595" s="77"/>
      <c r="DI595" s="77"/>
      <c r="DJ595" s="77"/>
      <c r="DK595" s="77"/>
      <c r="DL595" s="77"/>
      <c r="DM595" s="77"/>
      <c r="DN595" s="77"/>
      <c r="DO595" s="77"/>
      <c r="DP595" s="77"/>
      <c r="DQ595" s="77"/>
      <c r="DR595" s="77"/>
      <c r="DS595" s="77"/>
      <c r="DT595" s="77"/>
      <c r="DU595" s="77"/>
      <c r="DV595" s="77"/>
      <c r="DW595" s="77"/>
      <c r="DX595" s="77"/>
      <c r="DY595" s="77"/>
      <c r="DZ595" s="77"/>
      <c r="EA595" s="77"/>
      <c r="EB595" s="77"/>
      <c r="EC595" s="77"/>
      <c r="ED595" s="77"/>
      <c r="EE595" s="77"/>
      <c r="EF595" s="77"/>
      <c r="EG595" s="77"/>
      <c r="EH595" s="77"/>
      <c r="EI595" s="77"/>
      <c r="EJ595" s="77"/>
      <c r="EK595" s="77"/>
      <c r="EL595" s="77"/>
      <c r="EM595" s="77"/>
      <c r="EN595" s="77"/>
      <c r="EO595" s="77"/>
      <c r="EP595" s="77"/>
      <c r="EQ595" s="77"/>
      <c r="ER595" s="77"/>
      <c r="ES595" s="77"/>
      <c r="ET595" s="77"/>
      <c r="EU595" s="77"/>
      <c r="EV595" s="77"/>
      <c r="EW595" s="77"/>
      <c r="EX595" s="77"/>
      <c r="EY595" s="77"/>
      <c r="EZ595" s="77"/>
      <c r="FA595" s="77"/>
      <c r="FB595" s="77"/>
      <c r="FC595" s="77"/>
      <c r="FD595" s="77"/>
      <c r="FE595" s="77"/>
      <c r="FF595" s="77"/>
      <c r="FG595" s="77"/>
      <c r="FH595" s="77"/>
      <c r="FI595" s="77"/>
      <c r="FJ595" s="77"/>
      <c r="FK595" s="77"/>
      <c r="FL595" s="77"/>
      <c r="FM595" s="77"/>
      <c r="FN595" s="77"/>
      <c r="FO595" s="77"/>
      <c r="FP595" s="77"/>
      <c r="FQ595" s="77"/>
      <c r="FR595" s="77"/>
      <c r="FS595" s="77"/>
      <c r="FT595" s="77"/>
      <c r="FU595" s="77"/>
      <c r="FV595" s="77"/>
      <c r="FW595" s="77"/>
      <c r="FX595" s="77"/>
      <c r="FY595" s="77"/>
      <c r="FZ595" s="77"/>
      <c r="GA595" s="77"/>
      <c r="GB595" s="77"/>
      <c r="GC595" s="77"/>
      <c r="GD595" s="77"/>
      <c r="GE595" s="77"/>
      <c r="GF595" s="77"/>
      <c r="GG595" s="77"/>
      <c r="GH595" s="77"/>
      <c r="GI595" s="77"/>
      <c r="GJ595" s="77"/>
      <c r="GK595" s="77"/>
      <c r="GL595" s="77"/>
      <c r="GM595" s="77"/>
      <c r="GN595" s="77"/>
      <c r="GO595" s="77"/>
      <c r="GP595" s="77"/>
      <c r="GQ595" s="77"/>
      <c r="GR595" s="77"/>
      <c r="GS595" s="77"/>
      <c r="GT595" s="77"/>
      <c r="GU595" s="77"/>
      <c r="GV595" s="77"/>
      <c r="GW595" s="77"/>
      <c r="GX595" s="77"/>
      <c r="GY595" s="77"/>
      <c r="GZ595" s="77"/>
      <c r="HA595" s="77"/>
      <c r="HB595" s="77"/>
      <c r="HC595" s="77"/>
      <c r="HD595" s="77"/>
      <c r="HE595" s="77"/>
      <c r="HF595" s="77"/>
      <c r="HG595" s="77"/>
      <c r="HH595" s="77"/>
      <c r="HI595" s="77"/>
      <c r="HJ595" s="77"/>
      <c r="HK595" s="77"/>
      <c r="HL595" s="77"/>
      <c r="HM595" s="77"/>
      <c r="HN595" s="77"/>
      <c r="HO595" s="77"/>
      <c r="HP595" s="77"/>
      <c r="HQ595" s="77"/>
      <c r="HR595" s="77"/>
      <c r="HS595" s="77"/>
      <c r="HT595" s="77"/>
      <c r="HU595" s="77"/>
      <c r="HV595" s="77"/>
      <c r="HW595" s="77"/>
      <c r="HX595" s="77"/>
      <c r="HY595" s="77"/>
      <c r="HZ595" s="77"/>
      <c r="IA595" s="77"/>
      <c r="IB595" s="77"/>
      <c r="IC595" s="77"/>
      <c r="ID595" s="77"/>
      <c r="IE595" s="77"/>
      <c r="JY595" s="77"/>
      <c r="JZ595" s="77"/>
      <c r="KA595" s="77"/>
      <c r="KB595" s="77"/>
      <c r="KC595" s="77"/>
      <c r="KD595" s="77"/>
      <c r="KE595" s="77"/>
      <c r="KF595" s="77"/>
      <c r="KG595" s="77"/>
      <c r="KH595" s="77"/>
      <c r="KI595" s="77"/>
      <c r="KJ595" s="77"/>
      <c r="KK595" s="77"/>
      <c r="KL595" s="77"/>
      <c r="LL595" s="77"/>
      <c r="LM595" s="77"/>
      <c r="LN595" s="77"/>
      <c r="LO595" s="77"/>
      <c r="LP595" s="77"/>
      <c r="LQ595" s="77"/>
      <c r="LR595" s="77"/>
      <c r="LS595" s="77"/>
      <c r="LT595" s="77"/>
      <c r="LU595" s="77"/>
      <c r="LV595" s="77"/>
      <c r="LW595" s="77"/>
      <c r="LX595" s="77"/>
      <c r="LY595" s="77"/>
      <c r="LZ595" s="77"/>
      <c r="MA595" s="77"/>
      <c r="MB595" s="77"/>
      <c r="MC595" s="77"/>
      <c r="MD595" s="77"/>
      <c r="ME595" s="77"/>
      <c r="MF595" s="77"/>
      <c r="MG595" s="77"/>
      <c r="MH595" s="77"/>
      <c r="MI595" s="77"/>
      <c r="MJ595" s="77"/>
      <c r="MK595" s="77"/>
      <c r="ML595" s="77"/>
      <c r="MM595" s="77"/>
      <c r="MN595" s="77"/>
      <c r="MO595" s="77"/>
      <c r="MP595" s="77"/>
      <c r="MQ595" s="77"/>
      <c r="MR595" s="77"/>
      <c r="MS595" s="77"/>
      <c r="NE595" s="77"/>
      <c r="NF595" s="77"/>
      <c r="NG595" s="77"/>
      <c r="NH595" s="77"/>
      <c r="NI595" s="77"/>
      <c r="NJ595" s="77"/>
      <c r="NK595" s="77"/>
      <c r="NL595" s="77"/>
      <c r="NM595" s="77"/>
      <c r="NN595" s="77"/>
      <c r="NO595" s="77"/>
      <c r="NP595" s="77"/>
      <c r="NQ595" s="77"/>
      <c r="NR595" s="77"/>
      <c r="NS595" s="77"/>
      <c r="NT595" s="77"/>
      <c r="NU595" s="77"/>
      <c r="NV595" s="77"/>
      <c r="NW595" s="77"/>
      <c r="NX595" s="77"/>
      <c r="NY595" s="77"/>
      <c r="NZ595" s="77"/>
      <c r="OA595" s="77"/>
      <c r="OB595" s="77"/>
      <c r="OC595" s="77"/>
      <c r="OD595" s="77"/>
      <c r="OE595" s="77"/>
      <c r="OF595" s="77"/>
      <c r="OG595" s="77"/>
      <c r="OH595" s="77"/>
      <c r="OI595" s="77"/>
      <c r="OJ595" s="77"/>
      <c r="OK595" s="77"/>
      <c r="OL595" s="77"/>
      <c r="OM595" s="77"/>
      <c r="ON595" s="77"/>
      <c r="OO595" s="77"/>
      <c r="OP595" s="77"/>
      <c r="OQ595" s="77"/>
      <c r="OR595" s="77"/>
      <c r="OS595" s="77"/>
      <c r="OT595" s="77"/>
      <c r="OU595" s="77"/>
      <c r="OV595" s="77"/>
      <c r="OW595" s="77"/>
      <c r="OX595" s="77"/>
      <c r="OY595" s="77"/>
      <c r="OZ595" s="77"/>
      <c r="PA595" s="77"/>
      <c r="PB595" s="77"/>
      <c r="PC595" s="77"/>
      <c r="PD595" s="77"/>
      <c r="PE595" s="77"/>
    </row>
    <row r="596" spans="1:421" s="21" customFormat="1" ht="18.600000000000001" customHeight="1" x14ac:dyDescent="0.25">
      <c r="A596" s="119" t="s">
        <v>116</v>
      </c>
      <c r="B596" s="27" t="s">
        <v>1086</v>
      </c>
      <c r="C596" s="27" t="s">
        <v>1087</v>
      </c>
      <c r="D596" s="30" t="str">
        <f>HYPERLINK("https://twitter.com/MinisterMOFA","https://twitter.com/MinisterMOFA")</f>
        <v>https://twitter.com/MinisterMOFA</v>
      </c>
      <c r="E596" s="30" t="str">
        <f>HYPERLINK("http://twiplomacy.com/info/africa/Somalia","http://twiplomacy.com/info/africa/Somalia")</f>
        <v>http://twiplomacy.com/info/africa/Somalia</v>
      </c>
      <c r="F596" s="10" t="s">
        <v>1</v>
      </c>
      <c r="G596" s="10" t="s">
        <v>113</v>
      </c>
      <c r="H596" s="10" t="s">
        <v>860</v>
      </c>
      <c r="I596" s="10" t="s">
        <v>748</v>
      </c>
      <c r="J596" s="27" t="s">
        <v>814</v>
      </c>
      <c r="K596" s="10" t="s">
        <v>777</v>
      </c>
      <c r="L596" s="10" t="s">
        <v>1020</v>
      </c>
      <c r="M596" s="10" t="s">
        <v>770</v>
      </c>
      <c r="N596" s="30" t="str">
        <f>HYPERLINK("https://twitter.com/MinisterMOFA/status/564780729138413569","https://twitter.com/MinisterMOFA/status/564780729138413569")</f>
        <v>https://twitter.com/MinisterMOFA/status/564780729138413569</v>
      </c>
      <c r="O596" s="27" t="s">
        <v>5963</v>
      </c>
      <c r="P596" s="80">
        <v>43</v>
      </c>
      <c r="Q596" s="80">
        <v>23</v>
      </c>
      <c r="R596" s="27" t="s">
        <v>2994</v>
      </c>
      <c r="S596" s="30" t="str">
        <f>HYPERLINK("https://twitter.com/MinisterMOFA/lists","https://twitter.com/MinisterMOFA/lists")</f>
        <v>https://twitter.com/MinisterMOFA/lists</v>
      </c>
      <c r="T596" s="10" t="s">
        <v>771</v>
      </c>
      <c r="U596" s="10" t="s">
        <v>771</v>
      </c>
      <c r="V596" s="10" t="s">
        <v>771</v>
      </c>
      <c r="W596" s="10"/>
      <c r="X596" s="27" t="s">
        <v>116</v>
      </c>
      <c r="Y596" s="27" t="s">
        <v>1086</v>
      </c>
      <c r="Z596" s="80">
        <v>293</v>
      </c>
      <c r="AA596" s="27">
        <v>174</v>
      </c>
      <c r="AB596" s="80">
        <v>5730</v>
      </c>
      <c r="AC596" s="27">
        <v>21</v>
      </c>
      <c r="AD596" s="27" t="s">
        <v>4125</v>
      </c>
      <c r="AE596" s="27">
        <v>3026492272</v>
      </c>
      <c r="AF596" s="27" t="s">
        <v>1087</v>
      </c>
      <c r="AG596" s="27" t="s">
        <v>1080</v>
      </c>
      <c r="AH596" s="79">
        <v>0.65401785714285698</v>
      </c>
      <c r="AI596" s="83">
        <v>0.65401785714285698</v>
      </c>
      <c r="AJ596" s="80">
        <v>8.9110169491525397</v>
      </c>
      <c r="AK596" s="80">
        <v>6.1567796610169498</v>
      </c>
      <c r="AL596" s="27">
        <v>16</v>
      </c>
      <c r="AM596" s="97">
        <f>SUM(AL596/Z596)</f>
        <v>5.4607508532423209E-2</v>
      </c>
      <c r="AN596" s="27" t="s">
        <v>116</v>
      </c>
      <c r="AO596" s="27">
        <v>38</v>
      </c>
      <c r="AP596" s="27">
        <v>13</v>
      </c>
      <c r="AQ596" s="27">
        <v>6</v>
      </c>
      <c r="AR596" s="27">
        <f>SUM(AO596:AQ596)</f>
        <v>57</v>
      </c>
      <c r="AS596" s="27" t="s">
        <v>6237</v>
      </c>
      <c r="AT596" s="27" t="s">
        <v>6794</v>
      </c>
      <c r="AU596" s="84" t="s">
        <v>6513</v>
      </c>
      <c r="AV596" s="71"/>
      <c r="AW596" s="71"/>
      <c r="AX596" s="71"/>
      <c r="AY596" s="71"/>
      <c r="AZ596" s="71"/>
      <c r="BA596" s="71"/>
      <c r="BB596" s="71"/>
      <c r="BC596" s="71"/>
      <c r="BD596" s="71"/>
      <c r="BE596" s="71"/>
      <c r="BF596" s="71"/>
      <c r="BG596" s="71"/>
      <c r="BH596" s="71"/>
      <c r="BI596" s="71"/>
      <c r="BJ596" s="71"/>
      <c r="BK596" s="71"/>
      <c r="BL596" s="71"/>
      <c r="BM596" s="71"/>
      <c r="BQ596" s="77"/>
      <c r="BR596" s="77"/>
      <c r="BS596" s="77"/>
      <c r="BT596" s="77"/>
      <c r="BU596" s="77"/>
      <c r="BV596" s="77"/>
      <c r="BW596" s="77"/>
      <c r="BX596" s="77"/>
      <c r="BY596" s="77"/>
      <c r="BZ596" s="77"/>
      <c r="CA596" s="77"/>
      <c r="CB596" s="77"/>
      <c r="CC596" s="77"/>
      <c r="CD596" s="77"/>
      <c r="CE596" s="77"/>
      <c r="CF596" s="77"/>
      <c r="CG596" s="77"/>
      <c r="CH596" s="77"/>
      <c r="CI596" s="77"/>
      <c r="CJ596" s="77"/>
      <c r="CK596" s="77"/>
      <c r="CL596" s="77"/>
      <c r="CM596" s="77"/>
      <c r="CN596" s="77"/>
      <c r="CO596" s="77"/>
      <c r="CP596" s="77"/>
      <c r="CQ596" s="77"/>
      <c r="CR596" s="77"/>
      <c r="CS596" s="77"/>
      <c r="CT596" s="77"/>
      <c r="CU596" s="77"/>
      <c r="CV596" s="77"/>
      <c r="CW596" s="77"/>
      <c r="CX596" s="77"/>
      <c r="CY596" s="77"/>
      <c r="CZ596" s="77"/>
      <c r="DA596" s="77"/>
      <c r="DB596" s="77"/>
      <c r="DC596" s="77"/>
      <c r="DD596" s="77"/>
      <c r="DE596" s="77"/>
      <c r="DF596" s="77"/>
      <c r="DG596" s="77"/>
      <c r="DH596" s="77"/>
      <c r="DI596" s="77"/>
      <c r="DJ596" s="77"/>
      <c r="DK596" s="77"/>
      <c r="DL596" s="77"/>
      <c r="DM596" s="77"/>
      <c r="DN596" s="77"/>
      <c r="DO596" s="77"/>
      <c r="DP596" s="77"/>
      <c r="DQ596" s="77"/>
      <c r="DR596" s="77"/>
      <c r="DS596" s="77"/>
      <c r="DT596" s="77"/>
      <c r="DU596" s="77"/>
      <c r="DV596" s="77"/>
      <c r="DW596" s="77"/>
      <c r="DX596" s="77"/>
      <c r="DY596" s="77"/>
      <c r="DZ596" s="77"/>
      <c r="EA596" s="77"/>
      <c r="EB596" s="77"/>
      <c r="EC596" s="77"/>
      <c r="ED596" s="77"/>
      <c r="EE596" s="77"/>
      <c r="EF596" s="77"/>
      <c r="EG596" s="77"/>
      <c r="EH596" s="77"/>
      <c r="EI596" s="77"/>
      <c r="EJ596" s="77"/>
      <c r="EK596" s="77"/>
      <c r="EL596" s="77"/>
      <c r="EM596" s="16"/>
      <c r="EN596" s="16"/>
      <c r="EO596" s="16"/>
      <c r="EP596" s="77"/>
      <c r="EQ596" s="77"/>
      <c r="ER596" s="77"/>
      <c r="ES596" s="77"/>
      <c r="ET596" s="77"/>
      <c r="EU596" s="77"/>
      <c r="EV596" s="77"/>
      <c r="EW596" s="77"/>
      <c r="EX596" s="77"/>
      <c r="EY596" s="77"/>
      <c r="EZ596" s="77"/>
      <c r="FA596" s="77"/>
      <c r="FB596" s="77"/>
      <c r="FC596" s="77"/>
      <c r="FD596" s="77"/>
      <c r="FE596" s="77"/>
      <c r="FF596" s="77"/>
      <c r="FG596" s="77"/>
      <c r="FH596" s="77"/>
      <c r="FI596" s="77"/>
      <c r="FJ596" s="77"/>
      <c r="FK596" s="77"/>
      <c r="FL596" s="77"/>
      <c r="FM596" s="77"/>
      <c r="FN596" s="77"/>
      <c r="FO596" s="77"/>
      <c r="FP596" s="77"/>
      <c r="FQ596" s="77"/>
      <c r="FR596" s="77"/>
      <c r="FS596" s="77"/>
      <c r="FT596" s="77"/>
      <c r="FU596" s="77"/>
      <c r="FV596" s="77"/>
      <c r="FW596" s="77"/>
      <c r="FX596" s="77"/>
      <c r="FY596" s="77"/>
      <c r="FZ596" s="77"/>
      <c r="GA596" s="77"/>
      <c r="GB596" s="77"/>
      <c r="GC596" s="77"/>
      <c r="GD596" s="77"/>
      <c r="GE596" s="77"/>
      <c r="GF596" s="77"/>
      <c r="GG596" s="77"/>
      <c r="GH596" s="77"/>
      <c r="GI596" s="77"/>
      <c r="GJ596" s="77"/>
      <c r="GK596" s="77"/>
      <c r="GL596" s="77"/>
      <c r="GM596" s="77"/>
      <c r="GN596" s="77"/>
      <c r="GO596" s="77"/>
      <c r="GP596" s="77"/>
      <c r="GQ596" s="77"/>
      <c r="GR596" s="77"/>
      <c r="GS596" s="77"/>
      <c r="GT596" s="77"/>
      <c r="GU596" s="77"/>
      <c r="GV596" s="77"/>
      <c r="GW596" s="77"/>
      <c r="GX596" s="77"/>
      <c r="GY596" s="77"/>
      <c r="GZ596" s="77"/>
      <c r="HA596" s="77"/>
      <c r="HB596" s="77"/>
      <c r="HC596" s="77"/>
      <c r="HD596" s="77"/>
      <c r="HE596" s="77"/>
      <c r="HF596" s="77"/>
      <c r="HG596" s="77"/>
      <c r="HH596" s="77"/>
      <c r="HI596" s="77"/>
      <c r="HJ596" s="77"/>
      <c r="HK596" s="77"/>
      <c r="HL596" s="77"/>
      <c r="HM596" s="77"/>
      <c r="HN596" s="77"/>
      <c r="HO596" s="77"/>
      <c r="HP596" s="77"/>
      <c r="HQ596" s="77"/>
      <c r="HR596" s="77"/>
      <c r="HS596" s="77"/>
      <c r="HT596" s="77"/>
      <c r="HU596" s="77"/>
      <c r="HV596" s="77"/>
      <c r="HW596" s="77"/>
      <c r="HX596" s="77"/>
      <c r="HY596" s="77"/>
      <c r="HZ596" s="77"/>
      <c r="IA596" s="77"/>
      <c r="IB596" s="77"/>
      <c r="IC596" s="77"/>
      <c r="ID596" s="77"/>
      <c r="IE596" s="77"/>
      <c r="IF596" s="77"/>
      <c r="IG596" s="77"/>
      <c r="IH596" s="77"/>
      <c r="II596" s="77"/>
      <c r="IJ596" s="77"/>
      <c r="IK596" s="77"/>
      <c r="IL596" s="77"/>
      <c r="IM596" s="77"/>
      <c r="IN596" s="77"/>
      <c r="IO596" s="77"/>
      <c r="IP596" s="77"/>
      <c r="IQ596" s="77"/>
      <c r="IR596" s="77"/>
      <c r="IS596" s="77"/>
      <c r="IT596" s="77"/>
      <c r="IU596" s="77"/>
      <c r="IV596" s="77"/>
      <c r="IW596" s="77"/>
      <c r="IX596" s="77"/>
      <c r="IY596" s="77"/>
      <c r="IZ596" s="77"/>
      <c r="JA596" s="77"/>
      <c r="JB596" s="77"/>
      <c r="JC596" s="77"/>
      <c r="JD596" s="77"/>
      <c r="JE596" s="77"/>
      <c r="JF596" s="77"/>
      <c r="JG596" s="77"/>
      <c r="JH596" s="77"/>
      <c r="JI596" s="77"/>
      <c r="JJ596" s="77"/>
      <c r="JK596" s="77"/>
      <c r="JL596" s="77"/>
      <c r="JM596" s="77"/>
      <c r="JN596" s="77"/>
      <c r="JO596" s="77"/>
      <c r="JP596" s="77"/>
      <c r="JQ596" s="77"/>
      <c r="JR596" s="77"/>
      <c r="JS596" s="77"/>
      <c r="JT596" s="77"/>
      <c r="JU596" s="77"/>
      <c r="JV596" s="77"/>
      <c r="JW596" s="77"/>
      <c r="JX596" s="77"/>
      <c r="JY596" s="77"/>
      <c r="JZ596" s="77"/>
      <c r="KA596" s="77"/>
      <c r="KB596" s="77"/>
      <c r="KC596" s="77"/>
      <c r="KD596" s="77"/>
      <c r="KE596" s="77"/>
      <c r="KF596" s="77"/>
      <c r="KG596" s="77"/>
      <c r="KH596" s="77"/>
      <c r="KI596" s="77"/>
      <c r="KJ596" s="77"/>
      <c r="KK596" s="77"/>
      <c r="KL596" s="77"/>
      <c r="LL596" s="77"/>
      <c r="LM596" s="77"/>
      <c r="LN596" s="77"/>
      <c r="LO596" s="77"/>
      <c r="LP596" s="77"/>
      <c r="LQ596" s="77"/>
      <c r="LR596" s="77"/>
      <c r="LS596" s="77"/>
      <c r="LT596" s="77"/>
      <c r="LU596" s="77"/>
      <c r="LV596" s="77"/>
      <c r="LW596" s="77"/>
      <c r="LX596" s="77"/>
    </row>
    <row r="597" spans="1:421" s="21" customFormat="1" ht="18.600000000000001" customHeight="1" x14ac:dyDescent="0.25">
      <c r="A597" s="119" t="s">
        <v>92</v>
      </c>
      <c r="B597" s="27" t="s">
        <v>1018</v>
      </c>
      <c r="C597" s="27" t="s">
        <v>1019</v>
      </c>
      <c r="D597" s="30" t="str">
        <f>HYPERLINK("https://twitter.com/hagegeingob","https://twitter.com/hagegeingob")</f>
        <v>https://twitter.com/hagegeingob</v>
      </c>
      <c r="E597" s="30" t="str">
        <f>HYPERLINK("http://twiplomacy.com/info/africa/Ivory-Coast","http://twiplomacy.com/info/africa/Namibia")</f>
        <v>http://twiplomacy.com/info/africa/Namibia</v>
      </c>
      <c r="F597" s="10" t="s">
        <v>1</v>
      </c>
      <c r="G597" s="10" t="s">
        <v>91</v>
      </c>
      <c r="H597" s="10" t="s">
        <v>772</v>
      </c>
      <c r="I597" s="10" t="s">
        <v>773</v>
      </c>
      <c r="J597" s="27" t="s">
        <v>789</v>
      </c>
      <c r="K597" s="15" t="s">
        <v>777</v>
      </c>
      <c r="L597" s="10" t="s">
        <v>1020</v>
      </c>
      <c r="M597" s="10" t="s">
        <v>770</v>
      </c>
      <c r="N597" s="30" t="str">
        <f>HYPERLINK("https://twitter.com/hagegeingob/status/479699859633864704","https://twitter.com/hagegeingob/status/479699859633864704")</f>
        <v>https://twitter.com/hagegeingob/status/479699859633864704</v>
      </c>
      <c r="O597" s="27" t="s">
        <v>5855</v>
      </c>
      <c r="P597" s="80">
        <v>366</v>
      </c>
      <c r="Q597" s="80">
        <v>262</v>
      </c>
      <c r="R597" s="27" t="s">
        <v>2995</v>
      </c>
      <c r="S597" s="30" t="str">
        <f>HYPERLINK("https://twitter.com/hagegeingob/lists","https://twitter.com/hagegeingob/lists")</f>
        <v>https://twitter.com/hagegeingob/lists</v>
      </c>
      <c r="T597" s="10" t="s">
        <v>771</v>
      </c>
      <c r="U597" s="10" t="s">
        <v>771</v>
      </c>
      <c r="V597" s="10" t="s">
        <v>771</v>
      </c>
      <c r="W597" s="10"/>
      <c r="X597" s="27" t="s">
        <v>92</v>
      </c>
      <c r="Y597" s="27" t="s">
        <v>1018</v>
      </c>
      <c r="Z597" s="80">
        <v>286</v>
      </c>
      <c r="AA597" s="27">
        <v>22</v>
      </c>
      <c r="AB597" s="80">
        <v>35628</v>
      </c>
      <c r="AC597" s="27">
        <v>35</v>
      </c>
      <c r="AD597" s="27" t="s">
        <v>3797</v>
      </c>
      <c r="AE597" s="27">
        <v>2515899612</v>
      </c>
      <c r="AF597" s="27" t="s">
        <v>1019</v>
      </c>
      <c r="AG597" s="27" t="s">
        <v>91</v>
      </c>
      <c r="AH597" s="79">
        <v>0.40225035161743999</v>
      </c>
      <c r="AI597" s="83">
        <v>0.41935483870967699</v>
      </c>
      <c r="AJ597" s="80">
        <v>20.386524822695002</v>
      </c>
      <c r="AK597" s="80">
        <v>18.496453900709199</v>
      </c>
      <c r="AL597" s="27">
        <v>48</v>
      </c>
      <c r="AM597" s="97">
        <f>SUM(AL597/Z597)</f>
        <v>0.16783216783216784</v>
      </c>
      <c r="AN597" s="27" t="s">
        <v>92</v>
      </c>
      <c r="AO597" s="27">
        <v>5</v>
      </c>
      <c r="AP597" s="27">
        <v>9</v>
      </c>
      <c r="AQ597" s="27">
        <v>2</v>
      </c>
      <c r="AR597" s="27">
        <f>SUM(AO597:AQ597)</f>
        <v>16</v>
      </c>
      <c r="AS597" s="27" t="s">
        <v>6216</v>
      </c>
      <c r="AT597" s="27" t="s">
        <v>5170</v>
      </c>
      <c r="AU597" s="84" t="s">
        <v>6158</v>
      </c>
      <c r="AV597" s="77"/>
      <c r="AW597" s="77"/>
      <c r="AX597" s="77"/>
      <c r="AY597" s="77"/>
      <c r="AZ597" s="77"/>
      <c r="BA597" s="77"/>
      <c r="BB597" s="77"/>
      <c r="BC597" s="77"/>
      <c r="BD597" s="77"/>
      <c r="BE597" s="77"/>
      <c r="BF597" s="77"/>
      <c r="BG597" s="77"/>
      <c r="BH597" s="77"/>
      <c r="BI597" s="77"/>
      <c r="BJ597" s="77"/>
      <c r="BK597" s="77"/>
      <c r="BL597" s="77"/>
      <c r="BM597" s="77"/>
      <c r="BN597" s="77"/>
      <c r="BO597" s="77"/>
      <c r="BP597" s="77"/>
      <c r="BQ597" s="77"/>
      <c r="BR597" s="77"/>
      <c r="BS597" s="77"/>
      <c r="BT597" s="77"/>
      <c r="BU597" s="77"/>
      <c r="BV597" s="77"/>
      <c r="BW597" s="77"/>
      <c r="BX597" s="77"/>
      <c r="BY597" s="77"/>
      <c r="BZ597" s="77"/>
      <c r="CA597" s="77"/>
      <c r="CB597" s="77"/>
      <c r="CC597" s="77"/>
      <c r="CD597" s="77"/>
      <c r="CE597" s="77"/>
      <c r="CF597" s="77"/>
      <c r="CG597" s="77"/>
      <c r="CH597" s="77"/>
      <c r="CI597" s="77"/>
      <c r="CJ597" s="77"/>
      <c r="CK597" s="77"/>
      <c r="CL597" s="77"/>
      <c r="CM597" s="77"/>
      <c r="CN597" s="77"/>
      <c r="CO597" s="77"/>
      <c r="CP597" s="77"/>
      <c r="CQ597" s="77"/>
      <c r="CR597" s="77"/>
      <c r="CS597" s="77"/>
      <c r="CT597" s="77"/>
      <c r="CU597" s="77"/>
      <c r="CV597" s="77"/>
      <c r="CW597" s="77"/>
      <c r="EM597" s="77"/>
      <c r="EN597" s="77"/>
      <c r="EO597" s="77"/>
      <c r="EP597" s="77"/>
      <c r="ER597" s="77"/>
      <c r="ES597" s="77"/>
      <c r="ET597" s="77"/>
      <c r="EU597" s="77"/>
      <c r="EV597" s="77"/>
      <c r="EW597" s="77"/>
      <c r="EX597" s="77"/>
      <c r="EY597" s="77"/>
      <c r="EZ597" s="77"/>
      <c r="FA597" s="77"/>
      <c r="FB597" s="77"/>
      <c r="FC597" s="77"/>
      <c r="FD597" s="77"/>
      <c r="FE597" s="77"/>
      <c r="FF597" s="77"/>
      <c r="FG597" s="77"/>
      <c r="FH597" s="77"/>
      <c r="FI597" s="77"/>
      <c r="FJ597" s="77"/>
      <c r="FK597" s="77"/>
      <c r="FL597" s="77"/>
      <c r="FM597" s="77"/>
      <c r="FN597" s="77"/>
      <c r="FO597" s="77"/>
      <c r="FP597" s="77"/>
      <c r="FQ597" s="77"/>
      <c r="FR597" s="77"/>
      <c r="FS597" s="77"/>
      <c r="FT597" s="77"/>
      <c r="FU597" s="77"/>
      <c r="FV597" s="77"/>
      <c r="FW597" s="77"/>
      <c r="FX597" s="77"/>
      <c r="FY597" s="77"/>
      <c r="FZ597" s="77"/>
      <c r="GA597" s="77"/>
      <c r="GB597" s="77"/>
      <c r="GC597" s="77"/>
      <c r="GD597" s="77"/>
      <c r="GE597" s="77"/>
      <c r="GF597" s="77"/>
      <c r="GG597" s="77"/>
      <c r="GH597" s="77"/>
      <c r="GI597" s="77"/>
      <c r="GJ597" s="77"/>
      <c r="GK597" s="77"/>
      <c r="GL597" s="77"/>
      <c r="GM597" s="77"/>
      <c r="GN597" s="77"/>
      <c r="GO597" s="77"/>
      <c r="GP597" s="77"/>
      <c r="GQ597" s="77"/>
      <c r="GR597" s="77"/>
      <c r="GS597" s="77"/>
      <c r="GT597" s="77"/>
      <c r="GU597" s="77"/>
      <c r="GV597" s="77"/>
      <c r="GW597" s="77"/>
      <c r="GX597" s="77"/>
      <c r="GY597" s="77"/>
      <c r="GZ597" s="77"/>
      <c r="HA597" s="77"/>
      <c r="HB597" s="77"/>
      <c r="HC597" s="77"/>
      <c r="HD597" s="77"/>
      <c r="HE597" s="77"/>
      <c r="HF597" s="77"/>
      <c r="HG597" s="77"/>
      <c r="HH597" s="77"/>
      <c r="HI597" s="77"/>
      <c r="HJ597" s="77"/>
      <c r="HK597" s="77"/>
      <c r="ID597" s="77"/>
      <c r="IE597" s="77"/>
      <c r="IF597" s="16"/>
      <c r="IG597" s="16"/>
      <c r="IH597" s="16"/>
      <c r="II597" s="16"/>
      <c r="IJ597" s="16"/>
      <c r="IK597" s="16"/>
      <c r="IL597" s="16"/>
      <c r="IM597" s="16"/>
      <c r="IN597" s="16"/>
      <c r="IO597" s="16"/>
      <c r="IP597" s="16"/>
      <c r="IQ597" s="16"/>
      <c r="IR597" s="16"/>
      <c r="IS597" s="16"/>
      <c r="IT597" s="16"/>
      <c r="IU597" s="16"/>
      <c r="IV597" s="16"/>
      <c r="IW597" s="16"/>
      <c r="IX597" s="16"/>
      <c r="IY597" s="16"/>
      <c r="IZ597" s="16"/>
      <c r="JA597" s="16"/>
      <c r="JB597" s="16"/>
      <c r="JC597" s="16"/>
      <c r="JD597" s="16"/>
      <c r="JE597" s="16"/>
      <c r="JF597" s="16"/>
      <c r="JG597" s="16"/>
      <c r="JH597" s="16"/>
      <c r="JI597" s="16"/>
      <c r="JJ597" s="16"/>
      <c r="JK597" s="16"/>
      <c r="JL597" s="16"/>
      <c r="JM597" s="16"/>
      <c r="JN597" s="16"/>
      <c r="JO597" s="16"/>
      <c r="JP597" s="16"/>
      <c r="JQ597" s="16"/>
      <c r="JR597" s="16"/>
      <c r="JS597" s="16"/>
      <c r="JT597" s="16"/>
      <c r="JU597" s="16"/>
      <c r="JV597" s="16"/>
      <c r="JW597" s="16"/>
      <c r="JX597" s="16"/>
      <c r="KM597" s="77"/>
      <c r="KN597" s="77"/>
      <c r="KO597" s="77"/>
      <c r="KP597" s="77"/>
      <c r="KQ597" s="77"/>
      <c r="KR597" s="77"/>
      <c r="KS597" s="77"/>
      <c r="KT597" s="77"/>
      <c r="KU597" s="77"/>
      <c r="KV597" s="77"/>
      <c r="KW597" s="77"/>
      <c r="KX597" s="77"/>
      <c r="KY597" s="77"/>
      <c r="KZ597" s="77"/>
      <c r="LA597" s="77"/>
      <c r="LB597" s="77"/>
      <c r="LC597" s="77"/>
      <c r="LD597" s="77"/>
      <c r="LE597" s="77"/>
      <c r="LF597" s="77"/>
      <c r="LG597" s="77"/>
      <c r="LH597" s="77"/>
      <c r="LI597" s="77"/>
      <c r="LJ597" s="77"/>
      <c r="LK597" s="77"/>
      <c r="LL597" s="77"/>
      <c r="LM597" s="77"/>
      <c r="LN597" s="77"/>
      <c r="LO597" s="77"/>
      <c r="LP597" s="77"/>
      <c r="LQ597" s="77"/>
      <c r="LR597" s="77"/>
      <c r="LS597" s="77"/>
      <c r="LT597" s="77"/>
      <c r="LU597" s="77"/>
      <c r="LV597" s="77"/>
      <c r="LY597" s="77"/>
      <c r="LZ597" s="77"/>
      <c r="MA597" s="77"/>
      <c r="MB597" s="77"/>
      <c r="MC597" s="77"/>
      <c r="MD597" s="77"/>
      <c r="ME597" s="77"/>
      <c r="MF597" s="77"/>
      <c r="MG597" s="77"/>
      <c r="MH597" s="77"/>
      <c r="MI597" s="77"/>
      <c r="MJ597" s="77"/>
      <c r="MK597" s="77"/>
      <c r="ML597" s="77"/>
      <c r="MM597" s="77"/>
      <c r="MN597" s="77"/>
      <c r="MO597" s="77"/>
      <c r="MP597" s="77"/>
      <c r="MQ597" s="77"/>
      <c r="MR597" s="77"/>
      <c r="MS597" s="77"/>
    </row>
    <row r="598" spans="1:421" s="21" customFormat="1" ht="18.600000000000001" customHeight="1" x14ac:dyDescent="0.25">
      <c r="A598" s="119" t="s">
        <v>310</v>
      </c>
      <c r="B598" s="27" t="s">
        <v>4109</v>
      </c>
      <c r="C598" s="27" t="s">
        <v>4110</v>
      </c>
      <c r="D598" s="33" t="s">
        <v>3023</v>
      </c>
      <c r="E598" s="30" t="str">
        <f>HYPERLINK("http://twiplomacy.com/info/asia/Tajikistan","http://twiplomacy.com/info/asia/Tajikistan")</f>
        <v>http://twiplomacy.com/info/asia/Tajikistan</v>
      </c>
      <c r="F598" s="10" t="s">
        <v>154</v>
      </c>
      <c r="G598" s="10" t="s">
        <v>308</v>
      </c>
      <c r="H598" s="10" t="s">
        <v>795</v>
      </c>
      <c r="I598" s="10" t="s">
        <v>782</v>
      </c>
      <c r="J598" s="27" t="s">
        <v>1420</v>
      </c>
      <c r="K598" s="10" t="s">
        <v>777</v>
      </c>
      <c r="L598" s="10" t="s">
        <v>771</v>
      </c>
      <c r="M598" s="42" t="s">
        <v>770</v>
      </c>
      <c r="N598" s="34" t="s">
        <v>1643</v>
      </c>
      <c r="O598" s="27" t="s">
        <v>3205</v>
      </c>
      <c r="P598" s="80">
        <v>23</v>
      </c>
      <c r="Q598" s="80">
        <v>11</v>
      </c>
      <c r="R598" s="27" t="s">
        <v>2995</v>
      </c>
      <c r="S598" s="101" t="s">
        <v>1644</v>
      </c>
      <c r="T598" s="14" t="s">
        <v>771</v>
      </c>
      <c r="U598" s="14" t="s">
        <v>771</v>
      </c>
      <c r="V598" s="14" t="s">
        <v>771</v>
      </c>
      <c r="W598" s="42"/>
      <c r="X598" s="27" t="s">
        <v>310</v>
      </c>
      <c r="Y598" s="27" t="s">
        <v>4109</v>
      </c>
      <c r="Z598" s="80">
        <v>282</v>
      </c>
      <c r="AA598" s="27">
        <v>16</v>
      </c>
      <c r="AB598" s="80">
        <v>481</v>
      </c>
      <c r="AC598" s="27">
        <v>3</v>
      </c>
      <c r="AD598" s="27" t="s">
        <v>4111</v>
      </c>
      <c r="AE598" s="27">
        <v>2313106891</v>
      </c>
      <c r="AF598" s="27" t="s">
        <v>4110</v>
      </c>
      <c r="AG598" s="27" t="s">
        <v>6425</v>
      </c>
      <c r="AH598" s="79">
        <v>0.34140435835351102</v>
      </c>
      <c r="AI598" s="83">
        <v>1.2876712328767099</v>
      </c>
      <c r="AJ598" s="80">
        <v>0.36298932384341598</v>
      </c>
      <c r="AK598" s="80">
        <v>0.245551601423488</v>
      </c>
      <c r="AL598" s="13">
        <v>0</v>
      </c>
      <c r="AM598" s="97">
        <f>SUM(AL598/Z598)</f>
        <v>0</v>
      </c>
      <c r="AN598" s="27" t="s">
        <v>310</v>
      </c>
      <c r="AO598" s="27">
        <v>6</v>
      </c>
      <c r="AP598" s="27">
        <v>3</v>
      </c>
      <c r="AQ598" s="27">
        <v>5</v>
      </c>
      <c r="AR598" s="27">
        <f>SUM(AO598:AQ598)</f>
        <v>14</v>
      </c>
      <c r="AS598" s="27" t="s">
        <v>5322</v>
      </c>
      <c r="AT598" s="27" t="s">
        <v>5323</v>
      </c>
      <c r="AU598" s="84" t="s">
        <v>4855</v>
      </c>
      <c r="AV598" s="77"/>
      <c r="AW598" s="77"/>
      <c r="AX598" s="77"/>
      <c r="AY598" s="77"/>
      <c r="AZ598" s="77"/>
      <c r="BA598" s="77"/>
      <c r="BB598" s="77"/>
      <c r="BC598" s="77"/>
      <c r="BD598" s="77"/>
      <c r="BE598" s="77"/>
      <c r="BF598" s="77"/>
      <c r="BG598" s="77"/>
      <c r="BH598" s="77"/>
      <c r="BI598" s="77"/>
      <c r="BJ598" s="77"/>
      <c r="BK598" s="77"/>
      <c r="BL598" s="77"/>
      <c r="BM598" s="77"/>
      <c r="BN598" s="77"/>
      <c r="BO598" s="77"/>
      <c r="BP598" s="77"/>
      <c r="BQ598" s="77"/>
      <c r="BR598" s="77"/>
      <c r="BS598" s="77"/>
      <c r="BT598" s="77"/>
      <c r="BU598" s="77"/>
      <c r="BV598" s="77"/>
      <c r="BW598" s="77"/>
      <c r="BX598" s="77"/>
      <c r="BY598" s="77"/>
      <c r="BZ598" s="77"/>
      <c r="CA598" s="77"/>
      <c r="CB598" s="77"/>
      <c r="CC598" s="77"/>
      <c r="CD598" s="77"/>
      <c r="CE598" s="77"/>
      <c r="CF598" s="77"/>
      <c r="CG598" s="77"/>
      <c r="CH598" s="77"/>
      <c r="CI598" s="77"/>
      <c r="CJ598" s="77"/>
      <c r="CK598" s="77"/>
      <c r="CL598" s="77"/>
      <c r="CM598" s="77"/>
      <c r="CN598" s="77"/>
      <c r="CO598" s="77"/>
      <c r="CP598" s="77"/>
      <c r="CQ598" s="77"/>
      <c r="CR598" s="77"/>
      <c r="CS598" s="77"/>
      <c r="CT598" s="77"/>
      <c r="CU598" s="77"/>
      <c r="CV598" s="77"/>
      <c r="CW598" s="77"/>
      <c r="CX598" s="77"/>
      <c r="CY598" s="77"/>
      <c r="CZ598" s="77"/>
      <c r="DA598" s="77"/>
      <c r="DB598" s="77"/>
      <c r="DC598" s="77"/>
      <c r="DD598" s="77"/>
      <c r="DE598" s="77"/>
      <c r="DF598" s="77"/>
      <c r="DG598" s="77"/>
      <c r="DH598" s="77"/>
      <c r="DI598" s="77"/>
      <c r="DJ598" s="77"/>
      <c r="DK598" s="77"/>
      <c r="DL598" s="77"/>
      <c r="DM598" s="77"/>
      <c r="DN598" s="77"/>
      <c r="DO598" s="77"/>
      <c r="DP598" s="77"/>
      <c r="DQ598" s="77"/>
      <c r="DR598" s="77"/>
      <c r="DS598" s="77"/>
      <c r="DT598" s="77"/>
      <c r="DU598" s="77"/>
      <c r="DV598" s="77"/>
      <c r="DW598" s="77"/>
      <c r="DX598" s="77"/>
      <c r="DY598" s="77"/>
      <c r="DZ598" s="77"/>
      <c r="EA598" s="77"/>
      <c r="EB598" s="77"/>
      <c r="EC598" s="77"/>
      <c r="ED598" s="77"/>
      <c r="EE598" s="77"/>
      <c r="EF598" s="77"/>
      <c r="EG598" s="77"/>
      <c r="EH598" s="77"/>
      <c r="EI598" s="77"/>
      <c r="EJ598" s="77"/>
      <c r="EK598" s="77"/>
      <c r="EL598" s="77"/>
      <c r="EP598" s="77"/>
      <c r="EQ598" s="77"/>
      <c r="ER598" s="77"/>
      <c r="ES598" s="77"/>
      <c r="ET598" s="77"/>
      <c r="EU598" s="77"/>
      <c r="EV598" s="77"/>
      <c r="EW598" s="77"/>
      <c r="EX598" s="77"/>
      <c r="EY598" s="77"/>
      <c r="EZ598" s="77"/>
      <c r="FA598" s="77"/>
      <c r="FB598" s="77"/>
      <c r="FC598" s="77"/>
      <c r="FD598" s="77"/>
      <c r="FE598" s="77"/>
      <c r="FF598" s="77"/>
      <c r="FG598" s="77"/>
      <c r="FH598" s="77"/>
      <c r="FI598" s="77"/>
      <c r="FJ598" s="77"/>
      <c r="FK598" s="77"/>
      <c r="FL598" s="77"/>
      <c r="FM598" s="77"/>
      <c r="FN598" s="77"/>
      <c r="FO598" s="77"/>
      <c r="FP598" s="77"/>
      <c r="FQ598" s="77"/>
      <c r="FR598" s="77"/>
      <c r="FS598" s="77"/>
      <c r="FT598" s="77"/>
      <c r="FU598" s="77"/>
      <c r="FV598" s="77"/>
      <c r="FW598" s="77"/>
      <c r="FX598" s="77"/>
      <c r="FY598" s="77"/>
      <c r="FZ598" s="77"/>
      <c r="GA598" s="77"/>
      <c r="GB598" s="77"/>
      <c r="GC598" s="77"/>
      <c r="GD598" s="77"/>
      <c r="GE598" s="77"/>
      <c r="GF598" s="77"/>
      <c r="GG598" s="77"/>
      <c r="GH598" s="77"/>
      <c r="GI598" s="77"/>
      <c r="GJ598" s="77"/>
      <c r="GK598" s="77"/>
      <c r="GL598" s="77"/>
      <c r="GM598" s="77"/>
      <c r="GN598" s="77"/>
      <c r="GO598" s="77"/>
      <c r="GP598" s="77"/>
      <c r="GQ598" s="77"/>
      <c r="GR598" s="77"/>
      <c r="GS598" s="77"/>
      <c r="GT598" s="77"/>
      <c r="GU598" s="77"/>
      <c r="GV598" s="77"/>
      <c r="GW598" s="77"/>
      <c r="GX598" s="77"/>
      <c r="GY598" s="77"/>
      <c r="GZ598" s="77"/>
      <c r="HA598" s="77"/>
      <c r="HB598" s="77"/>
      <c r="HC598" s="77"/>
      <c r="HD598" s="77"/>
      <c r="HE598" s="77"/>
      <c r="HF598" s="77"/>
      <c r="HG598" s="77"/>
      <c r="HH598" s="77"/>
      <c r="HI598" s="77"/>
      <c r="HJ598" s="77"/>
      <c r="HK598" s="77"/>
      <c r="IF598" s="77"/>
      <c r="IG598" s="77"/>
      <c r="IH598" s="77"/>
      <c r="II598" s="77"/>
      <c r="IJ598" s="77"/>
      <c r="IK598" s="77"/>
      <c r="IL598" s="77"/>
      <c r="IM598" s="77"/>
      <c r="IN598" s="77"/>
      <c r="IO598" s="77"/>
      <c r="IP598" s="77"/>
      <c r="IQ598" s="77"/>
      <c r="IR598" s="77"/>
      <c r="IS598" s="77"/>
      <c r="IT598" s="77"/>
      <c r="IU598" s="77"/>
      <c r="IV598" s="77"/>
      <c r="IW598" s="77"/>
      <c r="IX598" s="77"/>
      <c r="IY598" s="77"/>
      <c r="IZ598" s="77"/>
      <c r="JA598" s="77"/>
      <c r="JB598" s="77"/>
      <c r="JC598" s="77"/>
      <c r="JD598" s="77"/>
      <c r="JE598" s="77"/>
      <c r="JF598" s="77"/>
      <c r="JG598" s="77"/>
      <c r="JH598" s="77"/>
      <c r="JI598" s="77"/>
      <c r="JJ598" s="77"/>
      <c r="JK598" s="77"/>
      <c r="JL598" s="77"/>
      <c r="JM598" s="77"/>
      <c r="JN598" s="77"/>
      <c r="JO598" s="77"/>
      <c r="JP598" s="77"/>
      <c r="JQ598" s="77"/>
      <c r="JR598" s="77"/>
      <c r="JS598" s="77"/>
      <c r="JT598" s="77"/>
      <c r="JU598" s="77"/>
      <c r="JV598" s="77"/>
      <c r="JW598" s="77"/>
      <c r="JX598" s="77"/>
      <c r="JY598" s="77"/>
      <c r="JZ598" s="77"/>
      <c r="KA598" s="77"/>
      <c r="KB598" s="77"/>
      <c r="KC598" s="77"/>
      <c r="KD598" s="77"/>
      <c r="KE598" s="77"/>
      <c r="KF598" s="77"/>
      <c r="KG598" s="77"/>
      <c r="KH598" s="77"/>
      <c r="KI598" s="77"/>
      <c r="KJ598" s="77"/>
      <c r="KK598" s="77"/>
      <c r="KL598" s="77"/>
      <c r="LY598" s="77"/>
      <c r="LZ598" s="77"/>
      <c r="MA598" s="77"/>
      <c r="MB598" s="77"/>
      <c r="MC598" s="77"/>
      <c r="MD598" s="77"/>
      <c r="ME598" s="77"/>
      <c r="MF598" s="77"/>
      <c r="MG598" s="77"/>
      <c r="MH598" s="77"/>
      <c r="MI598" s="77"/>
      <c r="MJ598" s="77"/>
      <c r="MK598" s="77"/>
      <c r="ML598" s="77"/>
      <c r="MM598" s="77"/>
      <c r="MN598" s="77"/>
      <c r="MO598" s="77"/>
      <c r="MP598" s="77"/>
      <c r="MQ598" s="77"/>
      <c r="MR598" s="77"/>
      <c r="MS598" s="77"/>
      <c r="ND598" s="77"/>
    </row>
    <row r="599" spans="1:421" s="21" customFormat="1" ht="18.600000000000001" customHeight="1" x14ac:dyDescent="0.25">
      <c r="A599" s="119" t="s">
        <v>100</v>
      </c>
      <c r="B599" s="27" t="s">
        <v>1043</v>
      </c>
      <c r="C599" s="27" t="s">
        <v>3455</v>
      </c>
      <c r="D599" s="30" t="str">
        <f>HYPERLINK("https://twitter.com/amurekezi","https://twitter.com/amurekezi")</f>
        <v>https://twitter.com/amurekezi</v>
      </c>
      <c r="E599" s="30" t="str">
        <f>HYPERLINK("http://twiplomacy.com/info/africa/Rwanda","http://twiplomacy.com/info/africa/Rwanda")</f>
        <v>http://twiplomacy.com/info/africa/Rwanda</v>
      </c>
      <c r="F599" s="10" t="s">
        <v>1</v>
      </c>
      <c r="G599" s="10" t="s">
        <v>97</v>
      </c>
      <c r="H599" s="10" t="s">
        <v>776</v>
      </c>
      <c r="I599" s="10" t="s">
        <v>773</v>
      </c>
      <c r="J599" s="27" t="s">
        <v>789</v>
      </c>
      <c r="K599" s="15" t="s">
        <v>777</v>
      </c>
      <c r="L599" s="10" t="s">
        <v>1020</v>
      </c>
      <c r="M599" s="10" t="s">
        <v>771</v>
      </c>
      <c r="N599" s="30" t="str">
        <f>HYPERLINK("https://twitter.com/amurekezi/status/105270760867758080","https://twitter.com/amurekezi/status/105270760867758080")</f>
        <v>https://twitter.com/amurekezi/status/105270760867758080</v>
      </c>
      <c r="O599" s="27" t="s">
        <v>5682</v>
      </c>
      <c r="P599" s="80">
        <v>136</v>
      </c>
      <c r="Q599" s="80">
        <v>46</v>
      </c>
      <c r="R599" s="27" t="s">
        <v>2995</v>
      </c>
      <c r="S599" s="30" t="str">
        <f>HYPERLINK("https://twitter.com/amurekezi/lists","https://twitter.com/amurekezi/lists")</f>
        <v>https://twitter.com/amurekezi/lists</v>
      </c>
      <c r="T599" s="10" t="s">
        <v>771</v>
      </c>
      <c r="U599" s="10" t="s">
        <v>771</v>
      </c>
      <c r="V599" s="10" t="s">
        <v>771</v>
      </c>
      <c r="W599" s="10"/>
      <c r="X599" s="27" t="s">
        <v>100</v>
      </c>
      <c r="Y599" s="27" t="s">
        <v>1043</v>
      </c>
      <c r="Z599" s="80">
        <v>281</v>
      </c>
      <c r="AA599" s="27">
        <v>55</v>
      </c>
      <c r="AB599" s="80">
        <v>11666</v>
      </c>
      <c r="AC599" s="27">
        <v>8</v>
      </c>
      <c r="AD599" s="27" t="s">
        <v>3456</v>
      </c>
      <c r="AE599" s="27">
        <v>319286650</v>
      </c>
      <c r="AF599" s="27" t="s">
        <v>3455</v>
      </c>
      <c r="AG599" s="27" t="s">
        <v>1042</v>
      </c>
      <c r="AH599" s="79">
        <v>0.157865168539326</v>
      </c>
      <c r="AI599" s="83">
        <v>0.16384839650145799</v>
      </c>
      <c r="AJ599" s="80">
        <v>7.6751824817518202</v>
      </c>
      <c r="AK599" s="80">
        <v>4.6131386861313901</v>
      </c>
      <c r="AL599" s="96">
        <v>170</v>
      </c>
      <c r="AM599" s="97">
        <f>SUM(AL599/Z599)</f>
        <v>0.604982206405694</v>
      </c>
      <c r="AN599" s="27" t="s">
        <v>100</v>
      </c>
      <c r="AO599" s="27">
        <v>6</v>
      </c>
      <c r="AP599" s="27">
        <v>3</v>
      </c>
      <c r="AQ599" s="27">
        <v>3</v>
      </c>
      <c r="AR599" s="27">
        <f>SUM(AO599:AQ599)</f>
        <v>12</v>
      </c>
      <c r="AS599" s="27" t="s">
        <v>5014</v>
      </c>
      <c r="AT599" s="27" t="s">
        <v>5015</v>
      </c>
      <c r="AU599" s="84" t="s">
        <v>4646</v>
      </c>
      <c r="AV599" s="77"/>
      <c r="AW599" s="77"/>
      <c r="AX599" s="77"/>
      <c r="AY599" s="77"/>
      <c r="AZ599" s="77"/>
      <c r="BA599" s="77"/>
      <c r="BB599" s="77"/>
      <c r="BC599" s="77"/>
      <c r="BD599" s="77"/>
      <c r="BE599" s="77"/>
      <c r="BF599" s="77"/>
      <c r="BG599" s="77"/>
      <c r="BH599" s="77"/>
      <c r="BI599" s="77"/>
      <c r="BJ599" s="77"/>
      <c r="BK599" s="77"/>
      <c r="BL599" s="77"/>
      <c r="BM599" s="77"/>
      <c r="BN599" s="77"/>
      <c r="BO599" s="77"/>
      <c r="BP599" s="77"/>
      <c r="BQ599" s="77"/>
      <c r="BR599" s="77"/>
      <c r="BS599" s="77"/>
      <c r="BT599" s="77"/>
      <c r="BU599" s="77"/>
      <c r="BV599" s="77"/>
      <c r="BW599" s="77"/>
      <c r="BX599" s="77"/>
      <c r="BY599" s="77"/>
      <c r="BZ599" s="77"/>
      <c r="CA599" s="77"/>
      <c r="CB599" s="77"/>
      <c r="CK599" s="77"/>
      <c r="CL599" s="77"/>
      <c r="CM599" s="77"/>
      <c r="CN599" s="77"/>
      <c r="CO599" s="77"/>
      <c r="CP599" s="77"/>
      <c r="CQ599" s="77"/>
      <c r="CR599" s="77"/>
      <c r="CS599" s="77"/>
      <c r="CT599" s="77"/>
      <c r="CU599" s="77"/>
      <c r="CV599" s="77"/>
      <c r="CW599" s="77"/>
      <c r="CX599" s="77"/>
      <c r="CY599" s="77"/>
      <c r="CZ599" s="77"/>
      <c r="DA599" s="77"/>
      <c r="DB599" s="77"/>
      <c r="DC599" s="77"/>
      <c r="DD599" s="77"/>
      <c r="DE599" s="77"/>
      <c r="DF599" s="77"/>
      <c r="DG599" s="77"/>
      <c r="DH599" s="77"/>
      <c r="DI599" s="77"/>
      <c r="DJ599" s="77"/>
      <c r="DK599" s="77"/>
      <c r="DL599" s="77"/>
      <c r="DM599" s="77"/>
      <c r="DN599" s="77"/>
      <c r="DO599" s="77"/>
      <c r="DP599" s="77"/>
      <c r="DQ599" s="77"/>
      <c r="DR599" s="77"/>
      <c r="DS599" s="77"/>
      <c r="DT599" s="77"/>
      <c r="DU599" s="77"/>
      <c r="DV599" s="77"/>
      <c r="DW599" s="77"/>
      <c r="DX599" s="77"/>
      <c r="DY599" s="77"/>
      <c r="DZ599" s="77"/>
      <c r="EA599" s="77"/>
      <c r="EB599" s="77"/>
      <c r="EC599" s="77"/>
      <c r="ED599" s="77"/>
      <c r="EE599" s="77"/>
      <c r="EF599" s="77"/>
      <c r="EG599" s="77"/>
      <c r="EH599" s="77"/>
      <c r="EI599" s="77"/>
      <c r="EJ599" s="77"/>
      <c r="EK599" s="77"/>
      <c r="EL599" s="77"/>
      <c r="EP599" s="77"/>
      <c r="EQ599" s="77"/>
      <c r="ER599" s="77"/>
      <c r="ES599" s="77"/>
      <c r="ET599" s="77"/>
      <c r="EU599" s="77"/>
      <c r="EV599" s="77"/>
      <c r="EW599" s="77"/>
      <c r="EX599" s="77"/>
      <c r="EY599" s="77"/>
      <c r="EZ599" s="77"/>
      <c r="FA599" s="77"/>
      <c r="FB599" s="77"/>
      <c r="FC599" s="77"/>
      <c r="FD599" s="77"/>
      <c r="FE599" s="77"/>
      <c r="FF599" s="77"/>
      <c r="FG599" s="77"/>
      <c r="FH599" s="77"/>
      <c r="FI599" s="77"/>
      <c r="FJ599" s="77"/>
      <c r="FK599" s="77"/>
      <c r="FL599" s="77"/>
      <c r="FM599" s="77"/>
      <c r="FN599" s="77"/>
      <c r="FO599" s="77"/>
      <c r="FP599" s="77"/>
      <c r="FQ599" s="77"/>
      <c r="FR599" s="77"/>
      <c r="FS599" s="77"/>
      <c r="FT599" s="77"/>
      <c r="FU599" s="77"/>
      <c r="FV599" s="77"/>
      <c r="FW599" s="77"/>
      <c r="FX599" s="77"/>
      <c r="FY599" s="77"/>
      <c r="FZ599" s="77"/>
      <c r="GA599" s="77"/>
      <c r="GB599" s="77"/>
      <c r="GC599" s="77"/>
      <c r="GD599" s="77"/>
      <c r="GE599" s="77"/>
      <c r="GF599" s="77"/>
      <c r="GG599" s="77"/>
      <c r="GH599" s="77"/>
      <c r="GI599" s="77"/>
      <c r="GJ599" s="77"/>
      <c r="GK599" s="77"/>
      <c r="GL599" s="77"/>
      <c r="GM599" s="77"/>
      <c r="GN599" s="77"/>
      <c r="GO599" s="77"/>
      <c r="GP599" s="77"/>
      <c r="GQ599" s="77"/>
      <c r="GR599" s="77"/>
      <c r="GS599" s="77"/>
      <c r="GT599" s="77"/>
      <c r="GU599" s="77"/>
      <c r="GV599" s="77"/>
      <c r="GW599" s="77"/>
      <c r="GX599" s="77"/>
      <c r="GY599" s="77"/>
      <c r="GZ599" s="77"/>
      <c r="HA599" s="77"/>
      <c r="HB599" s="77"/>
      <c r="HC599" s="77"/>
      <c r="HD599" s="77"/>
      <c r="HE599" s="77"/>
      <c r="HF599" s="77"/>
      <c r="HG599" s="77"/>
      <c r="HH599" s="77"/>
      <c r="HI599" s="77"/>
      <c r="HJ599" s="77"/>
      <c r="HK599" s="77"/>
      <c r="HL599" s="77"/>
      <c r="HM599" s="77"/>
      <c r="HN599" s="77"/>
      <c r="HO599" s="77"/>
      <c r="HP599" s="77"/>
      <c r="HQ599" s="77"/>
      <c r="HR599" s="77"/>
      <c r="HS599" s="77"/>
      <c r="HT599" s="77"/>
      <c r="HU599" s="77"/>
      <c r="HV599" s="77"/>
      <c r="HW599" s="77"/>
      <c r="HX599" s="77"/>
      <c r="HY599" s="77"/>
      <c r="HZ599" s="77"/>
      <c r="IA599" s="77"/>
      <c r="IB599" s="77"/>
      <c r="IC599" s="77"/>
      <c r="ID599" s="77"/>
      <c r="IE599" s="77"/>
      <c r="IF599" s="77"/>
      <c r="IG599" s="77"/>
      <c r="IH599" s="77"/>
      <c r="II599" s="77"/>
      <c r="IJ599" s="77"/>
      <c r="IK599" s="77"/>
      <c r="IL599" s="77"/>
      <c r="IM599" s="77"/>
      <c r="IN599" s="77"/>
      <c r="IO599" s="77"/>
      <c r="IP599" s="77"/>
      <c r="IQ599" s="77"/>
      <c r="IR599" s="77"/>
      <c r="IS599" s="77"/>
      <c r="IT599" s="77"/>
      <c r="IU599" s="77"/>
      <c r="IV599" s="77"/>
      <c r="IW599" s="77"/>
      <c r="IX599" s="77"/>
      <c r="IY599" s="77"/>
      <c r="IZ599" s="77"/>
      <c r="JA599" s="77"/>
      <c r="JB599" s="77"/>
      <c r="JC599" s="77"/>
      <c r="JD599" s="77"/>
      <c r="JE599" s="77"/>
      <c r="JF599" s="77"/>
      <c r="JG599" s="77"/>
      <c r="JH599" s="77"/>
      <c r="JI599" s="77"/>
      <c r="JJ599" s="77"/>
      <c r="JK599" s="77"/>
      <c r="JL599" s="77"/>
      <c r="JM599" s="77"/>
      <c r="JN599" s="77"/>
      <c r="JO599" s="77"/>
      <c r="JP599" s="77"/>
      <c r="JQ599" s="77"/>
      <c r="JR599" s="77"/>
      <c r="JS599" s="77"/>
      <c r="JT599" s="77"/>
      <c r="JU599" s="77"/>
      <c r="JV599" s="77"/>
      <c r="JW599" s="77"/>
      <c r="JX599" s="77"/>
      <c r="KM599" s="77"/>
      <c r="KN599" s="77"/>
      <c r="KO599" s="77"/>
      <c r="KP599" s="77"/>
      <c r="KQ599" s="77"/>
      <c r="KR599" s="77"/>
      <c r="KS599" s="77"/>
      <c r="KT599" s="77"/>
      <c r="KU599" s="77"/>
      <c r="KV599" s="77"/>
      <c r="KW599" s="77"/>
      <c r="KX599" s="77"/>
      <c r="KY599" s="77"/>
      <c r="KZ599" s="77"/>
      <c r="LA599" s="77"/>
      <c r="LB599" s="77"/>
      <c r="LC599" s="77"/>
      <c r="LD599" s="77"/>
      <c r="LE599" s="77"/>
      <c r="LF599" s="77"/>
      <c r="LG599" s="77"/>
      <c r="LH599" s="77"/>
      <c r="LI599" s="77"/>
      <c r="LJ599" s="77"/>
      <c r="LK599" s="77"/>
      <c r="LL599" s="77"/>
      <c r="LM599" s="77"/>
      <c r="LN599" s="77"/>
      <c r="LO599" s="77"/>
      <c r="LP599" s="77"/>
      <c r="LQ599" s="77"/>
      <c r="LR599" s="77"/>
      <c r="LS599" s="77"/>
      <c r="LT599" s="77"/>
      <c r="LU599" s="77"/>
      <c r="LV599" s="77"/>
      <c r="LW599" s="77"/>
      <c r="LX599" s="77"/>
      <c r="LY599" s="77"/>
      <c r="LZ599" s="77"/>
      <c r="MA599" s="77"/>
      <c r="MB599" s="77"/>
      <c r="MC599" s="77"/>
      <c r="MD599" s="77"/>
      <c r="ME599" s="77"/>
      <c r="MF599" s="77"/>
      <c r="MG599" s="77"/>
      <c r="MH599" s="77"/>
      <c r="MI599" s="77"/>
      <c r="MJ599" s="77"/>
      <c r="MK599" s="77"/>
      <c r="ML599" s="77"/>
      <c r="MM599" s="77"/>
      <c r="MN599" s="77"/>
      <c r="MO599" s="77"/>
      <c r="MP599" s="77"/>
      <c r="MQ599" s="77"/>
      <c r="MR599" s="77"/>
    </row>
    <row r="600" spans="1:421" s="21" customFormat="1" ht="18.600000000000001" customHeight="1" x14ac:dyDescent="0.25">
      <c r="A600" s="119" t="s">
        <v>328</v>
      </c>
      <c r="B600" s="27" t="s">
        <v>1693</v>
      </c>
      <c r="C600" s="27" t="s">
        <v>6411</v>
      </c>
      <c r="D600" s="30" t="str">
        <f>HYPERLINK("https://twitter.com/KhaledBahah","https://twitter.com/KhaledBahah")</f>
        <v>https://twitter.com/KhaledBahah</v>
      </c>
      <c r="E600" s="30" t="str">
        <f>HYPERLINK("http://twiplomacy.com/info/asia/Yemen","http://twiplomacy.com/info/asia/Yemen")</f>
        <v>http://twiplomacy.com/info/asia/Yemen</v>
      </c>
      <c r="F600" s="10" t="s">
        <v>154</v>
      </c>
      <c r="G600" s="10" t="s">
        <v>326</v>
      </c>
      <c r="H600" s="10" t="s">
        <v>776</v>
      </c>
      <c r="I600" s="10" t="s">
        <v>773</v>
      </c>
      <c r="J600" s="27" t="s">
        <v>789</v>
      </c>
      <c r="K600" s="15" t="s">
        <v>777</v>
      </c>
      <c r="L600" s="10" t="s">
        <v>771</v>
      </c>
      <c r="M600" s="10" t="s">
        <v>771</v>
      </c>
      <c r="N600" s="72" t="str">
        <f>HYPERLINK("https://twitter.com/Yemen411/status/499710982059720704","https://twitter.com/Yemen411/status/499710982059720704")</f>
        <v>https://twitter.com/Yemen411/status/499710982059720704</v>
      </c>
      <c r="O600" s="27" t="s">
        <v>5898</v>
      </c>
      <c r="P600" s="80">
        <v>529</v>
      </c>
      <c r="Q600" s="80">
        <v>661</v>
      </c>
      <c r="R600" s="27" t="s">
        <v>2995</v>
      </c>
      <c r="S600" s="30" t="str">
        <f>HYPERLINK("https://twitter.com/KhaledBahah/lists","https://twitter.com/KhaledBahah/lists")</f>
        <v>https://twitter.com/KhaledBahah/lists</v>
      </c>
      <c r="T600" s="10" t="s">
        <v>771</v>
      </c>
      <c r="U600" s="10" t="s">
        <v>771</v>
      </c>
      <c r="V600" s="10" t="s">
        <v>771</v>
      </c>
      <c r="W600" s="10"/>
      <c r="X600" s="27" t="s">
        <v>328</v>
      </c>
      <c r="Y600" s="27" t="s">
        <v>1693</v>
      </c>
      <c r="Z600" s="80">
        <v>276</v>
      </c>
      <c r="AA600" s="27">
        <v>81</v>
      </c>
      <c r="AB600" s="80">
        <v>30356</v>
      </c>
      <c r="AC600" s="27">
        <v>4</v>
      </c>
      <c r="AD600" s="27" t="s">
        <v>3931</v>
      </c>
      <c r="AE600" s="27">
        <v>851181762</v>
      </c>
      <c r="AF600" s="27" t="s">
        <v>6411</v>
      </c>
      <c r="AG600" s="27" t="s">
        <v>326</v>
      </c>
      <c r="AH600" s="79">
        <v>0.21036585365853699</v>
      </c>
      <c r="AI600" s="83">
        <v>0.44019138755980902</v>
      </c>
      <c r="AJ600" s="80">
        <v>51.304182509505701</v>
      </c>
      <c r="AK600" s="80">
        <v>75.581749049429703</v>
      </c>
      <c r="AL600" s="13">
        <v>0</v>
      </c>
      <c r="AM600" s="97">
        <f>SUM(AL600/Z600)</f>
        <v>0</v>
      </c>
      <c r="AN600" s="27" t="s">
        <v>328</v>
      </c>
      <c r="AO600" s="27">
        <v>11</v>
      </c>
      <c r="AP600" s="27">
        <v>3</v>
      </c>
      <c r="AQ600" s="27">
        <v>0</v>
      </c>
      <c r="AR600" s="27">
        <f>SUM(AO600:AQ600)</f>
        <v>14</v>
      </c>
      <c r="AS600" s="39" t="s">
        <v>6905</v>
      </c>
      <c r="AT600" s="27" t="s">
        <v>5237</v>
      </c>
      <c r="AU600" s="84"/>
      <c r="AV600" s="77"/>
      <c r="AW600" s="77"/>
      <c r="AX600" s="77"/>
      <c r="AY600" s="77"/>
      <c r="AZ600" s="77"/>
      <c r="BA600" s="77"/>
      <c r="BB600" s="77"/>
      <c r="BC600" s="77"/>
      <c r="BD600" s="77"/>
      <c r="BE600" s="77"/>
      <c r="BF600" s="77"/>
      <c r="BG600" s="77"/>
      <c r="BH600" s="77"/>
      <c r="BI600" s="77"/>
      <c r="BJ600" s="77"/>
      <c r="BK600" s="77"/>
      <c r="BL600" s="77"/>
      <c r="BM600" s="77"/>
      <c r="BN600" s="77"/>
      <c r="BO600" s="77"/>
      <c r="BP600" s="77"/>
      <c r="BQ600" s="77"/>
      <c r="BR600" s="77"/>
      <c r="BS600" s="77"/>
      <c r="BT600" s="77"/>
      <c r="BU600" s="77"/>
      <c r="BV600" s="77"/>
      <c r="BW600" s="77"/>
      <c r="BX600" s="77"/>
      <c r="BY600" s="77"/>
      <c r="BZ600" s="77"/>
      <c r="CA600" s="77"/>
      <c r="CB600" s="77"/>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77"/>
      <c r="CY600" s="77"/>
      <c r="CZ600" s="77"/>
      <c r="DA600" s="77"/>
      <c r="DB600" s="77"/>
      <c r="DC600" s="77"/>
      <c r="DD600" s="77"/>
      <c r="DE600" s="77"/>
      <c r="DF600" s="77"/>
      <c r="DG600" s="77"/>
      <c r="DH600" s="77"/>
      <c r="DI600" s="77"/>
      <c r="DJ600" s="77"/>
      <c r="DK600" s="77"/>
      <c r="DL600" s="77"/>
      <c r="DM600" s="77"/>
      <c r="DN600" s="77"/>
      <c r="DO600" s="77"/>
      <c r="DP600" s="77"/>
      <c r="DQ600" s="77"/>
      <c r="DR600" s="77"/>
      <c r="DS600" s="77"/>
      <c r="DT600" s="77"/>
      <c r="DU600" s="77"/>
      <c r="DV600" s="77"/>
      <c r="DW600" s="77"/>
      <c r="DX600" s="77"/>
      <c r="DY600" s="77"/>
      <c r="DZ600" s="77"/>
      <c r="EA600" s="77"/>
      <c r="EB600" s="77"/>
      <c r="EC600" s="77"/>
      <c r="ED600" s="77"/>
      <c r="EE600" s="77"/>
      <c r="EF600" s="77"/>
      <c r="EG600" s="77"/>
      <c r="EH600" s="77"/>
      <c r="EI600" s="77"/>
      <c r="EJ600" s="77"/>
      <c r="EK600" s="77"/>
      <c r="EL600" s="77"/>
      <c r="EM600" s="77"/>
      <c r="EN600" s="77"/>
      <c r="EO600" s="77"/>
      <c r="HL600" s="77"/>
      <c r="HM600" s="77"/>
      <c r="HN600" s="77"/>
      <c r="HO600" s="77"/>
      <c r="HP600" s="77"/>
      <c r="HQ600" s="77"/>
      <c r="HR600" s="77"/>
      <c r="HS600" s="77"/>
      <c r="HT600" s="77"/>
      <c r="HU600" s="77"/>
      <c r="HV600" s="77"/>
      <c r="HW600" s="77"/>
      <c r="HX600" s="77"/>
      <c r="HY600" s="77"/>
      <c r="HZ600" s="77"/>
      <c r="IA600" s="77"/>
      <c r="IB600" s="77"/>
      <c r="IC600" s="77"/>
      <c r="ID600" s="77"/>
      <c r="IE600" s="77"/>
      <c r="JY600" s="77"/>
      <c r="JZ600" s="77"/>
      <c r="KA600" s="77"/>
      <c r="KB600" s="77"/>
      <c r="KC600" s="77"/>
      <c r="KD600" s="77"/>
      <c r="KE600" s="77"/>
      <c r="KF600" s="77"/>
      <c r="KG600" s="77"/>
      <c r="KH600" s="77"/>
      <c r="KI600" s="77"/>
      <c r="KJ600" s="77"/>
      <c r="KK600" s="77"/>
      <c r="KL600" s="77"/>
      <c r="LL600" s="77"/>
      <c r="LM600" s="77"/>
      <c r="LN600" s="77"/>
      <c r="LO600" s="77"/>
      <c r="LP600" s="77"/>
      <c r="LQ600" s="77"/>
      <c r="LR600" s="77"/>
      <c r="LS600" s="77"/>
      <c r="LT600" s="77"/>
      <c r="LU600" s="77"/>
      <c r="LV600" s="77"/>
      <c r="LW600" s="77"/>
      <c r="LX600" s="77"/>
    </row>
    <row r="601" spans="1:421" s="21" customFormat="1" ht="18.600000000000001" customHeight="1" x14ac:dyDescent="0.25">
      <c r="A601" s="119" t="s">
        <v>1834</v>
      </c>
      <c r="B601" s="27" t="s">
        <v>1835</v>
      </c>
      <c r="C601" s="27" t="s">
        <v>1836</v>
      </c>
      <c r="D601" s="30" t="str">
        <f>HYPERLINK("https://twitter.com/premiertusk","https://twitter.com/donaldtusk")</f>
        <v>https://twitter.com/donaldtusk</v>
      </c>
      <c r="E601" s="30" t="str">
        <f>HYPERLINK("http://twiplomacy.com/info/europe/Poland","http://twiplomacy.com/info/europe/Poland")</f>
        <v>http://twiplomacy.com/info/europe/Poland</v>
      </c>
      <c r="F601" s="10" t="s">
        <v>332</v>
      </c>
      <c r="G601" s="10" t="s">
        <v>1837</v>
      </c>
      <c r="H601" s="10" t="s">
        <v>1838</v>
      </c>
      <c r="I601" s="10" t="s">
        <v>773</v>
      </c>
      <c r="J601" s="27" t="s">
        <v>789</v>
      </c>
      <c r="K601" s="15" t="s">
        <v>777</v>
      </c>
      <c r="L601" s="10" t="s">
        <v>770</v>
      </c>
      <c r="M601" s="10" t="s">
        <v>771</v>
      </c>
      <c r="N601" s="30" t="str">
        <f>HYPERLINK("https://twitter.com/donaldtusk/statuses/278130070181261314","https://twitter.com/donaldtusk/statuses/278130070181261314")</f>
        <v>https://twitter.com/donaldtusk/statuses/278130070181261314</v>
      </c>
      <c r="O601" s="27" t="s">
        <v>5808</v>
      </c>
      <c r="P601" s="80">
        <v>1402</v>
      </c>
      <c r="Q601" s="80">
        <v>1088</v>
      </c>
      <c r="R601" s="27" t="s">
        <v>2994</v>
      </c>
      <c r="S601" s="30" t="str">
        <f>HYPERLINK("https://twitter.com/donaldtusk/lists","https://twitter.com/donaldtusk/lists")</f>
        <v>https://twitter.com/donaldtusk/lists</v>
      </c>
      <c r="T601" s="10" t="s">
        <v>771</v>
      </c>
      <c r="U601" s="10" t="s">
        <v>771</v>
      </c>
      <c r="V601" s="10" t="s">
        <v>771</v>
      </c>
      <c r="W601" s="10"/>
      <c r="X601" s="27" t="s">
        <v>1834</v>
      </c>
      <c r="Y601" s="27" t="s">
        <v>1835</v>
      </c>
      <c r="Z601" s="80">
        <v>276</v>
      </c>
      <c r="AA601" s="27">
        <v>171</v>
      </c>
      <c r="AB601" s="80">
        <v>519164</v>
      </c>
      <c r="AC601" s="27">
        <v>21</v>
      </c>
      <c r="AD601" s="27" t="s">
        <v>3624</v>
      </c>
      <c r="AE601" s="27">
        <v>375146901</v>
      </c>
      <c r="AF601" s="27" t="s">
        <v>1836</v>
      </c>
      <c r="AG601" s="27"/>
      <c r="AH601" s="79">
        <v>0.163410301953819</v>
      </c>
      <c r="AI601" s="83">
        <v>0.224390243902439</v>
      </c>
      <c r="AJ601" s="80">
        <v>74.748175182481702</v>
      </c>
      <c r="AK601" s="80">
        <v>96.551094890510996</v>
      </c>
      <c r="AL601" s="27">
        <v>162</v>
      </c>
      <c r="AM601" s="97">
        <f>SUM(AL601/Z601)</f>
        <v>0.58695652173913049</v>
      </c>
      <c r="AN601" s="27" t="s">
        <v>1834</v>
      </c>
      <c r="AO601" s="27">
        <v>0</v>
      </c>
      <c r="AP601" s="27">
        <v>59</v>
      </c>
      <c r="AQ601" s="27">
        <v>2</v>
      </c>
      <c r="AR601" s="27">
        <f>SUM(AO601:AQ601)</f>
        <v>61</v>
      </c>
      <c r="AS601" s="27"/>
      <c r="AT601" s="27" t="s">
        <v>6704</v>
      </c>
      <c r="AU601" s="84" t="s">
        <v>4699</v>
      </c>
      <c r="AV601" s="77"/>
      <c r="AW601" s="77"/>
      <c r="AX601" s="77"/>
      <c r="AY601" s="77"/>
      <c r="AZ601" s="77"/>
      <c r="BA601" s="77"/>
      <c r="BB601" s="77"/>
      <c r="BC601" s="77"/>
      <c r="BD601" s="77"/>
      <c r="BE601" s="77"/>
      <c r="BF601" s="77"/>
      <c r="BG601" s="77"/>
      <c r="BH601" s="77"/>
      <c r="BI601" s="77"/>
      <c r="BJ601" s="77"/>
      <c r="BK601" s="77"/>
      <c r="BL601" s="77"/>
      <c r="BM601" s="77"/>
      <c r="BQ601" s="77"/>
      <c r="BR601" s="77"/>
      <c r="BS601" s="77"/>
      <c r="BT601" s="77"/>
      <c r="BU601" s="77"/>
      <c r="BV601" s="77"/>
      <c r="BW601" s="77"/>
      <c r="BX601" s="77"/>
      <c r="BY601" s="77"/>
      <c r="BZ601" s="77"/>
      <c r="CA601" s="77"/>
      <c r="CB601" s="77"/>
      <c r="CC601" s="77"/>
      <c r="CD601" s="77"/>
      <c r="CE601" s="77"/>
      <c r="CF601" s="77"/>
      <c r="CG601" s="77"/>
      <c r="CH601" s="77"/>
      <c r="CI601" s="77"/>
      <c r="CJ601" s="77"/>
      <c r="CK601" s="77"/>
      <c r="CL601" s="77"/>
      <c r="CM601" s="77"/>
      <c r="CN601" s="77"/>
      <c r="CO601" s="77"/>
      <c r="CP601" s="77"/>
      <c r="CQ601" s="77"/>
      <c r="CR601" s="77"/>
      <c r="CS601" s="77"/>
      <c r="CT601" s="77"/>
      <c r="CU601" s="77"/>
      <c r="CV601" s="77"/>
      <c r="CW601" s="77"/>
      <c r="CX601" s="77"/>
      <c r="CY601" s="77"/>
      <c r="CZ601" s="77"/>
      <c r="DA601" s="77"/>
      <c r="DB601" s="77"/>
      <c r="DC601" s="77"/>
      <c r="DD601" s="77"/>
      <c r="DE601" s="77"/>
      <c r="DF601" s="77"/>
      <c r="DG601" s="77"/>
      <c r="DH601" s="77"/>
      <c r="DI601" s="77"/>
      <c r="DJ601" s="77"/>
      <c r="DK601" s="77"/>
      <c r="DL601" s="77"/>
      <c r="DM601" s="77"/>
      <c r="DN601" s="77"/>
      <c r="DO601" s="77"/>
      <c r="DP601" s="77"/>
      <c r="DQ601" s="77"/>
      <c r="DR601" s="77"/>
      <c r="DS601" s="77"/>
      <c r="DT601" s="77"/>
      <c r="DU601" s="77"/>
      <c r="DV601" s="77"/>
      <c r="DW601" s="77"/>
      <c r="DX601" s="77"/>
      <c r="DY601" s="77"/>
      <c r="DZ601" s="77"/>
      <c r="EA601" s="77"/>
      <c r="EB601" s="77"/>
      <c r="EC601" s="77"/>
      <c r="ED601" s="77"/>
      <c r="EE601" s="77"/>
      <c r="EF601" s="77"/>
      <c r="EG601" s="77"/>
      <c r="EH601" s="77"/>
      <c r="EI601" s="77"/>
      <c r="EJ601" s="77"/>
      <c r="EK601" s="77"/>
      <c r="EL601" s="77"/>
      <c r="EM601" s="77"/>
      <c r="EN601" s="77"/>
      <c r="EO601" s="77"/>
      <c r="EP601" s="77"/>
      <c r="EQ601" s="77"/>
      <c r="ER601" s="77"/>
      <c r="ES601" s="77"/>
      <c r="ET601" s="77"/>
      <c r="EU601" s="77"/>
      <c r="EV601" s="77"/>
      <c r="EW601" s="77"/>
      <c r="EX601" s="77"/>
      <c r="EY601" s="77"/>
      <c r="EZ601" s="77"/>
      <c r="FA601" s="77"/>
      <c r="FB601" s="77"/>
      <c r="FC601" s="77"/>
      <c r="FD601" s="77"/>
      <c r="FE601" s="77"/>
      <c r="FF601" s="77"/>
      <c r="FG601" s="77"/>
      <c r="FH601" s="77"/>
      <c r="FI601" s="77"/>
      <c r="FJ601" s="77"/>
      <c r="FK601" s="77"/>
      <c r="FL601" s="77"/>
      <c r="FM601" s="77"/>
      <c r="FN601" s="77"/>
      <c r="FO601" s="77"/>
      <c r="FP601" s="77"/>
      <c r="FQ601" s="77"/>
      <c r="FR601" s="77"/>
      <c r="FS601" s="77"/>
      <c r="FT601" s="77"/>
      <c r="FU601" s="77"/>
      <c r="FV601" s="77"/>
      <c r="FW601" s="77"/>
      <c r="FX601" s="77"/>
      <c r="FY601" s="77"/>
      <c r="FZ601" s="77"/>
      <c r="GA601" s="77"/>
      <c r="GB601" s="77"/>
      <c r="GC601" s="77"/>
      <c r="GD601" s="77"/>
      <c r="GE601" s="77"/>
      <c r="GF601" s="77"/>
      <c r="GG601" s="77"/>
      <c r="GH601" s="77"/>
      <c r="GI601" s="77"/>
      <c r="GJ601" s="77"/>
      <c r="GK601" s="77"/>
      <c r="HL601" s="77"/>
      <c r="HM601" s="77"/>
      <c r="HN601" s="77"/>
      <c r="HO601" s="77"/>
      <c r="HP601" s="77"/>
      <c r="HQ601" s="77"/>
      <c r="HR601" s="77"/>
      <c r="HS601" s="77"/>
      <c r="HT601" s="77"/>
      <c r="HU601" s="77"/>
      <c r="HV601" s="77"/>
      <c r="HW601" s="77"/>
      <c r="HX601" s="77"/>
      <c r="HY601" s="77"/>
      <c r="HZ601" s="77"/>
      <c r="IA601" s="77"/>
      <c r="IB601" s="77"/>
      <c r="IC601" s="77"/>
      <c r="ID601" s="77"/>
      <c r="IE601" s="77"/>
      <c r="IF601" s="77"/>
      <c r="IG601" s="77"/>
      <c r="IH601" s="77"/>
      <c r="II601" s="77"/>
      <c r="IJ601" s="77"/>
      <c r="IK601" s="77"/>
      <c r="IL601" s="77"/>
      <c r="IM601" s="77"/>
      <c r="IN601" s="77"/>
      <c r="IO601" s="77"/>
      <c r="IP601" s="77"/>
      <c r="IQ601" s="77"/>
      <c r="IR601" s="77"/>
      <c r="IS601" s="77"/>
      <c r="IT601" s="77"/>
      <c r="IU601" s="77"/>
      <c r="IV601" s="77"/>
      <c r="IW601" s="77"/>
      <c r="IX601" s="77"/>
      <c r="IY601" s="77"/>
      <c r="IZ601" s="77"/>
      <c r="JA601" s="77"/>
      <c r="JB601" s="77"/>
      <c r="JC601" s="77"/>
      <c r="JD601" s="77"/>
      <c r="JE601" s="77"/>
      <c r="JF601" s="77"/>
      <c r="JG601" s="77"/>
      <c r="JH601" s="77"/>
      <c r="JI601" s="77"/>
      <c r="JJ601" s="77"/>
      <c r="JK601" s="77"/>
      <c r="JL601" s="77"/>
      <c r="JM601" s="77"/>
      <c r="JN601" s="77"/>
      <c r="JO601" s="77"/>
      <c r="JP601" s="77"/>
      <c r="JQ601" s="77"/>
      <c r="JR601" s="77"/>
      <c r="JS601" s="77"/>
      <c r="JT601" s="77"/>
      <c r="JU601" s="77"/>
      <c r="JV601" s="77"/>
      <c r="JW601" s="77"/>
      <c r="JX601" s="77"/>
      <c r="JY601" s="77"/>
      <c r="JZ601" s="77"/>
      <c r="KA601" s="77"/>
      <c r="KB601" s="77"/>
      <c r="KC601" s="77"/>
      <c r="KD601" s="77"/>
      <c r="KE601" s="77"/>
      <c r="KF601" s="77"/>
      <c r="KG601" s="77"/>
      <c r="KH601" s="77"/>
      <c r="KI601" s="77"/>
      <c r="KJ601" s="77"/>
      <c r="KK601" s="77"/>
      <c r="KL601" s="77"/>
      <c r="KM601" s="77"/>
      <c r="KN601" s="77"/>
      <c r="KO601" s="77"/>
      <c r="KP601" s="77"/>
      <c r="KQ601" s="77"/>
      <c r="KR601" s="77"/>
      <c r="KS601" s="77"/>
      <c r="KT601" s="77"/>
      <c r="KU601" s="77"/>
      <c r="KV601" s="77"/>
      <c r="KW601" s="77"/>
      <c r="KX601" s="77"/>
      <c r="KY601" s="77"/>
      <c r="KZ601" s="77"/>
      <c r="LA601" s="77"/>
      <c r="LB601" s="77"/>
      <c r="LC601" s="77"/>
      <c r="LD601" s="77"/>
      <c r="LE601" s="77"/>
      <c r="LF601" s="77"/>
      <c r="LG601" s="77"/>
      <c r="LH601" s="77"/>
      <c r="LI601" s="77"/>
      <c r="LJ601" s="77"/>
      <c r="LK601" s="77"/>
      <c r="LL601" s="77"/>
      <c r="LM601" s="77"/>
      <c r="LN601" s="77"/>
      <c r="LO601" s="77"/>
      <c r="LP601" s="77"/>
      <c r="LQ601" s="77"/>
      <c r="LR601" s="77"/>
      <c r="LS601" s="77"/>
      <c r="LT601" s="77"/>
      <c r="LU601" s="77"/>
      <c r="LV601" s="77"/>
      <c r="LY601" s="77"/>
      <c r="LZ601" s="77"/>
      <c r="MA601" s="77"/>
      <c r="MB601" s="77"/>
      <c r="MC601" s="77"/>
      <c r="MD601" s="77"/>
      <c r="ME601" s="77"/>
      <c r="MF601" s="77"/>
      <c r="MG601" s="77"/>
      <c r="MH601" s="77"/>
      <c r="MI601" s="77"/>
      <c r="MJ601" s="77"/>
      <c r="MK601" s="77"/>
      <c r="ML601" s="77"/>
      <c r="MM601" s="77"/>
      <c r="MN601" s="77"/>
      <c r="MO601" s="77"/>
      <c r="MP601" s="77"/>
      <c r="MQ601" s="77"/>
      <c r="MR601" s="77"/>
    </row>
    <row r="602" spans="1:421" s="21" customFormat="1" ht="18.600000000000001" customHeight="1" x14ac:dyDescent="0.25">
      <c r="A602" s="119" t="s">
        <v>3002</v>
      </c>
      <c r="B602" s="27" t="s">
        <v>4498</v>
      </c>
      <c r="C602" s="27" t="s">
        <v>4499</v>
      </c>
      <c r="D602" s="30" t="s">
        <v>3001</v>
      </c>
      <c r="E602" s="30" t="str">
        <f>HYPERLINK("http://twiplomacy.com/info/south-america/Argentina","http://twiplomacy.com/info/south-america/Argentina")</f>
        <v>http://twiplomacy.com/info/south-america/Argentina</v>
      </c>
      <c r="F602" s="10" t="s">
        <v>668</v>
      </c>
      <c r="G602" s="10" t="s">
        <v>667</v>
      </c>
      <c r="H602" s="10" t="s">
        <v>860</v>
      </c>
      <c r="I602" s="10" t="s">
        <v>782</v>
      </c>
      <c r="J602" s="27" t="s">
        <v>789</v>
      </c>
      <c r="K602" s="15" t="s">
        <v>777</v>
      </c>
      <c r="L602" s="10"/>
      <c r="M602" s="10" t="s">
        <v>770</v>
      </c>
      <c r="N602" s="31" t="s">
        <v>3004</v>
      </c>
      <c r="O602" s="27" t="s">
        <v>3157</v>
      </c>
      <c r="P602" s="80">
        <v>1426</v>
      </c>
      <c r="Q602" s="80">
        <v>2935</v>
      </c>
      <c r="R602" s="27" t="s">
        <v>2994</v>
      </c>
      <c r="S602" s="12" t="s">
        <v>3007</v>
      </c>
      <c r="T602" s="10" t="s">
        <v>771</v>
      </c>
      <c r="U602" s="10" t="s">
        <v>771</v>
      </c>
      <c r="V602" s="10" t="s">
        <v>771</v>
      </c>
      <c r="W602" s="10"/>
      <c r="X602" s="27" t="s">
        <v>3002</v>
      </c>
      <c r="Y602" s="27" t="s">
        <v>4498</v>
      </c>
      <c r="Z602" s="80">
        <v>272</v>
      </c>
      <c r="AA602" s="27">
        <v>196</v>
      </c>
      <c r="AB602" s="80">
        <v>52245</v>
      </c>
      <c r="AC602" s="27">
        <v>39</v>
      </c>
      <c r="AD602" s="27" t="s">
        <v>4500</v>
      </c>
      <c r="AE602" s="27">
        <v>4570789301</v>
      </c>
      <c r="AF602" s="27" t="s">
        <v>4499</v>
      </c>
      <c r="AG602" s="27" t="s">
        <v>4501</v>
      </c>
      <c r="AH602" s="79">
        <v>2.0763358778626002</v>
      </c>
      <c r="AI602" s="83">
        <v>2.3859649122806998</v>
      </c>
      <c r="AJ602" s="80">
        <v>127.88235294117599</v>
      </c>
      <c r="AK602" s="80">
        <v>276.26050420168099</v>
      </c>
      <c r="AL602" s="27">
        <v>92</v>
      </c>
      <c r="AM602" s="97">
        <f>SUM(AL602/Z602)</f>
        <v>0.33823529411764708</v>
      </c>
      <c r="AN602" s="27" t="s">
        <v>3002</v>
      </c>
      <c r="AO602" s="27">
        <v>76</v>
      </c>
      <c r="AP602" s="27">
        <v>13</v>
      </c>
      <c r="AQ602" s="27">
        <v>15</v>
      </c>
      <c r="AR602" s="27">
        <f>SUM(AO602:AQ602)</f>
        <v>104</v>
      </c>
      <c r="AS602" s="27" t="s">
        <v>6629</v>
      </c>
      <c r="AT602" s="27" t="s">
        <v>6863</v>
      </c>
      <c r="AU602" s="84" t="s">
        <v>6188</v>
      </c>
      <c r="AV602" s="77"/>
      <c r="AW602" s="77"/>
      <c r="AX602" s="77"/>
      <c r="AY602" s="77"/>
      <c r="AZ602" s="77"/>
      <c r="BA602" s="77"/>
      <c r="BB602" s="77"/>
      <c r="BC602" s="77"/>
      <c r="BD602" s="77"/>
      <c r="BE602" s="77"/>
      <c r="BF602" s="77"/>
      <c r="BG602" s="77"/>
      <c r="BH602" s="77"/>
      <c r="BI602" s="77"/>
      <c r="BJ602" s="77"/>
      <c r="BK602" s="77"/>
      <c r="BL602" s="77"/>
      <c r="BM602" s="77"/>
      <c r="BN602" s="77"/>
      <c r="BO602" s="77"/>
      <c r="BP602" s="77"/>
      <c r="BQ602" s="77"/>
      <c r="BR602" s="77"/>
      <c r="BS602" s="77"/>
      <c r="BT602" s="77"/>
      <c r="BU602" s="77"/>
      <c r="BV602" s="77"/>
      <c r="BW602" s="77"/>
      <c r="BX602" s="77"/>
      <c r="BY602" s="77"/>
      <c r="BZ602" s="77"/>
      <c r="CA602" s="77"/>
      <c r="CB602" s="77"/>
      <c r="CC602" s="77"/>
      <c r="CD602" s="77"/>
      <c r="CE602" s="77"/>
      <c r="CF602" s="77"/>
      <c r="CG602" s="77"/>
      <c r="CH602" s="77"/>
      <c r="CI602" s="77"/>
      <c r="CJ602" s="77"/>
      <c r="CK602" s="77"/>
      <c r="CL602" s="77"/>
      <c r="CM602" s="77"/>
      <c r="CN602" s="77"/>
      <c r="CO602" s="77"/>
      <c r="CP602" s="77"/>
      <c r="CQ602" s="77"/>
      <c r="CR602" s="77"/>
      <c r="CS602" s="77"/>
      <c r="CT602" s="77"/>
      <c r="CU602" s="77"/>
      <c r="CV602" s="77"/>
      <c r="CW602" s="77"/>
      <c r="CX602" s="77"/>
      <c r="CY602" s="77"/>
      <c r="CZ602" s="77"/>
      <c r="DA602" s="77"/>
      <c r="DB602" s="77"/>
      <c r="DC602" s="77"/>
      <c r="DD602" s="77"/>
      <c r="DE602" s="77"/>
      <c r="DF602" s="77"/>
      <c r="DG602" s="77"/>
      <c r="DH602" s="77"/>
      <c r="DI602" s="77"/>
      <c r="DJ602" s="77"/>
      <c r="DK602" s="77"/>
      <c r="DL602" s="77"/>
      <c r="DM602" s="77"/>
      <c r="DN602" s="77"/>
      <c r="DO602" s="77"/>
      <c r="DP602" s="77"/>
      <c r="DQ602" s="77"/>
      <c r="DR602" s="77"/>
      <c r="DS602" s="77"/>
      <c r="DT602" s="77"/>
      <c r="DU602" s="77"/>
      <c r="DV602" s="77"/>
      <c r="DW602" s="77"/>
      <c r="DX602" s="77"/>
      <c r="DY602" s="77"/>
      <c r="DZ602" s="77"/>
      <c r="EA602" s="77"/>
      <c r="EB602" s="77"/>
      <c r="EC602" s="77"/>
      <c r="ED602" s="77"/>
      <c r="EE602" s="77"/>
      <c r="EF602" s="77"/>
      <c r="EG602" s="77"/>
      <c r="EH602" s="77"/>
      <c r="EI602" s="77"/>
      <c r="EJ602" s="77"/>
      <c r="EK602" s="77"/>
      <c r="EL602" s="77"/>
      <c r="EM602" s="77"/>
      <c r="EN602" s="77"/>
      <c r="EO602" s="77"/>
      <c r="EP602" s="77"/>
      <c r="EQ602" s="77"/>
      <c r="ER602" s="77"/>
      <c r="ES602" s="77"/>
      <c r="ET602" s="77"/>
      <c r="EU602" s="77"/>
      <c r="EV602" s="77"/>
      <c r="EW602" s="77"/>
      <c r="EX602" s="77"/>
      <c r="EY602" s="77"/>
      <c r="EZ602" s="77"/>
      <c r="FA602" s="77"/>
      <c r="FB602" s="77"/>
      <c r="FC602" s="77"/>
      <c r="FD602" s="77"/>
      <c r="FE602" s="77"/>
      <c r="FF602" s="77"/>
      <c r="FG602" s="77"/>
      <c r="FH602" s="77"/>
      <c r="FI602" s="77"/>
      <c r="FJ602" s="77"/>
      <c r="FK602" s="77"/>
      <c r="FL602" s="77"/>
      <c r="FM602" s="77"/>
      <c r="FN602" s="77"/>
      <c r="FO602" s="77"/>
      <c r="FP602" s="77"/>
      <c r="FQ602" s="77"/>
      <c r="FR602" s="77"/>
      <c r="FS602" s="77"/>
      <c r="FT602" s="77"/>
      <c r="FU602" s="77"/>
      <c r="FV602" s="77"/>
      <c r="FW602" s="77"/>
      <c r="FX602" s="77"/>
      <c r="FY602" s="77"/>
      <c r="FZ602" s="77"/>
      <c r="GA602" s="77"/>
      <c r="GB602" s="77"/>
      <c r="GC602" s="77"/>
      <c r="GD602" s="77"/>
      <c r="GE602" s="77"/>
      <c r="GF602" s="77"/>
      <c r="GG602" s="77"/>
      <c r="GH602" s="77"/>
      <c r="GI602" s="77"/>
      <c r="GJ602" s="77"/>
      <c r="GK602" s="77"/>
      <c r="HL602" s="77"/>
      <c r="HM602" s="77"/>
      <c r="HN602" s="77"/>
      <c r="HO602" s="77"/>
      <c r="HP602" s="77"/>
      <c r="HQ602" s="77"/>
      <c r="HR602" s="77"/>
      <c r="HS602" s="77"/>
      <c r="HT602" s="77"/>
      <c r="HU602" s="77"/>
      <c r="HV602" s="77"/>
      <c r="HW602" s="77"/>
      <c r="HX602" s="77"/>
      <c r="HY602" s="77"/>
      <c r="HZ602" s="77"/>
      <c r="IA602" s="77"/>
      <c r="IB602" s="77"/>
      <c r="IC602" s="77"/>
      <c r="IF602" s="77"/>
      <c r="IG602" s="77"/>
      <c r="IH602" s="77"/>
      <c r="II602" s="77"/>
      <c r="IJ602" s="77"/>
      <c r="IK602" s="77"/>
      <c r="IL602" s="77"/>
      <c r="IM602" s="77"/>
      <c r="IN602" s="77"/>
      <c r="IO602" s="77"/>
      <c r="IP602" s="77"/>
      <c r="IQ602" s="77"/>
      <c r="IR602" s="77"/>
      <c r="IS602" s="77"/>
      <c r="IT602" s="77"/>
      <c r="IU602" s="77"/>
      <c r="IV602" s="77"/>
      <c r="IW602" s="77"/>
      <c r="IX602" s="77"/>
      <c r="IY602" s="77"/>
      <c r="IZ602" s="77"/>
      <c r="JA602" s="77"/>
      <c r="JB602" s="77"/>
      <c r="JC602" s="77"/>
      <c r="JD602" s="77"/>
      <c r="JE602" s="77"/>
      <c r="JF602" s="77"/>
      <c r="JG602" s="77"/>
      <c r="JH602" s="77"/>
      <c r="JI602" s="77"/>
      <c r="JJ602" s="77"/>
      <c r="JK602" s="77"/>
      <c r="JL602" s="77"/>
      <c r="JM602" s="77"/>
      <c r="JN602" s="77"/>
      <c r="JO602" s="77"/>
      <c r="JP602" s="77"/>
      <c r="JQ602" s="77"/>
      <c r="JR602" s="77"/>
      <c r="JS602" s="77"/>
      <c r="JT602" s="77"/>
      <c r="JU602" s="77"/>
      <c r="JV602" s="77"/>
      <c r="JW602" s="77"/>
      <c r="JX602" s="77"/>
      <c r="JY602" s="77"/>
      <c r="JZ602" s="77"/>
      <c r="KA602" s="77"/>
      <c r="KB602" s="77"/>
      <c r="KC602" s="77"/>
      <c r="KD602" s="77"/>
      <c r="KE602" s="77"/>
      <c r="KF602" s="77"/>
      <c r="KG602" s="77"/>
      <c r="KH602" s="77"/>
      <c r="KI602" s="77"/>
      <c r="KJ602" s="77"/>
      <c r="KK602" s="77"/>
      <c r="KL602" s="77"/>
      <c r="KM602" s="77"/>
      <c r="KN602" s="77"/>
      <c r="KO602" s="77"/>
      <c r="KP602" s="77"/>
      <c r="KQ602" s="77"/>
      <c r="KR602" s="77"/>
      <c r="KS602" s="77"/>
      <c r="KT602" s="77"/>
      <c r="KU602" s="77"/>
      <c r="KV602" s="77"/>
      <c r="KW602" s="77"/>
      <c r="KX602" s="77"/>
      <c r="KY602" s="77"/>
      <c r="KZ602" s="77"/>
      <c r="LA602" s="77"/>
      <c r="LB602" s="77"/>
      <c r="LC602" s="77"/>
      <c r="LD602" s="77"/>
      <c r="LE602" s="77"/>
      <c r="LF602" s="77"/>
      <c r="LG602" s="77"/>
      <c r="LH602" s="77"/>
      <c r="LI602" s="77"/>
      <c r="LJ602" s="77"/>
      <c r="LK602" s="77"/>
      <c r="LL602" s="77"/>
      <c r="LM602" s="77"/>
      <c r="LN602" s="77"/>
      <c r="LO602" s="77"/>
      <c r="LP602" s="77"/>
      <c r="LQ602" s="77"/>
      <c r="LR602" s="77"/>
      <c r="LS602" s="77"/>
      <c r="LT602" s="77"/>
      <c r="LU602" s="77"/>
      <c r="LV602" s="77"/>
      <c r="MS602" s="77"/>
    </row>
    <row r="603" spans="1:421" s="21" customFormat="1" ht="18.600000000000001" customHeight="1" x14ac:dyDescent="0.25">
      <c r="A603" s="119" t="s">
        <v>1496</v>
      </c>
      <c r="B603" s="27" t="s">
        <v>1497</v>
      </c>
      <c r="C603" s="27" t="s">
        <v>1498</v>
      </c>
      <c r="D603" s="30" t="str">
        <f>HYPERLINK("https://twitter.com/pmoffice_mn","https://twitter.com/pmoffice_mn")</f>
        <v>https://twitter.com/pmoffice_mn</v>
      </c>
      <c r="E603" s="30" t="str">
        <f>HYPERLINK("http://twiplomacy.com/info/asia/Mongolia","http://twiplomacy.com/info/asia/Mongolia")</f>
        <v>http://twiplomacy.com/info/asia/Mongolia</v>
      </c>
      <c r="F603" s="10" t="s">
        <v>154</v>
      </c>
      <c r="G603" s="10" t="s">
        <v>252</v>
      </c>
      <c r="H603" s="10" t="s">
        <v>788</v>
      </c>
      <c r="I603" s="10" t="s">
        <v>782</v>
      </c>
      <c r="J603" s="27" t="s">
        <v>789</v>
      </c>
      <c r="K603" s="15" t="s">
        <v>1499</v>
      </c>
      <c r="L603" s="10" t="s">
        <v>771</v>
      </c>
      <c r="M603" s="10" t="s">
        <v>771</v>
      </c>
      <c r="N603" s="30" t="str">
        <f>HYPERLINK("https://twitter.com/pmoffice_mn/statuses/291129539147464704","https://twitter.com/pmoffice_mn/statuses/291129539147464704")</f>
        <v>https://twitter.com/pmoffice_mn/statuses/291129539147464704</v>
      </c>
      <c r="O603" s="27" t="s">
        <v>6014</v>
      </c>
      <c r="P603" s="80">
        <v>18</v>
      </c>
      <c r="Q603" s="80">
        <v>1</v>
      </c>
      <c r="R603" s="27" t="s">
        <v>2995</v>
      </c>
      <c r="S603" s="10" t="s">
        <v>1500</v>
      </c>
      <c r="T603" s="10" t="s">
        <v>771</v>
      </c>
      <c r="U603" s="10" t="s">
        <v>771</v>
      </c>
      <c r="V603" s="10" t="s">
        <v>771</v>
      </c>
      <c r="W603" s="10"/>
      <c r="X603" s="27" t="s">
        <v>1496</v>
      </c>
      <c r="Y603" s="27" t="s">
        <v>1497</v>
      </c>
      <c r="Z603" s="80">
        <v>270</v>
      </c>
      <c r="AA603" s="27">
        <v>104</v>
      </c>
      <c r="AB603" s="80">
        <v>888</v>
      </c>
      <c r="AC603" s="27">
        <v>6</v>
      </c>
      <c r="AD603" s="27" t="s">
        <v>4269</v>
      </c>
      <c r="AE603" s="27">
        <v>1091577991</v>
      </c>
      <c r="AF603" s="27" t="s">
        <v>1498</v>
      </c>
      <c r="AG603" s="27"/>
      <c r="AH603" s="79">
        <v>0.22443890274314199</v>
      </c>
      <c r="AI603" s="83">
        <v>0.42295597484276698</v>
      </c>
      <c r="AJ603" s="80">
        <v>1.0569105691056899</v>
      </c>
      <c r="AK603" s="80">
        <v>0.353658536585366</v>
      </c>
      <c r="AL603" s="27">
        <v>14</v>
      </c>
      <c r="AM603" s="97">
        <f>SUM(AL603/Z603)</f>
        <v>5.185185185185185E-2</v>
      </c>
      <c r="AN603" s="27" t="s">
        <v>1496</v>
      </c>
      <c r="AO603" s="27">
        <v>3</v>
      </c>
      <c r="AP603" s="27">
        <v>3</v>
      </c>
      <c r="AQ603" s="27">
        <v>0</v>
      </c>
      <c r="AR603" s="27">
        <f>SUM(AO603:AQ603)</f>
        <v>6</v>
      </c>
      <c r="AS603" s="27" t="s">
        <v>5398</v>
      </c>
      <c r="AT603" s="27" t="s">
        <v>5047</v>
      </c>
      <c r="AU603" s="84"/>
      <c r="AV603" s="77"/>
      <c r="AW603" s="77"/>
      <c r="AX603" s="77"/>
      <c r="AY603" s="77"/>
      <c r="AZ603" s="77"/>
      <c r="BA603" s="77"/>
      <c r="BB603" s="77"/>
      <c r="BC603" s="77"/>
      <c r="BD603" s="77"/>
      <c r="BE603" s="77"/>
      <c r="BF603" s="77"/>
      <c r="BG603" s="77"/>
      <c r="BH603" s="77"/>
      <c r="BI603" s="77"/>
      <c r="BJ603" s="77"/>
      <c r="BK603" s="77"/>
      <c r="BL603" s="77"/>
      <c r="BM603" s="77"/>
      <c r="BN603" s="77"/>
      <c r="BO603" s="77"/>
      <c r="BP603" s="77"/>
      <c r="BQ603" s="77"/>
      <c r="BR603" s="77"/>
      <c r="BS603" s="77"/>
      <c r="BT603" s="77"/>
      <c r="BU603" s="77"/>
      <c r="BV603" s="77"/>
      <c r="BW603" s="77"/>
      <c r="BX603" s="77"/>
      <c r="BY603" s="77"/>
      <c r="BZ603" s="77"/>
      <c r="CA603" s="77"/>
      <c r="CB603" s="77"/>
      <c r="CC603" s="77"/>
      <c r="CD603" s="77"/>
      <c r="CE603" s="77"/>
      <c r="CF603" s="77"/>
      <c r="CG603" s="77"/>
      <c r="CH603" s="77"/>
      <c r="CI603" s="77"/>
      <c r="CJ603" s="77"/>
      <c r="EM603" s="77"/>
      <c r="EN603" s="77"/>
      <c r="EO603" s="77"/>
      <c r="EP603" s="77"/>
      <c r="EQ603" s="77"/>
      <c r="GL603" s="77"/>
      <c r="GM603" s="77"/>
      <c r="GN603" s="77"/>
      <c r="GO603" s="77"/>
      <c r="GP603" s="77"/>
      <c r="GQ603" s="77"/>
      <c r="GR603" s="77"/>
      <c r="GS603" s="77"/>
      <c r="GT603" s="77"/>
      <c r="GU603" s="77"/>
      <c r="GV603" s="77"/>
      <c r="GW603" s="77"/>
      <c r="GX603" s="77"/>
      <c r="GY603" s="77"/>
      <c r="GZ603" s="77"/>
      <c r="HA603" s="77"/>
      <c r="HB603" s="77"/>
      <c r="HC603" s="77"/>
      <c r="HD603" s="77"/>
      <c r="HE603" s="77"/>
      <c r="HF603" s="77"/>
      <c r="HG603" s="77"/>
      <c r="HH603" s="77"/>
      <c r="HI603" s="77"/>
      <c r="HJ603" s="77"/>
      <c r="HK603" s="77"/>
      <c r="ID603" s="77"/>
      <c r="IE603" s="77"/>
      <c r="IF603" s="77"/>
      <c r="IG603" s="77"/>
      <c r="IH603" s="77"/>
      <c r="II603" s="77"/>
      <c r="IJ603" s="77"/>
      <c r="IK603" s="77"/>
      <c r="IL603" s="77"/>
      <c r="IM603" s="77"/>
      <c r="IN603" s="77"/>
      <c r="IO603" s="77"/>
      <c r="IP603" s="77"/>
      <c r="IQ603" s="77"/>
      <c r="IR603" s="77"/>
      <c r="IS603" s="77"/>
      <c r="IT603" s="77"/>
      <c r="IU603" s="77"/>
      <c r="IV603" s="77"/>
      <c r="IW603" s="77"/>
      <c r="IX603" s="77"/>
      <c r="IY603" s="77"/>
      <c r="IZ603" s="77"/>
      <c r="JA603" s="77"/>
      <c r="JB603" s="77"/>
      <c r="JC603" s="77"/>
      <c r="JD603" s="77"/>
      <c r="JE603" s="77"/>
      <c r="JF603" s="77"/>
      <c r="JG603" s="77"/>
      <c r="JH603" s="77"/>
      <c r="JI603" s="77"/>
      <c r="JJ603" s="77"/>
      <c r="JK603" s="77"/>
      <c r="JL603" s="77"/>
      <c r="JM603" s="77"/>
      <c r="JN603" s="77"/>
      <c r="JO603" s="77"/>
      <c r="JP603" s="77"/>
      <c r="JQ603" s="77"/>
      <c r="JR603" s="77"/>
      <c r="JS603" s="77"/>
      <c r="JT603" s="77"/>
      <c r="JU603" s="77"/>
      <c r="JV603" s="77"/>
      <c r="JW603" s="77"/>
      <c r="JX603" s="77"/>
      <c r="JY603" s="77"/>
      <c r="JZ603" s="77"/>
      <c r="KA603" s="77"/>
      <c r="KB603" s="77"/>
      <c r="KC603" s="77"/>
      <c r="KD603" s="77"/>
      <c r="KE603" s="77"/>
      <c r="KF603" s="77"/>
      <c r="KG603" s="77"/>
      <c r="KH603" s="77"/>
      <c r="KI603" s="77"/>
      <c r="KJ603" s="77"/>
      <c r="KK603" s="77"/>
      <c r="KL603" s="77"/>
      <c r="KM603" s="77"/>
      <c r="KN603" s="77"/>
      <c r="KO603" s="77"/>
      <c r="KP603" s="77"/>
      <c r="KQ603" s="77"/>
      <c r="KR603" s="77"/>
      <c r="KS603" s="77"/>
      <c r="KT603" s="77"/>
      <c r="KU603" s="77"/>
      <c r="KV603" s="77"/>
      <c r="KW603" s="77"/>
      <c r="KX603" s="77"/>
      <c r="KY603" s="77"/>
      <c r="KZ603" s="77"/>
      <c r="LA603" s="77"/>
      <c r="LB603" s="77"/>
      <c r="LC603" s="77"/>
      <c r="LD603" s="77"/>
      <c r="LE603" s="77"/>
      <c r="LF603" s="77"/>
      <c r="LG603" s="77"/>
      <c r="LH603" s="77"/>
      <c r="LI603" s="77"/>
      <c r="LJ603" s="77"/>
      <c r="LK603" s="77"/>
      <c r="LL603" s="77"/>
      <c r="LM603" s="77"/>
      <c r="LN603" s="77"/>
      <c r="LO603" s="77"/>
      <c r="LP603" s="77"/>
      <c r="LQ603" s="77"/>
      <c r="LR603" s="77"/>
      <c r="LS603" s="77"/>
      <c r="LT603" s="77"/>
      <c r="LU603" s="77"/>
      <c r="LV603" s="77"/>
      <c r="LW603" s="77"/>
      <c r="LX603" s="77"/>
      <c r="LY603" s="77"/>
      <c r="LZ603" s="77"/>
      <c r="MA603" s="77"/>
      <c r="MB603" s="77"/>
      <c r="MC603" s="77"/>
      <c r="MD603" s="77"/>
      <c r="ME603" s="77"/>
      <c r="MF603" s="77"/>
      <c r="MG603" s="77"/>
      <c r="MH603" s="77"/>
      <c r="MI603" s="77"/>
      <c r="MJ603" s="77"/>
      <c r="MK603" s="77"/>
      <c r="ML603" s="77"/>
      <c r="MM603" s="77"/>
      <c r="MN603" s="77"/>
      <c r="MO603" s="77"/>
      <c r="MP603" s="77"/>
      <c r="MQ603" s="77"/>
      <c r="MR603" s="77"/>
      <c r="MS603" s="77"/>
    </row>
    <row r="604" spans="1:421" s="21" customFormat="1" ht="18.600000000000001" customHeight="1" x14ac:dyDescent="0.25">
      <c r="A604" s="119" t="s">
        <v>3314</v>
      </c>
      <c r="B604" s="27" t="s">
        <v>4162</v>
      </c>
      <c r="C604" s="27" t="s">
        <v>4163</v>
      </c>
      <c r="D604" s="12" t="s">
        <v>3315</v>
      </c>
      <c r="E604" s="30" t="str">
        <f>HYPERLINK("http://twiplomacy.com/info/asia/Vietnam","http://twiplomacy.com/info/asia/Vietnam")</f>
        <v>http://twiplomacy.com/info/asia/Vietnam</v>
      </c>
      <c r="F604" s="10" t="s">
        <v>154</v>
      </c>
      <c r="G604" s="10" t="s">
        <v>330</v>
      </c>
      <c r="H604" s="10" t="s">
        <v>795</v>
      </c>
      <c r="I604" s="10" t="s">
        <v>782</v>
      </c>
      <c r="J604" s="27" t="s">
        <v>789</v>
      </c>
      <c r="K604" s="15" t="s">
        <v>777</v>
      </c>
      <c r="L604" s="10" t="s">
        <v>771</v>
      </c>
      <c r="M604" s="10" t="s">
        <v>770</v>
      </c>
      <c r="N604" s="30" t="s">
        <v>3316</v>
      </c>
      <c r="O604" s="27" t="s">
        <v>3318</v>
      </c>
      <c r="P604" s="80">
        <v>7</v>
      </c>
      <c r="Q604" s="80">
        <v>5</v>
      </c>
      <c r="R604" s="27" t="s">
        <v>2995</v>
      </c>
      <c r="S604" s="12" t="s">
        <v>3317</v>
      </c>
      <c r="T604" s="10" t="s">
        <v>771</v>
      </c>
      <c r="U604" s="10" t="s">
        <v>771</v>
      </c>
      <c r="V604" s="10" t="s">
        <v>771</v>
      </c>
      <c r="W604" s="10"/>
      <c r="X604" s="27" t="s">
        <v>3314</v>
      </c>
      <c r="Y604" s="27" t="s">
        <v>4162</v>
      </c>
      <c r="Z604" s="80">
        <v>263</v>
      </c>
      <c r="AA604" s="27">
        <v>88</v>
      </c>
      <c r="AB604" s="80">
        <v>135</v>
      </c>
      <c r="AC604" s="27">
        <v>66</v>
      </c>
      <c r="AD604" s="27" t="s">
        <v>4164</v>
      </c>
      <c r="AE604" s="27">
        <v>4100031620</v>
      </c>
      <c r="AF604" s="27" t="s">
        <v>4163</v>
      </c>
      <c r="AG604" s="27" t="s">
        <v>4165</v>
      </c>
      <c r="AH604" s="79">
        <v>1.4450549450549499</v>
      </c>
      <c r="AI604" s="83">
        <v>3.98484848484848</v>
      </c>
      <c r="AJ604" s="80">
        <v>0.48557692307692302</v>
      </c>
      <c r="AK604" s="80">
        <v>0.57211538461538503</v>
      </c>
      <c r="AL604" s="27">
        <v>4</v>
      </c>
      <c r="AM604" s="97">
        <f>SUM(AL604/Z604)</f>
        <v>1.5209125475285171E-2</v>
      </c>
      <c r="AN604" s="27" t="s">
        <v>3314</v>
      </c>
      <c r="AO604" s="27">
        <v>50</v>
      </c>
      <c r="AP604" s="27">
        <v>1</v>
      </c>
      <c r="AQ604" s="27">
        <v>4</v>
      </c>
      <c r="AR604" s="27">
        <f>SUM(AO604:AQ604)</f>
        <v>55</v>
      </c>
      <c r="AS604" s="27" t="s">
        <v>5347</v>
      </c>
      <c r="AT604" s="27" t="s">
        <v>527</v>
      </c>
      <c r="AU604" s="84" t="s">
        <v>4870</v>
      </c>
      <c r="AV604" s="77"/>
      <c r="AW604" s="77"/>
      <c r="AX604" s="77"/>
      <c r="AY604" s="77"/>
      <c r="AZ604" s="77"/>
      <c r="BA604" s="77"/>
      <c r="BB604" s="77"/>
      <c r="BC604" s="77"/>
      <c r="BD604" s="77"/>
      <c r="BE604" s="77"/>
      <c r="BF604" s="77"/>
      <c r="BG604" s="77"/>
      <c r="BH604" s="77"/>
      <c r="BI604" s="77"/>
      <c r="BJ604" s="77"/>
      <c r="BK604" s="77"/>
      <c r="BL604" s="77"/>
      <c r="BM604" s="77"/>
      <c r="BN604" s="77"/>
      <c r="BO604" s="77"/>
      <c r="BP604" s="77"/>
      <c r="BQ604" s="77"/>
      <c r="BR604" s="77"/>
      <c r="BS604" s="77"/>
      <c r="BT604" s="77"/>
      <c r="BU604" s="77"/>
      <c r="BV604" s="77"/>
      <c r="BW604" s="77"/>
      <c r="BX604" s="77"/>
      <c r="BY604" s="77"/>
      <c r="BZ604" s="77"/>
      <c r="CA604" s="77"/>
      <c r="CB604" s="77"/>
      <c r="CC604" s="77"/>
      <c r="CD604" s="77"/>
      <c r="CE604" s="77"/>
      <c r="CF604" s="77"/>
      <c r="CG604" s="77"/>
      <c r="CH604" s="77"/>
      <c r="CI604" s="77"/>
      <c r="CJ604" s="77"/>
      <c r="CK604" s="77"/>
      <c r="CL604" s="77"/>
      <c r="CM604" s="77"/>
      <c r="CN604" s="77"/>
      <c r="CO604" s="77"/>
      <c r="CP604" s="77"/>
      <c r="CQ604" s="77"/>
      <c r="CR604" s="77"/>
      <c r="CS604" s="77"/>
      <c r="CT604" s="77"/>
      <c r="CU604" s="77"/>
      <c r="CV604" s="77"/>
      <c r="CW604" s="77"/>
      <c r="EM604" s="77"/>
      <c r="EN604" s="77"/>
      <c r="EO604" s="77"/>
      <c r="EP604" s="77"/>
      <c r="EQ604" s="77"/>
      <c r="ER604" s="77"/>
      <c r="ES604" s="77"/>
      <c r="ET604" s="77"/>
      <c r="EU604" s="77"/>
      <c r="EV604" s="77"/>
      <c r="EW604" s="77"/>
      <c r="EX604" s="77"/>
      <c r="EY604" s="77"/>
      <c r="EZ604" s="77"/>
      <c r="FA604" s="77"/>
      <c r="FB604" s="77"/>
      <c r="FC604" s="77"/>
      <c r="FD604" s="77"/>
      <c r="FE604" s="77"/>
      <c r="FF604" s="77"/>
      <c r="FG604" s="77"/>
      <c r="FH604" s="77"/>
      <c r="FI604" s="77"/>
      <c r="FJ604" s="77"/>
      <c r="FK604" s="77"/>
      <c r="FL604" s="77"/>
      <c r="FM604" s="77"/>
      <c r="FN604" s="77"/>
      <c r="FO604" s="77"/>
      <c r="FP604" s="77"/>
      <c r="FQ604" s="77"/>
      <c r="FR604" s="77"/>
      <c r="FS604" s="77"/>
      <c r="FT604" s="77"/>
      <c r="FU604" s="77"/>
      <c r="FV604" s="77"/>
      <c r="FW604" s="77"/>
      <c r="FX604" s="77"/>
      <c r="FY604" s="77"/>
      <c r="FZ604" s="77"/>
      <c r="GA604" s="77"/>
      <c r="GB604" s="77"/>
      <c r="GC604" s="77"/>
      <c r="GD604" s="77"/>
      <c r="GE604" s="77"/>
      <c r="GF604" s="77"/>
      <c r="GG604" s="77"/>
      <c r="GH604" s="77"/>
      <c r="GI604" s="77"/>
      <c r="GJ604" s="77"/>
      <c r="GK604" s="77"/>
      <c r="GL604" s="77"/>
      <c r="GM604" s="77"/>
      <c r="GN604" s="77"/>
      <c r="GO604" s="77"/>
      <c r="GP604" s="77"/>
      <c r="GQ604" s="77"/>
      <c r="GR604" s="77"/>
      <c r="GS604" s="77"/>
      <c r="GT604" s="77"/>
      <c r="GU604" s="77"/>
      <c r="GV604" s="77"/>
      <c r="GW604" s="77"/>
      <c r="GX604" s="77"/>
      <c r="GY604" s="77"/>
      <c r="GZ604" s="77"/>
      <c r="HA604" s="77"/>
      <c r="HB604" s="77"/>
      <c r="HC604" s="77"/>
      <c r="HD604" s="77"/>
      <c r="HE604" s="77"/>
      <c r="HF604" s="77"/>
      <c r="HG604" s="77"/>
      <c r="HH604" s="77"/>
      <c r="HI604" s="77"/>
      <c r="HJ604" s="77"/>
      <c r="HK604" s="77"/>
      <c r="HL604" s="77"/>
      <c r="HM604" s="77"/>
      <c r="HN604" s="77"/>
      <c r="HO604" s="77"/>
      <c r="HP604" s="77"/>
      <c r="HQ604" s="77"/>
      <c r="HR604" s="77"/>
      <c r="HS604" s="77"/>
      <c r="HT604" s="77"/>
      <c r="HU604" s="77"/>
      <c r="HV604" s="77"/>
      <c r="HW604" s="77"/>
      <c r="HX604" s="77"/>
      <c r="HY604" s="77"/>
      <c r="HZ604" s="77"/>
      <c r="IA604" s="77"/>
      <c r="IB604" s="77"/>
      <c r="IC604" s="77"/>
      <c r="ID604" s="77"/>
      <c r="IE604" s="77"/>
      <c r="IF604" s="77"/>
      <c r="IG604" s="77"/>
      <c r="IH604" s="77"/>
      <c r="II604" s="77"/>
      <c r="IJ604" s="77"/>
      <c r="IK604" s="77"/>
      <c r="IL604" s="77"/>
      <c r="IM604" s="77"/>
      <c r="IN604" s="77"/>
      <c r="IO604" s="77"/>
      <c r="IP604" s="77"/>
      <c r="IQ604" s="77"/>
      <c r="IR604" s="77"/>
      <c r="IS604" s="77"/>
      <c r="IT604" s="77"/>
      <c r="IU604" s="77"/>
      <c r="IV604" s="77"/>
      <c r="IW604" s="77"/>
      <c r="IX604" s="77"/>
      <c r="IY604" s="77"/>
      <c r="IZ604" s="77"/>
      <c r="JA604" s="77"/>
      <c r="JB604" s="77"/>
      <c r="JC604" s="77"/>
      <c r="JD604" s="77"/>
      <c r="JE604" s="77"/>
      <c r="JF604" s="77"/>
      <c r="JG604" s="77"/>
      <c r="JH604" s="77"/>
      <c r="JI604" s="77"/>
      <c r="JJ604" s="77"/>
      <c r="JK604" s="77"/>
      <c r="JL604" s="77"/>
      <c r="JM604" s="77"/>
      <c r="JN604" s="77"/>
      <c r="JO604" s="77"/>
      <c r="JP604" s="77"/>
      <c r="JQ604" s="77"/>
      <c r="JR604" s="77"/>
      <c r="JS604" s="77"/>
      <c r="JT604" s="77"/>
      <c r="JU604" s="77"/>
      <c r="JV604" s="77"/>
      <c r="JW604" s="77"/>
      <c r="JX604" s="77"/>
      <c r="LL604" s="77"/>
      <c r="LM604" s="77"/>
      <c r="LN604" s="77"/>
      <c r="LO604" s="77"/>
      <c r="LP604" s="77"/>
      <c r="LQ604" s="77"/>
      <c r="LR604" s="77"/>
      <c r="LS604" s="77"/>
      <c r="LT604" s="77"/>
      <c r="LU604" s="77"/>
      <c r="LV604" s="77"/>
      <c r="LW604" s="77"/>
      <c r="LX604" s="77"/>
      <c r="MS604" s="77"/>
      <c r="MT604" s="77"/>
      <c r="MU604" s="77"/>
      <c r="MV604" s="77"/>
      <c r="MW604" s="77"/>
      <c r="MX604" s="77"/>
      <c r="MY604" s="77"/>
      <c r="MZ604" s="77"/>
      <c r="NA604" s="77"/>
      <c r="NB604" s="77"/>
      <c r="NC604" s="77"/>
      <c r="ND604" s="16"/>
    </row>
    <row r="605" spans="1:421" s="21" customFormat="1" ht="18.600000000000001" customHeight="1" x14ac:dyDescent="0.25">
      <c r="A605" s="119" t="s">
        <v>660</v>
      </c>
      <c r="B605" s="27" t="s">
        <v>2655</v>
      </c>
      <c r="C605" s="27" t="s">
        <v>2656</v>
      </c>
      <c r="D605" s="30" t="str">
        <f>HYPERLINK("https://twitter.com/TommyRemengesau","https://twitter.com/TommyRemengesau")</f>
        <v>https://twitter.com/TommyRemengesau</v>
      </c>
      <c r="E605" s="30" t="str">
        <f>HYPERLINK("http://twiplomacy.com/info/oceania/Palau","http://twiplomacy.com/info/oceania/Palau")</f>
        <v>http://twiplomacy.com/info/oceania/Palau</v>
      </c>
      <c r="F605" s="10" t="s">
        <v>643</v>
      </c>
      <c r="G605" s="10" t="s">
        <v>659</v>
      </c>
      <c r="H605" s="10" t="s">
        <v>772</v>
      </c>
      <c r="I605" s="10" t="s">
        <v>773</v>
      </c>
      <c r="J605" s="27" t="s">
        <v>789</v>
      </c>
      <c r="K605" s="15" t="s">
        <v>777</v>
      </c>
      <c r="L605" s="10" t="s">
        <v>771</v>
      </c>
      <c r="M605" s="10" t="s">
        <v>770</v>
      </c>
      <c r="N605" s="30" t="str">
        <f>HYPERLINK("https://twitter.com/TommyRemengesau/status/436374163947679744","https://twitter.com/TommyRemengesau/status/436374163947679744")</f>
        <v>https://twitter.com/TommyRemengesau/status/436374163947679744</v>
      </c>
      <c r="O605" s="27" t="s">
        <v>6110</v>
      </c>
      <c r="P605" s="80">
        <v>18</v>
      </c>
      <c r="Q605" s="80">
        <v>18</v>
      </c>
      <c r="R605" s="27" t="s">
        <v>2995</v>
      </c>
      <c r="S605" s="10" t="s">
        <v>2657</v>
      </c>
      <c r="T605" s="10" t="s">
        <v>771</v>
      </c>
      <c r="U605" s="10" t="s">
        <v>771</v>
      </c>
      <c r="V605" s="10" t="s">
        <v>771</v>
      </c>
      <c r="W605" s="10"/>
      <c r="X605" s="27" t="s">
        <v>660</v>
      </c>
      <c r="Y605" s="27" t="s">
        <v>2655</v>
      </c>
      <c r="Z605" s="80">
        <v>262</v>
      </c>
      <c r="AA605" s="27">
        <v>184</v>
      </c>
      <c r="AB605" s="80">
        <v>625</v>
      </c>
      <c r="AC605" s="27">
        <v>206</v>
      </c>
      <c r="AD605" s="27" t="s">
        <v>4530</v>
      </c>
      <c r="AE605" s="27">
        <v>2349626330</v>
      </c>
      <c r="AF605" s="27" t="s">
        <v>2656</v>
      </c>
      <c r="AG605" s="27" t="s">
        <v>2658</v>
      </c>
      <c r="AH605" s="79">
        <v>0.325870646766169</v>
      </c>
      <c r="AI605" s="83">
        <v>0.32790988735919901</v>
      </c>
      <c r="AJ605" s="80">
        <v>1.08762886597938</v>
      </c>
      <c r="AK605" s="80">
        <v>1.5773195876288699</v>
      </c>
      <c r="AL605" s="27">
        <v>2</v>
      </c>
      <c r="AM605" s="97">
        <f>SUM(AL605/Z605)</f>
        <v>7.6335877862595417E-3</v>
      </c>
      <c r="AN605" s="27" t="s">
        <v>660</v>
      </c>
      <c r="AO605" s="27">
        <v>1</v>
      </c>
      <c r="AP605" s="27">
        <v>4</v>
      </c>
      <c r="AQ605" s="27">
        <v>0</v>
      </c>
      <c r="AR605" s="27">
        <f>SUM(AO605:AQ605)</f>
        <v>5</v>
      </c>
      <c r="AS605" s="27" t="s">
        <v>634</v>
      </c>
      <c r="AT605" s="27" t="s">
        <v>5520</v>
      </c>
      <c r="AU605" s="84"/>
      <c r="AV605" s="77"/>
      <c r="AW605" s="77"/>
      <c r="AX605" s="77"/>
      <c r="AY605" s="77"/>
      <c r="AZ605" s="77"/>
      <c r="BA605" s="77"/>
      <c r="BB605" s="77"/>
      <c r="BC605" s="77"/>
      <c r="BD605" s="77"/>
      <c r="BE605" s="77"/>
      <c r="BF605" s="77"/>
      <c r="BG605" s="77"/>
      <c r="BH605" s="77"/>
      <c r="BI605" s="77"/>
      <c r="BJ605" s="77"/>
      <c r="BK605" s="77"/>
      <c r="BL605" s="77"/>
      <c r="BM605" s="77"/>
      <c r="BN605" s="77"/>
      <c r="BO605" s="77"/>
      <c r="BP605" s="77"/>
      <c r="BQ605" s="77"/>
      <c r="BR605" s="77"/>
      <c r="BS605" s="77"/>
      <c r="BT605" s="77"/>
      <c r="BU605" s="77"/>
      <c r="BV605" s="77"/>
      <c r="BW605" s="77"/>
      <c r="BX605" s="77"/>
      <c r="BY605" s="77"/>
      <c r="BZ605" s="77"/>
      <c r="CA605" s="77"/>
      <c r="CB605" s="77"/>
      <c r="CK605" s="77"/>
      <c r="CL605" s="77"/>
      <c r="CM605" s="77"/>
      <c r="CN605" s="77"/>
      <c r="CO605" s="77"/>
      <c r="CP605" s="77"/>
      <c r="CQ605" s="77"/>
      <c r="CR605" s="77"/>
      <c r="CS605" s="77"/>
      <c r="CT605" s="77"/>
      <c r="CU605" s="77"/>
      <c r="CV605" s="77"/>
      <c r="CW605" s="77"/>
      <c r="CX605" s="77"/>
      <c r="CY605" s="77"/>
      <c r="CZ605" s="77"/>
      <c r="DA605" s="77"/>
      <c r="DB605" s="77"/>
      <c r="DC605" s="77"/>
      <c r="DD605" s="77"/>
      <c r="DE605" s="77"/>
      <c r="DF605" s="77"/>
      <c r="DG605" s="77"/>
      <c r="DH605" s="77"/>
      <c r="DI605" s="77"/>
      <c r="DJ605" s="77"/>
      <c r="DK605" s="77"/>
      <c r="DL605" s="77"/>
      <c r="DM605" s="77"/>
      <c r="DN605" s="77"/>
      <c r="DO605" s="77"/>
      <c r="DP605" s="77"/>
      <c r="DQ605" s="77"/>
      <c r="DR605" s="77"/>
      <c r="DS605" s="77"/>
      <c r="DT605" s="77"/>
      <c r="DU605" s="77"/>
      <c r="DV605" s="77"/>
      <c r="DW605" s="77"/>
      <c r="DX605" s="77"/>
      <c r="DY605" s="77"/>
      <c r="DZ605" s="77"/>
      <c r="EA605" s="77"/>
      <c r="EB605" s="77"/>
      <c r="EC605" s="77"/>
      <c r="ED605" s="77"/>
      <c r="EE605" s="77"/>
      <c r="EF605" s="77"/>
      <c r="EG605" s="77"/>
      <c r="EH605" s="77"/>
      <c r="EI605" s="77"/>
      <c r="EJ605" s="77"/>
      <c r="EK605" s="77"/>
      <c r="EL605" s="77"/>
      <c r="EM605" s="77"/>
      <c r="EN605" s="77"/>
      <c r="EO605" s="77"/>
      <c r="ER605" s="77"/>
      <c r="ES605" s="77"/>
      <c r="ET605" s="77"/>
      <c r="EU605" s="77"/>
      <c r="EV605" s="77"/>
      <c r="EW605" s="77"/>
      <c r="EX605" s="77"/>
      <c r="EY605" s="77"/>
      <c r="EZ605" s="77"/>
      <c r="FA605" s="77"/>
      <c r="FB605" s="77"/>
      <c r="FC605" s="77"/>
      <c r="FD605" s="77"/>
      <c r="FE605" s="77"/>
      <c r="FF605" s="77"/>
      <c r="FG605" s="77"/>
      <c r="FH605" s="77"/>
      <c r="FI605" s="77"/>
      <c r="FJ605" s="77"/>
      <c r="FK605" s="77"/>
      <c r="FL605" s="77"/>
      <c r="FM605" s="77"/>
      <c r="FN605" s="77"/>
      <c r="FO605" s="77"/>
      <c r="FP605" s="77"/>
      <c r="FQ605" s="77"/>
      <c r="FR605" s="77"/>
      <c r="FS605" s="77"/>
      <c r="FT605" s="77"/>
      <c r="FU605" s="77"/>
      <c r="FV605" s="77"/>
      <c r="FW605" s="77"/>
      <c r="FX605" s="77"/>
      <c r="FY605" s="77"/>
      <c r="FZ605" s="77"/>
      <c r="GA605" s="77"/>
      <c r="GB605" s="77"/>
      <c r="GC605" s="77"/>
      <c r="GD605" s="77"/>
      <c r="GE605" s="77"/>
      <c r="GF605" s="77"/>
      <c r="GG605" s="77"/>
      <c r="GH605" s="77"/>
      <c r="GI605" s="77"/>
      <c r="GJ605" s="77"/>
      <c r="GK605" s="77"/>
      <c r="GL605" s="77"/>
      <c r="GM605" s="77"/>
      <c r="GN605" s="77"/>
      <c r="GO605" s="77"/>
      <c r="GP605" s="77"/>
      <c r="GQ605" s="77"/>
      <c r="GR605" s="77"/>
      <c r="GS605" s="77"/>
      <c r="GT605" s="77"/>
      <c r="GU605" s="77"/>
      <c r="GV605" s="77"/>
      <c r="GW605" s="77"/>
      <c r="GX605" s="77"/>
      <c r="GY605" s="77"/>
      <c r="GZ605" s="77"/>
      <c r="HA605" s="77"/>
      <c r="HB605" s="77"/>
      <c r="HC605" s="77"/>
      <c r="HD605" s="77"/>
      <c r="HE605" s="77"/>
      <c r="HF605" s="77"/>
      <c r="HG605" s="77"/>
      <c r="HH605" s="77"/>
      <c r="HI605" s="77"/>
      <c r="HJ605" s="77"/>
      <c r="HK605" s="77"/>
      <c r="KM605" s="77"/>
      <c r="KN605" s="77"/>
      <c r="KO605" s="77"/>
      <c r="KP605" s="77"/>
      <c r="KQ605" s="77"/>
      <c r="KR605" s="77"/>
      <c r="KS605" s="77"/>
      <c r="KT605" s="77"/>
      <c r="KU605" s="77"/>
      <c r="KV605" s="77"/>
      <c r="KW605" s="77"/>
      <c r="KX605" s="77"/>
      <c r="KY605" s="77"/>
      <c r="KZ605" s="77"/>
      <c r="LA605" s="77"/>
      <c r="LB605" s="77"/>
      <c r="LC605" s="77"/>
      <c r="LD605" s="77"/>
      <c r="LE605" s="77"/>
      <c r="LF605" s="77"/>
      <c r="LG605" s="77"/>
      <c r="LH605" s="77"/>
      <c r="LI605" s="77"/>
      <c r="LJ605" s="77"/>
      <c r="LK605" s="77"/>
      <c r="LL605" s="77"/>
      <c r="LM605" s="77"/>
      <c r="LN605" s="77"/>
      <c r="LO605" s="77"/>
      <c r="LP605" s="77"/>
      <c r="LQ605" s="77"/>
      <c r="LR605" s="77"/>
      <c r="LS605" s="77"/>
      <c r="LT605" s="77"/>
      <c r="LU605" s="77"/>
      <c r="LV605" s="77"/>
      <c r="MS605" s="77"/>
    </row>
    <row r="606" spans="1:421" s="21" customFormat="1" ht="18.600000000000001" customHeight="1" x14ac:dyDescent="0.25">
      <c r="A606" s="119" t="s">
        <v>3043</v>
      </c>
      <c r="B606" s="27" t="s">
        <v>4423</v>
      </c>
      <c r="C606" s="27" t="s">
        <v>4424</v>
      </c>
      <c r="D606" s="72" t="str">
        <f>HYPERLINK("https://twitter.com/rochkaborepf","https://twitter.com/rochkaborepf")</f>
        <v>https://twitter.com/rochkaborepf</v>
      </c>
      <c r="E606" s="72" t="str">
        <f>HYPERLINK("http://twiplomacy.com/info/africa/Burkina-Faso","http://twiplomacy.com/info/africa/Burkina-Faso")</f>
        <v>http://twiplomacy.com/info/africa/Burkina-Faso</v>
      </c>
      <c r="F606" s="10" t="s">
        <v>1</v>
      </c>
      <c r="G606" s="10" t="s">
        <v>11</v>
      </c>
      <c r="H606" s="10" t="s">
        <v>772</v>
      </c>
      <c r="I606" s="10" t="s">
        <v>773</v>
      </c>
      <c r="J606" s="27" t="s">
        <v>779</v>
      </c>
      <c r="K606" s="15" t="s">
        <v>777</v>
      </c>
      <c r="L606" s="10"/>
      <c r="M606" s="10" t="s">
        <v>770</v>
      </c>
      <c r="N606" s="72" t="s">
        <v>3044</v>
      </c>
      <c r="O606" s="27" t="s">
        <v>3161</v>
      </c>
      <c r="P606" s="80">
        <v>34</v>
      </c>
      <c r="Q606" s="80">
        <v>27</v>
      </c>
      <c r="R606" s="27" t="s">
        <v>2995</v>
      </c>
      <c r="S606" s="30" t="str">
        <f>HYPERLINK("https://twitter.com/rochkaborepf/lists","https://twitter.com/rochkaborepf/lists")</f>
        <v>https://twitter.com/rochkaborepf/lists</v>
      </c>
      <c r="T606" s="10" t="s">
        <v>771</v>
      </c>
      <c r="U606" s="10" t="s">
        <v>771</v>
      </c>
      <c r="V606" s="10" t="s">
        <v>771</v>
      </c>
      <c r="W606" s="10"/>
      <c r="X606" s="27" t="s">
        <v>3043</v>
      </c>
      <c r="Y606" s="27" t="s">
        <v>4423</v>
      </c>
      <c r="Z606" s="80">
        <v>256</v>
      </c>
      <c r="AA606" s="27">
        <v>222</v>
      </c>
      <c r="AB606" s="80">
        <v>4005</v>
      </c>
      <c r="AC606" s="27">
        <v>13</v>
      </c>
      <c r="AD606" s="27" t="s">
        <v>4425</v>
      </c>
      <c r="AE606" s="27">
        <v>3353383450</v>
      </c>
      <c r="AF606" s="27" t="s">
        <v>4424</v>
      </c>
      <c r="AG606" s="27" t="s">
        <v>2985</v>
      </c>
      <c r="AH606" s="79">
        <v>0.83660130718954295</v>
      </c>
      <c r="AI606" s="83">
        <v>0.91428571428571404</v>
      </c>
      <c r="AJ606" s="80">
        <v>1.4409448818897601</v>
      </c>
      <c r="AK606" s="80">
        <v>1.87795275590551</v>
      </c>
      <c r="AL606" s="13">
        <v>0</v>
      </c>
      <c r="AM606" s="97">
        <f>SUM(AL606/Z606)</f>
        <v>0</v>
      </c>
      <c r="AN606" s="27" t="s">
        <v>3043</v>
      </c>
      <c r="AO606" s="27">
        <v>11</v>
      </c>
      <c r="AP606" s="27">
        <v>3</v>
      </c>
      <c r="AQ606" s="27">
        <v>0</v>
      </c>
      <c r="AR606" s="27">
        <f>SUM(AO606:AQ606)</f>
        <v>14</v>
      </c>
      <c r="AS606" s="27" t="s">
        <v>5471</v>
      </c>
      <c r="AT606" s="27" t="s">
        <v>5629</v>
      </c>
      <c r="AU606" s="84"/>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77"/>
      <c r="BR606" s="77"/>
      <c r="BS606" s="77"/>
      <c r="BT606" s="77"/>
      <c r="BU606" s="77"/>
      <c r="BV606" s="77"/>
      <c r="BW606" s="77"/>
      <c r="BX606" s="77"/>
      <c r="BY606" s="77"/>
      <c r="BZ606" s="77"/>
      <c r="CA606" s="77"/>
      <c r="CB606" s="77"/>
      <c r="CC606" s="77"/>
      <c r="CD606" s="77"/>
      <c r="CE606" s="77"/>
      <c r="CF606" s="77"/>
      <c r="CG606" s="77"/>
      <c r="CH606" s="77"/>
      <c r="CI606" s="77"/>
      <c r="CJ606" s="77"/>
      <c r="CK606" s="77"/>
      <c r="CL606" s="77"/>
      <c r="CM606" s="77"/>
      <c r="CN606" s="77"/>
      <c r="CO606" s="77"/>
      <c r="CP606" s="77"/>
      <c r="CQ606" s="77"/>
      <c r="CR606" s="77"/>
      <c r="CS606" s="77"/>
      <c r="CT606" s="77"/>
      <c r="CU606" s="77"/>
      <c r="CV606" s="77"/>
      <c r="CW606" s="77"/>
      <c r="CX606" s="77"/>
      <c r="CY606" s="77"/>
      <c r="CZ606" s="77"/>
      <c r="DA606" s="77"/>
      <c r="DB606" s="77"/>
      <c r="DC606" s="77"/>
      <c r="DD606" s="77"/>
      <c r="DE606" s="77"/>
      <c r="DF606" s="77"/>
      <c r="DG606" s="77"/>
      <c r="DH606" s="77"/>
      <c r="DI606" s="77"/>
      <c r="DJ606" s="77"/>
      <c r="DK606" s="77"/>
      <c r="DL606" s="77"/>
      <c r="DM606" s="77"/>
      <c r="DN606" s="77"/>
      <c r="DO606" s="77"/>
      <c r="DP606" s="77"/>
      <c r="DQ606" s="77"/>
      <c r="DR606" s="77"/>
      <c r="DS606" s="77"/>
      <c r="DT606" s="77"/>
      <c r="DU606" s="77"/>
      <c r="DV606" s="77"/>
      <c r="DW606" s="77"/>
      <c r="DX606" s="77"/>
      <c r="DY606" s="77"/>
      <c r="DZ606" s="77"/>
      <c r="EA606" s="77"/>
      <c r="EB606" s="77"/>
      <c r="EC606" s="77"/>
      <c r="ED606" s="77"/>
      <c r="EE606" s="77"/>
      <c r="EF606" s="77"/>
      <c r="EG606" s="77"/>
      <c r="EH606" s="77"/>
      <c r="EI606" s="77"/>
      <c r="EJ606" s="77"/>
      <c r="EK606" s="77"/>
      <c r="EL606" s="77"/>
      <c r="EM606" s="77"/>
      <c r="EN606" s="77"/>
      <c r="EO606" s="77"/>
      <c r="EP606" s="77"/>
      <c r="ER606" s="77"/>
      <c r="ES606" s="77"/>
      <c r="ET606" s="77"/>
      <c r="EU606" s="77"/>
      <c r="EV606" s="77"/>
      <c r="EW606" s="77"/>
      <c r="EX606" s="77"/>
      <c r="EY606" s="77"/>
      <c r="EZ606" s="77"/>
      <c r="FA606" s="77"/>
      <c r="FB606" s="77"/>
      <c r="FC606" s="77"/>
      <c r="FD606" s="77"/>
      <c r="FE606" s="77"/>
      <c r="FF606" s="77"/>
      <c r="FG606" s="77"/>
      <c r="FH606" s="77"/>
      <c r="FI606" s="77"/>
      <c r="FJ606" s="77"/>
      <c r="FK606" s="77"/>
      <c r="FL606" s="77"/>
      <c r="FM606" s="77"/>
      <c r="FN606" s="77"/>
      <c r="FO606" s="77"/>
      <c r="FP606" s="77"/>
      <c r="FQ606" s="77"/>
      <c r="FR606" s="77"/>
      <c r="FS606" s="77"/>
      <c r="FT606" s="77"/>
      <c r="FU606" s="77"/>
      <c r="FV606" s="77"/>
      <c r="FW606" s="77"/>
      <c r="FX606" s="77"/>
      <c r="FY606" s="77"/>
      <c r="FZ606" s="77"/>
      <c r="GA606" s="77"/>
      <c r="GB606" s="77"/>
      <c r="GC606" s="77"/>
      <c r="GD606" s="77"/>
      <c r="GE606" s="77"/>
      <c r="GF606" s="77"/>
      <c r="GG606" s="77"/>
      <c r="GH606" s="77"/>
      <c r="GI606" s="77"/>
      <c r="GJ606" s="77"/>
      <c r="GK606" s="77"/>
      <c r="GL606" s="77"/>
      <c r="GM606" s="77"/>
      <c r="GN606" s="77"/>
      <c r="GO606" s="77"/>
      <c r="GP606" s="77"/>
      <c r="GQ606" s="77"/>
      <c r="GR606" s="77"/>
      <c r="GS606" s="77"/>
      <c r="GT606" s="77"/>
      <c r="GU606" s="77"/>
      <c r="GV606" s="77"/>
      <c r="GW606" s="77"/>
      <c r="GX606" s="77"/>
      <c r="GY606" s="77"/>
      <c r="GZ606" s="77"/>
      <c r="HA606" s="77"/>
      <c r="HB606" s="77"/>
      <c r="HC606" s="77"/>
      <c r="HD606" s="77"/>
      <c r="HE606" s="77"/>
      <c r="HF606" s="77"/>
      <c r="HG606" s="77"/>
      <c r="HH606" s="77"/>
      <c r="HI606" s="77"/>
      <c r="HJ606" s="77"/>
      <c r="HK606" s="77"/>
      <c r="ID606" s="77"/>
      <c r="IE606" s="77"/>
      <c r="LL606" s="77"/>
      <c r="LM606" s="77"/>
      <c r="LN606" s="77"/>
      <c r="LO606" s="77"/>
      <c r="LP606" s="77"/>
      <c r="LQ606" s="77"/>
      <c r="LR606" s="77"/>
      <c r="LS606" s="77"/>
      <c r="LT606" s="77"/>
      <c r="LU606" s="77"/>
      <c r="LV606" s="77"/>
      <c r="LW606" s="77"/>
      <c r="LX606" s="77"/>
      <c r="NE606" s="77"/>
      <c r="NF606" s="77"/>
      <c r="NG606" s="77"/>
      <c r="NH606" s="77"/>
      <c r="NI606" s="77"/>
      <c r="NJ606" s="77"/>
      <c r="NK606" s="77"/>
      <c r="NL606" s="77"/>
      <c r="NM606" s="77"/>
      <c r="NN606" s="77"/>
      <c r="NO606" s="77"/>
      <c r="NP606" s="77"/>
      <c r="NQ606" s="77"/>
      <c r="NR606" s="77"/>
      <c r="NS606" s="77"/>
      <c r="NT606" s="77"/>
      <c r="NU606" s="77"/>
      <c r="NV606" s="77"/>
      <c r="NW606" s="77"/>
      <c r="NX606" s="77"/>
      <c r="NY606" s="77"/>
      <c r="NZ606" s="77"/>
      <c r="OA606" s="77"/>
      <c r="OB606" s="77"/>
      <c r="OC606" s="77"/>
      <c r="OD606" s="77"/>
      <c r="OE606" s="77"/>
      <c r="OF606" s="77"/>
      <c r="OG606" s="77"/>
      <c r="OH606" s="77"/>
      <c r="OI606" s="77"/>
      <c r="OJ606" s="77"/>
      <c r="OK606" s="77"/>
      <c r="OL606" s="77"/>
      <c r="OM606" s="77"/>
      <c r="ON606" s="77"/>
      <c r="OO606" s="77"/>
      <c r="OP606" s="77"/>
      <c r="OQ606" s="77"/>
      <c r="OR606" s="77"/>
      <c r="OS606" s="77"/>
      <c r="OT606" s="77"/>
      <c r="OU606" s="77"/>
      <c r="OV606" s="77"/>
      <c r="OW606" s="77"/>
      <c r="OX606" s="77"/>
      <c r="OY606" s="77"/>
      <c r="OZ606" s="77"/>
      <c r="PA606" s="77"/>
      <c r="PB606" s="77"/>
      <c r="PC606" s="77"/>
      <c r="PD606" s="77"/>
      <c r="PE606" s="77"/>
    </row>
    <row r="607" spans="1:421" s="21" customFormat="1" ht="18.600000000000001" customHeight="1" x14ac:dyDescent="0.25">
      <c r="A607" s="119" t="s">
        <v>312</v>
      </c>
      <c r="B607" s="27" t="s">
        <v>4064</v>
      </c>
      <c r="C607" s="27" t="s">
        <v>4065</v>
      </c>
      <c r="D607" s="33" t="s">
        <v>3017</v>
      </c>
      <c r="E607" s="34" t="s">
        <v>1645</v>
      </c>
      <c r="F607" s="42" t="s">
        <v>154</v>
      </c>
      <c r="G607" s="42" t="s">
        <v>308</v>
      </c>
      <c r="H607" s="42" t="s">
        <v>795</v>
      </c>
      <c r="I607" s="42" t="s">
        <v>782</v>
      </c>
      <c r="J607" s="27" t="s">
        <v>1420</v>
      </c>
      <c r="K607" s="42" t="s">
        <v>777</v>
      </c>
      <c r="L607" s="42" t="s">
        <v>771</v>
      </c>
      <c r="M607" s="42" t="s">
        <v>770</v>
      </c>
      <c r="N607" s="34" t="s">
        <v>1646</v>
      </c>
      <c r="O607" s="27" t="s">
        <v>5942</v>
      </c>
      <c r="P607" s="80">
        <v>3</v>
      </c>
      <c r="Q607" s="80">
        <v>4</v>
      </c>
      <c r="R607" s="27" t="s">
        <v>2995</v>
      </c>
      <c r="S607" s="101" t="s">
        <v>1647</v>
      </c>
      <c r="T607" s="10" t="s">
        <v>771</v>
      </c>
      <c r="U607" s="10" t="s">
        <v>771</v>
      </c>
      <c r="V607" s="10" t="s">
        <v>771</v>
      </c>
      <c r="W607" s="42"/>
      <c r="X607" s="27" t="s">
        <v>312</v>
      </c>
      <c r="Y607" s="27" t="s">
        <v>4064</v>
      </c>
      <c r="Z607" s="80">
        <v>250</v>
      </c>
      <c r="AA607" s="27">
        <v>14</v>
      </c>
      <c r="AB607" s="80">
        <v>319</v>
      </c>
      <c r="AC607" s="27">
        <v>0</v>
      </c>
      <c r="AD607" s="27" t="s">
        <v>4066</v>
      </c>
      <c r="AE607" s="27">
        <v>3288642247</v>
      </c>
      <c r="AF607" s="27" t="s">
        <v>4065</v>
      </c>
      <c r="AG607" s="27" t="s">
        <v>6421</v>
      </c>
      <c r="AH607" s="79">
        <v>0.88028169014084501</v>
      </c>
      <c r="AI607" s="83">
        <v>0.88652482269503496</v>
      </c>
      <c r="AJ607" s="80">
        <v>0.14000000000000001</v>
      </c>
      <c r="AK607" s="80">
        <v>0.27600000000000002</v>
      </c>
      <c r="AL607" s="13">
        <v>0</v>
      </c>
      <c r="AM607" s="97">
        <f>SUM(AL607/Z607)</f>
        <v>0</v>
      </c>
      <c r="AN607" s="27" t="s">
        <v>312</v>
      </c>
      <c r="AO607" s="27">
        <v>5</v>
      </c>
      <c r="AP607" s="27">
        <v>5</v>
      </c>
      <c r="AQ607" s="27">
        <v>6</v>
      </c>
      <c r="AR607" s="27">
        <f>SUM(AO607:AQ607)</f>
        <v>16</v>
      </c>
      <c r="AS607" s="27" t="s">
        <v>5297</v>
      </c>
      <c r="AT607" s="27" t="s">
        <v>5298</v>
      </c>
      <c r="AU607" s="84" t="s">
        <v>4841</v>
      </c>
      <c r="AV607" s="71"/>
      <c r="AW607" s="71"/>
      <c r="AX607" s="71"/>
      <c r="AY607" s="71"/>
      <c r="AZ607" s="71"/>
      <c r="BA607" s="71"/>
      <c r="BB607" s="71"/>
      <c r="BC607" s="71"/>
      <c r="BD607" s="71"/>
      <c r="BE607" s="71"/>
      <c r="BF607" s="71"/>
      <c r="BG607" s="71"/>
      <c r="BH607" s="71"/>
      <c r="BI607" s="71"/>
      <c r="BJ607" s="71"/>
      <c r="BK607" s="71"/>
      <c r="BL607" s="71"/>
      <c r="BM607" s="71"/>
      <c r="BN607" s="71"/>
      <c r="BO607" s="71"/>
      <c r="BP607" s="71"/>
      <c r="BQ607" s="77"/>
      <c r="BR607" s="77"/>
      <c r="BS607" s="77"/>
      <c r="BT607" s="77"/>
      <c r="BU607" s="77"/>
      <c r="BV607" s="77"/>
      <c r="BW607" s="77"/>
      <c r="BX607" s="77"/>
      <c r="BY607" s="77"/>
      <c r="BZ607" s="77"/>
      <c r="CA607" s="77"/>
      <c r="CB607" s="77"/>
      <c r="CC607" s="77"/>
      <c r="CD607" s="77"/>
      <c r="CE607" s="77"/>
      <c r="CF607" s="77"/>
      <c r="CG607" s="77"/>
      <c r="CH607" s="77"/>
      <c r="CI607" s="77"/>
      <c r="CJ607" s="77"/>
      <c r="CK607" s="77"/>
      <c r="CL607" s="77"/>
      <c r="CM607" s="77"/>
      <c r="CN607" s="77"/>
      <c r="CO607" s="77"/>
      <c r="CP607" s="77"/>
      <c r="CQ607" s="77"/>
      <c r="CR607" s="77"/>
      <c r="CS607" s="77"/>
      <c r="CT607" s="77"/>
      <c r="CU607" s="77"/>
      <c r="CV607" s="77"/>
      <c r="CW607" s="77"/>
      <c r="CX607" s="77"/>
      <c r="CY607" s="77"/>
      <c r="CZ607" s="77"/>
      <c r="DA607" s="77"/>
      <c r="DB607" s="77"/>
      <c r="DC607" s="77"/>
      <c r="DD607" s="77"/>
      <c r="DE607" s="77"/>
      <c r="DF607" s="77"/>
      <c r="DG607" s="77"/>
      <c r="DH607" s="77"/>
      <c r="DI607" s="77"/>
      <c r="DJ607" s="77"/>
      <c r="DK607" s="77"/>
      <c r="DL607" s="77"/>
      <c r="DM607" s="77"/>
      <c r="DN607" s="77"/>
      <c r="DO607" s="77"/>
      <c r="DP607" s="77"/>
      <c r="DQ607" s="77"/>
      <c r="DR607" s="77"/>
      <c r="DS607" s="77"/>
      <c r="DT607" s="77"/>
      <c r="DU607" s="77"/>
      <c r="DV607" s="77"/>
      <c r="DW607" s="77"/>
      <c r="DX607" s="77"/>
      <c r="DY607" s="77"/>
      <c r="DZ607" s="77"/>
      <c r="EA607" s="77"/>
      <c r="EB607" s="77"/>
      <c r="EC607" s="77"/>
      <c r="ED607" s="77"/>
      <c r="EE607" s="77"/>
      <c r="EF607" s="77"/>
      <c r="EG607" s="77"/>
      <c r="EH607" s="77"/>
      <c r="EI607" s="77"/>
      <c r="EJ607" s="77"/>
      <c r="EK607" s="77"/>
      <c r="EL607" s="77"/>
      <c r="EM607" s="77"/>
      <c r="EN607" s="77"/>
      <c r="EO607" s="77"/>
      <c r="EP607" s="77"/>
      <c r="EQ607" s="77"/>
      <c r="ER607" s="77"/>
      <c r="ES607" s="77"/>
      <c r="ET607" s="77"/>
      <c r="EU607" s="77"/>
      <c r="EV607" s="77"/>
      <c r="EW607" s="77"/>
      <c r="EX607" s="77"/>
      <c r="EY607" s="77"/>
      <c r="EZ607" s="77"/>
      <c r="FA607" s="77"/>
      <c r="FB607" s="77"/>
      <c r="FC607" s="77"/>
      <c r="FD607" s="77"/>
      <c r="FE607" s="77"/>
      <c r="FF607" s="77"/>
      <c r="FG607" s="77"/>
      <c r="FH607" s="77"/>
      <c r="FI607" s="77"/>
      <c r="FJ607" s="77"/>
      <c r="FK607" s="77"/>
      <c r="FL607" s="77"/>
      <c r="FM607" s="77"/>
      <c r="FN607" s="77"/>
      <c r="FO607" s="77"/>
      <c r="FP607" s="77"/>
      <c r="FQ607" s="77"/>
      <c r="FR607" s="77"/>
      <c r="FS607" s="77"/>
      <c r="FT607" s="77"/>
      <c r="FU607" s="77"/>
      <c r="FV607" s="77"/>
      <c r="FW607" s="77"/>
      <c r="FX607" s="77"/>
      <c r="FY607" s="77"/>
      <c r="FZ607" s="77"/>
      <c r="GA607" s="77"/>
      <c r="GB607" s="77"/>
      <c r="GC607" s="77"/>
      <c r="GD607" s="77"/>
      <c r="GE607" s="77"/>
      <c r="GF607" s="77"/>
      <c r="GG607" s="77"/>
      <c r="GH607" s="77"/>
      <c r="GI607" s="77"/>
      <c r="GJ607" s="77"/>
      <c r="GK607" s="77"/>
      <c r="GL607" s="77"/>
      <c r="GM607" s="77"/>
      <c r="GN607" s="77"/>
      <c r="GO607" s="77"/>
      <c r="GP607" s="77"/>
      <c r="GQ607" s="77"/>
      <c r="GR607" s="77"/>
      <c r="GS607" s="77"/>
      <c r="GT607" s="77"/>
      <c r="GU607" s="77"/>
      <c r="GV607" s="77"/>
      <c r="GW607" s="77"/>
      <c r="GX607" s="77"/>
      <c r="GY607" s="77"/>
      <c r="GZ607" s="77"/>
      <c r="HA607" s="77"/>
      <c r="HB607" s="77"/>
      <c r="HC607" s="77"/>
      <c r="HD607" s="77"/>
      <c r="HE607" s="77"/>
      <c r="HF607" s="77"/>
      <c r="HG607" s="77"/>
      <c r="HH607" s="77"/>
      <c r="HI607" s="77"/>
      <c r="HJ607" s="77"/>
      <c r="HK607" s="77"/>
      <c r="HL607" s="77"/>
      <c r="HM607" s="77"/>
      <c r="HN607" s="77"/>
      <c r="HO607" s="77"/>
      <c r="HP607" s="77"/>
      <c r="HQ607" s="77"/>
      <c r="HR607" s="77"/>
      <c r="HS607" s="77"/>
      <c r="HT607" s="77"/>
      <c r="HU607" s="77"/>
      <c r="HV607" s="77"/>
      <c r="HW607" s="77"/>
      <c r="HX607" s="77"/>
      <c r="HY607" s="77"/>
      <c r="HZ607" s="77"/>
      <c r="IA607" s="77"/>
      <c r="IB607" s="77"/>
      <c r="IC607" s="77"/>
      <c r="ID607" s="77"/>
      <c r="IE607" s="77"/>
      <c r="IF607" s="77"/>
      <c r="IG607" s="77"/>
      <c r="IH607" s="77"/>
      <c r="II607" s="77"/>
      <c r="IJ607" s="77"/>
      <c r="IK607" s="77"/>
      <c r="IL607" s="77"/>
      <c r="IM607" s="77"/>
      <c r="IN607" s="77"/>
      <c r="IO607" s="77"/>
      <c r="IP607" s="77"/>
      <c r="IQ607" s="77"/>
      <c r="IR607" s="77"/>
      <c r="IS607" s="77"/>
      <c r="IT607" s="77"/>
      <c r="IU607" s="77"/>
      <c r="IV607" s="77"/>
      <c r="IW607" s="77"/>
      <c r="IX607" s="77"/>
      <c r="IY607" s="77"/>
      <c r="IZ607" s="77"/>
      <c r="JA607" s="77"/>
      <c r="JB607" s="77"/>
      <c r="JC607" s="77"/>
      <c r="JD607" s="77"/>
      <c r="JE607" s="77"/>
      <c r="JF607" s="77"/>
      <c r="JG607" s="77"/>
      <c r="JH607" s="77"/>
      <c r="JI607" s="77"/>
      <c r="JJ607" s="77"/>
      <c r="JK607" s="77"/>
      <c r="JL607" s="77"/>
      <c r="JM607" s="77"/>
      <c r="JN607" s="77"/>
      <c r="JO607" s="77"/>
      <c r="JP607" s="77"/>
      <c r="JQ607" s="77"/>
      <c r="JR607" s="77"/>
      <c r="JS607" s="77"/>
      <c r="JT607" s="77"/>
      <c r="JU607" s="77"/>
      <c r="JV607" s="77"/>
      <c r="JW607" s="77"/>
      <c r="JX607" s="77"/>
      <c r="JY607" s="77"/>
      <c r="JZ607" s="77"/>
      <c r="KA607" s="77"/>
      <c r="KB607" s="77"/>
      <c r="KC607" s="77"/>
      <c r="KD607" s="77"/>
      <c r="KE607" s="77"/>
      <c r="KF607" s="77"/>
      <c r="KG607" s="77"/>
      <c r="KH607" s="77"/>
      <c r="KI607" s="77"/>
      <c r="KJ607" s="77"/>
      <c r="KK607" s="77"/>
      <c r="KL607" s="77"/>
      <c r="LL607" s="77"/>
      <c r="LM607" s="77"/>
      <c r="LN607" s="77"/>
      <c r="LO607" s="77"/>
      <c r="LP607" s="77"/>
      <c r="LQ607" s="77"/>
      <c r="LR607" s="77"/>
      <c r="LS607" s="77"/>
      <c r="LT607" s="77"/>
      <c r="LU607" s="77"/>
      <c r="LV607" s="77"/>
      <c r="LW607" s="77"/>
      <c r="LX607" s="77"/>
      <c r="NE607" s="77"/>
      <c r="NF607" s="77"/>
      <c r="NG607" s="77"/>
      <c r="NH607" s="77"/>
      <c r="NI607" s="77"/>
      <c r="NJ607" s="77"/>
      <c r="NK607" s="77"/>
      <c r="NL607" s="77"/>
      <c r="NM607" s="77"/>
      <c r="NN607" s="77"/>
      <c r="NO607" s="77"/>
      <c r="NP607" s="77"/>
      <c r="NQ607" s="77"/>
      <c r="NR607" s="77"/>
      <c r="NS607" s="77"/>
      <c r="NT607" s="77"/>
      <c r="NU607" s="77"/>
      <c r="NV607" s="77"/>
      <c r="NW607" s="77"/>
      <c r="NX607" s="77"/>
      <c r="NY607" s="77"/>
      <c r="NZ607" s="77"/>
      <c r="OA607" s="77"/>
      <c r="OB607" s="77"/>
      <c r="OC607" s="77"/>
      <c r="OD607" s="77"/>
      <c r="OE607" s="77"/>
      <c r="OF607" s="77"/>
      <c r="OG607" s="77"/>
      <c r="OH607" s="77"/>
      <c r="OI607" s="77"/>
      <c r="OJ607" s="77"/>
      <c r="OK607" s="77"/>
      <c r="OL607" s="77"/>
      <c r="OM607" s="77"/>
      <c r="ON607" s="77"/>
      <c r="OO607" s="77"/>
      <c r="OP607" s="77"/>
      <c r="OQ607" s="77"/>
      <c r="OR607" s="77"/>
      <c r="OS607" s="77"/>
      <c r="OT607" s="77"/>
      <c r="OU607" s="77"/>
      <c r="OV607" s="77"/>
      <c r="OW607" s="77"/>
      <c r="OX607" s="77"/>
      <c r="OY607" s="77"/>
      <c r="OZ607" s="77"/>
      <c r="PA607" s="77"/>
      <c r="PB607" s="77"/>
      <c r="PC607" s="77"/>
      <c r="PD607" s="77"/>
      <c r="PE607" s="77"/>
    </row>
    <row r="608" spans="1:421" s="21" customFormat="1" ht="18.600000000000001" customHeight="1" x14ac:dyDescent="0.25">
      <c r="A608" s="119" t="s">
        <v>636</v>
      </c>
      <c r="B608" s="27" t="s">
        <v>2566</v>
      </c>
      <c r="C608" s="27" t="s">
        <v>4290</v>
      </c>
      <c r="D608" s="30" t="str">
        <f>HYPERLINK("https://twitter.com/POTUS","https://twitter.com/POTUS")</f>
        <v>https://twitter.com/POTUS</v>
      </c>
      <c r="E608" s="30" t="str">
        <f>HYPERLINK("http://twiplomacy.com/info/north-america/United-States","http://twiplomacy.com/info/north-america/United-States")</f>
        <v>http://twiplomacy.com/info/north-america/United-States</v>
      </c>
      <c r="F608" s="10" t="s">
        <v>558</v>
      </c>
      <c r="G608" s="10" t="s">
        <v>633</v>
      </c>
      <c r="H608" s="10" t="s">
        <v>772</v>
      </c>
      <c r="I608" s="10" t="s">
        <v>773</v>
      </c>
      <c r="J608" s="27" t="s">
        <v>789</v>
      </c>
      <c r="K608" s="15" t="s">
        <v>777</v>
      </c>
      <c r="L608" s="10" t="s">
        <v>1020</v>
      </c>
      <c r="M608" s="10" t="s">
        <v>770</v>
      </c>
      <c r="N608" s="12" t="s">
        <v>3123</v>
      </c>
      <c r="O608" s="12" t="s">
        <v>3211</v>
      </c>
      <c r="P608" s="35">
        <v>441801</v>
      </c>
      <c r="Q608" s="46">
        <v>429623</v>
      </c>
      <c r="R608" s="27" t="s">
        <v>2994</v>
      </c>
      <c r="S608" s="12" t="s">
        <v>3096</v>
      </c>
      <c r="T608" s="10" t="s">
        <v>771</v>
      </c>
      <c r="U608" s="10" t="s">
        <v>771</v>
      </c>
      <c r="V608" s="10" t="s">
        <v>771</v>
      </c>
      <c r="W608" s="10"/>
      <c r="X608" s="27" t="s">
        <v>636</v>
      </c>
      <c r="Y608" s="27" t="s">
        <v>2566</v>
      </c>
      <c r="Z608" s="80">
        <v>250</v>
      </c>
      <c r="AA608" s="27">
        <v>72</v>
      </c>
      <c r="AB608" s="80">
        <v>7675501</v>
      </c>
      <c r="AC608" s="27">
        <v>3</v>
      </c>
      <c r="AD608" s="27" t="s">
        <v>4291</v>
      </c>
      <c r="AE608" s="27">
        <v>1536791610</v>
      </c>
      <c r="AF608" s="27" t="s">
        <v>4290</v>
      </c>
      <c r="AG608" s="27" t="s">
        <v>2571</v>
      </c>
      <c r="AH608" s="79">
        <v>0.23900573613766701</v>
      </c>
      <c r="AI608" s="83">
        <v>0.73313782991202303</v>
      </c>
      <c r="AJ608" s="80">
        <v>12350.2320675105</v>
      </c>
      <c r="AK608" s="80">
        <v>19662.839662447299</v>
      </c>
      <c r="AL608" s="27">
        <v>81</v>
      </c>
      <c r="AM608" s="97">
        <f>SUM(AL608/Z608)</f>
        <v>0.32400000000000001</v>
      </c>
      <c r="AN608" s="27" t="s">
        <v>636</v>
      </c>
      <c r="AO608" s="27">
        <v>1</v>
      </c>
      <c r="AP608" s="27">
        <v>140</v>
      </c>
      <c r="AQ608" s="27">
        <v>4</v>
      </c>
      <c r="AR608" s="27">
        <f>SUM(AO608:AQ608)</f>
        <v>145</v>
      </c>
      <c r="AS608" s="27" t="s">
        <v>637</v>
      </c>
      <c r="AT608" s="27" t="s">
        <v>6825</v>
      </c>
      <c r="AU608" s="84" t="s">
        <v>4671</v>
      </c>
      <c r="AV608" s="77"/>
      <c r="AW608" s="77"/>
      <c r="AX608" s="77"/>
      <c r="AY608" s="77"/>
      <c r="AZ608" s="77"/>
      <c r="BA608" s="77"/>
      <c r="BB608" s="77"/>
      <c r="BC608" s="77"/>
      <c r="BD608" s="77"/>
      <c r="BE608" s="77"/>
      <c r="BF608" s="77"/>
      <c r="BG608" s="77"/>
      <c r="BH608" s="77"/>
      <c r="BI608" s="77"/>
      <c r="BJ608" s="77"/>
      <c r="BK608" s="77"/>
      <c r="BL608" s="77"/>
      <c r="BM608" s="77"/>
      <c r="BN608" s="77"/>
      <c r="BO608" s="77"/>
      <c r="BP608" s="77"/>
      <c r="BQ608" s="77"/>
      <c r="BR608" s="77"/>
      <c r="BS608" s="77"/>
      <c r="BT608" s="77"/>
      <c r="BU608" s="77"/>
      <c r="BV608" s="77"/>
      <c r="BW608" s="77"/>
      <c r="BX608" s="77"/>
      <c r="BY608" s="77"/>
      <c r="BZ608" s="77"/>
      <c r="CA608" s="77"/>
      <c r="CB608" s="77"/>
      <c r="CC608" s="77"/>
      <c r="CD608" s="77"/>
      <c r="CE608" s="77"/>
      <c r="CF608" s="77"/>
      <c r="CG608" s="77"/>
      <c r="CH608" s="77"/>
      <c r="CI608" s="77"/>
      <c r="CJ608" s="77"/>
      <c r="CK608" s="77"/>
      <c r="CL608" s="77"/>
      <c r="CM608" s="77"/>
      <c r="CN608" s="77"/>
      <c r="CO608" s="77"/>
      <c r="CP608" s="77"/>
      <c r="CQ608" s="77"/>
      <c r="CR608" s="77"/>
      <c r="CS608" s="77"/>
      <c r="CT608" s="77"/>
      <c r="CU608" s="77"/>
      <c r="CV608" s="77"/>
      <c r="CW608" s="77"/>
      <c r="CX608" s="77"/>
      <c r="CY608" s="77"/>
      <c r="CZ608" s="77"/>
      <c r="DA608" s="77"/>
      <c r="DB608" s="77"/>
      <c r="DC608" s="77"/>
      <c r="DD608" s="77"/>
      <c r="DE608" s="77"/>
      <c r="DF608" s="77"/>
      <c r="DG608" s="77"/>
      <c r="DH608" s="77"/>
      <c r="DI608" s="77"/>
      <c r="DJ608" s="77"/>
      <c r="DK608" s="77"/>
      <c r="DL608" s="77"/>
      <c r="DM608" s="77"/>
      <c r="DN608" s="77"/>
      <c r="DO608" s="77"/>
      <c r="DP608" s="77"/>
      <c r="DQ608" s="77"/>
      <c r="DR608" s="77"/>
      <c r="DS608" s="77"/>
      <c r="DT608" s="77"/>
      <c r="DU608" s="77"/>
      <c r="DV608" s="77"/>
      <c r="DW608" s="77"/>
      <c r="DX608" s="77"/>
      <c r="DY608" s="77"/>
      <c r="DZ608" s="77"/>
      <c r="EA608" s="77"/>
      <c r="EB608" s="77"/>
      <c r="EC608" s="77"/>
      <c r="ED608" s="77"/>
      <c r="EE608" s="77"/>
      <c r="EF608" s="77"/>
      <c r="EG608" s="77"/>
      <c r="EH608" s="77"/>
      <c r="EI608" s="77"/>
      <c r="EJ608" s="77"/>
      <c r="EK608" s="77"/>
      <c r="EL608" s="77"/>
      <c r="EP608" s="77"/>
      <c r="GL608" s="77"/>
      <c r="GM608" s="77"/>
      <c r="GN608" s="77"/>
      <c r="GO608" s="77"/>
      <c r="GP608" s="77"/>
      <c r="GQ608" s="77"/>
      <c r="GR608" s="77"/>
      <c r="GS608" s="77"/>
      <c r="GT608" s="77"/>
      <c r="GU608" s="77"/>
      <c r="GV608" s="77"/>
      <c r="GW608" s="77"/>
      <c r="GX608" s="77"/>
      <c r="GY608" s="77"/>
      <c r="GZ608" s="77"/>
      <c r="HA608" s="77"/>
      <c r="HB608" s="77"/>
      <c r="HC608" s="77"/>
      <c r="HD608" s="77"/>
      <c r="HE608" s="77"/>
      <c r="HF608" s="77"/>
      <c r="HG608" s="77"/>
      <c r="HH608" s="77"/>
      <c r="HI608" s="77"/>
      <c r="HJ608" s="77"/>
      <c r="HK608" s="77"/>
      <c r="HL608" s="77"/>
      <c r="HM608" s="77"/>
      <c r="HN608" s="77"/>
      <c r="HO608" s="77"/>
      <c r="HP608" s="77"/>
      <c r="HQ608" s="77"/>
      <c r="HR608" s="77"/>
      <c r="HS608" s="77"/>
      <c r="HT608" s="77"/>
      <c r="HU608" s="77"/>
      <c r="HV608" s="77"/>
      <c r="HW608" s="77"/>
      <c r="HX608" s="77"/>
      <c r="HY608" s="77"/>
      <c r="HZ608" s="77"/>
      <c r="IA608" s="77"/>
      <c r="IB608" s="77"/>
      <c r="IC608" s="77"/>
      <c r="IF608" s="77"/>
      <c r="IG608" s="77"/>
      <c r="IH608" s="77"/>
      <c r="II608" s="77"/>
      <c r="IJ608" s="77"/>
      <c r="IK608" s="77"/>
      <c r="IL608" s="77"/>
      <c r="IM608" s="77"/>
      <c r="IN608" s="77"/>
      <c r="IO608" s="77"/>
      <c r="IP608" s="77"/>
      <c r="IQ608" s="77"/>
      <c r="IR608" s="77"/>
      <c r="IS608" s="77"/>
      <c r="IT608" s="77"/>
      <c r="IU608" s="77"/>
      <c r="IV608" s="77"/>
      <c r="IW608" s="77"/>
      <c r="IX608" s="77"/>
      <c r="IY608" s="77"/>
      <c r="IZ608" s="77"/>
      <c r="JA608" s="77"/>
      <c r="JB608" s="77"/>
      <c r="JC608" s="77"/>
      <c r="JD608" s="77"/>
      <c r="JE608" s="77"/>
      <c r="JF608" s="77"/>
      <c r="JG608" s="77"/>
      <c r="JH608" s="77"/>
      <c r="JI608" s="77"/>
      <c r="JJ608" s="77"/>
      <c r="JK608" s="77"/>
      <c r="JL608" s="77"/>
      <c r="JM608" s="77"/>
      <c r="JN608" s="77"/>
      <c r="JO608" s="77"/>
      <c r="JP608" s="77"/>
      <c r="JQ608" s="77"/>
      <c r="JR608" s="77"/>
      <c r="JS608" s="77"/>
      <c r="JT608" s="77"/>
      <c r="JU608" s="77"/>
      <c r="JV608" s="77"/>
      <c r="JW608" s="77"/>
      <c r="JX608" s="77"/>
      <c r="KM608" s="77"/>
      <c r="KN608" s="77"/>
      <c r="KO608" s="77"/>
      <c r="KP608" s="77"/>
      <c r="KQ608" s="77"/>
      <c r="KR608" s="77"/>
      <c r="KS608" s="77"/>
      <c r="KT608" s="77"/>
      <c r="KU608" s="77"/>
      <c r="KV608" s="77"/>
      <c r="KW608" s="77"/>
      <c r="KX608" s="77"/>
      <c r="KY608" s="77"/>
      <c r="KZ608" s="77"/>
      <c r="LA608" s="77"/>
      <c r="LB608" s="77"/>
      <c r="LC608" s="77"/>
      <c r="LD608" s="77"/>
      <c r="LE608" s="77"/>
      <c r="LF608" s="77"/>
      <c r="LG608" s="77"/>
      <c r="LH608" s="77"/>
      <c r="LI608" s="77"/>
      <c r="LJ608" s="77"/>
      <c r="LK608" s="77"/>
      <c r="LL608" s="77"/>
      <c r="LM608" s="77"/>
      <c r="LN608" s="77"/>
      <c r="LO608" s="77"/>
      <c r="LP608" s="77"/>
      <c r="LQ608" s="77"/>
      <c r="LR608" s="77"/>
      <c r="LS608" s="77"/>
      <c r="LT608" s="77"/>
      <c r="LU608" s="77"/>
      <c r="LV608" s="77"/>
      <c r="LW608" s="77"/>
      <c r="LX608" s="77"/>
      <c r="LY608" s="77"/>
      <c r="LZ608" s="77"/>
      <c r="MA608" s="77"/>
      <c r="MB608" s="77"/>
      <c r="MC608" s="77"/>
      <c r="MD608" s="77"/>
      <c r="ME608" s="77"/>
      <c r="MF608" s="77"/>
      <c r="MG608" s="77"/>
      <c r="MH608" s="77"/>
      <c r="MI608" s="77"/>
      <c r="MJ608" s="77"/>
      <c r="MK608" s="77"/>
      <c r="ML608" s="77"/>
      <c r="MM608" s="77"/>
      <c r="MN608" s="77"/>
      <c r="MO608" s="77"/>
      <c r="MP608" s="77"/>
      <c r="MQ608" s="77"/>
      <c r="MR608" s="77"/>
      <c r="NE608" s="77"/>
      <c r="NF608" s="77"/>
      <c r="NG608" s="77"/>
      <c r="NH608" s="77"/>
      <c r="NI608" s="77"/>
      <c r="NJ608" s="77"/>
      <c r="NK608" s="77"/>
      <c r="NL608" s="77"/>
      <c r="NM608" s="77"/>
      <c r="NN608" s="77"/>
      <c r="NO608" s="77"/>
      <c r="NP608" s="77"/>
      <c r="NQ608" s="77"/>
      <c r="NR608" s="77"/>
      <c r="NS608" s="77"/>
      <c r="NT608" s="77"/>
      <c r="NU608" s="77"/>
      <c r="NV608" s="77"/>
      <c r="NW608" s="77"/>
      <c r="NX608" s="77"/>
      <c r="NY608" s="77"/>
      <c r="NZ608" s="77"/>
      <c r="OA608" s="77"/>
      <c r="OB608" s="77"/>
      <c r="OC608" s="77"/>
      <c r="OD608" s="77"/>
      <c r="OE608" s="77"/>
      <c r="OF608" s="77"/>
      <c r="OG608" s="77"/>
      <c r="OH608" s="77"/>
      <c r="OI608" s="77"/>
      <c r="OJ608" s="77"/>
      <c r="OK608" s="77"/>
      <c r="OL608" s="77"/>
      <c r="OM608" s="77"/>
      <c r="ON608" s="77"/>
      <c r="OO608" s="77"/>
      <c r="OP608" s="77"/>
      <c r="OQ608" s="77"/>
      <c r="OR608" s="77"/>
      <c r="OS608" s="77"/>
      <c r="OT608" s="77"/>
      <c r="OU608" s="77"/>
      <c r="OV608" s="77"/>
      <c r="OW608" s="77"/>
      <c r="OX608" s="77"/>
      <c r="OY608" s="77"/>
      <c r="OZ608" s="77"/>
      <c r="PA608" s="77"/>
      <c r="PB608" s="77"/>
      <c r="PC608" s="77"/>
      <c r="PD608" s="77"/>
      <c r="PE608" s="77"/>
    </row>
    <row r="609" spans="1:421" s="21" customFormat="1" ht="18.600000000000001" customHeight="1" x14ac:dyDescent="0.25">
      <c r="A609" s="119" t="s">
        <v>439</v>
      </c>
      <c r="B609" s="27" t="s">
        <v>439</v>
      </c>
      <c r="C609" s="27" t="s">
        <v>6413</v>
      </c>
      <c r="D609" s="30" t="str">
        <f>HYPERLINK("https://twitter.com/Lithuania","https://twitter.com/Lithuania")</f>
        <v>https://twitter.com/Lithuania</v>
      </c>
      <c r="E609" s="30" t="str">
        <f>HYPERLINK("http://twiplomacy.com/info/europe/Lithuania","http://twiplomacy.com/info/europe/Lithuania")</f>
        <v>http://twiplomacy.com/info/europe/Lithuania</v>
      </c>
      <c r="F609" s="10" t="s">
        <v>332</v>
      </c>
      <c r="G609" s="10" t="s">
        <v>439</v>
      </c>
      <c r="H609" s="10" t="s">
        <v>795</v>
      </c>
      <c r="I609" s="10" t="s">
        <v>782</v>
      </c>
      <c r="J609" s="27" t="s">
        <v>789</v>
      </c>
      <c r="K609" s="10" t="s">
        <v>777</v>
      </c>
      <c r="L609" s="10" t="s">
        <v>771</v>
      </c>
      <c r="M609" s="10" t="s">
        <v>770</v>
      </c>
      <c r="N609" s="30" t="str">
        <f>HYPERLINK("https://twitter.com/Lithuania/status/571298494000058368","https://twitter.com/Lithuania/status/571298494000058368")</f>
        <v>https://twitter.com/Lithuania/status/571298494000058368</v>
      </c>
      <c r="O609" s="27" t="s">
        <v>5911</v>
      </c>
      <c r="P609" s="80">
        <v>48</v>
      </c>
      <c r="Q609" s="80">
        <v>32</v>
      </c>
      <c r="R609" s="27" t="s">
        <v>2995</v>
      </c>
      <c r="S609" s="30" t="str">
        <f>HYPERLINK("https://twitter.com/Lithuania/lists","https://twitter.com/Lithuania/lists")</f>
        <v>https://twitter.com/Lithuania/lists</v>
      </c>
      <c r="T609" s="10" t="s">
        <v>771</v>
      </c>
      <c r="U609" s="10" t="s">
        <v>771</v>
      </c>
      <c r="V609" s="10" t="s">
        <v>771</v>
      </c>
      <c r="W609" s="10"/>
      <c r="X609" s="27" t="s">
        <v>439</v>
      </c>
      <c r="Y609" s="27" t="s">
        <v>439</v>
      </c>
      <c r="Z609" s="80">
        <v>246</v>
      </c>
      <c r="AA609" s="27">
        <v>328</v>
      </c>
      <c r="AB609" s="80">
        <v>717</v>
      </c>
      <c r="AC609" s="27">
        <v>386</v>
      </c>
      <c r="AD609" s="27" t="s">
        <v>3974</v>
      </c>
      <c r="AE609" s="27">
        <v>3058657887</v>
      </c>
      <c r="AF609" s="27" t="s">
        <v>6413</v>
      </c>
      <c r="AG609" s="27" t="s">
        <v>2023</v>
      </c>
      <c r="AH609" s="79">
        <v>0.568129330254042</v>
      </c>
      <c r="AI609" s="83">
        <v>0.57746478873239404</v>
      </c>
      <c r="AJ609" s="80">
        <v>3.7619047619047601</v>
      </c>
      <c r="AK609" s="80">
        <v>3.36507936507937</v>
      </c>
      <c r="AL609" s="27">
        <v>7</v>
      </c>
      <c r="AM609" s="97">
        <f>SUM(AL609/Z609)</f>
        <v>2.8455284552845527E-2</v>
      </c>
      <c r="AN609" s="27" t="s">
        <v>439</v>
      </c>
      <c r="AO609" s="27">
        <v>3</v>
      </c>
      <c r="AP609" s="27">
        <v>3</v>
      </c>
      <c r="AQ609" s="27">
        <v>4</v>
      </c>
      <c r="AR609" s="27">
        <f>SUM(AO609:AQ609)</f>
        <v>10</v>
      </c>
      <c r="AS609" s="27" t="s">
        <v>5252</v>
      </c>
      <c r="AT609" s="27" t="s">
        <v>5253</v>
      </c>
      <c r="AU609" s="84" t="s">
        <v>6500</v>
      </c>
      <c r="AV609" s="77"/>
      <c r="AW609" s="77"/>
      <c r="AX609" s="77"/>
      <c r="AY609" s="77"/>
      <c r="AZ609" s="77"/>
      <c r="BA609" s="77"/>
      <c r="BB609" s="77"/>
      <c r="BC609" s="77"/>
      <c r="BD609" s="77"/>
      <c r="BE609" s="77"/>
      <c r="BF609" s="77"/>
      <c r="BG609" s="77"/>
      <c r="BH609" s="77"/>
      <c r="BI609" s="77"/>
      <c r="BJ609" s="77"/>
      <c r="BK609" s="77"/>
      <c r="BL609" s="77"/>
      <c r="BM609" s="77"/>
      <c r="BN609" s="77"/>
      <c r="BO609" s="77"/>
      <c r="BP609" s="77"/>
      <c r="BQ609" s="77"/>
      <c r="BR609" s="77"/>
      <c r="BS609" s="77"/>
      <c r="BT609" s="77"/>
      <c r="BU609" s="77"/>
      <c r="BV609" s="77"/>
      <c r="BW609" s="77"/>
      <c r="BX609" s="77"/>
      <c r="BY609" s="77"/>
      <c r="BZ609" s="77"/>
      <c r="CA609" s="77"/>
      <c r="CB609" s="77"/>
      <c r="CC609" s="77"/>
      <c r="CD609" s="77"/>
      <c r="CE609" s="77"/>
      <c r="CF609" s="77"/>
      <c r="CG609" s="77"/>
      <c r="CH609" s="77"/>
      <c r="CI609" s="77"/>
      <c r="CJ609" s="77"/>
      <c r="CK609" s="77"/>
      <c r="CL609" s="77"/>
      <c r="CM609" s="77"/>
      <c r="CN609" s="77"/>
      <c r="CO609" s="77"/>
      <c r="CP609" s="77"/>
      <c r="CQ609" s="77"/>
      <c r="CR609" s="77"/>
      <c r="CS609" s="77"/>
      <c r="CT609" s="77"/>
      <c r="CU609" s="77"/>
      <c r="CV609" s="77"/>
      <c r="CW609" s="77"/>
      <c r="EM609" s="77"/>
      <c r="EN609" s="77"/>
      <c r="EO609" s="77"/>
      <c r="EP609" s="77"/>
      <c r="EQ609" s="77"/>
      <c r="ER609" s="77"/>
      <c r="ES609" s="77"/>
      <c r="ET609" s="77"/>
      <c r="EU609" s="77"/>
      <c r="EV609" s="77"/>
      <c r="EW609" s="77"/>
      <c r="EX609" s="77"/>
      <c r="EY609" s="77"/>
      <c r="EZ609" s="77"/>
      <c r="FA609" s="77"/>
      <c r="FB609" s="77"/>
      <c r="FC609" s="77"/>
      <c r="FD609" s="77"/>
      <c r="FE609" s="77"/>
      <c r="FF609" s="77"/>
      <c r="FG609" s="77"/>
      <c r="FH609" s="77"/>
      <c r="FI609" s="77"/>
      <c r="FJ609" s="77"/>
      <c r="FK609" s="77"/>
      <c r="FL609" s="77"/>
      <c r="FM609" s="77"/>
      <c r="FN609" s="77"/>
      <c r="FO609" s="77"/>
      <c r="FP609" s="77"/>
      <c r="FQ609" s="77"/>
      <c r="FR609" s="77"/>
      <c r="FS609" s="77"/>
      <c r="FT609" s="77"/>
      <c r="FU609" s="77"/>
      <c r="FV609" s="77"/>
      <c r="FW609" s="77"/>
      <c r="FX609" s="77"/>
      <c r="FY609" s="77"/>
      <c r="FZ609" s="77"/>
      <c r="GA609" s="77"/>
      <c r="GB609" s="77"/>
      <c r="GC609" s="77"/>
      <c r="GD609" s="77"/>
      <c r="GE609" s="77"/>
      <c r="GF609" s="77"/>
      <c r="GG609" s="77"/>
      <c r="GH609" s="77"/>
      <c r="GI609" s="77"/>
      <c r="GJ609" s="77"/>
      <c r="GK609" s="77"/>
      <c r="GL609" s="77"/>
      <c r="GM609" s="77"/>
      <c r="GN609" s="77"/>
      <c r="GO609" s="77"/>
      <c r="GP609" s="77"/>
      <c r="GQ609" s="77"/>
      <c r="GR609" s="77"/>
      <c r="GS609" s="77"/>
      <c r="GT609" s="77"/>
      <c r="GU609" s="77"/>
      <c r="GV609" s="77"/>
      <c r="GW609" s="77"/>
      <c r="GX609" s="77"/>
      <c r="GY609" s="77"/>
      <c r="GZ609" s="77"/>
      <c r="HA609" s="77"/>
      <c r="HB609" s="77"/>
      <c r="HC609" s="77"/>
      <c r="HD609" s="77"/>
      <c r="HE609" s="77"/>
      <c r="HF609" s="77"/>
      <c r="HG609" s="77"/>
      <c r="HH609" s="77"/>
      <c r="HI609" s="77"/>
      <c r="HJ609" s="77"/>
      <c r="HK609" s="77"/>
      <c r="ID609" s="77"/>
      <c r="IE609" s="77"/>
      <c r="IF609" s="77"/>
      <c r="IG609" s="77"/>
      <c r="IH609" s="77"/>
      <c r="II609" s="77"/>
      <c r="IJ609" s="77"/>
      <c r="IK609" s="77"/>
      <c r="IL609" s="77"/>
      <c r="IM609" s="77"/>
      <c r="IN609" s="77"/>
      <c r="IO609" s="77"/>
      <c r="IP609" s="77"/>
      <c r="IQ609" s="77"/>
      <c r="IR609" s="77"/>
      <c r="IS609" s="77"/>
      <c r="IT609" s="77"/>
      <c r="IU609" s="77"/>
      <c r="IV609" s="77"/>
      <c r="IW609" s="77"/>
      <c r="IX609" s="77"/>
      <c r="IY609" s="77"/>
      <c r="IZ609" s="77"/>
      <c r="JA609" s="77"/>
      <c r="JB609" s="77"/>
      <c r="JC609" s="77"/>
      <c r="JD609" s="77"/>
      <c r="JE609" s="77"/>
      <c r="JF609" s="77"/>
      <c r="JG609" s="77"/>
      <c r="JH609" s="77"/>
      <c r="JI609" s="77"/>
      <c r="JJ609" s="77"/>
      <c r="JK609" s="77"/>
      <c r="JL609" s="77"/>
      <c r="JM609" s="77"/>
      <c r="JN609" s="77"/>
      <c r="JO609" s="77"/>
      <c r="JP609" s="77"/>
      <c r="JQ609" s="77"/>
      <c r="JR609" s="77"/>
      <c r="JS609" s="77"/>
      <c r="JT609" s="77"/>
      <c r="JU609" s="77"/>
      <c r="JV609" s="77"/>
      <c r="JW609" s="77"/>
      <c r="JX609" s="77"/>
      <c r="JY609" s="77"/>
      <c r="JZ609" s="77"/>
      <c r="KA609" s="77"/>
      <c r="KB609" s="77"/>
      <c r="KC609" s="77"/>
      <c r="KD609" s="77"/>
      <c r="KE609" s="77"/>
      <c r="KF609" s="77"/>
      <c r="KG609" s="77"/>
      <c r="KH609" s="77"/>
      <c r="KI609" s="77"/>
      <c r="KJ609" s="77"/>
      <c r="KK609" s="77"/>
      <c r="KL609" s="77"/>
      <c r="KM609" s="77"/>
      <c r="KN609" s="77"/>
      <c r="KO609" s="77"/>
      <c r="KP609" s="77"/>
      <c r="KQ609" s="77"/>
      <c r="KR609" s="77"/>
      <c r="KS609" s="77"/>
      <c r="KT609" s="77"/>
      <c r="KU609" s="77"/>
      <c r="KV609" s="77"/>
      <c r="KW609" s="77"/>
      <c r="KX609" s="77"/>
      <c r="KY609" s="77"/>
      <c r="KZ609" s="77"/>
      <c r="LA609" s="77"/>
      <c r="LB609" s="77"/>
      <c r="LC609" s="77"/>
      <c r="LD609" s="77"/>
      <c r="LE609" s="77"/>
      <c r="LF609" s="77"/>
      <c r="LG609" s="77"/>
      <c r="LH609" s="77"/>
      <c r="LI609" s="77"/>
      <c r="LJ609" s="77"/>
      <c r="LK609" s="77"/>
    </row>
    <row r="610" spans="1:421" s="21" customFormat="1" ht="18.600000000000001" customHeight="1" x14ac:dyDescent="0.25">
      <c r="A610" s="119" t="s">
        <v>382</v>
      </c>
      <c r="B610" s="27" t="s">
        <v>1828</v>
      </c>
      <c r="C610" s="27" t="s">
        <v>4027</v>
      </c>
      <c r="D610" s="30" t="str">
        <f>HYPERLINK("https://twitter.com/MarinaKaljurand","https://twitter.com/MarinaKaljurand")</f>
        <v>https://twitter.com/MarinaKaljurand</v>
      </c>
      <c r="E610" s="30" t="str">
        <f>HYPERLINK("http://twiplomacy.com/info/europe/Estonia","http://twiplomacy.com/info/europe/Estonia")</f>
        <v>http://twiplomacy.com/info/europe/Estonia</v>
      </c>
      <c r="F610" s="10" t="s">
        <v>332</v>
      </c>
      <c r="G610" s="10" t="s">
        <v>378</v>
      </c>
      <c r="H610" s="10" t="s">
        <v>860</v>
      </c>
      <c r="I610" s="10" t="s">
        <v>773</v>
      </c>
      <c r="J610" s="27" t="s">
        <v>789</v>
      </c>
      <c r="K610" s="15" t="s">
        <v>777</v>
      </c>
      <c r="L610" s="10" t="s">
        <v>1020</v>
      </c>
      <c r="M610" s="10" t="s">
        <v>771</v>
      </c>
      <c r="N610" s="30" t="str">
        <f>HYPERLINK("https://twitter.com/KeitPentus/status/1191806076","https://twitter.com/KeitPentus/status/1191806076")</f>
        <v>https://twitter.com/KeitPentus/status/1191806076</v>
      </c>
      <c r="O610" s="27" t="s">
        <v>5927</v>
      </c>
      <c r="P610" s="80">
        <v>156</v>
      </c>
      <c r="Q610" s="80">
        <v>82</v>
      </c>
      <c r="R610" s="27" t="s">
        <v>2995</v>
      </c>
      <c r="S610" s="30" t="str">
        <f>HYPERLINK("https://twitter.com/KeitPentus/lists","https://twitter.com/KeitPentus/lists")</f>
        <v>https://twitter.com/KeitPentus/lists</v>
      </c>
      <c r="T610" s="10" t="s">
        <v>771</v>
      </c>
      <c r="U610" s="10" t="s">
        <v>771</v>
      </c>
      <c r="V610" s="10" t="s">
        <v>771</v>
      </c>
      <c r="W610" s="10"/>
      <c r="X610" s="27" t="s">
        <v>382</v>
      </c>
      <c r="Y610" s="27" t="s">
        <v>1828</v>
      </c>
      <c r="Z610" s="80">
        <v>243</v>
      </c>
      <c r="AA610" s="27">
        <v>188</v>
      </c>
      <c r="AB610" s="80">
        <v>2623</v>
      </c>
      <c r="AC610" s="27">
        <v>104</v>
      </c>
      <c r="AD610" s="27" t="s">
        <v>4028</v>
      </c>
      <c r="AE610" s="27">
        <v>601514135</v>
      </c>
      <c r="AF610" s="27" t="s">
        <v>4027</v>
      </c>
      <c r="AG610" s="27" t="s">
        <v>378</v>
      </c>
      <c r="AH610" s="79">
        <v>0.170526315789474</v>
      </c>
      <c r="AI610" s="83">
        <v>0.82372881355932204</v>
      </c>
      <c r="AJ610" s="80">
        <v>8</v>
      </c>
      <c r="AK610" s="80">
        <v>10.3544303797468</v>
      </c>
      <c r="AL610" s="27">
        <v>21</v>
      </c>
      <c r="AM610" s="97">
        <f>SUM(AL610/Z610)</f>
        <v>8.6419753086419748E-2</v>
      </c>
      <c r="AN610" s="27" t="s">
        <v>382</v>
      </c>
      <c r="AO610" s="27">
        <v>11</v>
      </c>
      <c r="AP610" s="27">
        <v>21</v>
      </c>
      <c r="AQ610" s="27">
        <v>11</v>
      </c>
      <c r="AR610" s="27">
        <f>SUM(AO610:AQ610)</f>
        <v>43</v>
      </c>
      <c r="AS610" s="27" t="s">
        <v>5280</v>
      </c>
      <c r="AT610" s="27" t="s">
        <v>6781</v>
      </c>
      <c r="AU610" s="84" t="s">
        <v>4826</v>
      </c>
      <c r="AV610" s="77"/>
      <c r="AW610" s="77"/>
      <c r="AX610" s="77"/>
      <c r="AY610" s="77"/>
      <c r="AZ610" s="77"/>
      <c r="BA610" s="77"/>
      <c r="BB610" s="77"/>
      <c r="BC610" s="77"/>
      <c r="BD610" s="77"/>
      <c r="BE610" s="77"/>
      <c r="BF610" s="77"/>
      <c r="BG610" s="77"/>
      <c r="BH610" s="77"/>
      <c r="BI610" s="77"/>
      <c r="BJ610" s="77"/>
      <c r="BK610" s="77"/>
      <c r="BL610" s="77"/>
      <c r="BM610" s="77"/>
      <c r="BN610" s="77"/>
      <c r="BO610" s="77"/>
      <c r="BP610" s="77"/>
      <c r="BQ610" s="77"/>
      <c r="BR610" s="77"/>
      <c r="BS610" s="77"/>
      <c r="BT610" s="77"/>
      <c r="BU610" s="77"/>
      <c r="BV610" s="77"/>
      <c r="BW610" s="77"/>
      <c r="BX610" s="77"/>
      <c r="BY610" s="77"/>
      <c r="BZ610" s="77"/>
      <c r="CA610" s="77"/>
      <c r="CB610" s="77"/>
      <c r="CC610" s="77"/>
      <c r="CD610" s="77"/>
      <c r="CE610" s="77"/>
      <c r="CF610" s="77"/>
      <c r="CG610" s="77"/>
      <c r="CH610" s="77"/>
      <c r="CI610" s="77"/>
      <c r="CJ610" s="77"/>
      <c r="CK610" s="77"/>
      <c r="CL610" s="77"/>
      <c r="CM610" s="77"/>
      <c r="CN610" s="77"/>
      <c r="CO610" s="77"/>
      <c r="CP610" s="77"/>
      <c r="CQ610" s="77"/>
      <c r="CR610" s="77"/>
      <c r="CS610" s="77"/>
      <c r="CT610" s="77"/>
      <c r="CU610" s="77"/>
      <c r="CV610" s="77"/>
      <c r="CW610" s="77"/>
      <c r="EQ610" s="77"/>
      <c r="ER610" s="77"/>
      <c r="ES610" s="77"/>
      <c r="ET610" s="77"/>
      <c r="EU610" s="77"/>
      <c r="EV610" s="77"/>
      <c r="EW610" s="77"/>
      <c r="EX610" s="77"/>
      <c r="EY610" s="77"/>
      <c r="EZ610" s="77"/>
      <c r="FA610" s="77"/>
      <c r="FB610" s="77"/>
      <c r="FC610" s="77"/>
      <c r="FD610" s="77"/>
      <c r="FE610" s="77"/>
      <c r="FF610" s="77"/>
      <c r="FG610" s="77"/>
      <c r="FH610" s="77"/>
      <c r="FI610" s="77"/>
      <c r="FJ610" s="77"/>
      <c r="FK610" s="77"/>
      <c r="FL610" s="77"/>
      <c r="FM610" s="77"/>
      <c r="FN610" s="77"/>
      <c r="FO610" s="77"/>
      <c r="FP610" s="77"/>
      <c r="FQ610" s="77"/>
      <c r="FR610" s="77"/>
      <c r="FS610" s="77"/>
      <c r="FT610" s="77"/>
      <c r="FU610" s="77"/>
      <c r="FV610" s="77"/>
      <c r="FW610" s="77"/>
      <c r="FX610" s="77"/>
      <c r="FY610" s="77"/>
      <c r="FZ610" s="77"/>
      <c r="GA610" s="77"/>
      <c r="GB610" s="77"/>
      <c r="GC610" s="77"/>
      <c r="GD610" s="77"/>
      <c r="GE610" s="77"/>
      <c r="GF610" s="77"/>
      <c r="GG610" s="77"/>
      <c r="GH610" s="77"/>
      <c r="GI610" s="77"/>
      <c r="GJ610" s="77"/>
      <c r="GK610" s="77"/>
      <c r="GL610" s="77"/>
      <c r="GM610" s="77"/>
      <c r="GN610" s="77"/>
      <c r="GO610" s="77"/>
      <c r="GP610" s="77"/>
      <c r="GQ610" s="77"/>
      <c r="GR610" s="77"/>
      <c r="GS610" s="77"/>
      <c r="GT610" s="77"/>
      <c r="GU610" s="77"/>
      <c r="GV610" s="77"/>
      <c r="GW610" s="77"/>
      <c r="GX610" s="77"/>
      <c r="GY610" s="77"/>
      <c r="GZ610" s="77"/>
      <c r="HA610" s="77"/>
      <c r="HB610" s="77"/>
      <c r="HC610" s="77"/>
      <c r="HD610" s="77"/>
      <c r="HE610" s="77"/>
      <c r="HF610" s="77"/>
      <c r="HG610" s="77"/>
      <c r="HH610" s="77"/>
      <c r="HI610" s="77"/>
      <c r="HJ610" s="77"/>
      <c r="HK610" s="77"/>
      <c r="ID610" s="77"/>
      <c r="IE610" s="77"/>
      <c r="IF610" s="77"/>
      <c r="IG610" s="77"/>
      <c r="IH610" s="77"/>
      <c r="II610" s="77"/>
      <c r="IJ610" s="77"/>
      <c r="IK610" s="77"/>
      <c r="IL610" s="77"/>
      <c r="IM610" s="77"/>
      <c r="IN610" s="77"/>
      <c r="IO610" s="77"/>
      <c r="IP610" s="77"/>
      <c r="IQ610" s="77"/>
      <c r="IR610" s="77"/>
      <c r="IS610" s="77"/>
      <c r="IT610" s="77"/>
      <c r="IU610" s="77"/>
      <c r="IV610" s="77"/>
      <c r="IW610" s="77"/>
      <c r="IX610" s="77"/>
      <c r="IY610" s="77"/>
      <c r="IZ610" s="77"/>
      <c r="JA610" s="77"/>
      <c r="JB610" s="77"/>
      <c r="JC610" s="77"/>
      <c r="JD610" s="77"/>
      <c r="JE610" s="77"/>
      <c r="JF610" s="77"/>
      <c r="JG610" s="77"/>
      <c r="JH610" s="77"/>
      <c r="JI610" s="77"/>
      <c r="JJ610" s="77"/>
      <c r="JK610" s="77"/>
      <c r="JL610" s="77"/>
      <c r="JM610" s="77"/>
      <c r="JN610" s="77"/>
      <c r="JO610" s="77"/>
      <c r="JP610" s="77"/>
      <c r="JQ610" s="77"/>
      <c r="JR610" s="77"/>
      <c r="JS610" s="77"/>
      <c r="JT610" s="77"/>
      <c r="JU610" s="77"/>
      <c r="JV610" s="77"/>
      <c r="JW610" s="77"/>
      <c r="JX610" s="77"/>
      <c r="JY610" s="77"/>
      <c r="JZ610" s="77"/>
      <c r="KA610" s="77"/>
      <c r="KB610" s="77"/>
      <c r="KC610" s="77"/>
      <c r="KD610" s="77"/>
      <c r="KE610" s="77"/>
      <c r="KF610" s="77"/>
      <c r="KG610" s="77"/>
      <c r="KH610" s="77"/>
      <c r="KI610" s="77"/>
      <c r="KJ610" s="77"/>
      <c r="KK610" s="77"/>
      <c r="KL610" s="77"/>
      <c r="LL610" s="77"/>
      <c r="LM610" s="77"/>
      <c r="LN610" s="77"/>
      <c r="LO610" s="77"/>
      <c r="LP610" s="77"/>
      <c r="LQ610" s="77"/>
      <c r="LR610" s="77"/>
      <c r="LS610" s="77"/>
      <c r="LT610" s="77"/>
      <c r="LU610" s="77"/>
      <c r="LV610" s="77"/>
      <c r="LY610" s="77"/>
      <c r="LZ610" s="77"/>
      <c r="MA610" s="77"/>
      <c r="MB610" s="77"/>
      <c r="MC610" s="77"/>
      <c r="MD610" s="77"/>
      <c r="ME610" s="77"/>
      <c r="MF610" s="77"/>
      <c r="MG610" s="77"/>
      <c r="MH610" s="77"/>
      <c r="MI610" s="77"/>
      <c r="MJ610" s="77"/>
      <c r="MK610" s="77"/>
      <c r="ML610" s="77"/>
      <c r="MM610" s="77"/>
      <c r="MN610" s="77"/>
      <c r="MO610" s="77"/>
      <c r="MP610" s="77"/>
      <c r="MQ610" s="77"/>
      <c r="MR610" s="77"/>
      <c r="MT610" s="77"/>
      <c r="MU610" s="77"/>
      <c r="MV610" s="77"/>
      <c r="MW610" s="77"/>
      <c r="MX610" s="77"/>
      <c r="MY610" s="77"/>
      <c r="MZ610" s="77"/>
      <c r="NA610" s="77"/>
      <c r="NB610" s="77"/>
      <c r="NC610" s="77"/>
      <c r="NE610" s="16"/>
      <c r="NF610" s="16"/>
      <c r="NG610" s="16"/>
      <c r="NH610" s="16"/>
      <c r="NI610" s="16"/>
      <c r="NJ610" s="16"/>
      <c r="NK610" s="16"/>
      <c r="NL610" s="16"/>
      <c r="NM610" s="16"/>
      <c r="NN610" s="16"/>
      <c r="NO610" s="16"/>
      <c r="NP610" s="16"/>
      <c r="NQ610" s="16"/>
      <c r="NR610" s="16"/>
      <c r="NS610" s="16"/>
      <c r="NT610" s="16"/>
      <c r="NU610" s="16"/>
      <c r="NV610" s="16"/>
      <c r="NW610" s="16"/>
      <c r="NX610" s="16"/>
      <c r="NY610" s="16"/>
      <c r="NZ610" s="16"/>
      <c r="OA610" s="16"/>
      <c r="OB610" s="16"/>
      <c r="OC610" s="16"/>
      <c r="OD610" s="16"/>
      <c r="OE610" s="16"/>
      <c r="OF610" s="16"/>
      <c r="OG610" s="16"/>
      <c r="OH610" s="16"/>
      <c r="OI610" s="16"/>
      <c r="OJ610" s="16"/>
      <c r="OK610" s="16"/>
      <c r="OL610" s="16"/>
      <c r="OM610" s="16"/>
      <c r="ON610" s="16"/>
      <c r="OO610" s="16"/>
      <c r="OP610" s="16"/>
      <c r="OQ610" s="16"/>
      <c r="OR610" s="16"/>
      <c r="OS610" s="16"/>
      <c r="OT610" s="16"/>
      <c r="OU610" s="16"/>
      <c r="OV610" s="16"/>
      <c r="OW610" s="16"/>
      <c r="OX610" s="16"/>
      <c r="OY610" s="16"/>
      <c r="OZ610" s="16"/>
      <c r="PA610" s="16"/>
      <c r="PB610" s="16"/>
      <c r="PC610" s="16"/>
      <c r="PD610" s="16"/>
      <c r="PE610" s="16"/>
    </row>
    <row r="611" spans="1:421" s="21" customFormat="1" ht="18.600000000000001" customHeight="1" x14ac:dyDescent="0.25">
      <c r="A611" s="119" t="s">
        <v>130</v>
      </c>
      <c r="B611" s="27" t="s">
        <v>3675</v>
      </c>
      <c r="C611" s="27" t="s">
        <v>3676</v>
      </c>
      <c r="D611" s="30" t="str">
        <f>HYPERLINK("https://twitter.com/FEGnassingbe","https://twitter.com/FEGnassingbe")</f>
        <v>https://twitter.com/FEGnassingbe</v>
      </c>
      <c r="E611" s="30" t="str">
        <f>HYPERLINK("http://twiplomacy.com/info/africa/Togo","http://twiplomacy.com/info/africa/Togo")</f>
        <v>http://twiplomacy.com/info/africa/Togo</v>
      </c>
      <c r="F611" s="20" t="s">
        <v>1</v>
      </c>
      <c r="G611" s="10" t="s">
        <v>129</v>
      </c>
      <c r="H611" s="10" t="s">
        <v>772</v>
      </c>
      <c r="I611" s="10" t="s">
        <v>773</v>
      </c>
      <c r="J611" s="27" t="s">
        <v>779</v>
      </c>
      <c r="K611" s="10" t="s">
        <v>777</v>
      </c>
      <c r="L611" s="10" t="s">
        <v>1114</v>
      </c>
      <c r="M611" s="10" t="s">
        <v>770</v>
      </c>
      <c r="N611" s="30" t="str">
        <f>HYPERLINK("https://twitter.com/FEGnassingbe/status/517587222640750592","https://twitter.com/FEGnassingbe/status/517587222640750592")</f>
        <v>https://twitter.com/FEGnassingbe/status/517587222640750592</v>
      </c>
      <c r="O611" s="27" t="s">
        <v>5755</v>
      </c>
      <c r="P611" s="80">
        <v>24</v>
      </c>
      <c r="Q611" s="80">
        <v>27</v>
      </c>
      <c r="R611" s="27" t="s">
        <v>2995</v>
      </c>
      <c r="S611" s="30" t="str">
        <f>HYPERLINK("https://twitter.com/FEGnassingbe/lists","https://twitter.com/FEGnassingbe/lists")</f>
        <v>https://twitter.com/FEGnassingbe/lists</v>
      </c>
      <c r="T611" s="10" t="s">
        <v>771</v>
      </c>
      <c r="U611" s="10" t="s">
        <v>771</v>
      </c>
      <c r="V611" s="10" t="s">
        <v>771</v>
      </c>
      <c r="W611" s="10"/>
      <c r="X611" s="27" t="s">
        <v>130</v>
      </c>
      <c r="Y611" s="27" t="s">
        <v>3675</v>
      </c>
      <c r="Z611" s="80">
        <v>242</v>
      </c>
      <c r="AA611" s="27">
        <v>5</v>
      </c>
      <c r="AB611" s="80">
        <v>3858</v>
      </c>
      <c r="AC611" s="27">
        <v>12</v>
      </c>
      <c r="AD611" s="27" t="s">
        <v>3677</v>
      </c>
      <c r="AE611" s="27">
        <v>2799515463</v>
      </c>
      <c r="AF611" s="27" t="s">
        <v>3676</v>
      </c>
      <c r="AG611" s="27" t="s">
        <v>1115</v>
      </c>
      <c r="AH611" s="79">
        <v>0.41796200345423101</v>
      </c>
      <c r="AI611" s="83">
        <v>0.42013888888888901</v>
      </c>
      <c r="AJ611" s="80">
        <v>2.2175732217573199</v>
      </c>
      <c r="AK611" s="80">
        <v>3.3347280334727998</v>
      </c>
      <c r="AL611" s="27">
        <v>43</v>
      </c>
      <c r="AM611" s="97">
        <f>SUM(AL611/Z611)</f>
        <v>0.17768595041322313</v>
      </c>
      <c r="AN611" s="27" t="s">
        <v>130</v>
      </c>
      <c r="AO611" s="27">
        <v>0</v>
      </c>
      <c r="AP611" s="27">
        <v>3</v>
      </c>
      <c r="AQ611" s="27">
        <v>2</v>
      </c>
      <c r="AR611" s="27">
        <f>SUM(AO611:AQ611)</f>
        <v>5</v>
      </c>
      <c r="AS611" s="27"/>
      <c r="AT611" s="27" t="s">
        <v>6289</v>
      </c>
      <c r="AU611" s="84" t="s">
        <v>4717</v>
      </c>
      <c r="AV611" s="77"/>
      <c r="AW611" s="77"/>
      <c r="AX611" s="77"/>
      <c r="AY611" s="77"/>
      <c r="AZ611" s="77"/>
      <c r="BA611" s="77"/>
      <c r="BB611" s="77"/>
      <c r="BC611" s="77"/>
      <c r="BD611" s="77"/>
      <c r="BE611" s="77"/>
      <c r="BF611" s="77"/>
      <c r="BG611" s="77"/>
      <c r="BH611" s="77"/>
      <c r="BI611" s="77"/>
      <c r="BJ611" s="77"/>
      <c r="BK611" s="77"/>
      <c r="BL611" s="77"/>
      <c r="BM611" s="77"/>
      <c r="BN611" s="77"/>
      <c r="BO611" s="77"/>
      <c r="BP611" s="77"/>
      <c r="BQ611" s="77"/>
      <c r="BR611" s="77"/>
      <c r="BS611" s="77"/>
      <c r="BT611" s="77"/>
      <c r="BU611" s="77"/>
      <c r="BV611" s="77"/>
      <c r="BW611" s="77"/>
      <c r="BX611" s="77"/>
      <c r="BY611" s="77"/>
      <c r="BZ611" s="77"/>
      <c r="CA611" s="77"/>
      <c r="CB611" s="77"/>
      <c r="CX611" s="77"/>
      <c r="CY611" s="77"/>
      <c r="CZ611" s="77"/>
      <c r="DA611" s="77"/>
      <c r="DB611" s="77"/>
      <c r="DC611" s="77"/>
      <c r="DD611" s="77"/>
      <c r="DE611" s="77"/>
      <c r="DF611" s="77"/>
      <c r="DG611" s="77"/>
      <c r="DH611" s="77"/>
      <c r="DI611" s="77"/>
      <c r="DJ611" s="77"/>
      <c r="DK611" s="77"/>
      <c r="DL611" s="77"/>
      <c r="DM611" s="77"/>
      <c r="DN611" s="77"/>
      <c r="DO611" s="77"/>
      <c r="DP611" s="77"/>
      <c r="DQ611" s="77"/>
      <c r="DR611" s="77"/>
      <c r="DS611" s="77"/>
      <c r="DT611" s="77"/>
      <c r="DU611" s="77"/>
      <c r="DV611" s="77"/>
      <c r="DW611" s="77"/>
      <c r="DX611" s="77"/>
      <c r="DY611" s="77"/>
      <c r="DZ611" s="77"/>
      <c r="EA611" s="77"/>
      <c r="EB611" s="77"/>
      <c r="EC611" s="77"/>
      <c r="ED611" s="77"/>
      <c r="EE611" s="77"/>
      <c r="EF611" s="77"/>
      <c r="EG611" s="77"/>
      <c r="EH611" s="77"/>
      <c r="EI611" s="77"/>
      <c r="EJ611" s="77"/>
      <c r="EK611" s="77"/>
      <c r="EL611" s="77"/>
      <c r="EM611" s="77"/>
      <c r="EN611" s="77"/>
      <c r="EO611" s="77"/>
      <c r="EP611" s="77"/>
      <c r="EQ611" s="77"/>
      <c r="ER611" s="77"/>
      <c r="ES611" s="77"/>
      <c r="ET611" s="77"/>
      <c r="EU611" s="77"/>
      <c r="EV611" s="77"/>
      <c r="EW611" s="77"/>
      <c r="EX611" s="77"/>
      <c r="EY611" s="77"/>
      <c r="EZ611" s="77"/>
      <c r="FA611" s="77"/>
      <c r="FB611" s="77"/>
      <c r="FC611" s="77"/>
      <c r="FD611" s="77"/>
      <c r="FE611" s="77"/>
      <c r="FF611" s="77"/>
      <c r="FG611" s="77"/>
      <c r="FH611" s="77"/>
      <c r="FI611" s="77"/>
      <c r="FJ611" s="77"/>
      <c r="FK611" s="77"/>
      <c r="FL611" s="77"/>
      <c r="FM611" s="77"/>
      <c r="FN611" s="77"/>
      <c r="FO611" s="77"/>
      <c r="FP611" s="77"/>
      <c r="FQ611" s="77"/>
      <c r="FR611" s="77"/>
      <c r="FS611" s="77"/>
      <c r="FT611" s="77"/>
      <c r="FU611" s="77"/>
      <c r="FV611" s="77"/>
      <c r="FW611" s="77"/>
      <c r="FX611" s="77"/>
      <c r="FY611" s="77"/>
      <c r="FZ611" s="77"/>
      <c r="GA611" s="77"/>
      <c r="GB611" s="77"/>
      <c r="GC611" s="77"/>
      <c r="GD611" s="77"/>
      <c r="GE611" s="77"/>
      <c r="GF611" s="77"/>
      <c r="GG611" s="77"/>
      <c r="GH611" s="77"/>
      <c r="GI611" s="77"/>
      <c r="GJ611" s="77"/>
      <c r="GK611" s="77"/>
      <c r="GL611" s="77"/>
      <c r="GM611" s="77"/>
      <c r="GN611" s="77"/>
      <c r="GO611" s="77"/>
      <c r="GP611" s="77"/>
      <c r="GQ611" s="77"/>
      <c r="GR611" s="77"/>
      <c r="GS611" s="77"/>
      <c r="GT611" s="77"/>
      <c r="GU611" s="77"/>
      <c r="GV611" s="77"/>
      <c r="GW611" s="77"/>
      <c r="GX611" s="77"/>
      <c r="GY611" s="77"/>
      <c r="GZ611" s="77"/>
      <c r="HA611" s="77"/>
      <c r="HB611" s="77"/>
      <c r="HC611" s="77"/>
      <c r="HD611" s="77"/>
      <c r="HE611" s="77"/>
      <c r="HF611" s="77"/>
      <c r="HG611" s="77"/>
      <c r="HH611" s="77"/>
      <c r="HI611" s="77"/>
      <c r="HJ611" s="77"/>
      <c r="HK611" s="77"/>
      <c r="HL611" s="77"/>
      <c r="HM611" s="77"/>
      <c r="HN611" s="77"/>
      <c r="HO611" s="77"/>
      <c r="HP611" s="77"/>
      <c r="HQ611" s="77"/>
      <c r="HR611" s="77"/>
      <c r="HS611" s="77"/>
      <c r="HT611" s="77"/>
      <c r="HU611" s="77"/>
      <c r="HV611" s="77"/>
      <c r="HW611" s="77"/>
      <c r="HX611" s="77"/>
      <c r="HY611" s="77"/>
      <c r="HZ611" s="77"/>
      <c r="IA611" s="77"/>
      <c r="IB611" s="77"/>
      <c r="IC611" s="77"/>
      <c r="ID611" s="77"/>
      <c r="IE611" s="77"/>
      <c r="JY611" s="77"/>
      <c r="JZ611" s="77"/>
      <c r="KA611" s="77"/>
      <c r="KB611" s="77"/>
      <c r="KC611" s="77"/>
      <c r="KD611" s="77"/>
      <c r="KE611" s="77"/>
      <c r="KF611" s="77"/>
      <c r="KG611" s="77"/>
      <c r="KH611" s="77"/>
      <c r="KI611" s="77"/>
      <c r="KJ611" s="77"/>
      <c r="KK611" s="77"/>
      <c r="KL611" s="77"/>
      <c r="LW611" s="16"/>
      <c r="LX611" s="16"/>
      <c r="LY611" s="77"/>
      <c r="LZ611" s="77"/>
      <c r="MA611" s="77"/>
      <c r="MB611" s="77"/>
      <c r="MC611" s="77"/>
      <c r="MD611" s="77"/>
      <c r="ME611" s="77"/>
      <c r="MF611" s="77"/>
      <c r="MG611" s="77"/>
      <c r="MH611" s="77"/>
      <c r="MI611" s="77"/>
      <c r="MJ611" s="77"/>
      <c r="MK611" s="77"/>
      <c r="ML611" s="77"/>
      <c r="MM611" s="77"/>
      <c r="MN611" s="77"/>
      <c r="MO611" s="77"/>
      <c r="MP611" s="77"/>
      <c r="MQ611" s="77"/>
      <c r="MR611" s="77"/>
      <c r="MS611" s="77"/>
    </row>
    <row r="612" spans="1:421" s="21" customFormat="1" ht="18.600000000000001" customHeight="1" x14ac:dyDescent="0.25">
      <c r="A612" s="119" t="s">
        <v>991</v>
      </c>
      <c r="B612" s="27" t="s">
        <v>992</v>
      </c>
      <c r="C612" s="27" t="s">
        <v>993</v>
      </c>
      <c r="D612" s="30" t="str">
        <f>HYPERLINK("https://twitter.com/OuldAbdelAziz","https://twitter.com/OuldAbdelAziz")</f>
        <v>https://twitter.com/OuldAbdelAziz</v>
      </c>
      <c r="E612" s="30" t="str">
        <f>HYPERLINK("http://twiplomacy.com/info/africa/Mauritania","http://twiplomacy.com/info/africa/Mauritania")</f>
        <v>http://twiplomacy.com/info/africa/Mauritania</v>
      </c>
      <c r="F612" s="20" t="s">
        <v>1</v>
      </c>
      <c r="G612" s="10" t="s">
        <v>151</v>
      </c>
      <c r="H612" s="10" t="s">
        <v>772</v>
      </c>
      <c r="I612" s="10" t="s">
        <v>773</v>
      </c>
      <c r="J612" s="27" t="s">
        <v>996</v>
      </c>
      <c r="K612" s="10" t="s">
        <v>994</v>
      </c>
      <c r="L612" s="10" t="s">
        <v>771</v>
      </c>
      <c r="M612" s="10" t="s">
        <v>771</v>
      </c>
      <c r="N612" s="30" t="str">
        <f>HYPERLINK("https://twitter.com/OuldAbdelAziz/status/231354304726962177","https://twitter.com/OuldAbdelAziz/status/231354304726962177")</f>
        <v>https://twitter.com/OuldAbdelAziz/status/231354304726962177</v>
      </c>
      <c r="O612" s="27" t="s">
        <v>995</v>
      </c>
      <c r="P612" s="80">
        <v>8</v>
      </c>
      <c r="Q612" s="80">
        <v>1</v>
      </c>
      <c r="R612" s="27" t="s">
        <v>2995</v>
      </c>
      <c r="S612" s="30" t="str">
        <f>HYPERLINK("https://twitter.com/OuldAbdelAziz/lists","https://twitter.com/OuldAbdelAziz/lists")</f>
        <v>https://twitter.com/OuldAbdelAziz/lists</v>
      </c>
      <c r="T612" s="10" t="s">
        <v>771</v>
      </c>
      <c r="U612" s="10" t="s">
        <v>771</v>
      </c>
      <c r="V612" s="10" t="s">
        <v>771</v>
      </c>
      <c r="W612" s="10"/>
      <c r="X612" s="27" t="s">
        <v>991</v>
      </c>
      <c r="Y612" s="27" t="s">
        <v>992</v>
      </c>
      <c r="Z612" s="80">
        <v>240</v>
      </c>
      <c r="AA612" s="27">
        <v>1</v>
      </c>
      <c r="AB612" s="80">
        <v>134</v>
      </c>
      <c r="AC612" s="27">
        <v>10</v>
      </c>
      <c r="AD612" s="27" t="s">
        <v>4226</v>
      </c>
      <c r="AE612" s="27">
        <v>734709722</v>
      </c>
      <c r="AF612" s="27" t="s">
        <v>993</v>
      </c>
      <c r="AG612" s="27"/>
      <c r="AH612" s="79">
        <v>0.175438596491228</v>
      </c>
      <c r="AI612" s="83">
        <v>0.56737588652482296</v>
      </c>
      <c r="AJ612" s="80">
        <v>0.40928270042194098</v>
      </c>
      <c r="AK612" s="80">
        <v>0.118143459915612</v>
      </c>
      <c r="AL612" s="27">
        <v>40</v>
      </c>
      <c r="AM612" s="97">
        <f>SUM(AL612/Z612)</f>
        <v>0.16666666666666666</v>
      </c>
      <c r="AN612" s="27" t="s">
        <v>991</v>
      </c>
      <c r="AO612" s="27">
        <v>0</v>
      </c>
      <c r="AP612" s="27">
        <v>0</v>
      </c>
      <c r="AQ612" s="27">
        <v>0</v>
      </c>
      <c r="AR612" s="27">
        <f>SUM(AO612:AQ612)</f>
        <v>0</v>
      </c>
      <c r="AS612" s="27"/>
      <c r="AT612" s="27"/>
      <c r="AU612" s="84"/>
      <c r="AV612" s="77"/>
      <c r="AW612" s="77"/>
      <c r="AX612" s="77"/>
      <c r="AY612" s="77"/>
      <c r="AZ612" s="77"/>
      <c r="BA612" s="77"/>
      <c r="BB612" s="77"/>
      <c r="BC612" s="77"/>
      <c r="BD612" s="77"/>
      <c r="BE612" s="77"/>
      <c r="BF612" s="77"/>
      <c r="BG612" s="77"/>
      <c r="BH612" s="77"/>
      <c r="BI612" s="77"/>
      <c r="BJ612" s="77"/>
      <c r="BK612" s="77"/>
      <c r="BL612" s="77"/>
      <c r="BM612" s="77"/>
      <c r="BN612" s="77"/>
      <c r="BO612" s="77"/>
      <c r="BP612" s="77"/>
      <c r="BQ612" s="77"/>
      <c r="BR612" s="77"/>
      <c r="BS612" s="77"/>
      <c r="BT612" s="77"/>
      <c r="BU612" s="77"/>
      <c r="BV612" s="77"/>
      <c r="BW612" s="77"/>
      <c r="BX612" s="77"/>
      <c r="BY612" s="77"/>
      <c r="BZ612" s="77"/>
      <c r="CA612" s="77"/>
      <c r="CB612" s="77"/>
      <c r="CX612" s="77"/>
      <c r="CY612" s="77"/>
      <c r="CZ612" s="77"/>
      <c r="DA612" s="77"/>
      <c r="DB612" s="77"/>
      <c r="DC612" s="77"/>
      <c r="DD612" s="77"/>
      <c r="DE612" s="77"/>
      <c r="DF612" s="77"/>
      <c r="DG612" s="77"/>
      <c r="DH612" s="77"/>
      <c r="DI612" s="77"/>
      <c r="DJ612" s="77"/>
      <c r="DK612" s="77"/>
      <c r="DL612" s="77"/>
      <c r="DM612" s="77"/>
      <c r="DN612" s="77"/>
      <c r="DO612" s="77"/>
      <c r="DP612" s="77"/>
      <c r="DQ612" s="77"/>
      <c r="DR612" s="77"/>
      <c r="DS612" s="77"/>
      <c r="DT612" s="77"/>
      <c r="DU612" s="77"/>
      <c r="DV612" s="77"/>
      <c r="DW612" s="77"/>
      <c r="DX612" s="77"/>
      <c r="DY612" s="77"/>
      <c r="DZ612" s="77"/>
      <c r="EA612" s="77"/>
      <c r="EB612" s="77"/>
      <c r="EC612" s="77"/>
      <c r="ED612" s="77"/>
      <c r="EE612" s="77"/>
      <c r="EF612" s="77"/>
      <c r="EG612" s="77"/>
      <c r="EH612" s="77"/>
      <c r="EI612" s="77"/>
      <c r="EJ612" s="77"/>
      <c r="EK612" s="77"/>
      <c r="EL612" s="77"/>
      <c r="EM612" s="77"/>
      <c r="EN612" s="77"/>
      <c r="EO612" s="77"/>
      <c r="EP612" s="77"/>
      <c r="EQ612" s="77"/>
      <c r="ER612" s="77"/>
      <c r="ES612" s="77"/>
      <c r="ET612" s="77"/>
      <c r="EU612" s="77"/>
      <c r="EV612" s="77"/>
      <c r="EW612" s="77"/>
      <c r="EX612" s="77"/>
      <c r="EY612" s="77"/>
      <c r="EZ612" s="77"/>
      <c r="FA612" s="77"/>
      <c r="FB612" s="77"/>
      <c r="FC612" s="77"/>
      <c r="FD612" s="77"/>
      <c r="FE612" s="77"/>
      <c r="FF612" s="77"/>
      <c r="FG612" s="77"/>
      <c r="FH612" s="77"/>
      <c r="FI612" s="77"/>
      <c r="FJ612" s="77"/>
      <c r="FK612" s="77"/>
      <c r="FL612" s="77"/>
      <c r="FM612" s="77"/>
      <c r="FN612" s="77"/>
      <c r="FO612" s="77"/>
      <c r="FP612" s="77"/>
      <c r="FQ612" s="77"/>
      <c r="FR612" s="77"/>
      <c r="FS612" s="77"/>
      <c r="FT612" s="77"/>
      <c r="FU612" s="77"/>
      <c r="FV612" s="77"/>
      <c r="FW612" s="77"/>
      <c r="FX612" s="77"/>
      <c r="FY612" s="77"/>
      <c r="FZ612" s="77"/>
      <c r="GA612" s="77"/>
      <c r="GB612" s="77"/>
      <c r="GC612" s="77"/>
      <c r="GD612" s="77"/>
      <c r="GE612" s="77"/>
      <c r="GF612" s="77"/>
      <c r="GG612" s="77"/>
      <c r="GH612" s="77"/>
      <c r="GI612" s="77"/>
      <c r="GJ612" s="77"/>
      <c r="GK612" s="77"/>
      <c r="GL612" s="77"/>
      <c r="GM612" s="77"/>
      <c r="GN612" s="77"/>
      <c r="GO612" s="77"/>
      <c r="GP612" s="77"/>
      <c r="GQ612" s="77"/>
      <c r="GR612" s="77"/>
      <c r="GS612" s="77"/>
      <c r="GT612" s="77"/>
      <c r="GU612" s="77"/>
      <c r="GV612" s="77"/>
      <c r="GW612" s="77"/>
      <c r="GX612" s="77"/>
      <c r="GY612" s="77"/>
      <c r="GZ612" s="77"/>
      <c r="HA612" s="77"/>
      <c r="HB612" s="77"/>
      <c r="HC612" s="77"/>
      <c r="HD612" s="77"/>
      <c r="HE612" s="77"/>
      <c r="HF612" s="77"/>
      <c r="HG612" s="77"/>
      <c r="HH612" s="77"/>
      <c r="HI612" s="77"/>
      <c r="HJ612" s="77"/>
      <c r="HK612" s="77"/>
      <c r="HL612" s="77"/>
      <c r="HM612" s="77"/>
      <c r="HN612" s="77"/>
      <c r="HO612" s="77"/>
      <c r="HP612" s="77"/>
      <c r="HQ612" s="77"/>
      <c r="HR612" s="77"/>
      <c r="HS612" s="77"/>
      <c r="HT612" s="77"/>
      <c r="HU612" s="77"/>
      <c r="HV612" s="77"/>
      <c r="HW612" s="77"/>
      <c r="HX612" s="77"/>
      <c r="HY612" s="77"/>
      <c r="HZ612" s="77"/>
      <c r="IA612" s="77"/>
      <c r="IB612" s="77"/>
      <c r="IC612" s="77"/>
      <c r="ID612" s="77"/>
      <c r="IE612" s="77"/>
      <c r="IF612" s="77"/>
      <c r="IG612" s="77"/>
      <c r="IH612" s="77"/>
      <c r="II612" s="77"/>
      <c r="IJ612" s="77"/>
      <c r="IK612" s="77"/>
      <c r="IL612" s="77"/>
      <c r="IM612" s="77"/>
      <c r="IN612" s="77"/>
      <c r="IO612" s="77"/>
      <c r="IP612" s="77"/>
      <c r="IQ612" s="77"/>
      <c r="IR612" s="77"/>
      <c r="IS612" s="77"/>
      <c r="IT612" s="77"/>
      <c r="IU612" s="77"/>
      <c r="IV612" s="77"/>
      <c r="IW612" s="77"/>
      <c r="IX612" s="77"/>
      <c r="IY612" s="77"/>
      <c r="IZ612" s="77"/>
      <c r="JA612" s="77"/>
      <c r="JB612" s="77"/>
      <c r="JC612" s="77"/>
      <c r="JD612" s="77"/>
      <c r="JE612" s="77"/>
      <c r="JF612" s="77"/>
      <c r="JG612" s="77"/>
      <c r="JH612" s="77"/>
      <c r="JI612" s="77"/>
      <c r="JJ612" s="77"/>
      <c r="JK612" s="77"/>
      <c r="JL612" s="77"/>
      <c r="JM612" s="77"/>
      <c r="JN612" s="77"/>
      <c r="JO612" s="77"/>
      <c r="JP612" s="77"/>
      <c r="JQ612" s="77"/>
      <c r="JR612" s="77"/>
      <c r="JS612" s="77"/>
      <c r="JT612" s="77"/>
      <c r="JU612" s="77"/>
      <c r="JV612" s="77"/>
      <c r="JW612" s="77"/>
      <c r="JX612" s="77"/>
      <c r="LL612" s="16"/>
      <c r="LM612" s="16"/>
      <c r="LN612" s="16"/>
      <c r="LO612" s="16"/>
      <c r="LP612" s="16"/>
      <c r="LQ612" s="16"/>
      <c r="LR612" s="16"/>
      <c r="LS612" s="16"/>
      <c r="LT612" s="16"/>
      <c r="LU612" s="16"/>
      <c r="LV612" s="16"/>
    </row>
    <row r="613" spans="1:421" s="21" customFormat="1" ht="18.600000000000001" customHeight="1" x14ac:dyDescent="0.25">
      <c r="A613" s="119" t="s">
        <v>2944</v>
      </c>
      <c r="B613" s="27" t="s">
        <v>2945</v>
      </c>
      <c r="C613" s="27" t="s">
        <v>2946</v>
      </c>
      <c r="D613" s="30" t="str">
        <f>HYPERLINK("https://twitter.com/PresidentUA","https://twitter.com/PresidentUA")</f>
        <v>https://twitter.com/PresidentUA</v>
      </c>
      <c r="E613" s="30" t="str">
        <f>HYPERLINK("http://twiplomacy.com/info/europe/Ukraine","http://twiplomacy.com/info/europe/Ukraine")</f>
        <v>http://twiplomacy.com/info/europe/Ukraine</v>
      </c>
      <c r="F613" s="10" t="s">
        <v>332</v>
      </c>
      <c r="G613" s="10" t="s">
        <v>543</v>
      </c>
      <c r="H613" s="10" t="s">
        <v>781</v>
      </c>
      <c r="I613" s="14" t="s">
        <v>782</v>
      </c>
      <c r="J613" s="27" t="s">
        <v>789</v>
      </c>
      <c r="K613" s="15" t="s">
        <v>2829</v>
      </c>
      <c r="L613" s="14" t="s">
        <v>771</v>
      </c>
      <c r="M613" s="14" t="s">
        <v>771</v>
      </c>
      <c r="N613" s="100" t="str">
        <f>HYPERLINK("https://twitter.com/PresidentUA/statuses/39277072409038848","https://twitter.com/PresidentUA/statuses/39277072409038848")</f>
        <v>https://twitter.com/PresidentUA/statuses/39277072409038848</v>
      </c>
      <c r="O613" s="27" t="s">
        <v>2947</v>
      </c>
      <c r="P613" s="80">
        <v>39</v>
      </c>
      <c r="Q613" s="80">
        <v>0</v>
      </c>
      <c r="R613" s="27" t="s">
        <v>2995</v>
      </c>
      <c r="S613" s="10" t="s">
        <v>2948</v>
      </c>
      <c r="T613" s="10" t="s">
        <v>771</v>
      </c>
      <c r="U613" s="10" t="s">
        <v>771</v>
      </c>
      <c r="V613" s="10" t="s">
        <v>771</v>
      </c>
      <c r="W613" s="10"/>
      <c r="X613" s="27" t="s">
        <v>2944</v>
      </c>
      <c r="Y613" s="27" t="s">
        <v>2945</v>
      </c>
      <c r="Z613" s="80">
        <v>239</v>
      </c>
      <c r="AA613" s="27">
        <v>1402</v>
      </c>
      <c r="AB613" s="80">
        <v>2136</v>
      </c>
      <c r="AC613" s="27">
        <v>0</v>
      </c>
      <c r="AD613" s="27" t="s">
        <v>4367</v>
      </c>
      <c r="AE613" s="27">
        <v>254952852</v>
      </c>
      <c r="AF613" s="27" t="s">
        <v>2946</v>
      </c>
      <c r="AG613" s="27" t="s">
        <v>543</v>
      </c>
      <c r="AH613" s="79">
        <v>0.125922023182297</v>
      </c>
      <c r="AI613" s="83">
        <v>4.625</v>
      </c>
      <c r="AJ613" s="80">
        <v>1.6818181818181801</v>
      </c>
      <c r="AK613" s="80">
        <v>9.0909090909090905E-3</v>
      </c>
      <c r="AL613" s="13">
        <v>0</v>
      </c>
      <c r="AM613" s="97">
        <f>SUM(AL613/Z613)</f>
        <v>0</v>
      </c>
      <c r="AN613" s="27" t="s">
        <v>2944</v>
      </c>
      <c r="AO613" s="27">
        <v>0</v>
      </c>
      <c r="AP613" s="27">
        <v>2</v>
      </c>
      <c r="AQ613" s="27">
        <v>0</v>
      </c>
      <c r="AR613" s="27">
        <f>SUM(AO613:AQ613)</f>
        <v>2</v>
      </c>
      <c r="AS613" s="27"/>
      <c r="AT613" s="27" t="s">
        <v>5055</v>
      </c>
      <c r="AU613" s="84"/>
      <c r="AV613" s="71"/>
      <c r="AW613" s="71"/>
      <c r="AX613" s="71"/>
      <c r="AY613" s="71"/>
      <c r="AZ613" s="71"/>
      <c r="BA613" s="71"/>
      <c r="BB613" s="71"/>
      <c r="BC613" s="71"/>
      <c r="BD613" s="71"/>
      <c r="BE613" s="71"/>
      <c r="BF613" s="71"/>
      <c r="BG613" s="71"/>
      <c r="BH613" s="71"/>
      <c r="BI613" s="71"/>
      <c r="BJ613" s="71"/>
      <c r="BK613" s="71"/>
      <c r="BL613" s="71"/>
      <c r="BM613" s="71"/>
      <c r="BN613" s="71"/>
      <c r="BO613" s="71"/>
      <c r="BP613" s="71"/>
      <c r="BQ613" s="77"/>
      <c r="BR613" s="77"/>
      <c r="BS613" s="77"/>
      <c r="BT613" s="77"/>
      <c r="BU613" s="77"/>
      <c r="BV613" s="77"/>
      <c r="BW613" s="77"/>
      <c r="BX613" s="77"/>
      <c r="BY613" s="77"/>
      <c r="BZ613" s="77"/>
      <c r="CA613" s="77"/>
      <c r="CB613" s="77"/>
      <c r="CC613" s="77"/>
      <c r="CD613" s="77"/>
      <c r="CE613" s="77"/>
      <c r="CF613" s="77"/>
      <c r="CG613" s="77"/>
      <c r="CH613" s="77"/>
      <c r="CI613" s="77"/>
      <c r="CJ613" s="77"/>
      <c r="EM613" s="77"/>
      <c r="EN613" s="77"/>
      <c r="EO613" s="77"/>
      <c r="EP613" s="77"/>
      <c r="EQ613" s="77"/>
      <c r="ER613" s="16"/>
      <c r="ES613" s="16"/>
      <c r="ET613" s="16"/>
      <c r="EU613" s="16"/>
      <c r="EV613" s="16"/>
      <c r="EW613" s="16"/>
      <c r="EX613" s="16"/>
      <c r="EY613" s="16"/>
      <c r="EZ613" s="16"/>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16"/>
      <c r="GI613" s="16"/>
      <c r="GJ613" s="16"/>
      <c r="GK613" s="16"/>
      <c r="GL613" s="77"/>
      <c r="GM613" s="77"/>
      <c r="GN613" s="77"/>
      <c r="GO613" s="77"/>
      <c r="GP613" s="77"/>
      <c r="GQ613" s="77"/>
      <c r="GR613" s="77"/>
      <c r="GS613" s="77"/>
      <c r="GT613" s="77"/>
      <c r="GU613" s="77"/>
      <c r="GV613" s="77"/>
      <c r="GW613" s="77"/>
      <c r="GX613" s="77"/>
      <c r="GY613" s="77"/>
      <c r="GZ613" s="77"/>
      <c r="HA613" s="77"/>
      <c r="HB613" s="77"/>
      <c r="HC613" s="77"/>
      <c r="HD613" s="77"/>
      <c r="HE613" s="77"/>
      <c r="HF613" s="77"/>
      <c r="HG613" s="77"/>
      <c r="HH613" s="77"/>
      <c r="HI613" s="77"/>
      <c r="HJ613" s="77"/>
      <c r="HK613" s="77"/>
      <c r="HL613" s="77"/>
      <c r="HM613" s="77"/>
      <c r="HN613" s="77"/>
      <c r="HO613" s="77"/>
      <c r="HP613" s="77"/>
      <c r="HQ613" s="77"/>
      <c r="HR613" s="77"/>
      <c r="HS613" s="77"/>
      <c r="HT613" s="77"/>
      <c r="HU613" s="77"/>
      <c r="HV613" s="77"/>
      <c r="HW613" s="77"/>
      <c r="HX613" s="77"/>
      <c r="HY613" s="77"/>
      <c r="HZ613" s="77"/>
      <c r="IA613" s="77"/>
      <c r="IB613" s="77"/>
      <c r="IC613" s="77"/>
      <c r="ID613" s="77"/>
      <c r="IE613" s="77"/>
      <c r="JY613" s="77"/>
      <c r="JZ613" s="77"/>
      <c r="KA613" s="77"/>
      <c r="KB613" s="77"/>
      <c r="KC613" s="77"/>
      <c r="KD613" s="77"/>
      <c r="KE613" s="77"/>
      <c r="KF613" s="77"/>
      <c r="KG613" s="77"/>
      <c r="KH613" s="77"/>
      <c r="KI613" s="77"/>
      <c r="KJ613" s="77"/>
      <c r="KK613" s="77"/>
      <c r="KL613" s="77"/>
      <c r="KM613" s="77"/>
      <c r="KN613" s="77"/>
      <c r="KO613" s="77"/>
      <c r="KP613" s="77"/>
      <c r="KQ613" s="77"/>
      <c r="KR613" s="77"/>
      <c r="KS613" s="77"/>
      <c r="KT613" s="77"/>
      <c r="KU613" s="77"/>
      <c r="KV613" s="77"/>
      <c r="KW613" s="77"/>
      <c r="KX613" s="77"/>
      <c r="KY613" s="77"/>
      <c r="KZ613" s="77"/>
      <c r="LA613" s="77"/>
      <c r="LB613" s="77"/>
      <c r="LC613" s="77"/>
      <c r="LD613" s="77"/>
      <c r="LE613" s="77"/>
      <c r="LF613" s="77"/>
      <c r="LG613" s="77"/>
      <c r="LH613" s="77"/>
      <c r="LI613" s="77"/>
      <c r="LJ613" s="77"/>
      <c r="LK613" s="77"/>
      <c r="LL613" s="77"/>
      <c r="LM613" s="77"/>
      <c r="LN613" s="77"/>
      <c r="LO613" s="77"/>
      <c r="LP613" s="77"/>
      <c r="LQ613" s="77"/>
      <c r="LR613" s="77"/>
      <c r="LS613" s="77"/>
      <c r="LT613" s="77"/>
      <c r="LU613" s="77"/>
      <c r="LV613" s="77"/>
      <c r="MT613" s="16"/>
      <c r="MU613" s="16"/>
      <c r="MV613" s="16"/>
      <c r="MW613" s="16"/>
      <c r="MX613" s="16"/>
      <c r="MY613" s="16"/>
      <c r="MZ613" s="16"/>
      <c r="NA613" s="16"/>
      <c r="NB613" s="16"/>
      <c r="NC613" s="16"/>
    </row>
    <row r="614" spans="1:421" s="21" customFormat="1" ht="18.600000000000001" customHeight="1" x14ac:dyDescent="0.25">
      <c r="A614" s="119" t="s">
        <v>1184</v>
      </c>
      <c r="B614" s="27" t="s">
        <v>1185</v>
      </c>
      <c r="C614" s="27" t="s">
        <v>1186</v>
      </c>
      <c r="D614" s="30" t="str">
        <f>HYPERLINK("https://twitter.com/OAAInformation","https://twitter.com/OAAInformation")</f>
        <v>https://twitter.com/OAAInformation</v>
      </c>
      <c r="E614" s="30" t="str">
        <f>HYPERLINK("http://twiplomacy.com/info/asia/Afghanistan","http://twiplomacy.com/info/asia/Afghanistan")</f>
        <v>http://twiplomacy.com/info/asia/Afghanistan</v>
      </c>
      <c r="F614" s="10" t="s">
        <v>154</v>
      </c>
      <c r="G614" s="10" t="s">
        <v>153</v>
      </c>
      <c r="H614" s="10" t="s">
        <v>788</v>
      </c>
      <c r="I614" s="10" t="s">
        <v>782</v>
      </c>
      <c r="J614" s="27" t="s">
        <v>789</v>
      </c>
      <c r="K614" s="15" t="s">
        <v>1187</v>
      </c>
      <c r="L614" s="10" t="s">
        <v>771</v>
      </c>
      <c r="M614" s="10" t="s">
        <v>770</v>
      </c>
      <c r="N614" s="30" t="str">
        <f>HYPERLINK("https://twitter.com/OAAInformation/statuses/250087294688698369","https://twitter.com/OAAInformation/statuses/250087294688698369")</f>
        <v>https://twitter.com/OAAInformation/statuses/250087294688698369</v>
      </c>
      <c r="O614" s="27" t="s">
        <v>1188</v>
      </c>
      <c r="P614" s="80">
        <v>7</v>
      </c>
      <c r="Q614" s="80">
        <v>1</v>
      </c>
      <c r="R614" s="27" t="s">
        <v>2995</v>
      </c>
      <c r="S614" s="10" t="s">
        <v>1189</v>
      </c>
      <c r="T614" s="10" t="s">
        <v>771</v>
      </c>
      <c r="U614" s="10" t="s">
        <v>771</v>
      </c>
      <c r="V614" s="10" t="s">
        <v>771</v>
      </c>
      <c r="W614" s="10"/>
      <c r="X614" s="27" t="s">
        <v>1184</v>
      </c>
      <c r="Y614" s="27" t="s">
        <v>1185</v>
      </c>
      <c r="Z614" s="80">
        <v>237</v>
      </c>
      <c r="AA614" s="27">
        <v>171</v>
      </c>
      <c r="AB614" s="80">
        <v>3024</v>
      </c>
      <c r="AC614" s="27">
        <v>6</v>
      </c>
      <c r="AD614" s="27" t="s">
        <v>4205</v>
      </c>
      <c r="AE614" s="27">
        <v>842910985</v>
      </c>
      <c r="AF614" s="27" t="s">
        <v>1186</v>
      </c>
      <c r="AG614" s="27" t="s">
        <v>1190</v>
      </c>
      <c r="AH614" s="79">
        <v>0.180091185410334</v>
      </c>
      <c r="AI614" s="83">
        <v>0.39368770764119598</v>
      </c>
      <c r="AJ614" s="80">
        <v>0.37558685446009399</v>
      </c>
      <c r="AK614" s="80">
        <v>0.248826291079812</v>
      </c>
      <c r="AL614" s="27">
        <v>7</v>
      </c>
      <c r="AM614" s="97">
        <f>SUM(AL614/Z614)</f>
        <v>2.9535864978902954E-2</v>
      </c>
      <c r="AN614" s="27" t="s">
        <v>1184</v>
      </c>
      <c r="AO614" s="27">
        <v>10</v>
      </c>
      <c r="AP614" s="27">
        <v>2</v>
      </c>
      <c r="AQ614" s="27">
        <v>0</v>
      </c>
      <c r="AR614" s="27">
        <f>SUM(AO614:AQ614)</f>
        <v>12</v>
      </c>
      <c r="AS614" s="27" t="s">
        <v>5369</v>
      </c>
      <c r="AT614" s="27" t="s">
        <v>5005</v>
      </c>
      <c r="AU614" s="84"/>
      <c r="AV614" s="74"/>
      <c r="AW614" s="74"/>
      <c r="AX614" s="74"/>
      <c r="AY614" s="74"/>
      <c r="AZ614" s="74"/>
      <c r="BA614" s="74"/>
      <c r="BB614" s="74"/>
      <c r="BC614" s="74"/>
      <c r="BD614" s="74"/>
      <c r="BE614" s="74"/>
      <c r="BF614" s="74"/>
      <c r="BG614" s="74"/>
      <c r="BH614" s="74"/>
      <c r="BI614" s="74"/>
      <c r="BJ614" s="74"/>
      <c r="BK614" s="74"/>
      <c r="BL614" s="74"/>
      <c r="BM614" s="74"/>
      <c r="BN614" s="77"/>
      <c r="BO614" s="77"/>
      <c r="BP614" s="77"/>
      <c r="BQ614" s="77"/>
      <c r="BR614" s="77"/>
      <c r="BS614" s="77"/>
      <c r="BT614" s="77"/>
      <c r="BU614" s="77"/>
      <c r="BV614" s="77"/>
      <c r="BW614" s="77"/>
      <c r="BX614" s="77"/>
      <c r="BY614" s="77"/>
      <c r="BZ614" s="77"/>
      <c r="CA614" s="77"/>
      <c r="CB614" s="77"/>
      <c r="CC614" s="77"/>
      <c r="CD614" s="77"/>
      <c r="CE614" s="77"/>
      <c r="CF614" s="77"/>
      <c r="CG614" s="77"/>
      <c r="CH614" s="77"/>
      <c r="CI614" s="77"/>
      <c r="CJ614" s="77"/>
      <c r="CK614" s="77"/>
      <c r="CL614" s="77"/>
      <c r="CM614" s="77"/>
      <c r="CN614" s="77"/>
      <c r="CO614" s="77"/>
      <c r="CP614" s="77"/>
      <c r="CQ614" s="77"/>
      <c r="CR614" s="77"/>
      <c r="CS614" s="77"/>
      <c r="CT614" s="77"/>
      <c r="CU614" s="77"/>
      <c r="CV614" s="77"/>
      <c r="CW614" s="77"/>
      <c r="CX614" s="77"/>
      <c r="CY614" s="77"/>
      <c r="CZ614" s="77"/>
      <c r="DA614" s="77"/>
      <c r="DB614" s="77"/>
      <c r="DC614" s="77"/>
      <c r="DD614" s="77"/>
      <c r="DE614" s="77"/>
      <c r="DF614" s="77"/>
      <c r="DG614" s="77"/>
      <c r="DH614" s="77"/>
      <c r="DI614" s="77"/>
      <c r="DJ614" s="77"/>
      <c r="DK614" s="77"/>
      <c r="DL614" s="77"/>
      <c r="DM614" s="77"/>
      <c r="DN614" s="77"/>
      <c r="DO614" s="77"/>
      <c r="DP614" s="77"/>
      <c r="DQ614" s="77"/>
      <c r="DR614" s="77"/>
      <c r="DS614" s="77"/>
      <c r="DT614" s="77"/>
      <c r="DU614" s="77"/>
      <c r="DV614" s="77"/>
      <c r="DW614" s="77"/>
      <c r="DX614" s="77"/>
      <c r="DY614" s="77"/>
      <c r="DZ614" s="77"/>
      <c r="EA614" s="77"/>
      <c r="EB614" s="77"/>
      <c r="EC614" s="77"/>
      <c r="ED614" s="77"/>
      <c r="EE614" s="77"/>
      <c r="EF614" s="77"/>
      <c r="EG614" s="77"/>
      <c r="EH614" s="77"/>
      <c r="EI614" s="77"/>
      <c r="EJ614" s="77"/>
      <c r="EK614" s="77"/>
      <c r="EL614" s="77"/>
      <c r="EM614" s="77"/>
      <c r="EN614" s="77"/>
      <c r="EO614" s="77"/>
      <c r="EP614" s="77"/>
      <c r="EQ614" s="16"/>
      <c r="ER614" s="77"/>
      <c r="ES614" s="77"/>
      <c r="ET614" s="77"/>
      <c r="EU614" s="77"/>
      <c r="EV614" s="77"/>
      <c r="EW614" s="77"/>
      <c r="EX614" s="77"/>
      <c r="EY614" s="77"/>
      <c r="EZ614" s="77"/>
      <c r="FA614" s="77"/>
      <c r="FB614" s="77"/>
      <c r="FC614" s="77"/>
      <c r="FD614" s="77"/>
      <c r="FE614" s="77"/>
      <c r="FF614" s="77"/>
      <c r="FG614" s="77"/>
      <c r="FH614" s="77"/>
      <c r="FI614" s="77"/>
      <c r="FJ614" s="77"/>
      <c r="FK614" s="77"/>
      <c r="FL614" s="77"/>
      <c r="FM614" s="77"/>
      <c r="FN614" s="77"/>
      <c r="FO614" s="77"/>
      <c r="FP614" s="77"/>
      <c r="FQ614" s="77"/>
      <c r="FR614" s="77"/>
      <c r="FS614" s="77"/>
      <c r="FT614" s="77"/>
      <c r="FU614" s="77"/>
      <c r="FV614" s="77"/>
      <c r="FW614" s="77"/>
      <c r="FX614" s="77"/>
      <c r="FY614" s="77"/>
      <c r="FZ614" s="77"/>
      <c r="GA614" s="77"/>
      <c r="GB614" s="77"/>
      <c r="GC614" s="77"/>
      <c r="GD614" s="77"/>
      <c r="GE614" s="77"/>
      <c r="GF614" s="77"/>
      <c r="GG614" s="77"/>
      <c r="GH614" s="77"/>
      <c r="GI614" s="77"/>
      <c r="GJ614" s="77"/>
      <c r="GK614" s="77"/>
      <c r="GL614" s="77"/>
      <c r="GM614" s="77"/>
      <c r="GN614" s="77"/>
      <c r="GO614" s="77"/>
      <c r="GP614" s="77"/>
      <c r="GQ614" s="77"/>
      <c r="GR614" s="77"/>
      <c r="GS614" s="77"/>
      <c r="GT614" s="77"/>
      <c r="GU614" s="77"/>
      <c r="GV614" s="77"/>
      <c r="GW614" s="77"/>
      <c r="GX614" s="77"/>
      <c r="GY614" s="77"/>
      <c r="GZ614" s="77"/>
      <c r="HA614" s="77"/>
      <c r="HB614" s="77"/>
      <c r="HC614" s="77"/>
      <c r="HD614" s="77"/>
      <c r="HE614" s="77"/>
      <c r="HF614" s="77"/>
      <c r="HG614" s="77"/>
      <c r="HH614" s="77"/>
      <c r="HI614" s="77"/>
      <c r="HJ614" s="77"/>
      <c r="HK614" s="77"/>
      <c r="HL614" s="77"/>
      <c r="HM614" s="77"/>
      <c r="HN614" s="77"/>
      <c r="HO614" s="77"/>
      <c r="HP614" s="77"/>
      <c r="HQ614" s="77"/>
      <c r="HR614" s="77"/>
      <c r="HS614" s="77"/>
      <c r="HT614" s="77"/>
      <c r="HU614" s="77"/>
      <c r="HV614" s="77"/>
      <c r="HW614" s="77"/>
      <c r="HX614" s="77"/>
      <c r="HY614" s="77"/>
      <c r="HZ614" s="77"/>
      <c r="IA614" s="77"/>
      <c r="IB614" s="77"/>
      <c r="IC614" s="77"/>
      <c r="ID614" s="77"/>
      <c r="IE614" s="77"/>
      <c r="IF614" s="77"/>
      <c r="IG614" s="77"/>
      <c r="IH614" s="77"/>
      <c r="II614" s="77"/>
      <c r="IJ614" s="77"/>
      <c r="IK614" s="77"/>
      <c r="IL614" s="77"/>
      <c r="IM614" s="77"/>
      <c r="IN614" s="77"/>
      <c r="IO614" s="77"/>
      <c r="IP614" s="77"/>
      <c r="IQ614" s="77"/>
      <c r="IR614" s="77"/>
      <c r="IS614" s="77"/>
      <c r="IT614" s="77"/>
      <c r="IU614" s="77"/>
      <c r="IV614" s="77"/>
      <c r="IW614" s="77"/>
      <c r="IX614" s="77"/>
      <c r="IY614" s="77"/>
      <c r="IZ614" s="77"/>
      <c r="JA614" s="77"/>
      <c r="JB614" s="77"/>
      <c r="JC614" s="77"/>
      <c r="JD614" s="77"/>
      <c r="JE614" s="77"/>
      <c r="JF614" s="77"/>
      <c r="JG614" s="77"/>
      <c r="JH614" s="77"/>
      <c r="JI614" s="77"/>
      <c r="JJ614" s="77"/>
      <c r="JK614" s="77"/>
      <c r="JL614" s="77"/>
      <c r="JM614" s="77"/>
      <c r="JN614" s="77"/>
      <c r="JO614" s="77"/>
      <c r="JP614" s="77"/>
      <c r="JQ614" s="77"/>
      <c r="JR614" s="77"/>
      <c r="JS614" s="77"/>
      <c r="JT614" s="77"/>
      <c r="JU614" s="77"/>
      <c r="JV614" s="77"/>
      <c r="JW614" s="77"/>
      <c r="JX614" s="77"/>
      <c r="JY614" s="77"/>
      <c r="JZ614" s="77"/>
      <c r="KA614" s="77"/>
      <c r="KB614" s="77"/>
      <c r="KC614" s="77"/>
      <c r="KD614" s="77"/>
      <c r="KE614" s="77"/>
      <c r="KF614" s="77"/>
      <c r="KG614" s="77"/>
      <c r="KH614" s="77"/>
      <c r="KI614" s="77"/>
      <c r="KJ614" s="77"/>
      <c r="KK614" s="77"/>
      <c r="KL614" s="77"/>
      <c r="MS614" s="77"/>
      <c r="ND614" s="16"/>
    </row>
    <row r="615" spans="1:421" s="21" customFormat="1" ht="18.600000000000001" customHeight="1" x14ac:dyDescent="0.25">
      <c r="A615" s="119" t="s">
        <v>3352</v>
      </c>
      <c r="B615" s="27" t="s">
        <v>799</v>
      </c>
      <c r="C615" s="27" t="s">
        <v>4276</v>
      </c>
      <c r="D615" s="72" t="str">
        <f>HYPERLINK("https://twitter.com/pnkurunziza","https://twitter.com/pnkurunziza")</f>
        <v>https://twitter.com/pnkurunziza</v>
      </c>
      <c r="E615" s="72" t="str">
        <f>HYPERLINK("http://twiplomacy.com/info/africa/Burundi","http://twiplomacy.com/info/africa/Burundi")</f>
        <v>http://twiplomacy.com/info/africa/Burundi</v>
      </c>
      <c r="F615" s="10" t="s">
        <v>1</v>
      </c>
      <c r="G615" s="10" t="s">
        <v>13</v>
      </c>
      <c r="H615" s="10" t="s">
        <v>772</v>
      </c>
      <c r="I615" s="10" t="s">
        <v>782</v>
      </c>
      <c r="J615" s="27" t="s">
        <v>779</v>
      </c>
      <c r="K615" s="15" t="s">
        <v>777</v>
      </c>
      <c r="L615" s="10" t="s">
        <v>771</v>
      </c>
      <c r="M615" s="10" t="s">
        <v>771</v>
      </c>
      <c r="N615" s="30" t="str">
        <f>HYPERLINK("https://twitter.com/pnkurunziza/statuses/165502877253644288","https://twitter.com/pnkurunziza/statuses/165502877253644288")</f>
        <v>https://twitter.com/pnkurunziza/statuses/165502877253644288</v>
      </c>
      <c r="O615" s="27" t="s">
        <v>6016</v>
      </c>
      <c r="P615" s="80">
        <v>499</v>
      </c>
      <c r="Q615" s="80">
        <v>134</v>
      </c>
      <c r="R615" s="27" t="s">
        <v>2994</v>
      </c>
      <c r="S615" s="10" t="s">
        <v>3353</v>
      </c>
      <c r="T615" s="10" t="s">
        <v>771</v>
      </c>
      <c r="U615" s="10" t="s">
        <v>771</v>
      </c>
      <c r="V615" s="10" t="s">
        <v>771</v>
      </c>
      <c r="W615" s="10"/>
      <c r="X615" s="27" t="s">
        <v>3352</v>
      </c>
      <c r="Y615" s="27" t="s">
        <v>799</v>
      </c>
      <c r="Z615" s="80">
        <v>229</v>
      </c>
      <c r="AA615" s="27">
        <v>14</v>
      </c>
      <c r="AB615" s="80">
        <v>25090</v>
      </c>
      <c r="AC615" s="27">
        <v>0</v>
      </c>
      <c r="AD615" s="27" t="s">
        <v>4277</v>
      </c>
      <c r="AE615" s="27">
        <v>478038456</v>
      </c>
      <c r="AF615" s="27" t="s">
        <v>4276</v>
      </c>
      <c r="AG615" s="27" t="s">
        <v>13</v>
      </c>
      <c r="AH615" s="79">
        <v>0.147361647361647</v>
      </c>
      <c r="AI615" s="83">
        <v>0.50551876379690996</v>
      </c>
      <c r="AJ615" s="80">
        <v>55.8264840182648</v>
      </c>
      <c r="AK615" s="80">
        <v>31.296803652967998</v>
      </c>
      <c r="AL615" s="27">
        <v>2</v>
      </c>
      <c r="AM615" s="97">
        <f>SUM(AL615/Z615)</f>
        <v>8.7336244541484712E-3</v>
      </c>
      <c r="AN615" s="27" t="s">
        <v>3352</v>
      </c>
      <c r="AO615" s="27">
        <v>0</v>
      </c>
      <c r="AP615" s="27">
        <v>4</v>
      </c>
      <c r="AQ615" s="27">
        <v>2</v>
      </c>
      <c r="AR615" s="27">
        <f>SUM(AO615:AQ615)</f>
        <v>6</v>
      </c>
      <c r="AS615" s="27"/>
      <c r="AT615" s="27" t="s">
        <v>6817</v>
      </c>
      <c r="AU615" s="84" t="s">
        <v>4893</v>
      </c>
      <c r="AV615" s="77"/>
      <c r="AW615" s="77"/>
      <c r="AX615" s="77"/>
      <c r="AY615" s="77"/>
      <c r="AZ615" s="77"/>
      <c r="BA615" s="77"/>
      <c r="BB615" s="77"/>
      <c r="BC615" s="77"/>
      <c r="BD615" s="77"/>
      <c r="BE615" s="77"/>
      <c r="BF615" s="77"/>
      <c r="BG615" s="77"/>
      <c r="BH615" s="77"/>
      <c r="BI615" s="77"/>
      <c r="BJ615" s="77"/>
      <c r="BK615" s="77"/>
      <c r="BL615" s="77"/>
      <c r="BM615" s="71"/>
      <c r="BN615" s="77"/>
      <c r="BO615" s="77"/>
      <c r="BP615" s="77"/>
      <c r="BQ615" s="77"/>
      <c r="BR615" s="77"/>
      <c r="BS615" s="77"/>
      <c r="BT615" s="77"/>
      <c r="BU615" s="77"/>
      <c r="BV615" s="77"/>
      <c r="BW615" s="77"/>
      <c r="BX615" s="77"/>
      <c r="BY615" s="77"/>
      <c r="BZ615" s="77"/>
      <c r="CA615" s="77"/>
      <c r="CB615" s="77"/>
      <c r="CC615" s="77"/>
      <c r="CD615" s="77"/>
      <c r="CE615" s="77"/>
      <c r="CF615" s="77"/>
      <c r="CG615" s="77"/>
      <c r="CH615" s="77"/>
      <c r="CI615" s="77"/>
      <c r="CJ615" s="77"/>
      <c r="CK615" s="77"/>
      <c r="CL615" s="77"/>
      <c r="CM615" s="77"/>
      <c r="CN615" s="77"/>
      <c r="CO615" s="77"/>
      <c r="CP615" s="77"/>
      <c r="CQ615" s="77"/>
      <c r="CR615" s="77"/>
      <c r="CS615" s="77"/>
      <c r="CT615" s="77"/>
      <c r="CU615" s="77"/>
      <c r="CV615" s="77"/>
      <c r="CW615" s="77"/>
      <c r="CX615" s="77"/>
      <c r="CY615" s="77"/>
      <c r="CZ615" s="77"/>
      <c r="DA615" s="77"/>
      <c r="DB615" s="77"/>
      <c r="DC615" s="77"/>
      <c r="DD615" s="77"/>
      <c r="DE615" s="77"/>
      <c r="DF615" s="77"/>
      <c r="DG615" s="77"/>
      <c r="DH615" s="77"/>
      <c r="DI615" s="77"/>
      <c r="DJ615" s="77"/>
      <c r="DK615" s="77"/>
      <c r="DL615" s="77"/>
      <c r="DM615" s="77"/>
      <c r="DN615" s="77"/>
      <c r="DO615" s="77"/>
      <c r="DP615" s="77"/>
      <c r="DQ615" s="77"/>
      <c r="DR615" s="77"/>
      <c r="DS615" s="77"/>
      <c r="DT615" s="77"/>
      <c r="DU615" s="77"/>
      <c r="DV615" s="77"/>
      <c r="DW615" s="77"/>
      <c r="DX615" s="77"/>
      <c r="DY615" s="77"/>
      <c r="DZ615" s="77"/>
      <c r="EA615" s="77"/>
      <c r="EB615" s="77"/>
      <c r="EC615" s="77"/>
      <c r="ED615" s="77"/>
      <c r="EE615" s="77"/>
      <c r="EF615" s="77"/>
      <c r="EG615" s="77"/>
      <c r="EH615" s="77"/>
      <c r="EI615" s="77"/>
      <c r="EJ615" s="77"/>
      <c r="EK615" s="77"/>
      <c r="EL615" s="77"/>
      <c r="EP615" s="77"/>
      <c r="EQ615" s="77"/>
      <c r="ER615" s="77"/>
      <c r="ES615" s="77"/>
      <c r="ET615" s="77"/>
      <c r="EU615" s="77"/>
      <c r="EV615" s="77"/>
      <c r="EW615" s="77"/>
      <c r="EX615" s="77"/>
      <c r="EY615" s="77"/>
      <c r="EZ615" s="77"/>
      <c r="FA615" s="77"/>
      <c r="FB615" s="77"/>
      <c r="FC615" s="77"/>
      <c r="FD615" s="77"/>
      <c r="FE615" s="77"/>
      <c r="FF615" s="77"/>
      <c r="FG615" s="77"/>
      <c r="FH615" s="77"/>
      <c r="FI615" s="77"/>
      <c r="FJ615" s="77"/>
      <c r="FK615" s="77"/>
      <c r="FL615" s="77"/>
      <c r="FM615" s="77"/>
      <c r="FN615" s="77"/>
      <c r="FO615" s="77"/>
      <c r="FP615" s="77"/>
      <c r="FQ615" s="77"/>
      <c r="FR615" s="77"/>
      <c r="FS615" s="77"/>
      <c r="FT615" s="77"/>
      <c r="FU615" s="77"/>
      <c r="FV615" s="77"/>
      <c r="FW615" s="77"/>
      <c r="FX615" s="77"/>
      <c r="FY615" s="77"/>
      <c r="FZ615" s="77"/>
      <c r="GA615" s="77"/>
      <c r="GB615" s="77"/>
      <c r="GC615" s="77"/>
      <c r="GD615" s="77"/>
      <c r="GE615" s="77"/>
      <c r="GF615" s="77"/>
      <c r="GG615" s="77"/>
      <c r="GH615" s="77"/>
      <c r="GI615" s="77"/>
      <c r="GJ615" s="77"/>
      <c r="GK615" s="77"/>
      <c r="HL615" s="77"/>
      <c r="HM615" s="77"/>
      <c r="HN615" s="77"/>
      <c r="HO615" s="77"/>
      <c r="HP615" s="77"/>
      <c r="HQ615" s="77"/>
      <c r="HR615" s="77"/>
      <c r="HS615" s="77"/>
      <c r="HT615" s="77"/>
      <c r="HU615" s="77"/>
      <c r="HV615" s="77"/>
      <c r="HW615" s="77"/>
      <c r="HX615" s="77"/>
      <c r="HY615" s="77"/>
      <c r="HZ615" s="77"/>
      <c r="IA615" s="77"/>
      <c r="IB615" s="77"/>
      <c r="IC615" s="77"/>
      <c r="ID615" s="77"/>
      <c r="IE615" s="77"/>
      <c r="JY615" s="77"/>
      <c r="JZ615" s="77"/>
      <c r="KA615" s="77"/>
      <c r="KB615" s="77"/>
      <c r="KC615" s="77"/>
      <c r="KD615" s="77"/>
      <c r="KE615" s="77"/>
      <c r="KF615" s="77"/>
      <c r="KG615" s="77"/>
      <c r="KH615" s="77"/>
      <c r="KI615" s="77"/>
      <c r="KJ615" s="77"/>
      <c r="KK615" s="77"/>
      <c r="KL615" s="77"/>
      <c r="KM615" s="77"/>
      <c r="KN615" s="77"/>
      <c r="KO615" s="77"/>
      <c r="KP615" s="77"/>
      <c r="KQ615" s="77"/>
      <c r="KR615" s="77"/>
      <c r="KS615" s="77"/>
      <c r="KT615" s="77"/>
      <c r="KU615" s="77"/>
      <c r="KV615" s="77"/>
      <c r="KW615" s="77"/>
      <c r="KX615" s="77"/>
      <c r="KY615" s="77"/>
      <c r="KZ615" s="77"/>
      <c r="LA615" s="77"/>
      <c r="LB615" s="77"/>
      <c r="LC615" s="77"/>
      <c r="LD615" s="77"/>
      <c r="LE615" s="77"/>
      <c r="LF615" s="77"/>
      <c r="LG615" s="77"/>
      <c r="LH615" s="77"/>
      <c r="LI615" s="77"/>
      <c r="LJ615" s="77"/>
      <c r="LK615" s="77"/>
      <c r="LL615" s="77"/>
      <c r="LM615" s="77"/>
      <c r="LN615" s="77"/>
      <c r="LO615" s="77"/>
      <c r="LP615" s="77"/>
      <c r="LQ615" s="77"/>
      <c r="LR615" s="77"/>
      <c r="LS615" s="77"/>
      <c r="LT615" s="77"/>
      <c r="LU615" s="77"/>
      <c r="LV615" s="77"/>
      <c r="LY615" s="77"/>
      <c r="LZ615" s="77"/>
      <c r="MA615" s="77"/>
      <c r="MB615" s="77"/>
      <c r="MC615" s="77"/>
      <c r="MD615" s="77"/>
      <c r="ME615" s="77"/>
      <c r="MF615" s="77"/>
      <c r="MG615" s="77"/>
      <c r="MH615" s="77"/>
      <c r="MI615" s="77"/>
      <c r="MJ615" s="77"/>
      <c r="MK615" s="77"/>
      <c r="ML615" s="77"/>
      <c r="MM615" s="77"/>
      <c r="MN615" s="77"/>
      <c r="MO615" s="77"/>
      <c r="MP615" s="77"/>
      <c r="MQ615" s="77"/>
      <c r="MR615" s="77"/>
      <c r="MS615" s="77"/>
      <c r="MT615" s="16"/>
      <c r="MU615" s="16"/>
      <c r="MV615" s="16"/>
      <c r="MW615" s="16"/>
      <c r="MX615" s="16"/>
      <c r="MY615" s="16"/>
      <c r="MZ615" s="16"/>
      <c r="NA615" s="16"/>
      <c r="NB615" s="16"/>
      <c r="NC615" s="16"/>
      <c r="NE615" s="77"/>
      <c r="NF615" s="77"/>
      <c r="NG615" s="77"/>
      <c r="NH615" s="77"/>
      <c r="NI615" s="77"/>
      <c r="NJ615" s="77"/>
      <c r="NK615" s="77"/>
      <c r="NL615" s="77"/>
      <c r="NM615" s="77"/>
      <c r="NN615" s="77"/>
      <c r="NO615" s="77"/>
      <c r="NP615" s="77"/>
      <c r="NQ615" s="77"/>
      <c r="NR615" s="77"/>
      <c r="NS615" s="77"/>
      <c r="NT615" s="77"/>
      <c r="NU615" s="77"/>
      <c r="NV615" s="77"/>
      <c r="NW615" s="77"/>
      <c r="NX615" s="77"/>
      <c r="NY615" s="77"/>
      <c r="NZ615" s="77"/>
      <c r="OA615" s="77"/>
      <c r="OB615" s="77"/>
      <c r="OC615" s="77"/>
      <c r="OD615" s="77"/>
      <c r="OE615" s="77"/>
      <c r="OF615" s="77"/>
      <c r="OG615" s="77"/>
      <c r="OH615" s="77"/>
      <c r="OI615" s="77"/>
      <c r="OJ615" s="77"/>
      <c r="OK615" s="77"/>
      <c r="OL615" s="77"/>
      <c r="OM615" s="77"/>
      <c r="ON615" s="77"/>
      <c r="OO615" s="77"/>
      <c r="OP615" s="77"/>
      <c r="OQ615" s="77"/>
      <c r="OR615" s="77"/>
      <c r="OS615" s="77"/>
      <c r="OT615" s="77"/>
      <c r="OU615" s="77"/>
      <c r="OV615" s="77"/>
      <c r="OW615" s="77"/>
      <c r="OX615" s="77"/>
      <c r="OY615" s="77"/>
      <c r="OZ615" s="77"/>
      <c r="PA615" s="77"/>
      <c r="PB615" s="77"/>
      <c r="PC615" s="77"/>
      <c r="PD615" s="77"/>
      <c r="PE615" s="77"/>
    </row>
    <row r="616" spans="1:421" s="21" customFormat="1" ht="18.600000000000001" customHeight="1" x14ac:dyDescent="0.25">
      <c r="A616" s="119" t="s">
        <v>3690</v>
      </c>
      <c r="B616" s="27" t="s">
        <v>1007</v>
      </c>
      <c r="C616" s="27"/>
      <c r="D616" s="30" t="str">
        <f>HYPERLINK("https://twitter.com/Fnyusi","https://twitter.com/Fnyusi")</f>
        <v>https://twitter.com/Fnyusi</v>
      </c>
      <c r="E616" s="30" t="s">
        <v>1008</v>
      </c>
      <c r="F616" s="10" t="s">
        <v>1</v>
      </c>
      <c r="G616" s="10" t="s">
        <v>89</v>
      </c>
      <c r="H616" s="10" t="s">
        <v>772</v>
      </c>
      <c r="I616" s="10" t="s">
        <v>773</v>
      </c>
      <c r="J616" s="27" t="s">
        <v>789</v>
      </c>
      <c r="K616" s="15" t="s">
        <v>777</v>
      </c>
      <c r="L616" s="10" t="s">
        <v>771</v>
      </c>
      <c r="M616" s="10" t="s">
        <v>770</v>
      </c>
      <c r="N616" s="30" t="s">
        <v>1010</v>
      </c>
      <c r="O616" s="27" t="s">
        <v>5765</v>
      </c>
      <c r="P616" s="80">
        <v>3</v>
      </c>
      <c r="Q616" s="80">
        <v>2</v>
      </c>
      <c r="R616" s="27" t="s">
        <v>2995</v>
      </c>
      <c r="S616" s="30" t="str">
        <f>HYPERLINK("https://twitter.com/FNyusi/lists","https://twitter.com/FNyusi/lists")</f>
        <v>https://twitter.com/FNyusi/lists</v>
      </c>
      <c r="T616" s="10" t="s">
        <v>771</v>
      </c>
      <c r="U616" s="10" t="s">
        <v>771</v>
      </c>
      <c r="V616" s="10" t="s">
        <v>771</v>
      </c>
      <c r="W616" s="10"/>
      <c r="X616" s="27" t="s">
        <v>3690</v>
      </c>
      <c r="Y616" s="27" t="s">
        <v>1007</v>
      </c>
      <c r="Z616" s="80">
        <v>224</v>
      </c>
      <c r="AA616" s="27">
        <v>2</v>
      </c>
      <c r="AB616" s="80">
        <v>358</v>
      </c>
      <c r="AC616" s="27">
        <v>0</v>
      </c>
      <c r="AD616" s="27" t="s">
        <v>3691</v>
      </c>
      <c r="AE616" s="27">
        <v>2787567762</v>
      </c>
      <c r="AF616" s="27"/>
      <c r="AG616" s="27" t="s">
        <v>1011</v>
      </c>
      <c r="AH616" s="79">
        <v>0.36902800658978602</v>
      </c>
      <c r="AI616" s="83">
        <v>0.36920529801324498</v>
      </c>
      <c r="AJ616" s="80">
        <v>0.104072398190045</v>
      </c>
      <c r="AK616" s="80">
        <v>0.24434389140271501</v>
      </c>
      <c r="AL616" s="13">
        <v>0</v>
      </c>
      <c r="AM616" s="97">
        <f>SUM(AL616/Z616)</f>
        <v>0</v>
      </c>
      <c r="AN616" s="27" t="s">
        <v>3690</v>
      </c>
      <c r="AO616" s="27">
        <v>0</v>
      </c>
      <c r="AP616" s="27">
        <v>2</v>
      </c>
      <c r="AQ616" s="27">
        <v>0</v>
      </c>
      <c r="AR616" s="27">
        <f>SUM(AO616:AQ616)</f>
        <v>2</v>
      </c>
      <c r="AS616" s="27"/>
      <c r="AT616" s="27" t="s">
        <v>5119</v>
      </c>
      <c r="AU616" s="84"/>
      <c r="AV616" s="77"/>
      <c r="AW616" s="77"/>
      <c r="AX616" s="77"/>
      <c r="AY616" s="77"/>
      <c r="AZ616" s="77"/>
      <c r="BA616" s="77"/>
      <c r="BB616" s="77"/>
      <c r="BC616" s="77"/>
      <c r="BD616" s="77"/>
      <c r="BE616" s="77"/>
      <c r="BF616" s="77"/>
      <c r="BG616" s="77"/>
      <c r="BH616" s="77"/>
      <c r="BI616" s="77"/>
      <c r="BJ616" s="77"/>
      <c r="BK616" s="77"/>
      <c r="BL616" s="77"/>
      <c r="BM616" s="77"/>
      <c r="BN616" s="77"/>
      <c r="BO616" s="77"/>
      <c r="BP616" s="77"/>
      <c r="CC616" s="77"/>
      <c r="CD616" s="77"/>
      <c r="CE616" s="77"/>
      <c r="CF616" s="77"/>
      <c r="CG616" s="77"/>
      <c r="CH616" s="77"/>
      <c r="CI616" s="77"/>
      <c r="CJ616" s="77"/>
      <c r="CK616" s="77"/>
      <c r="CL616" s="77"/>
      <c r="CM616" s="77"/>
      <c r="CN616" s="77"/>
      <c r="CO616" s="77"/>
      <c r="CP616" s="77"/>
      <c r="CQ616" s="77"/>
      <c r="CR616" s="77"/>
      <c r="CS616" s="77"/>
      <c r="CT616" s="77"/>
      <c r="CU616" s="77"/>
      <c r="CV616" s="77"/>
      <c r="CW616" s="77"/>
      <c r="CX616" s="77"/>
      <c r="CY616" s="77"/>
      <c r="CZ616" s="77"/>
      <c r="DA616" s="77"/>
      <c r="DB616" s="77"/>
      <c r="DC616" s="77"/>
      <c r="DD616" s="77"/>
      <c r="DE616" s="77"/>
      <c r="DF616" s="77"/>
      <c r="DG616" s="77"/>
      <c r="DH616" s="77"/>
      <c r="DI616" s="77"/>
      <c r="DJ616" s="77"/>
      <c r="DK616" s="77"/>
      <c r="DL616" s="77"/>
      <c r="DM616" s="77"/>
      <c r="DN616" s="77"/>
      <c r="DO616" s="77"/>
      <c r="DP616" s="77"/>
      <c r="DQ616" s="77"/>
      <c r="DR616" s="77"/>
      <c r="DS616" s="77"/>
      <c r="DT616" s="77"/>
      <c r="DU616" s="77"/>
      <c r="DV616" s="77"/>
      <c r="DW616" s="77"/>
      <c r="DX616" s="77"/>
      <c r="DY616" s="77"/>
      <c r="DZ616" s="77"/>
      <c r="EA616" s="77"/>
      <c r="EB616" s="77"/>
      <c r="EC616" s="77"/>
      <c r="ED616" s="77"/>
      <c r="EE616" s="77"/>
      <c r="EF616" s="77"/>
      <c r="EG616" s="77"/>
      <c r="EH616" s="77"/>
      <c r="EI616" s="77"/>
      <c r="EJ616" s="77"/>
      <c r="EK616" s="77"/>
      <c r="EL616" s="77"/>
      <c r="EP616" s="77"/>
      <c r="ER616" s="77"/>
      <c r="ES616" s="77"/>
      <c r="ET616" s="77"/>
      <c r="EU616" s="77"/>
      <c r="EV616" s="77"/>
      <c r="EW616" s="77"/>
      <c r="EX616" s="77"/>
      <c r="EY616" s="77"/>
      <c r="EZ616" s="77"/>
      <c r="FA616" s="77"/>
      <c r="FB616" s="77"/>
      <c r="FC616" s="77"/>
      <c r="FD616" s="77"/>
      <c r="FE616" s="77"/>
      <c r="FF616" s="77"/>
      <c r="FG616" s="77"/>
      <c r="FH616" s="77"/>
      <c r="FI616" s="77"/>
      <c r="FJ616" s="77"/>
      <c r="FK616" s="77"/>
      <c r="FL616" s="77"/>
      <c r="FM616" s="77"/>
      <c r="FN616" s="77"/>
      <c r="FO616" s="77"/>
      <c r="FP616" s="77"/>
      <c r="FQ616" s="77"/>
      <c r="FR616" s="77"/>
      <c r="FS616" s="77"/>
      <c r="FT616" s="77"/>
      <c r="FU616" s="77"/>
      <c r="FV616" s="77"/>
      <c r="FW616" s="77"/>
      <c r="FX616" s="77"/>
      <c r="FY616" s="77"/>
      <c r="FZ616" s="77"/>
      <c r="GA616" s="77"/>
      <c r="GB616" s="77"/>
      <c r="GC616" s="77"/>
      <c r="GD616" s="77"/>
      <c r="GE616" s="77"/>
      <c r="GF616" s="77"/>
      <c r="GG616" s="77"/>
      <c r="GH616" s="77"/>
      <c r="GI616" s="77"/>
      <c r="GJ616" s="77"/>
      <c r="GK616" s="77"/>
      <c r="GL616" s="77"/>
      <c r="GM616" s="77"/>
      <c r="GN616" s="77"/>
      <c r="GO616" s="77"/>
      <c r="GP616" s="77"/>
      <c r="GQ616" s="77"/>
      <c r="GR616" s="77"/>
      <c r="GS616" s="77"/>
      <c r="GT616" s="77"/>
      <c r="GU616" s="77"/>
      <c r="GV616" s="77"/>
      <c r="GW616" s="77"/>
      <c r="GX616" s="77"/>
      <c r="GY616" s="77"/>
      <c r="GZ616" s="77"/>
      <c r="HA616" s="77"/>
      <c r="HB616" s="77"/>
      <c r="HC616" s="77"/>
      <c r="HD616" s="77"/>
      <c r="HE616" s="77"/>
      <c r="HF616" s="77"/>
      <c r="HG616" s="77"/>
      <c r="HH616" s="77"/>
      <c r="HI616" s="77"/>
      <c r="HJ616" s="77"/>
      <c r="HK616" s="77"/>
      <c r="HL616" s="77"/>
      <c r="HM616" s="77"/>
      <c r="HN616" s="77"/>
      <c r="HO616" s="77"/>
      <c r="HP616" s="77"/>
      <c r="HQ616" s="77"/>
      <c r="HR616" s="77"/>
      <c r="HS616" s="77"/>
      <c r="HT616" s="77"/>
      <c r="HU616" s="77"/>
      <c r="HV616" s="77"/>
      <c r="HW616" s="77"/>
      <c r="HX616" s="77"/>
      <c r="HY616" s="77"/>
      <c r="HZ616" s="77"/>
      <c r="IA616" s="77"/>
      <c r="IB616" s="77"/>
      <c r="IC616" s="77"/>
      <c r="ID616" s="77"/>
      <c r="IE616" s="77"/>
      <c r="IF616" s="77"/>
      <c r="IG616" s="77"/>
      <c r="IH616" s="77"/>
      <c r="II616" s="77"/>
      <c r="IJ616" s="77"/>
      <c r="IK616" s="77"/>
      <c r="IL616" s="77"/>
      <c r="IM616" s="77"/>
      <c r="IN616" s="77"/>
      <c r="IO616" s="77"/>
      <c r="IP616" s="77"/>
      <c r="IQ616" s="77"/>
      <c r="IR616" s="77"/>
      <c r="IS616" s="77"/>
      <c r="IT616" s="77"/>
      <c r="IU616" s="77"/>
      <c r="IV616" s="77"/>
      <c r="IW616" s="77"/>
      <c r="IX616" s="77"/>
      <c r="IY616" s="77"/>
      <c r="IZ616" s="77"/>
      <c r="JA616" s="77"/>
      <c r="JB616" s="77"/>
      <c r="JC616" s="77"/>
      <c r="JD616" s="77"/>
      <c r="JE616" s="77"/>
      <c r="JF616" s="77"/>
      <c r="JG616" s="77"/>
      <c r="JH616" s="77"/>
      <c r="JI616" s="77"/>
      <c r="JJ616" s="77"/>
      <c r="JK616" s="77"/>
      <c r="JL616" s="77"/>
      <c r="JM616" s="77"/>
      <c r="JN616" s="77"/>
      <c r="JO616" s="77"/>
      <c r="JP616" s="77"/>
      <c r="JQ616" s="77"/>
      <c r="JR616" s="77"/>
      <c r="JS616" s="77"/>
      <c r="JT616" s="77"/>
      <c r="JU616" s="77"/>
      <c r="JV616" s="77"/>
      <c r="JW616" s="77"/>
      <c r="JX616" s="77"/>
      <c r="JY616" s="77"/>
      <c r="JZ616" s="77"/>
      <c r="KA616" s="77"/>
      <c r="KB616" s="77"/>
      <c r="KC616" s="77"/>
      <c r="KD616" s="77"/>
      <c r="KE616" s="77"/>
      <c r="KF616" s="77"/>
      <c r="KG616" s="77"/>
      <c r="KH616" s="77"/>
      <c r="KI616" s="77"/>
      <c r="KJ616" s="77"/>
      <c r="KK616" s="77"/>
      <c r="KL616" s="77"/>
      <c r="LL616" s="77"/>
      <c r="LM616" s="77"/>
      <c r="LN616" s="77"/>
      <c r="LO616" s="77"/>
      <c r="LP616" s="77"/>
      <c r="LQ616" s="77"/>
      <c r="LR616" s="77"/>
      <c r="LS616" s="77"/>
      <c r="LT616" s="77"/>
      <c r="LU616" s="77"/>
      <c r="LV616" s="77"/>
      <c r="LY616" s="77"/>
      <c r="LZ616" s="77"/>
      <c r="MA616" s="77"/>
      <c r="MB616" s="77"/>
      <c r="MC616" s="77"/>
      <c r="MD616" s="77"/>
      <c r="ME616" s="77"/>
      <c r="MF616" s="77"/>
      <c r="MG616" s="77"/>
      <c r="MH616" s="77"/>
      <c r="MI616" s="77"/>
      <c r="MJ616" s="77"/>
      <c r="MK616" s="77"/>
      <c r="ML616" s="77"/>
      <c r="MM616" s="77"/>
      <c r="MN616" s="77"/>
      <c r="MO616" s="77"/>
      <c r="MP616" s="77"/>
      <c r="MQ616" s="77"/>
      <c r="MR616" s="77"/>
    </row>
    <row r="617" spans="1:421" s="21" customFormat="1" ht="18.600000000000001" customHeight="1" x14ac:dyDescent="0.25">
      <c r="A617" s="119" t="s">
        <v>3333</v>
      </c>
      <c r="B617" s="27" t="s">
        <v>4318</v>
      </c>
      <c r="C617" s="27" t="s">
        <v>4319</v>
      </c>
      <c r="D617" s="12" t="s">
        <v>3342</v>
      </c>
      <c r="E617" s="30" t="str">
        <f>HYPERLINK("http://twiplomacy.com/info/north-america/Haiti","http://twiplomacy.com/info/north-america/Haiti")</f>
        <v>http://twiplomacy.com/info/north-america/Haiti</v>
      </c>
      <c r="F617" s="10" t="s">
        <v>558</v>
      </c>
      <c r="G617" s="10" t="s">
        <v>599</v>
      </c>
      <c r="H617" s="10" t="s">
        <v>781</v>
      </c>
      <c r="I617" s="10" t="s">
        <v>782</v>
      </c>
      <c r="J617" s="27" t="s">
        <v>779</v>
      </c>
      <c r="K617" s="10" t="s">
        <v>777</v>
      </c>
      <c r="L617" s="10"/>
      <c r="M617" s="10"/>
      <c r="N617" s="30" t="s">
        <v>3391</v>
      </c>
      <c r="O617" s="27" t="s">
        <v>3404</v>
      </c>
      <c r="P617" s="80">
        <v>69</v>
      </c>
      <c r="Q617" s="80">
        <v>15</v>
      </c>
      <c r="R617" s="27" t="s">
        <v>2995</v>
      </c>
      <c r="S617" s="12" t="s">
        <v>3412</v>
      </c>
      <c r="T617" s="10" t="s">
        <v>771</v>
      </c>
      <c r="U617" s="10" t="s">
        <v>771</v>
      </c>
      <c r="V617" s="10" t="s">
        <v>771</v>
      </c>
      <c r="W617" s="10"/>
      <c r="X617" s="27" t="s">
        <v>3333</v>
      </c>
      <c r="Y617" s="27" t="s">
        <v>4318</v>
      </c>
      <c r="Z617" s="80">
        <v>223</v>
      </c>
      <c r="AA617" s="27">
        <v>230</v>
      </c>
      <c r="AB617" s="80">
        <v>3861</v>
      </c>
      <c r="AC617" s="27">
        <v>12</v>
      </c>
      <c r="AD617" s="27" t="s">
        <v>4320</v>
      </c>
      <c r="AE617" s="27">
        <v>4909350065</v>
      </c>
      <c r="AF617" s="27" t="s">
        <v>4319</v>
      </c>
      <c r="AG617" s="27" t="s">
        <v>599</v>
      </c>
      <c r="AH617" s="79">
        <v>2.8589743589743599</v>
      </c>
      <c r="AI617" s="83">
        <v>2.8589743589743599</v>
      </c>
      <c r="AJ617" s="80">
        <v>10.7882882882883</v>
      </c>
      <c r="AK617" s="80">
        <v>5.7027027027027</v>
      </c>
      <c r="AL617" s="13">
        <v>0</v>
      </c>
      <c r="AM617" s="97">
        <f>SUM(AL617/Z617)</f>
        <v>0</v>
      </c>
      <c r="AN617" s="27" t="s">
        <v>3333</v>
      </c>
      <c r="AO617" s="27">
        <v>6</v>
      </c>
      <c r="AP617" s="27">
        <v>1</v>
      </c>
      <c r="AQ617" s="27">
        <v>4</v>
      </c>
      <c r="AR617" s="27">
        <f>SUM(AO617:AQ617)</f>
        <v>11</v>
      </c>
      <c r="AS617" s="27" t="s">
        <v>6245</v>
      </c>
      <c r="AT617" s="27" t="s">
        <v>705</v>
      </c>
      <c r="AU617" s="84" t="s">
        <v>5598</v>
      </c>
      <c r="AV617" s="77"/>
      <c r="AW617" s="77"/>
      <c r="AX617" s="77"/>
      <c r="AY617" s="77"/>
      <c r="AZ617" s="77"/>
      <c r="BA617" s="77"/>
      <c r="BB617" s="77"/>
      <c r="BC617" s="77"/>
      <c r="BD617" s="77"/>
      <c r="BE617" s="77"/>
      <c r="BF617" s="77"/>
      <c r="BG617" s="77"/>
      <c r="BH617" s="77"/>
      <c r="BI617" s="77"/>
      <c r="BJ617" s="77"/>
      <c r="BK617" s="77"/>
      <c r="BL617" s="77"/>
      <c r="BM617" s="77"/>
      <c r="BN617" s="77"/>
      <c r="BO617" s="77"/>
      <c r="BP617" s="77"/>
      <c r="CC617" s="77"/>
      <c r="CD617" s="77"/>
      <c r="CE617" s="77"/>
      <c r="CF617" s="77"/>
      <c r="CG617" s="77"/>
      <c r="CH617" s="77"/>
      <c r="CI617" s="77"/>
      <c r="CJ617" s="77"/>
      <c r="CK617" s="77"/>
      <c r="CL617" s="77"/>
      <c r="CM617" s="77"/>
      <c r="CN617" s="77"/>
      <c r="CO617" s="77"/>
      <c r="CP617" s="77"/>
      <c r="CQ617" s="77"/>
      <c r="CR617" s="77"/>
      <c r="CS617" s="77"/>
      <c r="CT617" s="77"/>
      <c r="CU617" s="77"/>
      <c r="CV617" s="77"/>
      <c r="CW617" s="77"/>
      <c r="EM617" s="77"/>
      <c r="EN617" s="77"/>
      <c r="EO617" s="77"/>
      <c r="EP617" s="77"/>
      <c r="GL617" s="77"/>
      <c r="GM617" s="77"/>
      <c r="GN617" s="77"/>
      <c r="GO617" s="77"/>
      <c r="GP617" s="77"/>
      <c r="GQ617" s="77"/>
      <c r="GR617" s="77"/>
      <c r="GS617" s="77"/>
      <c r="GT617" s="77"/>
      <c r="GU617" s="77"/>
      <c r="GV617" s="77"/>
      <c r="GW617" s="77"/>
      <c r="GX617" s="77"/>
      <c r="GY617" s="77"/>
      <c r="GZ617" s="77"/>
      <c r="HA617" s="77"/>
      <c r="HB617" s="77"/>
      <c r="HC617" s="77"/>
      <c r="HD617" s="77"/>
      <c r="HE617" s="77"/>
      <c r="HF617" s="77"/>
      <c r="HG617" s="77"/>
      <c r="HH617" s="77"/>
      <c r="HI617" s="77"/>
      <c r="HJ617" s="77"/>
      <c r="HK617" s="77"/>
      <c r="HL617" s="77"/>
      <c r="HM617" s="77"/>
      <c r="HN617" s="77"/>
      <c r="HO617" s="77"/>
      <c r="HP617" s="77"/>
      <c r="HQ617" s="77"/>
      <c r="HR617" s="77"/>
      <c r="HS617" s="77"/>
      <c r="HT617" s="77"/>
      <c r="HU617" s="77"/>
      <c r="HV617" s="77"/>
      <c r="HW617" s="77"/>
      <c r="HX617" s="77"/>
      <c r="HY617" s="77"/>
      <c r="HZ617" s="77"/>
      <c r="IA617" s="77"/>
      <c r="IB617" s="77"/>
      <c r="IC617" s="77"/>
      <c r="ID617" s="77"/>
      <c r="IE617" s="77"/>
      <c r="IF617" s="77"/>
      <c r="IG617" s="77"/>
      <c r="IH617" s="77"/>
      <c r="II617" s="77"/>
      <c r="IJ617" s="77"/>
      <c r="IK617" s="77"/>
      <c r="IL617" s="77"/>
      <c r="IM617" s="77"/>
      <c r="IN617" s="77"/>
      <c r="IO617" s="77"/>
      <c r="IP617" s="77"/>
      <c r="IQ617" s="77"/>
      <c r="IR617" s="77"/>
      <c r="IS617" s="77"/>
      <c r="IT617" s="77"/>
      <c r="IU617" s="77"/>
      <c r="IV617" s="77"/>
      <c r="IW617" s="77"/>
      <c r="IX617" s="77"/>
      <c r="IY617" s="77"/>
      <c r="IZ617" s="77"/>
      <c r="JA617" s="77"/>
      <c r="JB617" s="77"/>
      <c r="JC617" s="77"/>
      <c r="JD617" s="77"/>
      <c r="JE617" s="77"/>
      <c r="JF617" s="77"/>
      <c r="JG617" s="77"/>
      <c r="JH617" s="77"/>
      <c r="JI617" s="77"/>
      <c r="JJ617" s="77"/>
      <c r="JK617" s="77"/>
      <c r="JL617" s="77"/>
      <c r="JM617" s="77"/>
      <c r="JN617" s="77"/>
      <c r="JO617" s="77"/>
      <c r="JP617" s="77"/>
      <c r="JQ617" s="77"/>
      <c r="JR617" s="77"/>
      <c r="JS617" s="77"/>
      <c r="JT617" s="77"/>
      <c r="JU617" s="77"/>
      <c r="JV617" s="77"/>
      <c r="JW617" s="77"/>
      <c r="JX617" s="77"/>
      <c r="KM617" s="77"/>
      <c r="KN617" s="77"/>
      <c r="KO617" s="77"/>
      <c r="KP617" s="77"/>
      <c r="KQ617" s="77"/>
      <c r="KR617" s="77"/>
      <c r="KS617" s="77"/>
      <c r="KT617" s="77"/>
      <c r="KU617" s="77"/>
      <c r="KV617" s="77"/>
      <c r="KW617" s="77"/>
      <c r="KX617" s="77"/>
      <c r="KY617" s="77"/>
      <c r="KZ617" s="77"/>
      <c r="LA617" s="77"/>
      <c r="LB617" s="77"/>
      <c r="LC617" s="77"/>
      <c r="LD617" s="77"/>
      <c r="LE617" s="77"/>
      <c r="LF617" s="77"/>
      <c r="LG617" s="77"/>
      <c r="LH617" s="77"/>
      <c r="LI617" s="77"/>
      <c r="LJ617" s="77"/>
      <c r="LK617" s="77"/>
      <c r="LL617" s="77"/>
      <c r="LM617" s="77"/>
      <c r="LN617" s="77"/>
      <c r="LO617" s="77"/>
      <c r="LP617" s="77"/>
      <c r="LQ617" s="77"/>
      <c r="LR617" s="77"/>
      <c r="LS617" s="77"/>
      <c r="LT617" s="77"/>
      <c r="LU617" s="77"/>
      <c r="LV617" s="77"/>
      <c r="LW617" s="77"/>
      <c r="LX617" s="77"/>
      <c r="LY617" s="77"/>
      <c r="LZ617" s="77"/>
      <c r="MA617" s="77"/>
      <c r="MB617" s="77"/>
      <c r="MC617" s="77"/>
      <c r="MD617" s="77"/>
      <c r="ME617" s="77"/>
      <c r="MF617" s="77"/>
      <c r="MG617" s="77"/>
      <c r="MH617" s="77"/>
      <c r="MI617" s="77"/>
      <c r="MJ617" s="77"/>
      <c r="MK617" s="77"/>
      <c r="ML617" s="77"/>
      <c r="MM617" s="77"/>
      <c r="MN617" s="77"/>
      <c r="MO617" s="77"/>
      <c r="MP617" s="77"/>
      <c r="MQ617" s="77"/>
      <c r="MR617" s="77"/>
    </row>
    <row r="618" spans="1:421" s="21" customFormat="1" ht="18.600000000000001" customHeight="1" x14ac:dyDescent="0.25">
      <c r="A618" s="119" t="s">
        <v>721</v>
      </c>
      <c r="B618" s="27" t="s">
        <v>721</v>
      </c>
      <c r="C618" s="27" t="s">
        <v>2356</v>
      </c>
      <c r="D618" s="30" t="str">
        <f>HYPERLINK("https://twitter.com/TerzaLoggia","https://twitter.com/TerzaLoggia")</f>
        <v>https://twitter.com/TerzaLoggia</v>
      </c>
      <c r="E618" s="30" t="str">
        <f>HYPERLINK("http://twiplomacy.com/info/europe/Vatican","http://twiplomacy.com/info/europe/Vatican")</f>
        <v>http://twiplomacy.com/info/europe/Vatican</v>
      </c>
      <c r="F618" s="10" t="s">
        <v>332</v>
      </c>
      <c r="G618" s="10" t="s">
        <v>719</v>
      </c>
      <c r="H618" s="10" t="s">
        <v>795</v>
      </c>
      <c r="I618" s="10" t="s">
        <v>782</v>
      </c>
      <c r="J618" s="27" t="s">
        <v>1852</v>
      </c>
      <c r="K618" s="15" t="s">
        <v>777</v>
      </c>
      <c r="L618" s="10" t="s">
        <v>771</v>
      </c>
      <c r="M618" s="10" t="s">
        <v>770</v>
      </c>
      <c r="N618" s="30" t="str">
        <f>HYPERLINK("https://twitter.com/TerzaLoggia/statuses/309278436764045312","https://twitter.com/TerzaLoggia/statuses/309278436764045312")</f>
        <v>https://twitter.com/TerzaLoggia/statuses/309278436764045312</v>
      </c>
      <c r="O618" s="27" t="s">
        <v>2357</v>
      </c>
      <c r="P618" s="80">
        <v>143</v>
      </c>
      <c r="Q618" s="80">
        <v>31</v>
      </c>
      <c r="R618" s="27" t="s">
        <v>2994</v>
      </c>
      <c r="S618" s="10" t="s">
        <v>2358</v>
      </c>
      <c r="T618" s="10" t="s">
        <v>771</v>
      </c>
      <c r="U618" s="10" t="s">
        <v>771</v>
      </c>
      <c r="V618" s="10" t="s">
        <v>771</v>
      </c>
      <c r="W618" s="10"/>
      <c r="X618" s="27" t="s">
        <v>721</v>
      </c>
      <c r="Y618" s="27" t="s">
        <v>721</v>
      </c>
      <c r="Z618" s="80">
        <v>218</v>
      </c>
      <c r="AA618" s="27">
        <v>9</v>
      </c>
      <c r="AB618" s="80">
        <v>9613</v>
      </c>
      <c r="AC618" s="27">
        <v>0</v>
      </c>
      <c r="AD618" s="27" t="s">
        <v>4519</v>
      </c>
      <c r="AE618" s="27">
        <v>978241855</v>
      </c>
      <c r="AF618" s="27" t="s">
        <v>2356</v>
      </c>
      <c r="AG618" s="27" t="s">
        <v>2359</v>
      </c>
      <c r="AH618" s="79">
        <v>0.1744</v>
      </c>
      <c r="AI618" s="83">
        <v>0.19022687609075001</v>
      </c>
      <c r="AJ618" s="80">
        <v>10.082568807339401</v>
      </c>
      <c r="AK618" s="80">
        <v>4</v>
      </c>
      <c r="AL618" s="27">
        <v>4</v>
      </c>
      <c r="AM618" s="97">
        <f>SUM(AL618/Z618)</f>
        <v>1.834862385321101E-2</v>
      </c>
      <c r="AN618" s="27" t="s">
        <v>721</v>
      </c>
      <c r="AO618" s="27">
        <v>9</v>
      </c>
      <c r="AP618" s="27">
        <v>23</v>
      </c>
      <c r="AQ618" s="27">
        <v>0</v>
      </c>
      <c r="AR618" s="27">
        <f>SUM(AO618:AQ618)</f>
        <v>32</v>
      </c>
      <c r="AS618" s="27" t="s">
        <v>5514</v>
      </c>
      <c r="AT618" s="27" t="s">
        <v>5515</v>
      </c>
      <c r="AU618" s="84"/>
      <c r="AV618" s="77"/>
      <c r="AW618" s="77"/>
      <c r="AX618" s="77"/>
      <c r="AY618" s="77"/>
      <c r="AZ618" s="77"/>
      <c r="BA618" s="77"/>
      <c r="BB618" s="77"/>
      <c r="BC618" s="77"/>
      <c r="BD618" s="77"/>
      <c r="BE618" s="77"/>
      <c r="BF618" s="77"/>
      <c r="BG618" s="77"/>
      <c r="BH618" s="77"/>
      <c r="BI618" s="77"/>
      <c r="BJ618" s="77"/>
      <c r="BK618" s="77"/>
      <c r="BL618" s="77"/>
      <c r="BM618" s="77"/>
      <c r="BN618" s="77"/>
      <c r="BO618" s="77"/>
      <c r="BP618" s="77"/>
      <c r="BQ618" s="77"/>
      <c r="BR618" s="77"/>
      <c r="BS618" s="77"/>
      <c r="BT618" s="77"/>
      <c r="BU618" s="77"/>
      <c r="BV618" s="77"/>
      <c r="BW618" s="77"/>
      <c r="BX618" s="77"/>
      <c r="BY618" s="77"/>
      <c r="BZ618" s="77"/>
      <c r="CA618" s="77"/>
      <c r="CB618" s="77"/>
      <c r="CC618" s="77"/>
      <c r="CD618" s="77"/>
      <c r="CE618" s="77"/>
      <c r="CF618" s="77"/>
      <c r="CG618" s="77"/>
      <c r="CH618" s="77"/>
      <c r="CI618" s="77"/>
      <c r="CJ618" s="77"/>
      <c r="CK618" s="77"/>
      <c r="CL618" s="77"/>
      <c r="CM618" s="77"/>
      <c r="CN618" s="77"/>
      <c r="CO618" s="77"/>
      <c r="CP618" s="77"/>
      <c r="CQ618" s="77"/>
      <c r="CR618" s="77"/>
      <c r="CS618" s="77"/>
      <c r="CT618" s="77"/>
      <c r="CU618" s="77"/>
      <c r="CV618" s="77"/>
      <c r="CW618" s="77"/>
      <c r="CX618" s="77"/>
      <c r="CY618" s="77"/>
      <c r="CZ618" s="77"/>
      <c r="DA618" s="77"/>
      <c r="DB618" s="77"/>
      <c r="DC618" s="77"/>
      <c r="DD618" s="77"/>
      <c r="DE618" s="77"/>
      <c r="DF618" s="77"/>
      <c r="DG618" s="77"/>
      <c r="DH618" s="77"/>
      <c r="DI618" s="77"/>
      <c r="DJ618" s="77"/>
      <c r="DK618" s="77"/>
      <c r="DL618" s="77"/>
      <c r="DM618" s="77"/>
      <c r="DN618" s="77"/>
      <c r="DO618" s="77"/>
      <c r="DP618" s="77"/>
      <c r="DQ618" s="77"/>
      <c r="DR618" s="77"/>
      <c r="DS618" s="77"/>
      <c r="DT618" s="77"/>
      <c r="DU618" s="77"/>
      <c r="DV618" s="77"/>
      <c r="DW618" s="77"/>
      <c r="DX618" s="77"/>
      <c r="DY618" s="77"/>
      <c r="DZ618" s="77"/>
      <c r="EA618" s="77"/>
      <c r="EB618" s="77"/>
      <c r="EC618" s="77"/>
      <c r="ED618" s="77"/>
      <c r="EE618" s="77"/>
      <c r="EF618" s="77"/>
      <c r="EG618" s="77"/>
      <c r="EH618" s="77"/>
      <c r="EI618" s="77"/>
      <c r="EJ618" s="77"/>
      <c r="EK618" s="77"/>
      <c r="EL618" s="77"/>
      <c r="EM618" s="77"/>
      <c r="EN618" s="77"/>
      <c r="EO618" s="77"/>
      <c r="EP618" s="77"/>
      <c r="EQ618" s="77"/>
      <c r="ER618" s="77"/>
      <c r="ES618" s="77"/>
      <c r="ET618" s="77"/>
      <c r="EU618" s="77"/>
      <c r="EV618" s="77"/>
      <c r="EW618" s="77"/>
      <c r="EX618" s="77"/>
      <c r="EY618" s="77"/>
      <c r="EZ618" s="77"/>
      <c r="FA618" s="77"/>
      <c r="FB618" s="77"/>
      <c r="FC618" s="77"/>
      <c r="FD618" s="77"/>
      <c r="FE618" s="77"/>
      <c r="FF618" s="77"/>
      <c r="FG618" s="77"/>
      <c r="FH618" s="77"/>
      <c r="FI618" s="77"/>
      <c r="FJ618" s="77"/>
      <c r="FK618" s="77"/>
      <c r="FL618" s="77"/>
      <c r="FM618" s="77"/>
      <c r="FN618" s="77"/>
      <c r="FO618" s="77"/>
      <c r="FP618" s="77"/>
      <c r="FQ618" s="77"/>
      <c r="FR618" s="77"/>
      <c r="FS618" s="77"/>
      <c r="FT618" s="77"/>
      <c r="FU618" s="77"/>
      <c r="FV618" s="77"/>
      <c r="FW618" s="77"/>
      <c r="FX618" s="77"/>
      <c r="FY618" s="77"/>
      <c r="FZ618" s="77"/>
      <c r="GA618" s="77"/>
      <c r="GB618" s="77"/>
      <c r="GC618" s="77"/>
      <c r="GD618" s="77"/>
      <c r="GE618" s="77"/>
      <c r="GF618" s="77"/>
      <c r="GG618" s="77"/>
      <c r="GH618" s="77"/>
      <c r="GI618" s="77"/>
      <c r="GJ618" s="77"/>
      <c r="GK618" s="77"/>
      <c r="HL618" s="77"/>
      <c r="HM618" s="77"/>
      <c r="HN618" s="77"/>
      <c r="HO618" s="77"/>
      <c r="HP618" s="77"/>
      <c r="HQ618" s="77"/>
      <c r="HR618" s="77"/>
      <c r="HS618" s="77"/>
      <c r="HT618" s="77"/>
      <c r="HU618" s="77"/>
      <c r="HV618" s="77"/>
      <c r="HW618" s="77"/>
      <c r="HX618" s="77"/>
      <c r="HY618" s="77"/>
      <c r="HZ618" s="77"/>
      <c r="IA618" s="77"/>
      <c r="IB618" s="77"/>
      <c r="IC618" s="77"/>
      <c r="ID618" s="77"/>
      <c r="IE618" s="77"/>
      <c r="IF618" s="77"/>
      <c r="IG618" s="77"/>
      <c r="IH618" s="77"/>
      <c r="II618" s="77"/>
      <c r="IJ618" s="77"/>
      <c r="IK618" s="77"/>
      <c r="IL618" s="77"/>
      <c r="IM618" s="77"/>
      <c r="IN618" s="77"/>
      <c r="IO618" s="77"/>
      <c r="IP618" s="77"/>
      <c r="IQ618" s="77"/>
      <c r="IR618" s="77"/>
      <c r="IS618" s="77"/>
      <c r="IT618" s="77"/>
      <c r="IU618" s="77"/>
      <c r="IV618" s="77"/>
      <c r="IW618" s="77"/>
      <c r="IX618" s="77"/>
      <c r="IY618" s="77"/>
      <c r="IZ618" s="77"/>
      <c r="JA618" s="77"/>
      <c r="JB618" s="77"/>
      <c r="JC618" s="77"/>
      <c r="JD618" s="77"/>
      <c r="JE618" s="77"/>
      <c r="JF618" s="77"/>
      <c r="JG618" s="77"/>
      <c r="JH618" s="77"/>
      <c r="JI618" s="77"/>
      <c r="JJ618" s="77"/>
      <c r="JK618" s="77"/>
      <c r="JL618" s="77"/>
      <c r="JM618" s="77"/>
      <c r="JN618" s="77"/>
      <c r="JO618" s="77"/>
      <c r="JP618" s="77"/>
      <c r="JQ618" s="77"/>
      <c r="JR618" s="77"/>
      <c r="JS618" s="77"/>
      <c r="JT618" s="77"/>
      <c r="JU618" s="77"/>
      <c r="JV618" s="77"/>
      <c r="JW618" s="77"/>
      <c r="JX618" s="77"/>
      <c r="KM618" s="77"/>
      <c r="KN618" s="77"/>
      <c r="KO618" s="77"/>
      <c r="KP618" s="77"/>
      <c r="KQ618" s="77"/>
      <c r="KR618" s="77"/>
      <c r="KS618" s="77"/>
      <c r="KT618" s="77"/>
      <c r="KU618" s="77"/>
      <c r="KV618" s="77"/>
      <c r="KW618" s="77"/>
      <c r="KX618" s="77"/>
      <c r="KY618" s="77"/>
      <c r="KZ618" s="77"/>
      <c r="LA618" s="77"/>
      <c r="LB618" s="77"/>
      <c r="LC618" s="77"/>
      <c r="LD618" s="77"/>
      <c r="LE618" s="77"/>
      <c r="LF618" s="77"/>
      <c r="LG618" s="77"/>
      <c r="LH618" s="77"/>
      <c r="LI618" s="77"/>
      <c r="LJ618" s="77"/>
      <c r="LK618" s="77"/>
      <c r="LL618" s="77"/>
      <c r="LM618" s="77"/>
      <c r="LN618" s="77"/>
      <c r="LO618" s="77"/>
      <c r="LP618" s="77"/>
      <c r="LQ618" s="77"/>
      <c r="LR618" s="77"/>
      <c r="LS618" s="77"/>
      <c r="LT618" s="77"/>
      <c r="LU618" s="77"/>
      <c r="LV618" s="77"/>
      <c r="LW618" s="77"/>
      <c r="LX618" s="77"/>
      <c r="LY618" s="77"/>
      <c r="LZ618" s="77"/>
      <c r="MA618" s="77"/>
      <c r="MB618" s="77"/>
      <c r="MC618" s="77"/>
      <c r="MD618" s="77"/>
      <c r="ME618" s="77"/>
      <c r="MF618" s="77"/>
      <c r="MG618" s="77"/>
      <c r="MH618" s="77"/>
      <c r="MI618" s="77"/>
      <c r="MJ618" s="77"/>
      <c r="MK618" s="77"/>
      <c r="ML618" s="77"/>
      <c r="MM618" s="77"/>
      <c r="MN618" s="77"/>
      <c r="MO618" s="77"/>
      <c r="MP618" s="77"/>
      <c r="MQ618" s="77"/>
      <c r="MR618" s="77"/>
      <c r="MS618" s="77"/>
    </row>
    <row r="619" spans="1:421" s="21" customFormat="1" ht="18.600000000000001" customHeight="1" x14ac:dyDescent="0.25">
      <c r="A619" s="119" t="s">
        <v>208</v>
      </c>
      <c r="B619" s="27" t="s">
        <v>1348</v>
      </c>
      <c r="C619" s="27" t="s">
        <v>1349</v>
      </c>
      <c r="D619" s="30" t="str">
        <f>HYPERLINK("https://twitter.com/PresidentRuvi","https://twitter.com/PresidentRuvi")</f>
        <v>https://twitter.com/PresidentRuvi</v>
      </c>
      <c r="E619" s="30" t="str">
        <f>HYPERLINK("http://twiplomacy.com/info/asia/Israel","http://twiplomacy.com/info/asia/Israel")</f>
        <v>http://twiplomacy.com/info/asia/Israel</v>
      </c>
      <c r="F619" s="10" t="s">
        <v>154</v>
      </c>
      <c r="G619" s="10" t="s">
        <v>207</v>
      </c>
      <c r="H619" s="10" t="s">
        <v>772</v>
      </c>
      <c r="I619" s="10" t="s">
        <v>773</v>
      </c>
      <c r="J619" s="27" t="s">
        <v>789</v>
      </c>
      <c r="K619" s="10" t="s">
        <v>777</v>
      </c>
      <c r="L619" s="10" t="s">
        <v>1114</v>
      </c>
      <c r="M619" s="10" t="s">
        <v>770</v>
      </c>
      <c r="N619" s="72" t="str">
        <f>HYPERLINK("https://twitter.com/PresidentRuvi/status/529568907355369472","https://twitter.com/PresidentRuvi/status/529568907355369472")</f>
        <v>https://twitter.com/PresidentRuvi/status/529568907355369472</v>
      </c>
      <c r="O619" s="27" t="s">
        <v>6050</v>
      </c>
      <c r="P619" s="80">
        <v>246</v>
      </c>
      <c r="Q619" s="80">
        <v>158</v>
      </c>
      <c r="R619" s="27" t="s">
        <v>2994</v>
      </c>
      <c r="S619" s="30" t="str">
        <f>HYPERLINK("https://twitter.com/PresidentRuvi/lists","https://twitter.com/PresidentRuvi/lists")</f>
        <v>https://twitter.com/PresidentRuvi/lists</v>
      </c>
      <c r="T619" s="10" t="s">
        <v>771</v>
      </c>
      <c r="U619" s="10" t="s">
        <v>771</v>
      </c>
      <c r="V619" s="10" t="s">
        <v>771</v>
      </c>
      <c r="W619" s="10"/>
      <c r="X619" s="27" t="s">
        <v>208</v>
      </c>
      <c r="Y619" s="27" t="s">
        <v>1348</v>
      </c>
      <c r="Z619" s="80">
        <v>216</v>
      </c>
      <c r="AA619" s="27">
        <v>144</v>
      </c>
      <c r="AB619" s="80">
        <v>13393</v>
      </c>
      <c r="AC619" s="27">
        <v>42</v>
      </c>
      <c r="AD619" s="27" t="s">
        <v>4366</v>
      </c>
      <c r="AE619" s="27">
        <v>2889520524</v>
      </c>
      <c r="AF619" s="27" t="s">
        <v>1349</v>
      </c>
      <c r="AG619" s="27" t="s">
        <v>1350</v>
      </c>
      <c r="AH619" s="79">
        <v>0.39633027522935799</v>
      </c>
      <c r="AI619" s="83">
        <v>0.40986717267552197</v>
      </c>
      <c r="AJ619" s="80">
        <v>43.010810810810803</v>
      </c>
      <c r="AK619" s="80">
        <v>40.616216216216202</v>
      </c>
      <c r="AL619" s="27">
        <v>5</v>
      </c>
      <c r="AM619" s="97">
        <f>SUM(AL619/Z619)</f>
        <v>2.3148148148148147E-2</v>
      </c>
      <c r="AN619" s="27" t="s">
        <v>208</v>
      </c>
      <c r="AO619" s="27">
        <v>3</v>
      </c>
      <c r="AP619" s="27">
        <v>10</v>
      </c>
      <c r="AQ619" s="27">
        <v>6</v>
      </c>
      <c r="AR619" s="27">
        <f>SUM(AO619:AQ619)</f>
        <v>19</v>
      </c>
      <c r="AS619" s="27" t="s">
        <v>6619</v>
      </c>
      <c r="AT619" s="27" t="s">
        <v>5443</v>
      </c>
      <c r="AU619" s="84" t="s">
        <v>4925</v>
      </c>
      <c r="AV619" s="77"/>
      <c r="AW619" s="77"/>
      <c r="AX619" s="77"/>
      <c r="AY619" s="77"/>
      <c r="AZ619" s="77"/>
      <c r="BA619" s="77"/>
      <c r="BB619" s="77"/>
      <c r="BC619" s="77"/>
      <c r="BD619" s="77"/>
      <c r="BE619" s="77"/>
      <c r="BF619" s="77"/>
      <c r="BG619" s="77"/>
      <c r="BH619" s="77"/>
      <c r="BI619" s="77"/>
      <c r="BJ619" s="77"/>
      <c r="BK619" s="77"/>
      <c r="BL619" s="77"/>
      <c r="BM619" s="77"/>
      <c r="BN619" s="77"/>
      <c r="BO619" s="77"/>
      <c r="BP619" s="77"/>
      <c r="BQ619" s="77"/>
      <c r="BR619" s="77"/>
      <c r="BS619" s="77"/>
      <c r="BT619" s="77"/>
      <c r="BU619" s="77"/>
      <c r="BV619" s="77"/>
      <c r="BW619" s="77"/>
      <c r="BX619" s="77"/>
      <c r="BY619" s="77"/>
      <c r="BZ619" s="77"/>
      <c r="CA619" s="77"/>
      <c r="CB619" s="77"/>
      <c r="CC619" s="77"/>
      <c r="CD619" s="77"/>
      <c r="CE619" s="77"/>
      <c r="CF619" s="77"/>
      <c r="CG619" s="77"/>
      <c r="CH619" s="77"/>
      <c r="CI619" s="77"/>
      <c r="CJ619" s="77"/>
      <c r="CK619" s="77"/>
      <c r="CL619" s="77"/>
      <c r="CM619" s="77"/>
      <c r="CN619" s="77"/>
      <c r="CO619" s="77"/>
      <c r="CP619" s="77"/>
      <c r="CQ619" s="77"/>
      <c r="CR619" s="77"/>
      <c r="CS619" s="77"/>
      <c r="CT619" s="77"/>
      <c r="CU619" s="77"/>
      <c r="CV619" s="77"/>
      <c r="CW619" s="77"/>
      <c r="CX619" s="77"/>
      <c r="CY619" s="77"/>
      <c r="CZ619" s="77"/>
      <c r="DA619" s="77"/>
      <c r="DB619" s="77"/>
      <c r="DC619" s="77"/>
      <c r="DD619" s="77"/>
      <c r="DE619" s="77"/>
      <c r="DF619" s="77"/>
      <c r="DG619" s="77"/>
      <c r="DH619" s="77"/>
      <c r="DI619" s="77"/>
      <c r="DJ619" s="77"/>
      <c r="DK619" s="77"/>
      <c r="DL619" s="77"/>
      <c r="DM619" s="77"/>
      <c r="DN619" s="77"/>
      <c r="DO619" s="77"/>
      <c r="DP619" s="77"/>
      <c r="DQ619" s="77"/>
      <c r="DR619" s="77"/>
      <c r="DS619" s="77"/>
      <c r="DT619" s="77"/>
      <c r="DU619" s="77"/>
      <c r="DV619" s="77"/>
      <c r="DW619" s="77"/>
      <c r="DX619" s="77"/>
      <c r="DY619" s="77"/>
      <c r="DZ619" s="77"/>
      <c r="EA619" s="77"/>
      <c r="EB619" s="77"/>
      <c r="EC619" s="77"/>
      <c r="ED619" s="77"/>
      <c r="EE619" s="77"/>
      <c r="EF619" s="77"/>
      <c r="EG619" s="77"/>
      <c r="EH619" s="77"/>
      <c r="EI619" s="77"/>
      <c r="EJ619" s="77"/>
      <c r="EK619" s="77"/>
      <c r="EL619" s="77"/>
      <c r="EM619" s="77"/>
      <c r="EN619" s="77"/>
      <c r="EO619" s="77"/>
      <c r="EP619" s="77"/>
      <c r="ER619" s="77"/>
      <c r="ES619" s="77"/>
      <c r="ET619" s="77"/>
      <c r="EU619" s="77"/>
      <c r="EV619" s="77"/>
      <c r="EW619" s="77"/>
      <c r="EX619" s="77"/>
      <c r="EY619" s="77"/>
      <c r="EZ619" s="77"/>
      <c r="FA619" s="77"/>
      <c r="FB619" s="77"/>
      <c r="FC619" s="77"/>
      <c r="FD619" s="77"/>
      <c r="FE619" s="77"/>
      <c r="FF619" s="77"/>
      <c r="FG619" s="77"/>
      <c r="FH619" s="77"/>
      <c r="FI619" s="77"/>
      <c r="FJ619" s="77"/>
      <c r="FK619" s="77"/>
      <c r="FL619" s="77"/>
      <c r="FM619" s="77"/>
      <c r="FN619" s="77"/>
      <c r="FO619" s="77"/>
      <c r="FP619" s="77"/>
      <c r="FQ619" s="77"/>
      <c r="FR619" s="77"/>
      <c r="FS619" s="77"/>
      <c r="FT619" s="77"/>
      <c r="FU619" s="77"/>
      <c r="FV619" s="77"/>
      <c r="FW619" s="77"/>
      <c r="FX619" s="77"/>
      <c r="FY619" s="77"/>
      <c r="FZ619" s="77"/>
      <c r="GA619" s="77"/>
      <c r="GB619" s="77"/>
      <c r="GC619" s="77"/>
      <c r="GD619" s="77"/>
      <c r="GE619" s="77"/>
      <c r="GF619" s="77"/>
      <c r="GG619" s="77"/>
      <c r="GH619" s="77"/>
      <c r="GI619" s="77"/>
      <c r="GJ619" s="77"/>
      <c r="GK619" s="77"/>
      <c r="HL619" s="77"/>
      <c r="HM619" s="77"/>
      <c r="HN619" s="77"/>
      <c r="HO619" s="77"/>
      <c r="HP619" s="77"/>
      <c r="HQ619" s="77"/>
      <c r="HR619" s="77"/>
      <c r="HS619" s="77"/>
      <c r="HT619" s="77"/>
      <c r="HU619" s="77"/>
      <c r="HV619" s="77"/>
      <c r="HW619" s="77"/>
      <c r="HX619" s="77"/>
      <c r="HY619" s="77"/>
      <c r="HZ619" s="77"/>
      <c r="IA619" s="77"/>
      <c r="IB619" s="77"/>
      <c r="IC619" s="77"/>
      <c r="ID619" s="77"/>
      <c r="IE619" s="77"/>
      <c r="IF619" s="77"/>
      <c r="IG619" s="77"/>
      <c r="IH619" s="77"/>
      <c r="II619" s="77"/>
      <c r="IJ619" s="77"/>
      <c r="IK619" s="77"/>
      <c r="IL619" s="77"/>
      <c r="IM619" s="77"/>
      <c r="IN619" s="77"/>
      <c r="IO619" s="77"/>
      <c r="IP619" s="77"/>
      <c r="IQ619" s="77"/>
      <c r="IR619" s="77"/>
      <c r="IS619" s="77"/>
      <c r="IT619" s="77"/>
      <c r="IU619" s="77"/>
      <c r="IV619" s="77"/>
      <c r="IW619" s="77"/>
      <c r="IX619" s="77"/>
      <c r="IY619" s="77"/>
      <c r="IZ619" s="77"/>
      <c r="JA619" s="77"/>
      <c r="JB619" s="77"/>
      <c r="JC619" s="77"/>
      <c r="JD619" s="77"/>
      <c r="JE619" s="77"/>
      <c r="JF619" s="77"/>
      <c r="JG619" s="77"/>
      <c r="JH619" s="77"/>
      <c r="JI619" s="77"/>
      <c r="JJ619" s="77"/>
      <c r="JK619" s="77"/>
      <c r="JL619" s="77"/>
      <c r="JM619" s="77"/>
      <c r="JN619" s="77"/>
      <c r="JO619" s="77"/>
      <c r="JP619" s="77"/>
      <c r="JQ619" s="77"/>
      <c r="JR619" s="77"/>
      <c r="JS619" s="77"/>
      <c r="JT619" s="77"/>
      <c r="JU619" s="77"/>
      <c r="JV619" s="77"/>
      <c r="JW619" s="77"/>
      <c r="JX619" s="77"/>
      <c r="JY619" s="77"/>
      <c r="JZ619" s="77"/>
      <c r="KA619" s="77"/>
      <c r="KB619" s="77"/>
      <c r="KC619" s="77"/>
      <c r="KD619" s="77"/>
      <c r="KE619" s="77"/>
      <c r="KF619" s="77"/>
      <c r="KG619" s="77"/>
      <c r="KH619" s="77"/>
      <c r="KI619" s="77"/>
      <c r="KJ619" s="77"/>
      <c r="KK619" s="77"/>
      <c r="KL619" s="77"/>
      <c r="KM619" s="16"/>
      <c r="KN619" s="16"/>
      <c r="KO619" s="16"/>
      <c r="KP619" s="16"/>
      <c r="KQ619" s="16"/>
      <c r="KR619" s="16"/>
      <c r="KS619" s="16"/>
      <c r="KT619" s="16"/>
      <c r="KU619" s="16"/>
      <c r="KV619" s="16"/>
      <c r="KW619" s="16"/>
      <c r="KX619" s="16"/>
      <c r="KY619" s="16"/>
      <c r="KZ619" s="16"/>
      <c r="LA619" s="16"/>
      <c r="LB619" s="16"/>
      <c r="LC619" s="16"/>
      <c r="LD619" s="16"/>
      <c r="LE619" s="16"/>
      <c r="LF619" s="16"/>
      <c r="LG619" s="16"/>
      <c r="LH619" s="16"/>
      <c r="LI619" s="16"/>
      <c r="LJ619" s="16"/>
      <c r="LK619" s="16"/>
      <c r="LW619" s="77"/>
      <c r="LX619" s="77"/>
      <c r="LY619" s="77"/>
      <c r="LZ619" s="77"/>
      <c r="MA619" s="77"/>
      <c r="MB619" s="77"/>
      <c r="MC619" s="77"/>
      <c r="MD619" s="77"/>
      <c r="ME619" s="77"/>
      <c r="MF619" s="77"/>
      <c r="MG619" s="77"/>
      <c r="MH619" s="77"/>
      <c r="MI619" s="77"/>
      <c r="MJ619" s="77"/>
      <c r="MK619" s="77"/>
      <c r="ML619" s="77"/>
      <c r="MM619" s="77"/>
      <c r="MN619" s="77"/>
      <c r="MO619" s="77"/>
      <c r="MP619" s="77"/>
      <c r="MQ619" s="77"/>
      <c r="MR619" s="77"/>
    </row>
    <row r="620" spans="1:421" s="21" customFormat="1" ht="18.600000000000001" customHeight="1" x14ac:dyDescent="0.25">
      <c r="A620" s="119" t="s">
        <v>352</v>
      </c>
      <c r="B620" s="27" t="s">
        <v>1743</v>
      </c>
      <c r="C620" s="27" t="s">
        <v>3629</v>
      </c>
      <c r="D620" s="30" t="str">
        <f>HYPERLINK("https://twitter.com/DrZvizdic","https://twitter.com/DrZvizdic")</f>
        <v>https://twitter.com/DrZvizdic</v>
      </c>
      <c r="E620" s="30" t="str">
        <f>HYPERLINK("http://twiplomacy.com/info/europe/Bosnia-Herzegovina","http://twiplomacy.com/info/europe/Bosnia-Herzegovina")</f>
        <v>http://twiplomacy.com/info/europe/Bosnia-Herzegovina</v>
      </c>
      <c r="F620" s="10" t="s">
        <v>332</v>
      </c>
      <c r="G620" s="10" t="s">
        <v>350</v>
      </c>
      <c r="H620" s="10" t="s">
        <v>776</v>
      </c>
      <c r="I620" s="10" t="s">
        <v>773</v>
      </c>
      <c r="J620" s="27" t="s">
        <v>789</v>
      </c>
      <c r="K620" s="15" t="s">
        <v>777</v>
      </c>
      <c r="L620" s="15"/>
      <c r="M620" s="10" t="s">
        <v>770</v>
      </c>
      <c r="N620" s="30" t="s">
        <v>3108</v>
      </c>
      <c r="O620" s="27" t="s">
        <v>3160</v>
      </c>
      <c r="P620" s="80">
        <v>171</v>
      </c>
      <c r="Q620" s="80">
        <v>247</v>
      </c>
      <c r="R620" s="27" t="s">
        <v>2995</v>
      </c>
      <c r="S620" s="12" t="s">
        <v>1744</v>
      </c>
      <c r="T620" s="10" t="s">
        <v>771</v>
      </c>
      <c r="U620" s="10" t="s">
        <v>771</v>
      </c>
      <c r="V620" s="10" t="s">
        <v>771</v>
      </c>
      <c r="W620" s="10"/>
      <c r="X620" s="27" t="s">
        <v>352</v>
      </c>
      <c r="Y620" s="27" t="s">
        <v>1743</v>
      </c>
      <c r="Z620" s="80">
        <v>214</v>
      </c>
      <c r="AA620" s="27">
        <v>129</v>
      </c>
      <c r="AB620" s="80">
        <v>844</v>
      </c>
      <c r="AC620" s="27">
        <v>46</v>
      </c>
      <c r="AD620" s="27" t="s">
        <v>3630</v>
      </c>
      <c r="AE620" s="27">
        <v>3304429893</v>
      </c>
      <c r="AF620" s="27" t="s">
        <v>3629</v>
      </c>
      <c r="AG620" s="27" t="s">
        <v>350</v>
      </c>
      <c r="AH620" s="79">
        <v>0.63501483679525195</v>
      </c>
      <c r="AI620" s="83">
        <v>0.65243902439024404</v>
      </c>
      <c r="AJ620" s="80">
        <v>3.1025641025641</v>
      </c>
      <c r="AK620" s="80">
        <v>5.8653846153846096</v>
      </c>
      <c r="AL620" s="27">
        <v>14</v>
      </c>
      <c r="AM620" s="97">
        <f>SUM(AL620/Z620)</f>
        <v>6.5420560747663545E-2</v>
      </c>
      <c r="AN620" s="27" t="s">
        <v>352</v>
      </c>
      <c r="AO620" s="27">
        <v>12</v>
      </c>
      <c r="AP620" s="27">
        <v>2</v>
      </c>
      <c r="AQ620" s="27">
        <v>2</v>
      </c>
      <c r="AR620" s="27">
        <f>SUM(AO620:AQ620)</f>
        <v>16</v>
      </c>
      <c r="AS620" s="27" t="s">
        <v>6558</v>
      </c>
      <c r="AT620" s="27" t="s">
        <v>6159</v>
      </c>
      <c r="AU620" s="84" t="s">
        <v>4702</v>
      </c>
      <c r="AV620" s="77"/>
      <c r="AW620" s="77"/>
      <c r="AX620" s="77"/>
      <c r="AY620" s="77"/>
      <c r="AZ620" s="77"/>
      <c r="BA620" s="77"/>
      <c r="BB620" s="77"/>
      <c r="BC620" s="77"/>
      <c r="BD620" s="77"/>
      <c r="BE620" s="77"/>
      <c r="BF620" s="77"/>
      <c r="BG620" s="77"/>
      <c r="BH620" s="77"/>
      <c r="BI620" s="77"/>
      <c r="BJ620" s="77"/>
      <c r="BK620" s="77"/>
      <c r="BL620" s="77"/>
      <c r="BM620" s="77"/>
      <c r="BN620" s="77"/>
      <c r="BO620" s="77"/>
      <c r="BP620" s="77"/>
      <c r="BQ620" s="77"/>
      <c r="BR620" s="77"/>
      <c r="BS620" s="77"/>
      <c r="BT620" s="77"/>
      <c r="BU620" s="77"/>
      <c r="BV620" s="77"/>
      <c r="BW620" s="77"/>
      <c r="BX620" s="77"/>
      <c r="BY620" s="77"/>
      <c r="BZ620" s="77"/>
      <c r="CA620" s="77"/>
      <c r="CB620" s="77"/>
      <c r="CC620" s="77"/>
      <c r="CD620" s="77"/>
      <c r="CE620" s="77"/>
      <c r="CF620" s="77"/>
      <c r="CG620" s="77"/>
      <c r="CH620" s="77"/>
      <c r="CI620" s="77"/>
      <c r="CJ620" s="77"/>
      <c r="CK620" s="77"/>
      <c r="CL620" s="77"/>
      <c r="CM620" s="77"/>
      <c r="CN620" s="77"/>
      <c r="CO620" s="77"/>
      <c r="CP620" s="77"/>
      <c r="CQ620" s="77"/>
      <c r="CR620" s="77"/>
      <c r="CS620" s="77"/>
      <c r="CT620" s="77"/>
      <c r="CU620" s="77"/>
      <c r="CV620" s="77"/>
      <c r="CW620" s="77"/>
      <c r="CX620" s="77"/>
      <c r="CY620" s="77"/>
      <c r="CZ620" s="77"/>
      <c r="DA620" s="77"/>
      <c r="DB620" s="77"/>
      <c r="DC620" s="77"/>
      <c r="DD620" s="77"/>
      <c r="DE620" s="77"/>
      <c r="DF620" s="77"/>
      <c r="DG620" s="77"/>
      <c r="DH620" s="77"/>
      <c r="DI620" s="77"/>
      <c r="DJ620" s="77"/>
      <c r="DK620" s="77"/>
      <c r="DL620" s="77"/>
      <c r="DM620" s="77"/>
      <c r="DN620" s="77"/>
      <c r="DO620" s="77"/>
      <c r="DP620" s="77"/>
      <c r="DQ620" s="77"/>
      <c r="DR620" s="77"/>
      <c r="DS620" s="77"/>
      <c r="DT620" s="77"/>
      <c r="DU620" s="77"/>
      <c r="DV620" s="77"/>
      <c r="DW620" s="77"/>
      <c r="DX620" s="77"/>
      <c r="DY620" s="77"/>
      <c r="DZ620" s="77"/>
      <c r="EA620" s="77"/>
      <c r="EB620" s="77"/>
      <c r="EC620" s="77"/>
      <c r="ED620" s="77"/>
      <c r="EE620" s="77"/>
      <c r="EF620" s="77"/>
      <c r="EG620" s="77"/>
      <c r="EH620" s="77"/>
      <c r="EI620" s="77"/>
      <c r="EJ620" s="77"/>
      <c r="EK620" s="77"/>
      <c r="EL620" s="77"/>
      <c r="EM620" s="77"/>
      <c r="EN620" s="77"/>
      <c r="EO620" s="77"/>
      <c r="EP620" s="77"/>
      <c r="EQ620" s="77"/>
      <c r="ER620" s="77"/>
      <c r="ES620" s="77"/>
      <c r="ET620" s="77"/>
      <c r="EU620" s="77"/>
      <c r="EV620" s="77"/>
      <c r="EW620" s="77"/>
      <c r="EX620" s="77"/>
      <c r="EY620" s="77"/>
      <c r="EZ620" s="77"/>
      <c r="FA620" s="77"/>
      <c r="FB620" s="77"/>
      <c r="FC620" s="77"/>
      <c r="FD620" s="77"/>
      <c r="FE620" s="77"/>
      <c r="FF620" s="77"/>
      <c r="FG620" s="77"/>
      <c r="FH620" s="77"/>
      <c r="FI620" s="77"/>
      <c r="FJ620" s="77"/>
      <c r="FK620" s="77"/>
      <c r="FL620" s="77"/>
      <c r="FM620" s="77"/>
      <c r="FN620" s="77"/>
      <c r="FO620" s="77"/>
      <c r="FP620" s="77"/>
      <c r="FQ620" s="77"/>
      <c r="FR620" s="77"/>
      <c r="FS620" s="77"/>
      <c r="FT620" s="77"/>
      <c r="FU620" s="77"/>
      <c r="FV620" s="77"/>
      <c r="FW620" s="77"/>
      <c r="FX620" s="77"/>
      <c r="FY620" s="77"/>
      <c r="FZ620" s="77"/>
      <c r="GA620" s="77"/>
      <c r="GB620" s="77"/>
      <c r="GC620" s="77"/>
      <c r="GD620" s="77"/>
      <c r="GE620" s="77"/>
      <c r="GF620" s="77"/>
      <c r="GG620" s="77"/>
      <c r="GH620" s="77"/>
      <c r="GI620" s="77"/>
      <c r="GJ620" s="77"/>
      <c r="GK620" s="77"/>
      <c r="GL620" s="77"/>
      <c r="GM620" s="77"/>
      <c r="GN620" s="77"/>
      <c r="GO620" s="77"/>
      <c r="GP620" s="77"/>
      <c r="GQ620" s="77"/>
      <c r="GR620" s="77"/>
      <c r="GS620" s="77"/>
      <c r="GT620" s="77"/>
      <c r="GU620" s="77"/>
      <c r="GV620" s="77"/>
      <c r="GW620" s="77"/>
      <c r="GX620" s="77"/>
      <c r="GY620" s="77"/>
      <c r="GZ620" s="77"/>
      <c r="HA620" s="77"/>
      <c r="HB620" s="77"/>
      <c r="HC620" s="77"/>
      <c r="HD620" s="77"/>
      <c r="HE620" s="77"/>
      <c r="HF620" s="77"/>
      <c r="HG620" s="77"/>
      <c r="HH620" s="77"/>
      <c r="HI620" s="77"/>
      <c r="HJ620" s="77"/>
      <c r="HK620" s="77"/>
      <c r="ID620" s="77"/>
      <c r="IE620" s="77"/>
      <c r="JY620" s="77"/>
      <c r="JZ620" s="77"/>
      <c r="KA620" s="77"/>
      <c r="KB620" s="77"/>
      <c r="KC620" s="77"/>
      <c r="KD620" s="77"/>
      <c r="KE620" s="77"/>
      <c r="KF620" s="77"/>
      <c r="KG620" s="77"/>
      <c r="KH620" s="77"/>
      <c r="KI620" s="77"/>
      <c r="KJ620" s="77"/>
      <c r="KK620" s="77"/>
      <c r="KL620" s="77"/>
      <c r="KM620" s="77"/>
      <c r="KN620" s="77"/>
      <c r="KO620" s="77"/>
      <c r="KP620" s="77"/>
      <c r="KQ620" s="77"/>
      <c r="KR620" s="77"/>
      <c r="KS620" s="77"/>
      <c r="KT620" s="77"/>
      <c r="KU620" s="77"/>
      <c r="KV620" s="77"/>
      <c r="KW620" s="77"/>
      <c r="KX620" s="77"/>
      <c r="KY620" s="77"/>
      <c r="KZ620" s="77"/>
      <c r="LA620" s="77"/>
      <c r="LB620" s="77"/>
      <c r="LC620" s="77"/>
      <c r="LD620" s="77"/>
      <c r="LE620" s="77"/>
      <c r="LF620" s="77"/>
      <c r="LG620" s="77"/>
      <c r="LH620" s="77"/>
      <c r="LI620" s="77"/>
      <c r="LJ620" s="77"/>
      <c r="LK620" s="77"/>
      <c r="LL620" s="16"/>
      <c r="LM620" s="16"/>
      <c r="LN620" s="16"/>
      <c r="LO620" s="16"/>
      <c r="LP620" s="16"/>
      <c r="LQ620" s="16"/>
      <c r="LR620" s="16"/>
      <c r="LS620" s="16"/>
      <c r="LT620" s="16"/>
      <c r="LU620" s="16"/>
      <c r="LV620" s="16"/>
      <c r="LW620" s="77"/>
      <c r="LX620" s="77"/>
      <c r="MT620" s="77"/>
      <c r="MU620" s="77"/>
      <c r="MV620" s="77"/>
      <c r="MW620" s="77"/>
      <c r="MX620" s="77"/>
      <c r="MY620" s="77"/>
      <c r="MZ620" s="77"/>
      <c r="NA620" s="77"/>
      <c r="NB620" s="77"/>
      <c r="NC620" s="77"/>
    </row>
    <row r="621" spans="1:421" s="59" customFormat="1" ht="18.600000000000001" customHeight="1" x14ac:dyDescent="0.25">
      <c r="A621" s="119" t="s">
        <v>3259</v>
      </c>
      <c r="B621" s="27" t="s">
        <v>3735</v>
      </c>
      <c r="C621" s="27" t="s">
        <v>3736</v>
      </c>
      <c r="D621" s="12" t="s">
        <v>3263</v>
      </c>
      <c r="E621" s="30" t="str">
        <f>HYPERLINK("http://twiplomacy.com/info/africa/Benin","http://twiplomacy.com/info/africa/Benin")</f>
        <v>http://twiplomacy.com/info/africa/Benin</v>
      </c>
      <c r="F621" s="20" t="s">
        <v>1</v>
      </c>
      <c r="G621" s="10" t="s">
        <v>4</v>
      </c>
      <c r="H621" s="10" t="s">
        <v>788</v>
      </c>
      <c r="I621" s="10" t="s">
        <v>782</v>
      </c>
      <c r="J621" s="27" t="s">
        <v>779</v>
      </c>
      <c r="K621" s="10" t="s">
        <v>777</v>
      </c>
      <c r="L621" s="10" t="s">
        <v>771</v>
      </c>
      <c r="M621" s="10" t="s">
        <v>770</v>
      </c>
      <c r="N621" s="30" t="s">
        <v>3260</v>
      </c>
      <c r="O621" s="27" t="s">
        <v>3262</v>
      </c>
      <c r="P621" s="80">
        <v>19</v>
      </c>
      <c r="Q621" s="80">
        <v>7</v>
      </c>
      <c r="R621" s="27" t="s">
        <v>2995</v>
      </c>
      <c r="S621" s="12" t="s">
        <v>3261</v>
      </c>
      <c r="T621" s="10" t="s">
        <v>771</v>
      </c>
      <c r="U621" s="10" t="s">
        <v>771</v>
      </c>
      <c r="V621" s="10" t="s">
        <v>771</v>
      </c>
      <c r="W621" s="10"/>
      <c r="X621" s="27" t="s">
        <v>3259</v>
      </c>
      <c r="Y621" s="27" t="s">
        <v>3735</v>
      </c>
      <c r="Z621" s="80">
        <v>212</v>
      </c>
      <c r="AA621" s="27">
        <v>93</v>
      </c>
      <c r="AB621" s="80">
        <v>889</v>
      </c>
      <c r="AC621" s="27">
        <v>7</v>
      </c>
      <c r="AD621" s="27" t="s">
        <v>3737</v>
      </c>
      <c r="AE621" s="27">
        <v>3437782151</v>
      </c>
      <c r="AF621" s="27" t="s">
        <v>3736</v>
      </c>
      <c r="AG621" s="27" t="s">
        <v>3738</v>
      </c>
      <c r="AH621" s="79">
        <v>0.84126984126984095</v>
      </c>
      <c r="AI621" s="83">
        <v>1.2619047619047601</v>
      </c>
      <c r="AJ621" s="80">
        <v>2.7925925925925901</v>
      </c>
      <c r="AK621" s="80">
        <v>0.95555555555555605</v>
      </c>
      <c r="AL621" s="27">
        <v>18</v>
      </c>
      <c r="AM621" s="97">
        <f>SUM(AL621/Z621)</f>
        <v>8.4905660377358486E-2</v>
      </c>
      <c r="AN621" s="27" t="s">
        <v>3259</v>
      </c>
      <c r="AO621" s="27">
        <v>15</v>
      </c>
      <c r="AP621" s="27">
        <v>1</v>
      </c>
      <c r="AQ621" s="27">
        <v>1</v>
      </c>
      <c r="AR621" s="27">
        <f>SUM(AO621:AQ621)</f>
        <v>17</v>
      </c>
      <c r="AS621" s="27" t="s">
        <v>5140</v>
      </c>
      <c r="AT621" s="27" t="s">
        <v>465</v>
      </c>
      <c r="AU621" s="84" t="s">
        <v>3255</v>
      </c>
      <c r="AV621" s="77"/>
      <c r="AW621" s="77"/>
      <c r="AX621" s="77"/>
      <c r="AY621" s="77"/>
      <c r="AZ621" s="77"/>
      <c r="BA621" s="77"/>
      <c r="BB621" s="77"/>
      <c r="BC621" s="77"/>
      <c r="BD621" s="77"/>
      <c r="BE621" s="77"/>
      <c r="BF621" s="77"/>
      <c r="BG621" s="77"/>
      <c r="BH621" s="77"/>
      <c r="BI621" s="77"/>
      <c r="BJ621" s="77"/>
      <c r="BK621" s="77"/>
      <c r="BL621" s="77"/>
      <c r="BM621" s="77"/>
      <c r="BN621" s="77"/>
      <c r="BO621" s="77"/>
      <c r="BP621" s="77"/>
      <c r="BQ621" s="77"/>
      <c r="BR621" s="77"/>
      <c r="BS621" s="77"/>
      <c r="BT621" s="77"/>
      <c r="BU621" s="77"/>
      <c r="BV621" s="77"/>
      <c r="BW621" s="77"/>
      <c r="BX621" s="77"/>
      <c r="BY621" s="77"/>
      <c r="BZ621" s="77"/>
      <c r="CA621" s="77"/>
      <c r="CB621" s="77"/>
      <c r="CC621" s="77"/>
      <c r="CD621" s="77"/>
      <c r="CE621" s="77"/>
      <c r="CF621" s="77"/>
      <c r="CG621" s="77"/>
      <c r="CH621" s="77"/>
      <c r="CI621" s="77"/>
      <c r="CJ621" s="77"/>
      <c r="CK621" s="16"/>
      <c r="CL621" s="16"/>
      <c r="CM621" s="16"/>
      <c r="CN621" s="16"/>
      <c r="CO621" s="16"/>
      <c r="CP621" s="16"/>
      <c r="CQ621" s="16"/>
      <c r="CR621" s="16"/>
      <c r="CS621" s="16"/>
      <c r="CT621" s="16"/>
      <c r="CU621" s="16"/>
      <c r="CV621" s="16"/>
      <c r="CW621" s="16"/>
      <c r="CX621" s="77"/>
      <c r="CY621" s="77"/>
      <c r="CZ621" s="77"/>
      <c r="DA621" s="77"/>
      <c r="DB621" s="77"/>
      <c r="DC621" s="77"/>
      <c r="DD621" s="77"/>
      <c r="DE621" s="77"/>
      <c r="DF621" s="77"/>
      <c r="DG621" s="77"/>
      <c r="DH621" s="77"/>
      <c r="DI621" s="77"/>
      <c r="DJ621" s="77"/>
      <c r="DK621" s="77"/>
      <c r="DL621" s="77"/>
      <c r="DM621" s="77"/>
      <c r="DN621" s="77"/>
      <c r="DO621" s="77"/>
      <c r="DP621" s="77"/>
      <c r="DQ621" s="77"/>
      <c r="DR621" s="77"/>
      <c r="DS621" s="77"/>
      <c r="DT621" s="77"/>
      <c r="DU621" s="77"/>
      <c r="DV621" s="77"/>
      <c r="DW621" s="77"/>
      <c r="DX621" s="77"/>
      <c r="DY621" s="77"/>
      <c r="DZ621" s="77"/>
      <c r="EA621" s="77"/>
      <c r="EB621" s="77"/>
      <c r="EC621" s="77"/>
      <c r="ED621" s="77"/>
      <c r="EE621" s="77"/>
      <c r="EF621" s="77"/>
      <c r="EG621" s="77"/>
      <c r="EH621" s="77"/>
      <c r="EI621" s="77"/>
      <c r="EJ621" s="77"/>
      <c r="EK621" s="77"/>
      <c r="EL621" s="77"/>
      <c r="EM621" s="77"/>
      <c r="EN621" s="77"/>
      <c r="EO621" s="77"/>
      <c r="EP621" s="77"/>
      <c r="EQ621" s="77"/>
      <c r="ER621" s="77"/>
      <c r="ES621" s="77"/>
      <c r="ET621" s="77"/>
      <c r="EU621" s="77"/>
      <c r="EV621" s="77"/>
      <c r="EW621" s="77"/>
      <c r="EX621" s="77"/>
      <c r="EY621" s="77"/>
      <c r="EZ621" s="77"/>
      <c r="FA621" s="77"/>
      <c r="FB621" s="77"/>
      <c r="FC621" s="77"/>
      <c r="FD621" s="77"/>
      <c r="FE621" s="77"/>
      <c r="FF621" s="77"/>
      <c r="FG621" s="77"/>
      <c r="FH621" s="77"/>
      <c r="FI621" s="77"/>
      <c r="FJ621" s="77"/>
      <c r="FK621" s="77"/>
      <c r="FL621" s="77"/>
      <c r="FM621" s="77"/>
      <c r="FN621" s="77"/>
      <c r="FO621" s="77"/>
      <c r="FP621" s="77"/>
      <c r="FQ621" s="77"/>
      <c r="FR621" s="77"/>
      <c r="FS621" s="77"/>
      <c r="FT621" s="77"/>
      <c r="FU621" s="77"/>
      <c r="FV621" s="77"/>
      <c r="FW621" s="77"/>
      <c r="FX621" s="77"/>
      <c r="FY621" s="77"/>
      <c r="FZ621" s="77"/>
      <c r="GA621" s="77"/>
      <c r="GB621" s="77"/>
      <c r="GC621" s="77"/>
      <c r="GD621" s="77"/>
      <c r="GE621" s="77"/>
      <c r="GF621" s="77"/>
      <c r="GG621" s="77"/>
      <c r="GH621" s="77"/>
      <c r="GI621" s="77"/>
      <c r="GJ621" s="77"/>
      <c r="GK621" s="77"/>
      <c r="GL621" s="77"/>
      <c r="GM621" s="77"/>
      <c r="GN621" s="77"/>
      <c r="GO621" s="77"/>
      <c r="GP621" s="77"/>
      <c r="GQ621" s="77"/>
      <c r="GR621" s="77"/>
      <c r="GS621" s="77"/>
      <c r="GT621" s="77"/>
      <c r="GU621" s="77"/>
      <c r="GV621" s="77"/>
      <c r="GW621" s="77"/>
      <c r="GX621" s="77"/>
      <c r="GY621" s="77"/>
      <c r="GZ621" s="77"/>
      <c r="HA621" s="77"/>
      <c r="HB621" s="77"/>
      <c r="HC621" s="77"/>
      <c r="HD621" s="77"/>
      <c r="HE621" s="77"/>
      <c r="HF621" s="77"/>
      <c r="HG621" s="77"/>
      <c r="HH621" s="77"/>
      <c r="HI621" s="77"/>
      <c r="HJ621" s="77"/>
      <c r="HK621" s="77"/>
      <c r="HL621" s="77"/>
      <c r="HM621" s="77"/>
      <c r="HN621" s="77"/>
      <c r="HO621" s="77"/>
      <c r="HP621" s="77"/>
      <c r="HQ621" s="77"/>
      <c r="HR621" s="77"/>
      <c r="HS621" s="77"/>
      <c r="HT621" s="77"/>
      <c r="HU621" s="77"/>
      <c r="HV621" s="77"/>
      <c r="HW621" s="77"/>
      <c r="HX621" s="77"/>
      <c r="HY621" s="77"/>
      <c r="HZ621" s="77"/>
      <c r="IA621" s="77"/>
      <c r="IB621" s="77"/>
      <c r="IC621" s="77"/>
      <c r="IF621" s="77"/>
      <c r="IG621" s="77"/>
      <c r="IH621" s="77"/>
      <c r="II621" s="77"/>
      <c r="IJ621" s="77"/>
      <c r="IK621" s="77"/>
      <c r="IL621" s="77"/>
      <c r="IM621" s="77"/>
      <c r="IN621" s="77"/>
      <c r="IO621" s="77"/>
      <c r="IP621" s="77"/>
      <c r="IQ621" s="77"/>
      <c r="IR621" s="77"/>
      <c r="IS621" s="77"/>
      <c r="IT621" s="77"/>
      <c r="IU621" s="77"/>
      <c r="IV621" s="77"/>
      <c r="IW621" s="77"/>
      <c r="IX621" s="77"/>
      <c r="IY621" s="77"/>
      <c r="IZ621" s="77"/>
      <c r="JA621" s="77"/>
      <c r="JB621" s="77"/>
      <c r="JC621" s="77"/>
      <c r="JD621" s="77"/>
      <c r="JE621" s="77"/>
      <c r="JF621" s="77"/>
      <c r="JG621" s="77"/>
      <c r="JH621" s="77"/>
      <c r="JI621" s="77"/>
      <c r="JJ621" s="77"/>
      <c r="JK621" s="77"/>
      <c r="JL621" s="77"/>
      <c r="JM621" s="77"/>
      <c r="JN621" s="77"/>
      <c r="JO621" s="77"/>
      <c r="JP621" s="77"/>
      <c r="JQ621" s="77"/>
      <c r="JR621" s="77"/>
      <c r="JS621" s="77"/>
      <c r="JT621" s="77"/>
      <c r="JU621" s="77"/>
      <c r="JV621" s="77"/>
      <c r="JW621" s="77"/>
      <c r="JX621" s="77"/>
      <c r="JY621" s="77"/>
      <c r="JZ621" s="77"/>
      <c r="KA621" s="77"/>
      <c r="KB621" s="77"/>
      <c r="KC621" s="77"/>
      <c r="KD621" s="77"/>
      <c r="KE621" s="77"/>
      <c r="KF621" s="77"/>
      <c r="KG621" s="77"/>
      <c r="KH621" s="77"/>
      <c r="KI621" s="77"/>
      <c r="KJ621" s="77"/>
      <c r="KK621" s="77"/>
      <c r="KL621" s="77"/>
      <c r="LL621" s="77"/>
      <c r="LM621" s="77"/>
      <c r="LN621" s="77"/>
      <c r="LO621" s="77"/>
      <c r="LP621" s="77"/>
      <c r="LQ621" s="77"/>
      <c r="LR621" s="77"/>
      <c r="LS621" s="77"/>
      <c r="LT621" s="77"/>
      <c r="LU621" s="77"/>
      <c r="LV621" s="77"/>
      <c r="LW621" s="77"/>
      <c r="LX621" s="77"/>
      <c r="LY621" s="77"/>
      <c r="LZ621" s="77"/>
      <c r="MA621" s="77"/>
      <c r="MB621" s="77"/>
      <c r="MC621" s="77"/>
      <c r="MD621" s="77"/>
      <c r="ME621" s="77"/>
      <c r="MF621" s="77"/>
      <c r="MG621" s="77"/>
      <c r="MH621" s="77"/>
      <c r="MI621" s="77"/>
      <c r="MJ621" s="77"/>
      <c r="MK621" s="77"/>
      <c r="ML621" s="77"/>
      <c r="MM621" s="77"/>
      <c r="MN621" s="77"/>
      <c r="MO621" s="77"/>
      <c r="MP621" s="77"/>
      <c r="MQ621" s="77"/>
      <c r="MR621" s="77"/>
      <c r="ND621" s="77"/>
    </row>
    <row r="622" spans="1:421" s="21" customFormat="1" ht="18.600000000000001" customHeight="1" x14ac:dyDescent="0.25">
      <c r="A622" s="119" t="s">
        <v>3080</v>
      </c>
      <c r="B622" s="27" t="s">
        <v>2828</v>
      </c>
      <c r="C622" s="27" t="s">
        <v>3846</v>
      </c>
      <c r="D622" s="12" t="s">
        <v>3073</v>
      </c>
      <c r="E622" s="30" t="str">
        <f>HYPERLINK("http://twiplomacy.com/info/africa/Djibouti","http://twiplomacy.com/info/africa/Djibouti")</f>
        <v>http://twiplomacy.com/info/africa/Djibouti</v>
      </c>
      <c r="F622" s="10" t="s">
        <v>1</v>
      </c>
      <c r="G622" s="10" t="s">
        <v>31</v>
      </c>
      <c r="H622" s="10" t="s">
        <v>772</v>
      </c>
      <c r="I622" s="10" t="s">
        <v>773</v>
      </c>
      <c r="J622" s="27" t="s">
        <v>789</v>
      </c>
      <c r="K622" s="98" t="s">
        <v>777</v>
      </c>
      <c r="L622" s="15"/>
      <c r="M622" s="10" t="s">
        <v>770</v>
      </c>
      <c r="N622" s="30" t="s">
        <v>850</v>
      </c>
      <c r="O622" s="27" t="s">
        <v>5881</v>
      </c>
      <c r="P622" s="80">
        <v>107</v>
      </c>
      <c r="Q622" s="80">
        <v>35</v>
      </c>
      <c r="R622" s="27" t="s">
        <v>2994</v>
      </c>
      <c r="S622" s="12" t="s">
        <v>3088</v>
      </c>
      <c r="T622" s="10" t="s">
        <v>771</v>
      </c>
      <c r="U622" s="10" t="s">
        <v>771</v>
      </c>
      <c r="V622" s="10" t="s">
        <v>771</v>
      </c>
      <c r="W622" s="10"/>
      <c r="X622" s="27" t="s">
        <v>3080</v>
      </c>
      <c r="Y622" s="27" t="s">
        <v>2828</v>
      </c>
      <c r="Z622" s="80">
        <v>206</v>
      </c>
      <c r="AA622" s="27">
        <v>8</v>
      </c>
      <c r="AB622" s="80">
        <v>2254</v>
      </c>
      <c r="AC622" s="27">
        <v>0</v>
      </c>
      <c r="AD622" s="27" t="s">
        <v>3847</v>
      </c>
      <c r="AE622" s="27">
        <v>3297036587</v>
      </c>
      <c r="AF622" s="27" t="s">
        <v>3846</v>
      </c>
      <c r="AG622" s="27" t="s">
        <v>31</v>
      </c>
      <c r="AH622" s="79">
        <v>0.60058309037900903</v>
      </c>
      <c r="AI622" s="83">
        <v>1.53731343283582</v>
      </c>
      <c r="AJ622" s="80">
        <v>51.854368932038803</v>
      </c>
      <c r="AK622" s="80">
        <v>21.762135922330099</v>
      </c>
      <c r="AL622" s="13">
        <v>0</v>
      </c>
      <c r="AM622" s="97">
        <f>SUM(AL622/Z622)</f>
        <v>0</v>
      </c>
      <c r="AN622" s="27" t="s">
        <v>3080</v>
      </c>
      <c r="AO622" s="27">
        <v>2</v>
      </c>
      <c r="AP622" s="27">
        <v>2</v>
      </c>
      <c r="AQ622" s="27">
        <v>0</v>
      </c>
      <c r="AR622" s="27">
        <f>SUM(AO622:AQ622)</f>
        <v>4</v>
      </c>
      <c r="AS622" s="27" t="s">
        <v>5201</v>
      </c>
      <c r="AT622" s="27" t="s">
        <v>5202</v>
      </c>
      <c r="AU622" s="84"/>
      <c r="AV622" s="77"/>
      <c r="AW622" s="77"/>
      <c r="AX622" s="77"/>
      <c r="AY622" s="77"/>
      <c r="AZ622" s="77"/>
      <c r="BA622" s="77"/>
      <c r="BB622" s="77"/>
      <c r="BC622" s="77"/>
      <c r="BD622" s="77"/>
      <c r="BE622" s="77"/>
      <c r="BF622" s="77"/>
      <c r="BG622" s="77"/>
      <c r="BH622" s="77"/>
      <c r="BI622" s="77"/>
      <c r="BJ622" s="77"/>
      <c r="BK622" s="77"/>
      <c r="BL622" s="77"/>
      <c r="BM622" s="77"/>
      <c r="BN622" s="77"/>
      <c r="BO622" s="77"/>
      <c r="BP622" s="77"/>
      <c r="BQ622" s="76"/>
      <c r="BR622" s="76"/>
      <c r="BS622" s="76"/>
      <c r="BT622" s="76"/>
      <c r="BU622" s="76"/>
      <c r="BV622" s="76"/>
      <c r="BW622" s="76"/>
      <c r="BX622" s="76"/>
      <c r="BY622" s="76"/>
      <c r="BZ622" s="76"/>
      <c r="CA622" s="76"/>
      <c r="CB622" s="76"/>
      <c r="CC622" s="77"/>
      <c r="CD622" s="77"/>
      <c r="CE622" s="77"/>
      <c r="CF622" s="77"/>
      <c r="CG622" s="77"/>
      <c r="CH622" s="77"/>
      <c r="CI622" s="77"/>
      <c r="CJ622" s="77"/>
      <c r="CK622" s="77"/>
      <c r="CL622" s="77"/>
      <c r="CM622" s="77"/>
      <c r="CN622" s="77"/>
      <c r="CO622" s="77"/>
      <c r="CP622" s="77"/>
      <c r="CQ622" s="77"/>
      <c r="CR622" s="77"/>
      <c r="CS622" s="77"/>
      <c r="CT622" s="77"/>
      <c r="CU622" s="77"/>
      <c r="CV622" s="77"/>
      <c r="CW622" s="77"/>
      <c r="CX622" s="77"/>
      <c r="CY622" s="77"/>
      <c r="CZ622" s="77"/>
      <c r="DA622" s="77"/>
      <c r="DB622" s="77"/>
      <c r="DC622" s="77"/>
      <c r="DD622" s="77"/>
      <c r="DE622" s="77"/>
      <c r="DF622" s="77"/>
      <c r="DG622" s="77"/>
      <c r="DH622" s="77"/>
      <c r="DI622" s="77"/>
      <c r="DJ622" s="77"/>
      <c r="DK622" s="77"/>
      <c r="DL622" s="77"/>
      <c r="DM622" s="77"/>
      <c r="DN622" s="77"/>
      <c r="DO622" s="77"/>
      <c r="DP622" s="77"/>
      <c r="DQ622" s="77"/>
      <c r="DR622" s="77"/>
      <c r="DS622" s="77"/>
      <c r="DT622" s="77"/>
      <c r="DU622" s="77"/>
      <c r="DV622" s="77"/>
      <c r="DW622" s="77"/>
      <c r="DX622" s="77"/>
      <c r="DY622" s="77"/>
      <c r="DZ622" s="77"/>
      <c r="EA622" s="77"/>
      <c r="EB622" s="77"/>
      <c r="EC622" s="77"/>
      <c r="ED622" s="77"/>
      <c r="EE622" s="77"/>
      <c r="EF622" s="77"/>
      <c r="EG622" s="77"/>
      <c r="EH622" s="77"/>
      <c r="EI622" s="77"/>
      <c r="EJ622" s="77"/>
      <c r="EK622" s="77"/>
      <c r="EL622" s="77"/>
      <c r="EM622" s="77"/>
      <c r="EN622" s="77"/>
      <c r="EO622" s="77"/>
      <c r="EQ622" s="77"/>
      <c r="ER622" s="77"/>
      <c r="ES622" s="77"/>
      <c r="ET622" s="77"/>
      <c r="EU622" s="77"/>
      <c r="EV622" s="77"/>
      <c r="EW622" s="77"/>
      <c r="EX622" s="77"/>
      <c r="EY622" s="77"/>
      <c r="EZ622" s="77"/>
      <c r="FA622" s="77"/>
      <c r="FB622" s="77"/>
      <c r="FC622" s="77"/>
      <c r="FD622" s="77"/>
      <c r="FE622" s="77"/>
      <c r="FF622" s="77"/>
      <c r="FG622" s="77"/>
      <c r="FH622" s="77"/>
      <c r="FI622" s="77"/>
      <c r="FJ622" s="77"/>
      <c r="FK622" s="77"/>
      <c r="FL622" s="77"/>
      <c r="FM622" s="77"/>
      <c r="FN622" s="77"/>
      <c r="FO622" s="77"/>
      <c r="FP622" s="77"/>
      <c r="FQ622" s="77"/>
      <c r="FR622" s="77"/>
      <c r="FS622" s="77"/>
      <c r="FT622" s="77"/>
      <c r="FU622" s="77"/>
      <c r="FV622" s="77"/>
      <c r="FW622" s="77"/>
      <c r="FX622" s="77"/>
      <c r="FY622" s="77"/>
      <c r="FZ622" s="77"/>
      <c r="GA622" s="77"/>
      <c r="GB622" s="77"/>
      <c r="GC622" s="77"/>
      <c r="GD622" s="77"/>
      <c r="GE622" s="77"/>
      <c r="GF622" s="77"/>
      <c r="GG622" s="77"/>
      <c r="GH622" s="77"/>
      <c r="GI622" s="77"/>
      <c r="GJ622" s="77"/>
      <c r="GK622" s="77"/>
      <c r="GL622" s="77"/>
      <c r="GM622" s="77"/>
      <c r="GN622" s="77"/>
      <c r="GO622" s="77"/>
      <c r="GP622" s="77"/>
      <c r="GQ622" s="77"/>
      <c r="GR622" s="77"/>
      <c r="GS622" s="77"/>
      <c r="GT622" s="77"/>
      <c r="GU622" s="77"/>
      <c r="GV622" s="77"/>
      <c r="GW622" s="77"/>
      <c r="GX622" s="77"/>
      <c r="GY622" s="77"/>
      <c r="GZ622" s="77"/>
      <c r="HA622" s="77"/>
      <c r="HB622" s="77"/>
      <c r="HC622" s="77"/>
      <c r="HD622" s="77"/>
      <c r="HE622" s="77"/>
      <c r="HF622" s="77"/>
      <c r="HG622" s="77"/>
      <c r="HH622" s="77"/>
      <c r="HI622" s="77"/>
      <c r="HJ622" s="77"/>
      <c r="HK622" s="77"/>
      <c r="HL622" s="77"/>
      <c r="HM622" s="77"/>
      <c r="HN622" s="77"/>
      <c r="HO622" s="77"/>
      <c r="HP622" s="77"/>
      <c r="HQ622" s="77"/>
      <c r="HR622" s="77"/>
      <c r="HS622" s="77"/>
      <c r="HT622" s="77"/>
      <c r="HU622" s="77"/>
      <c r="HV622" s="77"/>
      <c r="HW622" s="77"/>
      <c r="HX622" s="77"/>
      <c r="HY622" s="77"/>
      <c r="HZ622" s="77"/>
      <c r="IA622" s="77"/>
      <c r="IB622" s="77"/>
      <c r="IC622" s="77"/>
      <c r="ID622" s="77"/>
      <c r="IE622" s="77"/>
      <c r="IF622" s="77"/>
      <c r="IG622" s="77"/>
      <c r="IH622" s="77"/>
      <c r="II622" s="77"/>
      <c r="IJ622" s="77"/>
      <c r="IK622" s="77"/>
      <c r="IL622" s="77"/>
      <c r="IM622" s="77"/>
      <c r="IN622" s="77"/>
      <c r="IO622" s="77"/>
      <c r="IP622" s="77"/>
      <c r="IQ622" s="77"/>
      <c r="IR622" s="77"/>
      <c r="IS622" s="77"/>
      <c r="IT622" s="77"/>
      <c r="IU622" s="77"/>
      <c r="IV622" s="77"/>
      <c r="IW622" s="77"/>
      <c r="IX622" s="77"/>
      <c r="IY622" s="77"/>
      <c r="IZ622" s="77"/>
      <c r="JA622" s="77"/>
      <c r="JB622" s="77"/>
      <c r="JC622" s="77"/>
      <c r="JD622" s="77"/>
      <c r="JE622" s="77"/>
      <c r="JF622" s="77"/>
      <c r="JG622" s="77"/>
      <c r="JH622" s="77"/>
      <c r="JI622" s="77"/>
      <c r="JJ622" s="77"/>
      <c r="JK622" s="77"/>
      <c r="JL622" s="77"/>
      <c r="JM622" s="77"/>
      <c r="JN622" s="77"/>
      <c r="JO622" s="77"/>
      <c r="JP622" s="77"/>
      <c r="JQ622" s="77"/>
      <c r="JR622" s="77"/>
      <c r="JS622" s="77"/>
      <c r="JT622" s="77"/>
      <c r="JU622" s="77"/>
      <c r="JV622" s="77"/>
      <c r="JW622" s="77"/>
      <c r="JX622" s="77"/>
      <c r="JY622" s="77"/>
      <c r="JZ622" s="77"/>
      <c r="KA622" s="77"/>
      <c r="KB622" s="77"/>
      <c r="KC622" s="77"/>
      <c r="KD622" s="77"/>
      <c r="KE622" s="77"/>
      <c r="KF622" s="77"/>
      <c r="KG622" s="77"/>
      <c r="KH622" s="77"/>
      <c r="KI622" s="77"/>
      <c r="KJ622" s="77"/>
      <c r="KK622" s="77"/>
      <c r="KL622" s="77"/>
      <c r="KM622" s="77"/>
      <c r="KN622" s="77"/>
      <c r="KO622" s="77"/>
      <c r="KP622" s="77"/>
      <c r="KQ622" s="77"/>
      <c r="KR622" s="77"/>
      <c r="KS622" s="77"/>
      <c r="KT622" s="77"/>
      <c r="KU622" s="77"/>
      <c r="KV622" s="77"/>
      <c r="KW622" s="77"/>
      <c r="KX622" s="77"/>
      <c r="KY622" s="77"/>
      <c r="KZ622" s="77"/>
      <c r="LA622" s="77"/>
      <c r="LB622" s="77"/>
      <c r="LC622" s="77"/>
      <c r="LD622" s="77"/>
      <c r="LE622" s="77"/>
      <c r="LF622" s="77"/>
      <c r="LG622" s="77"/>
      <c r="LH622" s="77"/>
      <c r="LI622" s="77"/>
      <c r="LJ622" s="77"/>
      <c r="LK622" s="77"/>
      <c r="LL622" s="77"/>
      <c r="LM622" s="77"/>
      <c r="LN622" s="77"/>
      <c r="LO622" s="77"/>
      <c r="LP622" s="77"/>
      <c r="LQ622" s="77"/>
      <c r="LR622" s="77"/>
      <c r="LS622" s="77"/>
      <c r="LT622" s="77"/>
      <c r="LU622" s="77"/>
      <c r="LV622" s="77"/>
      <c r="LW622" s="77"/>
      <c r="LX622" s="77"/>
      <c r="MS622" s="77"/>
    </row>
    <row r="623" spans="1:421" s="21" customFormat="1" ht="18.600000000000001" customHeight="1" x14ac:dyDescent="0.25">
      <c r="A623" s="119" t="s">
        <v>6894</v>
      </c>
      <c r="B623" s="125" t="s">
        <v>6930</v>
      </c>
      <c r="C623" s="125" t="s">
        <v>6931</v>
      </c>
      <c r="D623" s="30" t="s">
        <v>6892</v>
      </c>
      <c r="E623" s="30" t="str">
        <f>HYPERLINK("http://twiplomacy.com/info/asia/Qatar","http://twiplomacy.com/info/asia/Qatar")</f>
        <v>http://twiplomacy.com/info/asia/Qatar</v>
      </c>
      <c r="F623" s="10" t="s">
        <v>154</v>
      </c>
      <c r="G623" s="10" t="s">
        <v>276</v>
      </c>
      <c r="H623" s="10" t="s">
        <v>860</v>
      </c>
      <c r="I623" s="10" t="s">
        <v>773</v>
      </c>
      <c r="J623" s="27" t="s">
        <v>789</v>
      </c>
      <c r="K623" s="15" t="s">
        <v>777</v>
      </c>
      <c r="L623" s="27"/>
      <c r="M623" s="10"/>
      <c r="N623" s="12" t="s">
        <v>6893</v>
      </c>
      <c r="O623" s="27" t="s">
        <v>6895</v>
      </c>
      <c r="P623" s="80">
        <v>1107</v>
      </c>
      <c r="Q623" s="80">
        <v>611</v>
      </c>
      <c r="R623" s="27" t="s">
        <v>2994</v>
      </c>
      <c r="S623" s="12" t="s">
        <v>6896</v>
      </c>
      <c r="T623" s="10" t="s">
        <v>771</v>
      </c>
      <c r="U623" s="10" t="s">
        <v>771</v>
      </c>
      <c r="V623" s="10" t="s">
        <v>771</v>
      </c>
      <c r="W623" s="10"/>
      <c r="X623" s="27" t="s">
        <v>6894</v>
      </c>
      <c r="Y623" s="125" t="s">
        <v>6930</v>
      </c>
      <c r="Z623" s="80">
        <v>203</v>
      </c>
      <c r="AA623" s="27">
        <v>20</v>
      </c>
      <c r="AB623" s="80">
        <v>10807</v>
      </c>
      <c r="AC623" s="27">
        <v>48</v>
      </c>
      <c r="AD623" s="125" t="s">
        <v>6932</v>
      </c>
      <c r="AE623" s="126">
        <v>7.1221798026494694E+17</v>
      </c>
      <c r="AF623" s="125" t="s">
        <v>6930</v>
      </c>
      <c r="AG623" s="125" t="s">
        <v>276</v>
      </c>
      <c r="AH623" s="127">
        <v>2.9420289855072501</v>
      </c>
      <c r="AI623" s="126">
        <v>3.3278688524590199</v>
      </c>
      <c r="AJ623" s="126">
        <v>48.532338308457703</v>
      </c>
      <c r="AK623" s="126">
        <v>36.955223880597003</v>
      </c>
      <c r="AL623" s="125">
        <v>2</v>
      </c>
      <c r="AM623" s="97">
        <f>SUM(AL623/Z623)</f>
        <v>9.852216748768473E-3</v>
      </c>
      <c r="AN623" s="27" t="s">
        <v>6894</v>
      </c>
      <c r="AO623" s="27">
        <v>8</v>
      </c>
      <c r="AP623" s="27">
        <v>3</v>
      </c>
      <c r="AQ623" s="27">
        <v>3</v>
      </c>
      <c r="AR623" s="27">
        <f>SUM(AO623:AQ623)</f>
        <v>14</v>
      </c>
      <c r="AS623" s="27" t="s">
        <v>6901</v>
      </c>
      <c r="AT623" s="27" t="s">
        <v>6902</v>
      </c>
      <c r="AU623" s="84" t="s">
        <v>6903</v>
      </c>
      <c r="AV623" s="77"/>
      <c r="AW623" s="77"/>
      <c r="AX623" s="77"/>
      <c r="AY623" s="77"/>
      <c r="AZ623" s="77"/>
      <c r="BA623" s="77"/>
      <c r="BB623" s="77"/>
      <c r="BC623" s="77"/>
      <c r="BD623" s="77"/>
      <c r="BE623" s="77"/>
      <c r="BF623" s="77"/>
      <c r="BG623" s="77"/>
      <c r="BH623" s="77"/>
      <c r="BI623" s="77"/>
      <c r="BJ623" s="77"/>
      <c r="BK623" s="77"/>
      <c r="BL623" s="77"/>
      <c r="BM623" s="71"/>
      <c r="BN623" s="77"/>
      <c r="BO623" s="77"/>
      <c r="BP623" s="77"/>
      <c r="BQ623" s="77"/>
      <c r="BR623" s="77"/>
      <c r="BS623" s="77"/>
      <c r="BT623" s="77"/>
      <c r="BU623" s="77"/>
      <c r="BV623" s="77"/>
      <c r="BW623" s="77"/>
      <c r="BX623" s="77"/>
      <c r="BY623" s="77"/>
      <c r="BZ623" s="77"/>
      <c r="CA623" s="77"/>
      <c r="CB623" s="77"/>
      <c r="CC623" s="77"/>
      <c r="CD623" s="77"/>
      <c r="CE623" s="77"/>
      <c r="CF623" s="77"/>
      <c r="CG623" s="77"/>
      <c r="CH623" s="77"/>
      <c r="CI623" s="77"/>
      <c r="CJ623" s="77"/>
      <c r="CK623" s="77"/>
      <c r="CL623" s="77"/>
      <c r="CM623" s="77"/>
      <c r="CN623" s="77"/>
      <c r="CO623" s="77"/>
      <c r="CP623" s="77"/>
      <c r="CQ623" s="77"/>
      <c r="CR623" s="77"/>
      <c r="CS623" s="77"/>
      <c r="CT623" s="77"/>
      <c r="CU623" s="77"/>
      <c r="CV623" s="77"/>
      <c r="CW623" s="77"/>
      <c r="CX623" s="77"/>
      <c r="CY623" s="77"/>
      <c r="CZ623" s="77"/>
      <c r="DA623" s="77"/>
      <c r="DB623" s="77"/>
      <c r="DC623" s="77"/>
      <c r="DD623" s="77"/>
      <c r="DE623" s="77"/>
      <c r="DF623" s="77"/>
      <c r="DG623" s="77"/>
      <c r="DH623" s="77"/>
      <c r="DI623" s="77"/>
      <c r="DJ623" s="77"/>
      <c r="DK623" s="77"/>
      <c r="DL623" s="77"/>
      <c r="DM623" s="77"/>
      <c r="DN623" s="77"/>
      <c r="DO623" s="77"/>
      <c r="DP623" s="77"/>
      <c r="DQ623" s="77"/>
      <c r="DR623" s="77"/>
      <c r="DS623" s="77"/>
      <c r="DT623" s="77"/>
      <c r="DU623" s="77"/>
      <c r="DV623" s="77"/>
      <c r="DW623" s="77"/>
      <c r="DX623" s="77"/>
      <c r="DY623" s="77"/>
      <c r="DZ623" s="77"/>
      <c r="EA623" s="77"/>
      <c r="EB623" s="77"/>
      <c r="EC623" s="77"/>
      <c r="ED623" s="77"/>
      <c r="EE623" s="77"/>
      <c r="EF623" s="77"/>
      <c r="EG623" s="77"/>
      <c r="EH623" s="77"/>
      <c r="EI623" s="77"/>
      <c r="EJ623" s="77"/>
      <c r="EK623" s="77"/>
      <c r="EL623" s="77"/>
      <c r="EM623" s="77"/>
      <c r="EN623" s="77"/>
      <c r="EO623" s="77"/>
      <c r="EP623" s="77"/>
      <c r="EQ623" s="77"/>
      <c r="ER623" s="77"/>
      <c r="ES623" s="77"/>
      <c r="ET623" s="77"/>
      <c r="EU623" s="77"/>
      <c r="EV623" s="77"/>
      <c r="EW623" s="77"/>
      <c r="EX623" s="77"/>
      <c r="EY623" s="77"/>
      <c r="EZ623" s="77"/>
      <c r="FA623" s="77"/>
      <c r="FB623" s="77"/>
      <c r="FC623" s="77"/>
      <c r="FD623" s="77"/>
      <c r="FE623" s="77"/>
      <c r="FF623" s="77"/>
      <c r="FG623" s="77"/>
      <c r="FH623" s="77"/>
      <c r="FI623" s="77"/>
      <c r="FJ623" s="77"/>
      <c r="FK623" s="77"/>
      <c r="FL623" s="77"/>
      <c r="FM623" s="77"/>
      <c r="FN623" s="77"/>
      <c r="FO623" s="77"/>
      <c r="FP623" s="77"/>
      <c r="FQ623" s="77"/>
      <c r="FR623" s="77"/>
      <c r="FS623" s="77"/>
      <c r="FT623" s="77"/>
      <c r="FU623" s="77"/>
      <c r="FV623" s="77"/>
      <c r="FW623" s="77"/>
      <c r="FX623" s="77"/>
      <c r="FY623" s="77"/>
      <c r="FZ623" s="77"/>
      <c r="GA623" s="77"/>
      <c r="GB623" s="77"/>
      <c r="GC623" s="77"/>
      <c r="GD623" s="77"/>
      <c r="GE623" s="77"/>
      <c r="GF623" s="77"/>
      <c r="GG623" s="77"/>
      <c r="GH623" s="77"/>
      <c r="GI623" s="77"/>
      <c r="GJ623" s="77"/>
      <c r="GK623" s="77"/>
      <c r="ID623" s="77"/>
      <c r="IE623" s="77"/>
      <c r="IF623" s="77"/>
      <c r="IG623" s="77"/>
      <c r="IH623" s="77"/>
      <c r="II623" s="77"/>
      <c r="IJ623" s="77"/>
      <c r="IK623" s="77"/>
      <c r="IL623" s="77"/>
      <c r="IM623" s="77"/>
      <c r="IN623" s="77"/>
      <c r="IO623" s="77"/>
      <c r="IP623" s="77"/>
      <c r="IQ623" s="77"/>
      <c r="IR623" s="77"/>
      <c r="IS623" s="77"/>
      <c r="IT623" s="77"/>
      <c r="IU623" s="77"/>
      <c r="IV623" s="77"/>
      <c r="IW623" s="77"/>
      <c r="IX623" s="77"/>
      <c r="IY623" s="77"/>
      <c r="IZ623" s="77"/>
      <c r="JA623" s="77"/>
      <c r="JB623" s="77"/>
      <c r="JC623" s="77"/>
      <c r="JD623" s="77"/>
      <c r="JE623" s="77"/>
      <c r="JF623" s="77"/>
      <c r="JG623" s="77"/>
      <c r="JH623" s="77"/>
      <c r="JI623" s="77"/>
      <c r="JJ623" s="77"/>
      <c r="JK623" s="77"/>
      <c r="JL623" s="77"/>
      <c r="JM623" s="77"/>
      <c r="JN623" s="77"/>
      <c r="JO623" s="77"/>
      <c r="JP623" s="77"/>
      <c r="JQ623" s="77"/>
      <c r="JR623" s="77"/>
      <c r="JS623" s="77"/>
      <c r="JT623" s="77"/>
      <c r="JU623" s="77"/>
      <c r="JV623" s="77"/>
      <c r="JW623" s="77"/>
      <c r="JX623" s="77"/>
      <c r="JY623" s="77"/>
      <c r="JZ623" s="77"/>
      <c r="KA623" s="77"/>
      <c r="KB623" s="77"/>
      <c r="KC623" s="77"/>
      <c r="KD623" s="77"/>
      <c r="KE623" s="77"/>
      <c r="KF623" s="77"/>
      <c r="KG623" s="77"/>
      <c r="KH623" s="77"/>
      <c r="KI623" s="77"/>
      <c r="KJ623" s="77"/>
      <c r="KK623" s="77"/>
      <c r="KL623" s="77"/>
      <c r="MS623" s="77"/>
    </row>
    <row r="624" spans="1:421" s="21" customFormat="1" ht="18.600000000000001" customHeight="1" x14ac:dyDescent="0.25">
      <c r="A624" s="119" t="s">
        <v>3078</v>
      </c>
      <c r="B624" s="27" t="s">
        <v>4054</v>
      </c>
      <c r="C624" s="27" t="s">
        <v>4055</v>
      </c>
      <c r="D624" s="51" t="s">
        <v>3071</v>
      </c>
      <c r="E624" s="30" t="str">
        <f>HYPERLINK("http://twiplomacy.com/info/europe/sweden/","http://twiplomacy.com/info/europe/sweden/")</f>
        <v>http://twiplomacy.com/info/europe/sweden/</v>
      </c>
      <c r="F624" s="10" t="s">
        <v>332</v>
      </c>
      <c r="G624" s="10" t="s">
        <v>529</v>
      </c>
      <c r="H624" s="10" t="s">
        <v>795</v>
      </c>
      <c r="I624" s="10" t="s">
        <v>782</v>
      </c>
      <c r="J624" s="27" t="s">
        <v>2243</v>
      </c>
      <c r="K624" s="15" t="s">
        <v>3102</v>
      </c>
      <c r="L624" s="10" t="s">
        <v>771</v>
      </c>
      <c r="M624" s="42" t="s">
        <v>770</v>
      </c>
      <c r="N624" s="30" t="s">
        <v>3115</v>
      </c>
      <c r="O624" s="27" t="s">
        <v>5937</v>
      </c>
      <c r="P624" s="80">
        <v>2</v>
      </c>
      <c r="Q624" s="80">
        <v>0</v>
      </c>
      <c r="R624" s="27" t="s">
        <v>2995</v>
      </c>
      <c r="S624" s="12" t="s">
        <v>3086</v>
      </c>
      <c r="T624" s="10" t="s">
        <v>771</v>
      </c>
      <c r="U624" s="10" t="s">
        <v>771</v>
      </c>
      <c r="V624" s="10" t="s">
        <v>771</v>
      </c>
      <c r="W624" s="10"/>
      <c r="X624" s="27" t="s">
        <v>3078</v>
      </c>
      <c r="Y624" s="27" t="s">
        <v>4054</v>
      </c>
      <c r="Z624" s="80">
        <v>203</v>
      </c>
      <c r="AA624" s="27">
        <v>270</v>
      </c>
      <c r="AB624" s="80">
        <v>506</v>
      </c>
      <c r="AC624" s="27">
        <v>20</v>
      </c>
      <c r="AD624" s="27" t="s">
        <v>4056</v>
      </c>
      <c r="AE624" s="27">
        <v>1560464426</v>
      </c>
      <c r="AF624" s="27" t="s">
        <v>4055</v>
      </c>
      <c r="AG624" s="27"/>
      <c r="AH624" s="79">
        <v>0.195945945945946</v>
      </c>
      <c r="AI624" s="83">
        <v>0.312693498452012</v>
      </c>
      <c r="AJ624" s="80">
        <v>0.29411764705882398</v>
      </c>
      <c r="AK624" s="80">
        <v>0.11764705882352899</v>
      </c>
      <c r="AL624" s="27">
        <v>6</v>
      </c>
      <c r="AM624" s="97">
        <f>SUM(AL624/Z624)</f>
        <v>2.9556650246305417E-2</v>
      </c>
      <c r="AN624" s="27" t="s">
        <v>3078</v>
      </c>
      <c r="AO624" s="27">
        <v>12</v>
      </c>
      <c r="AP624" s="27">
        <v>0</v>
      </c>
      <c r="AQ624" s="27">
        <v>1</v>
      </c>
      <c r="AR624" s="27">
        <f>SUM(AO624:AQ624)</f>
        <v>13</v>
      </c>
      <c r="AS624" s="27" t="s">
        <v>5291</v>
      </c>
      <c r="AT624" s="27"/>
      <c r="AU624" s="84" t="s">
        <v>532</v>
      </c>
      <c r="AV624" s="77"/>
      <c r="AW624" s="77"/>
      <c r="AX624" s="77"/>
      <c r="AY624" s="77"/>
      <c r="AZ624" s="77"/>
      <c r="BA624" s="77"/>
      <c r="BB624" s="77"/>
      <c r="BC624" s="77"/>
      <c r="BD624" s="77"/>
      <c r="BE624" s="77"/>
      <c r="BF624" s="77"/>
      <c r="BG624" s="77"/>
      <c r="BH624" s="77"/>
      <c r="BI624" s="77"/>
      <c r="BJ624" s="77"/>
      <c r="BK624" s="77"/>
      <c r="BL624" s="77"/>
      <c r="BM624" s="77"/>
      <c r="BN624" s="77"/>
      <c r="BO624" s="77"/>
      <c r="BP624" s="77"/>
      <c r="BQ624" s="77"/>
      <c r="BR624" s="77"/>
      <c r="BS624" s="77"/>
      <c r="BT624" s="77"/>
      <c r="BU624" s="77"/>
      <c r="BV624" s="77"/>
      <c r="BW624" s="77"/>
      <c r="BX624" s="77"/>
      <c r="BY624" s="77"/>
      <c r="BZ624" s="77"/>
      <c r="CA624" s="77"/>
      <c r="CB624" s="77"/>
      <c r="CC624" s="77"/>
      <c r="CD624" s="77"/>
      <c r="CE624" s="77"/>
      <c r="CF624" s="77"/>
      <c r="CG624" s="77"/>
      <c r="CH624" s="77"/>
      <c r="CI624" s="77"/>
      <c r="CJ624" s="77"/>
      <c r="CK624" s="77"/>
      <c r="CL624" s="77"/>
      <c r="CM624" s="77"/>
      <c r="CN624" s="77"/>
      <c r="CO624" s="77"/>
      <c r="CP624" s="77"/>
      <c r="CQ624" s="77"/>
      <c r="CR624" s="77"/>
      <c r="CS624" s="77"/>
      <c r="CT624" s="77"/>
      <c r="CU624" s="77"/>
      <c r="CV624" s="77"/>
      <c r="CW624" s="77"/>
      <c r="CX624" s="77"/>
      <c r="CY624" s="77"/>
      <c r="CZ624" s="77"/>
      <c r="DA624" s="77"/>
      <c r="DB624" s="77"/>
      <c r="DC624" s="77"/>
      <c r="DD624" s="77"/>
      <c r="DE624" s="77"/>
      <c r="DF624" s="77"/>
      <c r="DG624" s="77"/>
      <c r="DH624" s="77"/>
      <c r="DI624" s="77"/>
      <c r="DJ624" s="77"/>
      <c r="DK624" s="77"/>
      <c r="DL624" s="77"/>
      <c r="DM624" s="77"/>
      <c r="DN624" s="77"/>
      <c r="DO624" s="77"/>
      <c r="DP624" s="77"/>
      <c r="DQ624" s="77"/>
      <c r="DR624" s="77"/>
      <c r="DS624" s="77"/>
      <c r="DT624" s="77"/>
      <c r="DU624" s="77"/>
      <c r="DV624" s="77"/>
      <c r="DW624" s="77"/>
      <c r="DX624" s="77"/>
      <c r="DY624" s="77"/>
      <c r="DZ624" s="77"/>
      <c r="EA624" s="77"/>
      <c r="EB624" s="77"/>
      <c r="EC624" s="77"/>
      <c r="ED624" s="77"/>
      <c r="EE624" s="77"/>
      <c r="EF624" s="77"/>
      <c r="EG624" s="77"/>
      <c r="EH624" s="77"/>
      <c r="EI624" s="77"/>
      <c r="EJ624" s="77"/>
      <c r="EK624" s="77"/>
      <c r="EL624" s="77"/>
      <c r="EM624" s="77"/>
      <c r="EN624" s="77"/>
      <c r="EO624" s="77"/>
      <c r="EP624" s="77"/>
      <c r="GL624" s="77"/>
      <c r="GM624" s="77"/>
      <c r="GN624" s="77"/>
      <c r="GO624" s="77"/>
      <c r="GP624" s="77"/>
      <c r="GQ624" s="77"/>
      <c r="GR624" s="77"/>
      <c r="GS624" s="77"/>
      <c r="GT624" s="77"/>
      <c r="GU624" s="77"/>
      <c r="GV624" s="77"/>
      <c r="GW624" s="77"/>
      <c r="GX624" s="77"/>
      <c r="GY624" s="77"/>
      <c r="GZ624" s="77"/>
      <c r="HA624" s="77"/>
      <c r="HB624" s="77"/>
      <c r="HC624" s="77"/>
      <c r="HD624" s="77"/>
      <c r="HE624" s="77"/>
      <c r="HF624" s="77"/>
      <c r="HG624" s="77"/>
      <c r="HH624" s="77"/>
      <c r="HI624" s="77"/>
      <c r="HJ624" s="77"/>
      <c r="HK624" s="77"/>
      <c r="HL624" s="77"/>
      <c r="HM624" s="77"/>
      <c r="HN624" s="77"/>
      <c r="HO624" s="77"/>
      <c r="HP624" s="77"/>
      <c r="HQ624" s="77"/>
      <c r="HR624" s="77"/>
      <c r="HS624" s="77"/>
      <c r="HT624" s="77"/>
      <c r="HU624" s="77"/>
      <c r="HV624" s="77"/>
      <c r="HW624" s="77"/>
      <c r="HX624" s="77"/>
      <c r="HY624" s="77"/>
      <c r="HZ624" s="77"/>
      <c r="IA624" s="77"/>
      <c r="IB624" s="77"/>
      <c r="IC624" s="77"/>
      <c r="ID624" s="77"/>
      <c r="IE624" s="77"/>
      <c r="IF624" s="16"/>
      <c r="IG624" s="16"/>
      <c r="IH624" s="16"/>
      <c r="II624" s="16"/>
      <c r="IJ624" s="16"/>
      <c r="IK624" s="16"/>
      <c r="IL624" s="16"/>
      <c r="IM624" s="16"/>
      <c r="IN624" s="16"/>
      <c r="IO624" s="16"/>
      <c r="IP624" s="16"/>
      <c r="IQ624" s="16"/>
      <c r="IR624" s="16"/>
      <c r="IS624" s="16"/>
      <c r="IT624" s="16"/>
      <c r="IU624" s="16"/>
      <c r="IV624" s="16"/>
      <c r="IW624" s="16"/>
      <c r="IX624" s="16"/>
      <c r="IY624" s="16"/>
      <c r="IZ624" s="16"/>
      <c r="JA624" s="16"/>
      <c r="JB624" s="16"/>
      <c r="JC624" s="16"/>
      <c r="JD624" s="16"/>
      <c r="JE624" s="16"/>
      <c r="JF624" s="16"/>
      <c r="JG624" s="16"/>
      <c r="JH624" s="16"/>
      <c r="JI624" s="16"/>
      <c r="JJ624" s="16"/>
      <c r="JK624" s="16"/>
      <c r="JL624" s="16"/>
      <c r="JM624" s="16"/>
      <c r="JN624" s="16"/>
      <c r="JO624" s="16"/>
      <c r="JP624" s="16"/>
      <c r="JQ624" s="16"/>
      <c r="JR624" s="16"/>
      <c r="JS624" s="16"/>
      <c r="JT624" s="16"/>
      <c r="JU624" s="16"/>
      <c r="JV624" s="16"/>
      <c r="JW624" s="16"/>
      <c r="JX624" s="16"/>
      <c r="KM624" s="77"/>
      <c r="KN624" s="77"/>
      <c r="KO624" s="77"/>
      <c r="KP624" s="77"/>
      <c r="KQ624" s="77"/>
      <c r="KR624" s="77"/>
      <c r="KS624" s="77"/>
      <c r="KT624" s="77"/>
      <c r="KU624" s="77"/>
      <c r="KV624" s="77"/>
      <c r="KW624" s="77"/>
      <c r="KX624" s="77"/>
      <c r="KY624" s="77"/>
      <c r="KZ624" s="77"/>
      <c r="LA624" s="77"/>
      <c r="LB624" s="77"/>
      <c r="LC624" s="77"/>
      <c r="LD624" s="77"/>
      <c r="LE624" s="77"/>
      <c r="LF624" s="77"/>
      <c r="LG624" s="77"/>
      <c r="LH624" s="77"/>
      <c r="LI624" s="77"/>
      <c r="LJ624" s="77"/>
      <c r="LK624" s="77"/>
      <c r="LL624" s="77"/>
      <c r="LM624" s="77"/>
      <c r="LN624" s="77"/>
      <c r="LO624" s="77"/>
      <c r="LP624" s="77"/>
      <c r="LQ624" s="77"/>
      <c r="LR624" s="77"/>
      <c r="LS624" s="77"/>
      <c r="LT624" s="77"/>
      <c r="LU624" s="77"/>
      <c r="LV624" s="77"/>
      <c r="LW624" s="77"/>
      <c r="LX624" s="77"/>
      <c r="MT624" s="77"/>
      <c r="MU624" s="77"/>
      <c r="MV624" s="77"/>
      <c r="MW624" s="77"/>
      <c r="MX624" s="77"/>
      <c r="MY624" s="77"/>
      <c r="MZ624" s="77"/>
      <c r="NA624" s="77"/>
      <c r="NB624" s="77"/>
      <c r="NC624" s="77"/>
    </row>
    <row r="625" spans="1:421" s="21" customFormat="1" ht="18.600000000000001" customHeight="1" x14ac:dyDescent="0.25">
      <c r="A625" s="119" t="s">
        <v>452</v>
      </c>
      <c r="B625" s="27" t="s">
        <v>4085</v>
      </c>
      <c r="C625" s="27" t="s">
        <v>4086</v>
      </c>
      <c r="D625" s="33" t="s">
        <v>3025</v>
      </c>
      <c r="E625" s="30" t="s">
        <v>2043</v>
      </c>
      <c r="F625" s="42" t="s">
        <v>332</v>
      </c>
      <c r="G625" s="42" t="s">
        <v>448</v>
      </c>
      <c r="H625" s="42" t="s">
        <v>795</v>
      </c>
      <c r="I625" s="42" t="s">
        <v>782</v>
      </c>
      <c r="J625" s="27" t="s">
        <v>814</v>
      </c>
      <c r="K625" s="15" t="s">
        <v>777</v>
      </c>
      <c r="L625" s="10"/>
      <c r="M625" s="42" t="s">
        <v>770</v>
      </c>
      <c r="N625" s="34" t="s">
        <v>2046</v>
      </c>
      <c r="O625" s="27" t="s">
        <v>3184</v>
      </c>
      <c r="P625" s="80">
        <v>33</v>
      </c>
      <c r="Q625" s="80">
        <v>33</v>
      </c>
      <c r="R625" s="27" t="s">
        <v>2995</v>
      </c>
      <c r="S625" s="86" t="s">
        <v>2047</v>
      </c>
      <c r="T625" s="10" t="s">
        <v>771</v>
      </c>
      <c r="U625" s="10" t="s">
        <v>771</v>
      </c>
      <c r="V625" s="10" t="s">
        <v>771</v>
      </c>
      <c r="W625" s="42"/>
      <c r="X625" s="27" t="s">
        <v>452</v>
      </c>
      <c r="Y625" s="27" t="s">
        <v>4085</v>
      </c>
      <c r="Z625" s="80">
        <v>202</v>
      </c>
      <c r="AA625" s="27">
        <v>3</v>
      </c>
      <c r="AB625" s="80">
        <v>266</v>
      </c>
      <c r="AC625" s="27">
        <v>16</v>
      </c>
      <c r="AD625" s="27" t="s">
        <v>4087</v>
      </c>
      <c r="AE625" s="27">
        <v>4098752969</v>
      </c>
      <c r="AF625" s="27" t="s">
        <v>4086</v>
      </c>
      <c r="AG625" s="27" t="s">
        <v>448</v>
      </c>
      <c r="AH625" s="79">
        <v>1.1098901098901099</v>
      </c>
      <c r="AI625" s="83">
        <v>1.1284916201117301</v>
      </c>
      <c r="AJ625" s="80">
        <v>2.1292517006802698</v>
      </c>
      <c r="AK625" s="80">
        <v>1.7891156462585001</v>
      </c>
      <c r="AL625" s="27">
        <v>29</v>
      </c>
      <c r="AM625" s="97">
        <f>SUM(AL625/Z625)</f>
        <v>0.14356435643564355</v>
      </c>
      <c r="AN625" s="27" t="s">
        <v>452</v>
      </c>
      <c r="AO625" s="27">
        <v>1</v>
      </c>
      <c r="AP625" s="27">
        <v>16</v>
      </c>
      <c r="AQ625" s="27">
        <v>1</v>
      </c>
      <c r="AR625" s="27">
        <f>SUM(AO625:AQ625)</f>
        <v>18</v>
      </c>
      <c r="AS625" s="27" t="s">
        <v>516</v>
      </c>
      <c r="AT625" s="27" t="s">
        <v>5307</v>
      </c>
      <c r="AU625" s="84" t="s">
        <v>472</v>
      </c>
      <c r="AV625" s="77"/>
      <c r="AW625" s="77"/>
      <c r="AX625" s="77"/>
      <c r="AY625" s="77"/>
      <c r="AZ625" s="77"/>
      <c r="BA625" s="77"/>
      <c r="BB625" s="77"/>
      <c r="BC625" s="77"/>
      <c r="BD625" s="77"/>
      <c r="BE625" s="77"/>
      <c r="BF625" s="77"/>
      <c r="BG625" s="77"/>
      <c r="BH625" s="77"/>
      <c r="BI625" s="77"/>
      <c r="BJ625" s="77"/>
      <c r="BK625" s="77"/>
      <c r="BL625" s="77"/>
      <c r="BM625" s="77"/>
      <c r="BN625" s="77"/>
      <c r="BO625" s="77"/>
      <c r="BP625" s="77"/>
      <c r="BQ625" s="77"/>
      <c r="BR625" s="77"/>
      <c r="BS625" s="77"/>
      <c r="BT625" s="77"/>
      <c r="BU625" s="77"/>
      <c r="BV625" s="77"/>
      <c r="BW625" s="77"/>
      <c r="BX625" s="77"/>
      <c r="BY625" s="77"/>
      <c r="BZ625" s="77"/>
      <c r="CA625" s="77"/>
      <c r="CB625" s="77"/>
      <c r="CC625" s="77"/>
      <c r="CD625" s="77"/>
      <c r="CE625" s="77"/>
      <c r="CF625" s="77"/>
      <c r="CG625" s="77"/>
      <c r="CH625" s="77"/>
      <c r="CI625" s="77"/>
      <c r="CJ625" s="77"/>
      <c r="CK625" s="77"/>
      <c r="CL625" s="77"/>
      <c r="CM625" s="77"/>
      <c r="CN625" s="77"/>
      <c r="CO625" s="77"/>
      <c r="CP625" s="77"/>
      <c r="CQ625" s="77"/>
      <c r="CR625" s="77"/>
      <c r="CS625" s="77"/>
      <c r="CT625" s="77"/>
      <c r="CU625" s="77"/>
      <c r="CV625" s="77"/>
      <c r="CW625" s="77"/>
      <c r="CX625" s="77"/>
      <c r="CY625" s="77"/>
      <c r="CZ625" s="77"/>
      <c r="DA625" s="77"/>
      <c r="DB625" s="77"/>
      <c r="DC625" s="77"/>
      <c r="DD625" s="77"/>
      <c r="DE625" s="77"/>
      <c r="DF625" s="77"/>
      <c r="DG625" s="77"/>
      <c r="DH625" s="77"/>
      <c r="DI625" s="77"/>
      <c r="DJ625" s="77"/>
      <c r="DK625" s="77"/>
      <c r="DL625" s="77"/>
      <c r="DM625" s="77"/>
      <c r="DN625" s="77"/>
      <c r="DO625" s="77"/>
      <c r="DP625" s="77"/>
      <c r="DQ625" s="77"/>
      <c r="DR625" s="77"/>
      <c r="DS625" s="77"/>
      <c r="DT625" s="77"/>
      <c r="DU625" s="77"/>
      <c r="DV625" s="77"/>
      <c r="DW625" s="77"/>
      <c r="DX625" s="77"/>
      <c r="DY625" s="77"/>
      <c r="DZ625" s="77"/>
      <c r="EA625" s="77"/>
      <c r="EB625" s="77"/>
      <c r="EC625" s="77"/>
      <c r="ED625" s="77"/>
      <c r="EE625" s="77"/>
      <c r="EF625" s="77"/>
      <c r="EG625" s="77"/>
      <c r="EH625" s="77"/>
      <c r="EI625" s="77"/>
      <c r="EJ625" s="77"/>
      <c r="EK625" s="77"/>
      <c r="EL625" s="77"/>
      <c r="EM625" s="77"/>
      <c r="EN625" s="77"/>
      <c r="EO625" s="77"/>
      <c r="EP625" s="77"/>
      <c r="EQ625" s="77"/>
      <c r="ER625" s="16"/>
      <c r="ES625" s="16"/>
      <c r="ET625" s="16"/>
      <c r="EU625" s="16"/>
      <c r="EV625" s="16"/>
      <c r="EW625" s="16"/>
      <c r="EX625" s="16"/>
      <c r="EY625" s="16"/>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77"/>
      <c r="GM625" s="77"/>
      <c r="GN625" s="77"/>
      <c r="GO625" s="77"/>
      <c r="GP625" s="77"/>
      <c r="GQ625" s="77"/>
      <c r="GR625" s="77"/>
      <c r="GS625" s="77"/>
      <c r="GT625" s="77"/>
      <c r="GU625" s="77"/>
      <c r="GV625" s="77"/>
      <c r="GW625" s="77"/>
      <c r="GX625" s="77"/>
      <c r="GY625" s="77"/>
      <c r="GZ625" s="77"/>
      <c r="HA625" s="77"/>
      <c r="HB625" s="77"/>
      <c r="HC625" s="77"/>
      <c r="HD625" s="77"/>
      <c r="HE625" s="77"/>
      <c r="HF625" s="77"/>
      <c r="HG625" s="77"/>
      <c r="HH625" s="77"/>
      <c r="HI625" s="77"/>
      <c r="HJ625" s="77"/>
      <c r="HK625" s="77"/>
      <c r="HL625" s="77"/>
      <c r="HM625" s="77"/>
      <c r="HN625" s="77"/>
      <c r="HO625" s="77"/>
      <c r="HP625" s="77"/>
      <c r="HQ625" s="77"/>
      <c r="HR625" s="77"/>
      <c r="HS625" s="77"/>
      <c r="HT625" s="77"/>
      <c r="HU625" s="77"/>
      <c r="HV625" s="77"/>
      <c r="HW625" s="77"/>
      <c r="HX625" s="77"/>
      <c r="HY625" s="77"/>
      <c r="HZ625" s="77"/>
      <c r="IA625" s="77"/>
      <c r="IB625" s="77"/>
      <c r="IC625" s="77"/>
      <c r="JY625" s="77"/>
      <c r="JZ625" s="77"/>
      <c r="KA625" s="77"/>
      <c r="KB625" s="77"/>
      <c r="KC625" s="77"/>
      <c r="KD625" s="77"/>
      <c r="KE625" s="77"/>
      <c r="KF625" s="77"/>
      <c r="KG625" s="77"/>
      <c r="KH625" s="77"/>
      <c r="KI625" s="77"/>
      <c r="KJ625" s="77"/>
      <c r="KK625" s="77"/>
      <c r="KL625" s="77"/>
      <c r="KM625" s="77"/>
      <c r="KN625" s="77"/>
      <c r="KO625" s="77"/>
      <c r="KP625" s="77"/>
      <c r="KQ625" s="77"/>
      <c r="KR625" s="77"/>
      <c r="KS625" s="77"/>
      <c r="KT625" s="77"/>
      <c r="KU625" s="77"/>
      <c r="KV625" s="77"/>
      <c r="KW625" s="77"/>
      <c r="KX625" s="77"/>
      <c r="KY625" s="77"/>
      <c r="KZ625" s="77"/>
      <c r="LA625" s="77"/>
      <c r="LB625" s="77"/>
      <c r="LC625" s="77"/>
      <c r="LD625" s="77"/>
      <c r="LE625" s="77"/>
      <c r="LF625" s="77"/>
      <c r="LG625" s="77"/>
      <c r="LH625" s="77"/>
      <c r="LI625" s="77"/>
      <c r="LJ625" s="77"/>
      <c r="LK625" s="77"/>
    </row>
    <row r="626" spans="1:421" s="21" customFormat="1" ht="18.600000000000001" customHeight="1" x14ac:dyDescent="0.25">
      <c r="A626" s="119" t="s">
        <v>1032</v>
      </c>
      <c r="B626" s="27" t="s">
        <v>1033</v>
      </c>
      <c r="C626" s="27" t="s">
        <v>3483</v>
      </c>
      <c r="D626" s="30" t="str">
        <f>HYPERLINK("https://twitter.com/AsoRock","https://twitter.com/AsoRock")</f>
        <v>https://twitter.com/AsoRock</v>
      </c>
      <c r="E626" s="30" t="str">
        <f>HYPERLINK("http://twiplomacy.com/info/africa/Nigeria","http://twiplomacy.com/info/africa/Nigeria")</f>
        <v>http://twiplomacy.com/info/africa/Nigeria</v>
      </c>
      <c r="F626" s="10" t="s">
        <v>1</v>
      </c>
      <c r="G626" s="10" t="s">
        <v>95</v>
      </c>
      <c r="H626" s="10" t="s">
        <v>781</v>
      </c>
      <c r="I626" s="10" t="s">
        <v>782</v>
      </c>
      <c r="J626" s="27" t="s">
        <v>789</v>
      </c>
      <c r="K626" s="15" t="s">
        <v>777</v>
      </c>
      <c r="L626" s="10" t="s">
        <v>771</v>
      </c>
      <c r="M626" s="10" t="s">
        <v>770</v>
      </c>
      <c r="N626" s="30" t="s">
        <v>3109</v>
      </c>
      <c r="O626" s="27" t="s">
        <v>3178</v>
      </c>
      <c r="P626" s="80">
        <v>412</v>
      </c>
      <c r="Q626" s="80">
        <v>83</v>
      </c>
      <c r="R626" s="27" t="s">
        <v>2994</v>
      </c>
      <c r="S626" s="12" t="s">
        <v>3091</v>
      </c>
      <c r="T626" s="10" t="s">
        <v>771</v>
      </c>
      <c r="U626" s="10" t="s">
        <v>771</v>
      </c>
      <c r="V626" s="10" t="s">
        <v>771</v>
      </c>
      <c r="W626" s="20"/>
      <c r="X626" s="27" t="s">
        <v>1032</v>
      </c>
      <c r="Y626" s="27" t="s">
        <v>1033</v>
      </c>
      <c r="Z626" s="80">
        <v>199</v>
      </c>
      <c r="AA626" s="27">
        <v>18</v>
      </c>
      <c r="AB626" s="80">
        <v>45795</v>
      </c>
      <c r="AC626" s="27">
        <v>4</v>
      </c>
      <c r="AD626" s="27" t="s">
        <v>3484</v>
      </c>
      <c r="AE626" s="27">
        <v>3133543325</v>
      </c>
      <c r="AF626" s="27" t="s">
        <v>3483</v>
      </c>
      <c r="AG626" s="27" t="s">
        <v>3485</v>
      </c>
      <c r="AH626" s="79">
        <v>0.50507614213198004</v>
      </c>
      <c r="AI626" s="83">
        <v>0.58875739644970404</v>
      </c>
      <c r="AJ626" s="80">
        <v>60.045112781954899</v>
      </c>
      <c r="AK626" s="80">
        <v>16.669172932330799</v>
      </c>
      <c r="AL626" s="96">
        <v>30</v>
      </c>
      <c r="AM626" s="97">
        <f>SUM(AL626/Z626)</f>
        <v>0.15075376884422109</v>
      </c>
      <c r="AN626" s="27" t="s">
        <v>1032</v>
      </c>
      <c r="AO626" s="27">
        <v>1</v>
      </c>
      <c r="AP626" s="27">
        <v>2</v>
      </c>
      <c r="AQ626" s="27">
        <v>2</v>
      </c>
      <c r="AR626" s="27">
        <f>SUM(AO626:AQ626)</f>
        <v>5</v>
      </c>
      <c r="AS626" s="27" t="s">
        <v>1027</v>
      </c>
      <c r="AT626" s="27" t="s">
        <v>6676</v>
      </c>
      <c r="AU626" s="84" t="s">
        <v>6145</v>
      </c>
      <c r="AV626" s="77"/>
      <c r="AW626" s="77"/>
      <c r="AX626" s="77"/>
      <c r="AY626" s="77"/>
      <c r="AZ626" s="77"/>
      <c r="BA626" s="77"/>
      <c r="BB626" s="77"/>
      <c r="BC626" s="77"/>
      <c r="BD626" s="77"/>
      <c r="BE626" s="77"/>
      <c r="BF626" s="77"/>
      <c r="BG626" s="77"/>
      <c r="BH626" s="77"/>
      <c r="BI626" s="77"/>
      <c r="BJ626" s="77"/>
      <c r="BK626" s="77"/>
      <c r="BL626" s="77"/>
      <c r="BM626" s="77"/>
      <c r="BN626" s="71"/>
      <c r="BO626" s="71"/>
      <c r="BP626" s="71"/>
      <c r="BQ626" s="77"/>
      <c r="BR626" s="77"/>
      <c r="BS626" s="77"/>
      <c r="BT626" s="77"/>
      <c r="BU626" s="77"/>
      <c r="BV626" s="77"/>
      <c r="BW626" s="77"/>
      <c r="BX626" s="77"/>
      <c r="BY626" s="77"/>
      <c r="BZ626" s="77"/>
      <c r="CA626" s="77"/>
      <c r="CB626" s="77"/>
      <c r="CC626" s="77"/>
      <c r="CD626" s="77"/>
      <c r="CE626" s="77"/>
      <c r="CF626" s="77"/>
      <c r="CG626" s="77"/>
      <c r="CH626" s="77"/>
      <c r="CI626" s="77"/>
      <c r="CJ626" s="77"/>
      <c r="CK626" s="77"/>
      <c r="CL626" s="77"/>
      <c r="CM626" s="77"/>
      <c r="CN626" s="77"/>
      <c r="CO626" s="77"/>
      <c r="CP626" s="77"/>
      <c r="CQ626" s="77"/>
      <c r="CR626" s="77"/>
      <c r="CS626" s="77"/>
      <c r="CT626" s="77"/>
      <c r="CU626" s="77"/>
      <c r="CV626" s="77"/>
      <c r="CW626" s="77"/>
      <c r="CX626" s="77"/>
      <c r="CY626" s="77"/>
      <c r="CZ626" s="77"/>
      <c r="DA626" s="77"/>
      <c r="DB626" s="77"/>
      <c r="DC626" s="77"/>
      <c r="DD626" s="77"/>
      <c r="DE626" s="77"/>
      <c r="DF626" s="77"/>
      <c r="DG626" s="77"/>
      <c r="DH626" s="77"/>
      <c r="DI626" s="77"/>
      <c r="DJ626" s="77"/>
      <c r="DK626" s="77"/>
      <c r="DL626" s="77"/>
      <c r="DM626" s="77"/>
      <c r="DN626" s="77"/>
      <c r="DO626" s="77"/>
      <c r="DP626" s="77"/>
      <c r="DQ626" s="77"/>
      <c r="DR626" s="77"/>
      <c r="DS626" s="77"/>
      <c r="DT626" s="77"/>
      <c r="DU626" s="77"/>
      <c r="DV626" s="77"/>
      <c r="DW626" s="77"/>
      <c r="DX626" s="77"/>
      <c r="DY626" s="77"/>
      <c r="DZ626" s="77"/>
      <c r="EA626" s="77"/>
      <c r="EB626" s="77"/>
      <c r="EC626" s="77"/>
      <c r="ED626" s="77"/>
      <c r="EE626" s="77"/>
      <c r="EF626" s="77"/>
      <c r="EG626" s="77"/>
      <c r="EH626" s="77"/>
      <c r="EI626" s="77"/>
      <c r="EJ626" s="77"/>
      <c r="EK626" s="77"/>
      <c r="EL626" s="77"/>
      <c r="EM626" s="77"/>
      <c r="EN626" s="77"/>
      <c r="EO626" s="77"/>
      <c r="EP626" s="77"/>
      <c r="EQ626" s="77"/>
      <c r="ER626" s="77"/>
      <c r="ES626" s="77"/>
      <c r="ET626" s="77"/>
      <c r="EU626" s="77"/>
      <c r="EV626" s="77"/>
      <c r="EW626" s="77"/>
      <c r="EX626" s="77"/>
      <c r="EY626" s="77"/>
      <c r="EZ626" s="77"/>
      <c r="FA626" s="77"/>
      <c r="FB626" s="77"/>
      <c r="FC626" s="77"/>
      <c r="FD626" s="77"/>
      <c r="FE626" s="77"/>
      <c r="FF626" s="77"/>
      <c r="FG626" s="77"/>
      <c r="FH626" s="77"/>
      <c r="FI626" s="77"/>
      <c r="FJ626" s="77"/>
      <c r="FK626" s="77"/>
      <c r="FL626" s="77"/>
      <c r="FM626" s="77"/>
      <c r="FN626" s="77"/>
      <c r="FO626" s="77"/>
      <c r="FP626" s="77"/>
      <c r="FQ626" s="77"/>
      <c r="FR626" s="77"/>
      <c r="FS626" s="77"/>
      <c r="FT626" s="77"/>
      <c r="FU626" s="77"/>
      <c r="FV626" s="77"/>
      <c r="FW626" s="77"/>
      <c r="FX626" s="77"/>
      <c r="FY626" s="77"/>
      <c r="FZ626" s="77"/>
      <c r="GA626" s="77"/>
      <c r="GB626" s="77"/>
      <c r="GC626" s="77"/>
      <c r="GD626" s="77"/>
      <c r="GE626" s="77"/>
      <c r="GF626" s="77"/>
      <c r="GG626" s="77"/>
      <c r="GH626" s="77"/>
      <c r="GI626" s="77"/>
      <c r="GJ626" s="77"/>
      <c r="GK626" s="77"/>
      <c r="GL626" s="77"/>
      <c r="GM626" s="77"/>
      <c r="GN626" s="77"/>
      <c r="GO626" s="77"/>
      <c r="GP626" s="77"/>
      <c r="GQ626" s="77"/>
      <c r="GR626" s="77"/>
      <c r="GS626" s="77"/>
      <c r="GT626" s="77"/>
      <c r="GU626" s="77"/>
      <c r="GV626" s="77"/>
      <c r="GW626" s="77"/>
      <c r="GX626" s="77"/>
      <c r="GY626" s="77"/>
      <c r="GZ626" s="77"/>
      <c r="HA626" s="77"/>
      <c r="HB626" s="77"/>
      <c r="HC626" s="77"/>
      <c r="HD626" s="77"/>
      <c r="HE626" s="77"/>
      <c r="HF626" s="77"/>
      <c r="HG626" s="77"/>
      <c r="HH626" s="77"/>
      <c r="HI626" s="77"/>
      <c r="HJ626" s="77"/>
      <c r="HK626" s="77"/>
      <c r="IF626" s="77"/>
      <c r="IG626" s="77"/>
      <c r="IH626" s="77"/>
      <c r="II626" s="77"/>
      <c r="IJ626" s="77"/>
      <c r="IK626" s="77"/>
      <c r="IL626" s="77"/>
      <c r="IM626" s="77"/>
      <c r="IN626" s="77"/>
      <c r="IO626" s="77"/>
      <c r="IP626" s="77"/>
      <c r="IQ626" s="77"/>
      <c r="IR626" s="77"/>
      <c r="IS626" s="77"/>
      <c r="IT626" s="77"/>
      <c r="IU626" s="77"/>
      <c r="IV626" s="77"/>
      <c r="IW626" s="77"/>
      <c r="IX626" s="77"/>
      <c r="IY626" s="77"/>
      <c r="IZ626" s="77"/>
      <c r="JA626" s="77"/>
      <c r="JB626" s="77"/>
      <c r="JC626" s="77"/>
      <c r="JD626" s="77"/>
      <c r="JE626" s="77"/>
      <c r="JF626" s="77"/>
      <c r="JG626" s="77"/>
      <c r="JH626" s="77"/>
      <c r="JI626" s="77"/>
      <c r="JJ626" s="77"/>
      <c r="JK626" s="77"/>
      <c r="JL626" s="77"/>
      <c r="JM626" s="77"/>
      <c r="JN626" s="77"/>
      <c r="JO626" s="77"/>
      <c r="JP626" s="77"/>
      <c r="JQ626" s="77"/>
      <c r="JR626" s="77"/>
      <c r="JS626" s="77"/>
      <c r="JT626" s="77"/>
      <c r="JU626" s="77"/>
      <c r="JV626" s="77"/>
      <c r="JW626" s="77"/>
      <c r="JX626" s="77"/>
      <c r="JY626" s="77"/>
      <c r="JZ626" s="77"/>
      <c r="KA626" s="77"/>
      <c r="KB626" s="77"/>
      <c r="KC626" s="77"/>
      <c r="KD626" s="77"/>
      <c r="KE626" s="77"/>
      <c r="KF626" s="77"/>
      <c r="KG626" s="77"/>
      <c r="KH626" s="77"/>
      <c r="KI626" s="77"/>
      <c r="KJ626" s="77"/>
      <c r="KK626" s="77"/>
      <c r="KL626" s="77"/>
      <c r="KM626" s="77"/>
      <c r="KN626" s="77"/>
      <c r="KO626" s="77"/>
      <c r="KP626" s="77"/>
      <c r="KQ626" s="77"/>
      <c r="KR626" s="77"/>
      <c r="KS626" s="77"/>
      <c r="KT626" s="77"/>
      <c r="KU626" s="77"/>
      <c r="KV626" s="77"/>
      <c r="KW626" s="77"/>
      <c r="KX626" s="77"/>
      <c r="KY626" s="77"/>
      <c r="KZ626" s="77"/>
      <c r="LA626" s="77"/>
      <c r="LB626" s="77"/>
      <c r="LC626" s="77"/>
      <c r="LD626" s="77"/>
      <c r="LE626" s="77"/>
      <c r="LF626" s="77"/>
      <c r="LG626" s="77"/>
      <c r="LH626" s="77"/>
      <c r="LI626" s="77"/>
      <c r="LJ626" s="77"/>
      <c r="LK626" s="77"/>
      <c r="LL626" s="77"/>
      <c r="LM626" s="77"/>
      <c r="LN626" s="77"/>
      <c r="LO626" s="77"/>
      <c r="LP626" s="77"/>
      <c r="LQ626" s="77"/>
      <c r="LR626" s="77"/>
      <c r="LS626" s="77"/>
      <c r="LT626" s="77"/>
      <c r="LU626" s="77"/>
      <c r="LV626" s="77"/>
      <c r="LW626" s="16"/>
      <c r="LX626" s="16"/>
      <c r="LY626" s="77"/>
      <c r="LZ626" s="77"/>
      <c r="MA626" s="77"/>
      <c r="MB626" s="77"/>
      <c r="MC626" s="77"/>
      <c r="MD626" s="77"/>
      <c r="ME626" s="77"/>
      <c r="MF626" s="77"/>
      <c r="MG626" s="77"/>
      <c r="MH626" s="77"/>
      <c r="MI626" s="77"/>
      <c r="MJ626" s="77"/>
      <c r="MK626" s="77"/>
      <c r="ML626" s="77"/>
      <c r="MM626" s="77"/>
      <c r="MN626" s="77"/>
      <c r="MO626" s="77"/>
      <c r="MP626" s="77"/>
      <c r="MQ626" s="77"/>
      <c r="MR626" s="77"/>
    </row>
    <row r="627" spans="1:421" s="21" customFormat="1" ht="18.600000000000001" customHeight="1" x14ac:dyDescent="0.25">
      <c r="A627" s="119" t="s">
        <v>3074</v>
      </c>
      <c r="B627" s="27" t="s">
        <v>2438</v>
      </c>
      <c r="C627" s="27" t="s">
        <v>4115</v>
      </c>
      <c r="D627" s="12" t="s">
        <v>3066</v>
      </c>
      <c r="E627" s="30" t="str">
        <f>HYPERLINK("http://twiplomacy.com/info/north-america/Canada","http://twiplomacy.com/info/north-america/Canada")</f>
        <v>http://twiplomacy.com/info/north-america/Canada</v>
      </c>
      <c r="F627" s="42" t="s">
        <v>558</v>
      </c>
      <c r="G627" s="42" t="s">
        <v>568</v>
      </c>
      <c r="H627" s="42" t="s">
        <v>860</v>
      </c>
      <c r="I627" s="42" t="s">
        <v>782</v>
      </c>
      <c r="J627" s="27" t="s">
        <v>789</v>
      </c>
      <c r="K627" s="15" t="s">
        <v>777</v>
      </c>
      <c r="L627" s="10"/>
      <c r="M627" s="42" t="s">
        <v>770</v>
      </c>
      <c r="N627" s="30" t="s">
        <v>3116</v>
      </c>
      <c r="O627" s="27" t="s">
        <v>5957</v>
      </c>
      <c r="P627" s="80">
        <v>63</v>
      </c>
      <c r="Q627" s="80">
        <v>37</v>
      </c>
      <c r="R627" s="27" t="s">
        <v>2994</v>
      </c>
      <c r="S627" s="12" t="s">
        <v>3081</v>
      </c>
      <c r="T627" s="10" t="s">
        <v>771</v>
      </c>
      <c r="U627" s="10" t="s">
        <v>771</v>
      </c>
      <c r="V627" s="10" t="s">
        <v>771</v>
      </c>
      <c r="W627" s="10"/>
      <c r="X627" s="27" t="s">
        <v>3074</v>
      </c>
      <c r="Y627" s="27" t="s">
        <v>2438</v>
      </c>
      <c r="Z627" s="80">
        <v>199</v>
      </c>
      <c r="AA627" s="27">
        <v>525</v>
      </c>
      <c r="AB627" s="80">
        <v>1140</v>
      </c>
      <c r="AC627" s="27">
        <v>0</v>
      </c>
      <c r="AD627" s="27" t="s">
        <v>4116</v>
      </c>
      <c r="AE627" s="27">
        <v>4341604709</v>
      </c>
      <c r="AF627" s="27" t="s">
        <v>4115</v>
      </c>
      <c r="AG627" s="27" t="s">
        <v>568</v>
      </c>
      <c r="AH627" s="79">
        <v>1.3006535947712401</v>
      </c>
      <c r="AI627" s="83">
        <v>1.3178807947019899</v>
      </c>
      <c r="AJ627" s="80">
        <v>5.52</v>
      </c>
      <c r="AK627" s="80">
        <v>2.8</v>
      </c>
      <c r="AL627" s="27">
        <v>1</v>
      </c>
      <c r="AM627" s="97">
        <f>SUM(AL627/Z627)</f>
        <v>5.0251256281407036E-3</v>
      </c>
      <c r="AN627" s="27" t="s">
        <v>3074</v>
      </c>
      <c r="AO627" s="27">
        <v>131</v>
      </c>
      <c r="AP627" s="27">
        <v>1</v>
      </c>
      <c r="AQ627" s="27">
        <v>14</v>
      </c>
      <c r="AR627" s="27">
        <f>SUM(AO627:AQ627)</f>
        <v>146</v>
      </c>
      <c r="AS627" s="27" t="s">
        <v>6599</v>
      </c>
      <c r="AT627" s="27" t="s">
        <v>571</v>
      </c>
      <c r="AU627" s="84" t="s">
        <v>6511</v>
      </c>
      <c r="AV627" s="77"/>
      <c r="AW627" s="77"/>
      <c r="AX627" s="77"/>
      <c r="AY627" s="77"/>
      <c r="AZ627" s="77"/>
      <c r="BA627" s="77"/>
      <c r="BB627" s="77"/>
      <c r="BC627" s="77"/>
      <c r="BD627" s="77"/>
      <c r="BE627" s="77"/>
      <c r="BF627" s="77"/>
      <c r="BG627" s="77"/>
      <c r="BH627" s="77"/>
      <c r="BI627" s="77"/>
      <c r="BJ627" s="77"/>
      <c r="BK627" s="77"/>
      <c r="BL627" s="77"/>
      <c r="BM627" s="77"/>
      <c r="BN627" s="77"/>
      <c r="BO627" s="77"/>
      <c r="BP627" s="77"/>
      <c r="BQ627" s="77"/>
      <c r="BR627" s="77"/>
      <c r="BS627" s="77"/>
      <c r="BT627" s="77"/>
      <c r="BU627" s="77"/>
      <c r="BV627" s="77"/>
      <c r="BW627" s="77"/>
      <c r="BX627" s="77"/>
      <c r="BY627" s="77"/>
      <c r="BZ627" s="77"/>
      <c r="CA627" s="77"/>
      <c r="CB627" s="77"/>
      <c r="CC627" s="77"/>
      <c r="CD627" s="77"/>
      <c r="CE627" s="77"/>
      <c r="CF627" s="77"/>
      <c r="CG627" s="77"/>
      <c r="CH627" s="77"/>
      <c r="CI627" s="77"/>
      <c r="CJ627" s="77"/>
      <c r="CK627" s="77"/>
      <c r="CL627" s="77"/>
      <c r="CM627" s="77"/>
      <c r="CN627" s="77"/>
      <c r="CO627" s="77"/>
      <c r="CP627" s="77"/>
      <c r="CQ627" s="77"/>
      <c r="CR627" s="77"/>
      <c r="CS627" s="77"/>
      <c r="CT627" s="77"/>
      <c r="CU627" s="77"/>
      <c r="CV627" s="77"/>
      <c r="CW627" s="77"/>
      <c r="CX627" s="77"/>
      <c r="CY627" s="77"/>
      <c r="CZ627" s="77"/>
      <c r="DA627" s="77"/>
      <c r="DB627" s="77"/>
      <c r="DC627" s="77"/>
      <c r="DD627" s="77"/>
      <c r="DE627" s="77"/>
      <c r="DF627" s="77"/>
      <c r="DG627" s="77"/>
      <c r="DH627" s="77"/>
      <c r="DI627" s="77"/>
      <c r="DJ627" s="77"/>
      <c r="DK627" s="77"/>
      <c r="DL627" s="77"/>
      <c r="DM627" s="77"/>
      <c r="DN627" s="77"/>
      <c r="DO627" s="77"/>
      <c r="DP627" s="77"/>
      <c r="DQ627" s="77"/>
      <c r="DR627" s="77"/>
      <c r="DS627" s="77"/>
      <c r="DT627" s="77"/>
      <c r="DU627" s="77"/>
      <c r="DV627" s="77"/>
      <c r="DW627" s="77"/>
      <c r="DX627" s="77"/>
      <c r="DY627" s="77"/>
      <c r="DZ627" s="77"/>
      <c r="EA627" s="77"/>
      <c r="EB627" s="77"/>
      <c r="EC627" s="77"/>
      <c r="ED627" s="77"/>
      <c r="EE627" s="77"/>
      <c r="EF627" s="77"/>
      <c r="EG627" s="77"/>
      <c r="EH627" s="77"/>
      <c r="EI627" s="77"/>
      <c r="EJ627" s="77"/>
      <c r="EK627" s="77"/>
      <c r="EL627" s="77"/>
      <c r="EM627" s="77"/>
      <c r="EN627" s="77"/>
      <c r="EO627" s="77"/>
      <c r="EP627" s="16"/>
      <c r="EQ627" s="77"/>
      <c r="ER627" s="77"/>
      <c r="ES627" s="77"/>
      <c r="ET627" s="77"/>
      <c r="EU627" s="77"/>
      <c r="EV627" s="77"/>
      <c r="EW627" s="77"/>
      <c r="EX627" s="77"/>
      <c r="EY627" s="77"/>
      <c r="EZ627" s="77"/>
      <c r="FA627" s="77"/>
      <c r="FB627" s="77"/>
      <c r="FC627" s="77"/>
      <c r="FD627" s="77"/>
      <c r="FE627" s="77"/>
      <c r="FF627" s="77"/>
      <c r="FG627" s="77"/>
      <c r="FH627" s="77"/>
      <c r="FI627" s="77"/>
      <c r="FJ627" s="77"/>
      <c r="FK627" s="77"/>
      <c r="FL627" s="77"/>
      <c r="FM627" s="77"/>
      <c r="FN627" s="77"/>
      <c r="FO627" s="77"/>
      <c r="FP627" s="77"/>
      <c r="FQ627" s="77"/>
      <c r="FR627" s="77"/>
      <c r="FS627" s="77"/>
      <c r="FT627" s="77"/>
      <c r="FU627" s="77"/>
      <c r="FV627" s="77"/>
      <c r="FW627" s="77"/>
      <c r="FX627" s="77"/>
      <c r="FY627" s="77"/>
      <c r="FZ627" s="77"/>
      <c r="GA627" s="77"/>
      <c r="GB627" s="77"/>
      <c r="GC627" s="77"/>
      <c r="GD627" s="77"/>
      <c r="GE627" s="77"/>
      <c r="GF627" s="77"/>
      <c r="GG627" s="77"/>
      <c r="GH627" s="77"/>
      <c r="GI627" s="77"/>
      <c r="GJ627" s="77"/>
      <c r="GK627" s="77"/>
      <c r="GL627" s="77"/>
      <c r="GM627" s="77"/>
      <c r="GN627" s="77"/>
      <c r="GO627" s="77"/>
      <c r="GP627" s="77"/>
      <c r="GQ627" s="77"/>
      <c r="GR627" s="77"/>
      <c r="GS627" s="77"/>
      <c r="GT627" s="77"/>
      <c r="GU627" s="77"/>
      <c r="GV627" s="77"/>
      <c r="GW627" s="77"/>
      <c r="GX627" s="77"/>
      <c r="GY627" s="77"/>
      <c r="GZ627" s="77"/>
      <c r="HA627" s="77"/>
      <c r="HB627" s="77"/>
      <c r="HC627" s="77"/>
      <c r="HD627" s="77"/>
      <c r="HE627" s="77"/>
      <c r="HF627" s="77"/>
      <c r="HG627" s="77"/>
      <c r="HH627" s="77"/>
      <c r="HI627" s="77"/>
      <c r="HJ627" s="77"/>
      <c r="HK627" s="77"/>
      <c r="HL627" s="77"/>
      <c r="HM627" s="77"/>
      <c r="HN627" s="77"/>
      <c r="HO627" s="77"/>
      <c r="HP627" s="77"/>
      <c r="HQ627" s="77"/>
      <c r="HR627" s="77"/>
      <c r="HS627" s="77"/>
      <c r="HT627" s="77"/>
      <c r="HU627" s="77"/>
      <c r="HV627" s="77"/>
      <c r="HW627" s="77"/>
      <c r="HX627" s="77"/>
      <c r="HY627" s="77"/>
      <c r="HZ627" s="77"/>
      <c r="IA627" s="77"/>
      <c r="IB627" s="77"/>
      <c r="IC627" s="77"/>
      <c r="KM627" s="77"/>
      <c r="KN627" s="77"/>
      <c r="KO627" s="77"/>
      <c r="KP627" s="77"/>
      <c r="KQ627" s="77"/>
      <c r="KR627" s="77"/>
      <c r="KS627" s="77"/>
      <c r="KT627" s="77"/>
      <c r="KU627" s="77"/>
      <c r="KV627" s="77"/>
      <c r="KW627" s="77"/>
      <c r="KX627" s="77"/>
      <c r="KY627" s="77"/>
      <c r="KZ627" s="77"/>
      <c r="LA627" s="77"/>
      <c r="LB627" s="77"/>
      <c r="LC627" s="77"/>
      <c r="LD627" s="77"/>
      <c r="LE627" s="77"/>
      <c r="LF627" s="77"/>
      <c r="LG627" s="77"/>
      <c r="LH627" s="77"/>
      <c r="LI627" s="77"/>
      <c r="LJ627" s="77"/>
      <c r="LK627" s="77"/>
      <c r="LL627" s="77"/>
      <c r="LM627" s="77"/>
      <c r="LN627" s="77"/>
      <c r="LO627" s="77"/>
      <c r="LP627" s="77"/>
      <c r="LQ627" s="77"/>
      <c r="LR627" s="77"/>
      <c r="LS627" s="77"/>
      <c r="LT627" s="77"/>
      <c r="LU627" s="77"/>
      <c r="LV627" s="77"/>
      <c r="LY627" s="77"/>
      <c r="LZ627" s="77"/>
      <c r="MA627" s="77"/>
      <c r="MB627" s="77"/>
      <c r="MC627" s="77"/>
      <c r="MD627" s="77"/>
      <c r="ME627" s="77"/>
      <c r="MF627" s="77"/>
      <c r="MG627" s="77"/>
      <c r="MH627" s="77"/>
      <c r="MI627" s="77"/>
      <c r="MJ627" s="77"/>
      <c r="MK627" s="77"/>
      <c r="ML627" s="77"/>
      <c r="MM627" s="77"/>
      <c r="MN627" s="77"/>
      <c r="MO627" s="77"/>
      <c r="MP627" s="77"/>
      <c r="MQ627" s="77"/>
      <c r="MR627" s="77"/>
      <c r="MS627" s="77"/>
      <c r="ND627" s="77"/>
    </row>
    <row r="628" spans="1:421" s="21" customFormat="1" ht="18.600000000000001" customHeight="1" x14ac:dyDescent="0.25">
      <c r="A628" s="119" t="s">
        <v>148</v>
      </c>
      <c r="B628" s="27" t="s">
        <v>1165</v>
      </c>
      <c r="C628" s="27"/>
      <c r="D628" s="30" t="str">
        <f>HYPERLINK("https://twitter.com/HonEdgarCLungu","https://twitter.com/HonEdgarCLungu")</f>
        <v>https://twitter.com/HonEdgarCLungu</v>
      </c>
      <c r="E628" s="30" t="str">
        <f>HYPERLINK("http://twiplomacy.com/info/africa/Zambia","http://twiplomacy.com/info/africa/Zambia")</f>
        <v>http://twiplomacy.com/info/africa/Zambia</v>
      </c>
      <c r="F628" s="10" t="s">
        <v>1</v>
      </c>
      <c r="G628" s="10" t="s">
        <v>147</v>
      </c>
      <c r="H628" s="10" t="s">
        <v>772</v>
      </c>
      <c r="I628" s="10" t="s">
        <v>773</v>
      </c>
      <c r="J628" s="27" t="s">
        <v>789</v>
      </c>
      <c r="K628" s="15" t="s">
        <v>4622</v>
      </c>
      <c r="L628" s="10" t="s">
        <v>774</v>
      </c>
      <c r="M628" s="10" t="s">
        <v>771</v>
      </c>
      <c r="N628" s="30" t="str">
        <f>HYPERLINK("https://twitter.com/HonEdgarCLungu/status/552830396850012161","https://twitter.com/HonEdgarCLungu/status/552830396850012161")</f>
        <v>https://twitter.com/HonEdgarCLungu/status/552830396850012161</v>
      </c>
      <c r="O628" s="27" t="s">
        <v>5863</v>
      </c>
      <c r="P628" s="80">
        <v>6</v>
      </c>
      <c r="Q628" s="80">
        <v>5</v>
      </c>
      <c r="R628" s="27" t="s">
        <v>2995</v>
      </c>
      <c r="S628" s="10" t="s">
        <v>1166</v>
      </c>
      <c r="T628" s="10" t="s">
        <v>771</v>
      </c>
      <c r="U628" s="10" t="s">
        <v>771</v>
      </c>
      <c r="V628" s="10" t="s">
        <v>771</v>
      </c>
      <c r="W628" s="10"/>
      <c r="X628" s="27" t="s">
        <v>148</v>
      </c>
      <c r="Y628" s="27" t="s">
        <v>1165</v>
      </c>
      <c r="Z628" s="80">
        <v>198</v>
      </c>
      <c r="AA628" s="27">
        <v>3</v>
      </c>
      <c r="AB628" s="80">
        <v>651</v>
      </c>
      <c r="AC628" s="27">
        <v>0</v>
      </c>
      <c r="AD628" s="27" t="s">
        <v>3812</v>
      </c>
      <c r="AE628" s="27">
        <v>2965828258</v>
      </c>
      <c r="AF628" s="27"/>
      <c r="AG628" s="27"/>
      <c r="AH628" s="79">
        <v>0.411642411642412</v>
      </c>
      <c r="AI628" s="83">
        <v>3.96</v>
      </c>
      <c r="AJ628" s="80">
        <v>0.17171717171717199</v>
      </c>
      <c r="AK628" s="80">
        <v>0.13131313131313099</v>
      </c>
      <c r="AL628" s="13">
        <v>0</v>
      </c>
      <c r="AM628" s="97">
        <f>SUM(AL628/Z628)</f>
        <v>0</v>
      </c>
      <c r="AN628" s="27" t="s">
        <v>148</v>
      </c>
      <c r="AO628" s="27">
        <v>0</v>
      </c>
      <c r="AP628" s="27">
        <v>1</v>
      </c>
      <c r="AQ628" s="27">
        <v>0</v>
      </c>
      <c r="AR628" s="27">
        <f>SUM(AO628:AQ628)</f>
        <v>1</v>
      </c>
      <c r="AS628" s="27"/>
      <c r="AT628" s="27" t="s">
        <v>705</v>
      </c>
      <c r="AU628" s="84"/>
      <c r="AV628" s="77"/>
      <c r="AW628" s="77"/>
      <c r="AX628" s="77"/>
      <c r="AY628" s="77"/>
      <c r="AZ628" s="77"/>
      <c r="BA628" s="77"/>
      <c r="BB628" s="77"/>
      <c r="BC628" s="77"/>
      <c r="BD628" s="77"/>
      <c r="BE628" s="77"/>
      <c r="BF628" s="77"/>
      <c r="BG628" s="77"/>
      <c r="BH628" s="77"/>
      <c r="BI628" s="77"/>
      <c r="BJ628" s="77"/>
      <c r="BK628" s="77"/>
      <c r="BL628" s="77"/>
      <c r="BM628" s="77"/>
      <c r="BN628" s="77"/>
      <c r="BO628" s="77"/>
      <c r="BP628" s="77"/>
      <c r="BQ628" s="77"/>
      <c r="BR628" s="77"/>
      <c r="BS628" s="77"/>
      <c r="BT628" s="77"/>
      <c r="BU628" s="77"/>
      <c r="BV628" s="77"/>
      <c r="BW628" s="77"/>
      <c r="BX628" s="77"/>
      <c r="BY628" s="77"/>
      <c r="BZ628" s="77"/>
      <c r="CA628" s="77"/>
      <c r="CB628" s="77"/>
      <c r="CC628" s="77"/>
      <c r="CD628" s="77"/>
      <c r="CE628" s="77"/>
      <c r="CF628" s="77"/>
      <c r="CG628" s="77"/>
      <c r="CH628" s="77"/>
      <c r="CI628" s="77"/>
      <c r="CJ628" s="77"/>
      <c r="CK628" s="77"/>
      <c r="CL628" s="77"/>
      <c r="CM628" s="77"/>
      <c r="CN628" s="77"/>
      <c r="CO628" s="77"/>
      <c r="CP628" s="77"/>
      <c r="CQ628" s="77"/>
      <c r="CR628" s="77"/>
      <c r="CS628" s="77"/>
      <c r="CT628" s="77"/>
      <c r="CU628" s="77"/>
      <c r="CV628" s="77"/>
      <c r="CW628" s="77"/>
      <c r="EM628" s="77"/>
      <c r="EN628" s="77"/>
      <c r="EO628" s="77"/>
      <c r="EP628" s="77"/>
      <c r="EQ628" s="77"/>
      <c r="GL628" s="77"/>
      <c r="GM628" s="77"/>
      <c r="GN628" s="77"/>
      <c r="GO628" s="77"/>
      <c r="GP628" s="77"/>
      <c r="GQ628" s="77"/>
      <c r="GR628" s="77"/>
      <c r="GS628" s="77"/>
      <c r="GT628" s="77"/>
      <c r="GU628" s="77"/>
      <c r="GV628" s="77"/>
      <c r="GW628" s="77"/>
      <c r="GX628" s="77"/>
      <c r="GY628" s="77"/>
      <c r="GZ628" s="77"/>
      <c r="HA628" s="77"/>
      <c r="HB628" s="77"/>
      <c r="HC628" s="77"/>
      <c r="HD628" s="77"/>
      <c r="HE628" s="77"/>
      <c r="HF628" s="77"/>
      <c r="HG628" s="77"/>
      <c r="HH628" s="77"/>
      <c r="HI628" s="77"/>
      <c r="HJ628" s="77"/>
      <c r="HK628" s="77"/>
      <c r="ID628" s="77"/>
      <c r="IE628" s="77"/>
      <c r="IF628" s="77"/>
      <c r="IG628" s="77"/>
      <c r="IH628" s="77"/>
      <c r="II628" s="77"/>
      <c r="IJ628" s="77"/>
      <c r="IK628" s="77"/>
      <c r="IL628" s="77"/>
      <c r="IM628" s="77"/>
      <c r="IN628" s="77"/>
      <c r="IO628" s="77"/>
      <c r="IP628" s="77"/>
      <c r="IQ628" s="77"/>
      <c r="IR628" s="77"/>
      <c r="IS628" s="77"/>
      <c r="IT628" s="77"/>
      <c r="IU628" s="77"/>
      <c r="IV628" s="77"/>
      <c r="IW628" s="77"/>
      <c r="IX628" s="77"/>
      <c r="IY628" s="77"/>
      <c r="IZ628" s="77"/>
      <c r="JA628" s="77"/>
      <c r="JB628" s="77"/>
      <c r="JC628" s="77"/>
      <c r="JD628" s="77"/>
      <c r="JE628" s="77"/>
      <c r="JF628" s="77"/>
      <c r="JG628" s="77"/>
      <c r="JH628" s="77"/>
      <c r="JI628" s="77"/>
      <c r="JJ628" s="77"/>
      <c r="JK628" s="77"/>
      <c r="JL628" s="77"/>
      <c r="JM628" s="77"/>
      <c r="JN628" s="77"/>
      <c r="JO628" s="77"/>
      <c r="JP628" s="77"/>
      <c r="JQ628" s="77"/>
      <c r="JR628" s="77"/>
      <c r="JS628" s="77"/>
      <c r="JT628" s="77"/>
      <c r="JU628" s="77"/>
      <c r="JV628" s="77"/>
      <c r="JW628" s="77"/>
      <c r="JX628" s="77"/>
      <c r="KM628" s="77"/>
      <c r="KN628" s="77"/>
      <c r="KO628" s="77"/>
      <c r="KP628" s="77"/>
      <c r="KQ628" s="77"/>
      <c r="KR628" s="77"/>
      <c r="KS628" s="77"/>
      <c r="KT628" s="77"/>
      <c r="KU628" s="77"/>
      <c r="KV628" s="77"/>
      <c r="KW628" s="77"/>
      <c r="KX628" s="77"/>
      <c r="KY628" s="77"/>
      <c r="KZ628" s="77"/>
      <c r="LA628" s="77"/>
      <c r="LB628" s="77"/>
      <c r="LC628" s="77"/>
      <c r="LD628" s="77"/>
      <c r="LE628" s="77"/>
      <c r="LF628" s="77"/>
      <c r="LG628" s="77"/>
      <c r="LH628" s="77"/>
      <c r="LI628" s="77"/>
      <c r="LJ628" s="77"/>
      <c r="LK628" s="77"/>
      <c r="LL628" s="77"/>
      <c r="LM628" s="77"/>
      <c r="LN628" s="77"/>
      <c r="LO628" s="77"/>
      <c r="LP628" s="77"/>
      <c r="LQ628" s="77"/>
      <c r="LR628" s="77"/>
      <c r="LS628" s="77"/>
      <c r="LT628" s="77"/>
      <c r="LU628" s="77"/>
      <c r="LV628" s="77"/>
      <c r="LW628" s="77"/>
      <c r="LX628" s="77"/>
      <c r="LY628" s="77"/>
      <c r="LZ628" s="77"/>
      <c r="MA628" s="77"/>
      <c r="MB628" s="77"/>
      <c r="MC628" s="77"/>
      <c r="MD628" s="77"/>
      <c r="ME628" s="77"/>
      <c r="MF628" s="77"/>
      <c r="MG628" s="77"/>
      <c r="MH628" s="77"/>
      <c r="MI628" s="77"/>
      <c r="MJ628" s="77"/>
      <c r="MK628" s="77"/>
      <c r="ML628" s="77"/>
      <c r="MM628" s="77"/>
      <c r="MN628" s="77"/>
      <c r="MO628" s="77"/>
      <c r="MP628" s="77"/>
      <c r="MQ628" s="77"/>
      <c r="MR628" s="77"/>
    </row>
    <row r="629" spans="1:421" s="21" customFormat="1" ht="18.600000000000001" customHeight="1" x14ac:dyDescent="0.25">
      <c r="A629" s="119" t="s">
        <v>695</v>
      </c>
      <c r="B629" s="27" t="s">
        <v>3039</v>
      </c>
      <c r="C629" s="27" t="s">
        <v>4213</v>
      </c>
      <c r="D629" s="34" t="s">
        <v>2743</v>
      </c>
      <c r="E629" s="34" t="s">
        <v>2735</v>
      </c>
      <c r="F629" s="38" t="s">
        <v>668</v>
      </c>
      <c r="G629" s="38" t="s">
        <v>692</v>
      </c>
      <c r="H629" s="38" t="s">
        <v>788</v>
      </c>
      <c r="I629" s="38" t="s">
        <v>782</v>
      </c>
      <c r="J629" s="27" t="s">
        <v>789</v>
      </c>
      <c r="K629" s="15" t="s">
        <v>777</v>
      </c>
      <c r="L629" s="10" t="s">
        <v>771</v>
      </c>
      <c r="M629" s="10" t="s">
        <v>770</v>
      </c>
      <c r="N629" s="48" t="s">
        <v>2744</v>
      </c>
      <c r="O629" s="27" t="s">
        <v>5999</v>
      </c>
      <c r="P629" s="80">
        <v>3</v>
      </c>
      <c r="Q629" s="80">
        <v>1</v>
      </c>
      <c r="R629" s="27" t="s">
        <v>2995</v>
      </c>
      <c r="S629" s="19" t="s">
        <v>2745</v>
      </c>
      <c r="T629" s="10" t="s">
        <v>771</v>
      </c>
      <c r="U629" s="10" t="s">
        <v>771</v>
      </c>
      <c r="V629" s="10" t="s">
        <v>771</v>
      </c>
      <c r="W629" s="38"/>
      <c r="X629" s="27" t="s">
        <v>695</v>
      </c>
      <c r="Y629" s="27" t="s">
        <v>3039</v>
      </c>
      <c r="Z629" s="80">
        <v>198</v>
      </c>
      <c r="AA629" s="27">
        <v>238</v>
      </c>
      <c r="AB629" s="80">
        <v>508</v>
      </c>
      <c r="AC629" s="27">
        <v>3</v>
      </c>
      <c r="AD629" s="27" t="s">
        <v>4214</v>
      </c>
      <c r="AE629" s="27">
        <v>3293773215</v>
      </c>
      <c r="AF629" s="27" t="s">
        <v>4213</v>
      </c>
      <c r="AG629" s="27" t="s">
        <v>692</v>
      </c>
      <c r="AH629" s="79">
        <v>0.57225433526011604</v>
      </c>
      <c r="AI629" s="83">
        <v>0.61300309597523195</v>
      </c>
      <c r="AJ629" s="80">
        <v>0.28645833333333298</v>
      </c>
      <c r="AK629" s="80">
        <v>0.58333333333333304</v>
      </c>
      <c r="AL629" s="13">
        <v>0</v>
      </c>
      <c r="AM629" s="97">
        <f>SUM(AL629/Z629)</f>
        <v>0</v>
      </c>
      <c r="AN629" s="27" t="s">
        <v>695</v>
      </c>
      <c r="AO629" s="27">
        <v>0</v>
      </c>
      <c r="AP629" s="27">
        <v>1</v>
      </c>
      <c r="AQ629" s="27">
        <v>0</v>
      </c>
      <c r="AR629" s="27">
        <f>SUM(AO629:AQ629)</f>
        <v>1</v>
      </c>
      <c r="AS629" s="27"/>
      <c r="AT629" s="27" t="s">
        <v>694</v>
      </c>
      <c r="AU629" s="84"/>
      <c r="AV629" s="77"/>
      <c r="AW629" s="77"/>
      <c r="AX629" s="77"/>
      <c r="AY629" s="77"/>
      <c r="AZ629" s="77"/>
      <c r="BA629" s="77"/>
      <c r="BB629" s="77"/>
      <c r="BC629" s="77"/>
      <c r="BD629" s="77"/>
      <c r="BE629" s="77"/>
      <c r="BF629" s="77"/>
      <c r="BG629" s="77"/>
      <c r="BH629" s="77"/>
      <c r="BI629" s="77"/>
      <c r="BJ629" s="77"/>
      <c r="BK629" s="77"/>
      <c r="BL629" s="77"/>
      <c r="BM629" s="77"/>
      <c r="BN629" s="77"/>
      <c r="BO629" s="77"/>
      <c r="BP629" s="77"/>
      <c r="CC629" s="77"/>
      <c r="CD629" s="77"/>
      <c r="CE629" s="77"/>
      <c r="CF629" s="77"/>
      <c r="CG629" s="77"/>
      <c r="CH629" s="77"/>
      <c r="CI629" s="77"/>
      <c r="CJ629" s="77"/>
      <c r="CK629" s="77"/>
      <c r="CL629" s="77"/>
      <c r="CM629" s="77"/>
      <c r="CN629" s="77"/>
      <c r="CO629" s="77"/>
      <c r="CP629" s="77"/>
      <c r="CQ629" s="77"/>
      <c r="CR629" s="77"/>
      <c r="CS629" s="77"/>
      <c r="CT629" s="77"/>
      <c r="CU629" s="77"/>
      <c r="CV629" s="77"/>
      <c r="CW629" s="77"/>
      <c r="CX629" s="77"/>
      <c r="CY629" s="77"/>
      <c r="CZ629" s="77"/>
      <c r="DA629" s="77"/>
      <c r="DB629" s="77"/>
      <c r="DC629" s="77"/>
      <c r="DD629" s="77"/>
      <c r="DE629" s="77"/>
      <c r="DF629" s="77"/>
      <c r="DG629" s="77"/>
      <c r="DH629" s="77"/>
      <c r="DI629" s="77"/>
      <c r="DJ629" s="77"/>
      <c r="DK629" s="77"/>
      <c r="DL629" s="77"/>
      <c r="DM629" s="77"/>
      <c r="DN629" s="77"/>
      <c r="DO629" s="77"/>
      <c r="DP629" s="77"/>
      <c r="DQ629" s="77"/>
      <c r="DR629" s="77"/>
      <c r="DS629" s="77"/>
      <c r="DT629" s="77"/>
      <c r="DU629" s="77"/>
      <c r="DV629" s="77"/>
      <c r="DW629" s="77"/>
      <c r="DX629" s="77"/>
      <c r="DY629" s="77"/>
      <c r="DZ629" s="77"/>
      <c r="EA629" s="77"/>
      <c r="EB629" s="77"/>
      <c r="EC629" s="77"/>
      <c r="ED629" s="77"/>
      <c r="EE629" s="77"/>
      <c r="EF629" s="77"/>
      <c r="EG629" s="77"/>
      <c r="EH629" s="77"/>
      <c r="EI629" s="77"/>
      <c r="EJ629" s="77"/>
      <c r="EK629" s="77"/>
      <c r="EL629" s="77"/>
      <c r="EM629" s="77"/>
      <c r="EN629" s="77"/>
      <c r="EO629" s="77"/>
      <c r="EP629" s="77"/>
      <c r="EQ629" s="77"/>
      <c r="ER629" s="77"/>
      <c r="ES629" s="77"/>
      <c r="ET629" s="77"/>
      <c r="EU629" s="77"/>
      <c r="EV629" s="77"/>
      <c r="EW629" s="77"/>
      <c r="EX629" s="77"/>
      <c r="EY629" s="77"/>
      <c r="EZ629" s="77"/>
      <c r="FA629" s="77"/>
      <c r="FB629" s="77"/>
      <c r="FC629" s="77"/>
      <c r="FD629" s="77"/>
      <c r="FE629" s="77"/>
      <c r="FF629" s="77"/>
      <c r="FG629" s="77"/>
      <c r="FH629" s="77"/>
      <c r="FI629" s="77"/>
      <c r="FJ629" s="77"/>
      <c r="FK629" s="77"/>
      <c r="FL629" s="77"/>
      <c r="FM629" s="77"/>
      <c r="FN629" s="77"/>
      <c r="FO629" s="77"/>
      <c r="FP629" s="77"/>
      <c r="FQ629" s="77"/>
      <c r="FR629" s="77"/>
      <c r="FS629" s="77"/>
      <c r="FT629" s="77"/>
      <c r="FU629" s="77"/>
      <c r="FV629" s="77"/>
      <c r="FW629" s="77"/>
      <c r="FX629" s="77"/>
      <c r="FY629" s="77"/>
      <c r="FZ629" s="77"/>
      <c r="GA629" s="77"/>
      <c r="GB629" s="77"/>
      <c r="GC629" s="77"/>
      <c r="GD629" s="77"/>
      <c r="GE629" s="77"/>
      <c r="GF629" s="77"/>
      <c r="GG629" s="77"/>
      <c r="GH629" s="77"/>
      <c r="GI629" s="77"/>
      <c r="GJ629" s="77"/>
      <c r="GK629" s="77"/>
      <c r="HL629" s="77"/>
      <c r="HM629" s="77"/>
      <c r="HN629" s="77"/>
      <c r="HO629" s="77"/>
      <c r="HP629" s="77"/>
      <c r="HQ629" s="77"/>
      <c r="HR629" s="77"/>
      <c r="HS629" s="77"/>
      <c r="HT629" s="77"/>
      <c r="HU629" s="77"/>
      <c r="HV629" s="77"/>
      <c r="HW629" s="77"/>
      <c r="HX629" s="77"/>
      <c r="HY629" s="77"/>
      <c r="HZ629" s="77"/>
      <c r="IA629" s="77"/>
      <c r="IB629" s="77"/>
      <c r="IC629" s="77"/>
      <c r="ID629" s="77"/>
      <c r="IE629" s="77"/>
      <c r="KM629" s="77"/>
      <c r="KN629" s="77"/>
      <c r="KO629" s="77"/>
      <c r="KP629" s="77"/>
      <c r="KQ629" s="77"/>
      <c r="KR629" s="77"/>
      <c r="KS629" s="77"/>
      <c r="KT629" s="77"/>
      <c r="KU629" s="77"/>
      <c r="KV629" s="77"/>
      <c r="KW629" s="77"/>
      <c r="KX629" s="77"/>
      <c r="KY629" s="77"/>
      <c r="KZ629" s="77"/>
      <c r="LA629" s="77"/>
      <c r="LB629" s="77"/>
      <c r="LC629" s="77"/>
      <c r="LD629" s="77"/>
      <c r="LE629" s="77"/>
      <c r="LF629" s="77"/>
      <c r="LG629" s="77"/>
      <c r="LH629" s="77"/>
      <c r="LI629" s="77"/>
      <c r="LJ629" s="77"/>
      <c r="LK629" s="77"/>
      <c r="LL629" s="77"/>
      <c r="LM629" s="77"/>
      <c r="LN629" s="77"/>
      <c r="LO629" s="77"/>
      <c r="LP629" s="77"/>
      <c r="LQ629" s="77"/>
      <c r="LR629" s="77"/>
      <c r="LS629" s="77"/>
      <c r="LT629" s="77"/>
      <c r="LU629" s="77"/>
      <c r="LV629" s="77"/>
      <c r="NE629" s="16"/>
      <c r="NF629" s="16"/>
      <c r="NG629" s="16"/>
      <c r="NH629" s="16"/>
      <c r="NI629" s="16"/>
      <c r="NJ629" s="16"/>
      <c r="NK629" s="16"/>
      <c r="NL629" s="16"/>
      <c r="NM629" s="16"/>
      <c r="NN629" s="16"/>
      <c r="NO629" s="16"/>
      <c r="NP629" s="16"/>
      <c r="NQ629" s="16"/>
      <c r="NR629" s="16"/>
      <c r="NS629" s="16"/>
      <c r="NT629" s="16"/>
      <c r="NU629" s="16"/>
      <c r="NV629" s="16"/>
      <c r="NW629" s="16"/>
      <c r="NX629" s="16"/>
      <c r="NY629" s="16"/>
      <c r="NZ629" s="16"/>
      <c r="OA629" s="16"/>
      <c r="OB629" s="16"/>
      <c r="OC629" s="16"/>
      <c r="OD629" s="16"/>
      <c r="OE629" s="16"/>
      <c r="OF629" s="16"/>
      <c r="OG629" s="16"/>
      <c r="OH629" s="16"/>
      <c r="OI629" s="16"/>
      <c r="OJ629" s="16"/>
      <c r="OK629" s="16"/>
      <c r="OL629" s="16"/>
      <c r="OM629" s="16"/>
      <c r="ON629" s="16"/>
      <c r="OO629" s="16"/>
      <c r="OP629" s="16"/>
      <c r="OQ629" s="16"/>
      <c r="OR629" s="16"/>
      <c r="OS629" s="16"/>
      <c r="OT629" s="16"/>
      <c r="OU629" s="16"/>
      <c r="OV629" s="16"/>
      <c r="OW629" s="16"/>
      <c r="OX629" s="16"/>
      <c r="OY629" s="16"/>
      <c r="OZ629" s="16"/>
      <c r="PA629" s="16"/>
      <c r="PB629" s="16"/>
      <c r="PC629" s="16"/>
      <c r="PD629" s="16"/>
      <c r="PE629" s="16"/>
    </row>
    <row r="630" spans="1:421" s="21" customFormat="1" ht="18.600000000000001" customHeight="1" x14ac:dyDescent="0.25">
      <c r="A630" s="119" t="s">
        <v>2997</v>
      </c>
      <c r="B630" s="27" t="s">
        <v>3961</v>
      </c>
      <c r="C630" s="27" t="s">
        <v>3962</v>
      </c>
      <c r="D630" s="33" t="s">
        <v>2998</v>
      </c>
      <c r="E630" s="30" t="str">
        <f>HYPERLINK("http://twiplomacy.com/info/asia/Georgia","http://twiplomacy.com/info/asia/Georgia")</f>
        <v>http://twiplomacy.com/info/asia/Georgia</v>
      </c>
      <c r="F630" s="10" t="s">
        <v>154</v>
      </c>
      <c r="G630" s="10" t="s">
        <v>178</v>
      </c>
      <c r="H630" s="10" t="s">
        <v>776</v>
      </c>
      <c r="I630" s="10" t="s">
        <v>773</v>
      </c>
      <c r="J630" s="27" t="s">
        <v>789</v>
      </c>
      <c r="K630" s="15" t="s">
        <v>777</v>
      </c>
      <c r="L630" s="10" t="s">
        <v>771</v>
      </c>
      <c r="M630" s="10" t="s">
        <v>770</v>
      </c>
      <c r="N630" s="33" t="s">
        <v>3008</v>
      </c>
      <c r="O630" s="27" t="s">
        <v>5908</v>
      </c>
      <c r="P630" s="80">
        <v>49</v>
      </c>
      <c r="Q630" s="80">
        <v>54</v>
      </c>
      <c r="R630" s="27" t="s">
        <v>2994</v>
      </c>
      <c r="S630" s="31" t="s">
        <v>3009</v>
      </c>
      <c r="T630" s="10" t="s">
        <v>771</v>
      </c>
      <c r="U630" s="10" t="s">
        <v>771</v>
      </c>
      <c r="V630" s="10" t="s">
        <v>771</v>
      </c>
      <c r="W630" s="42"/>
      <c r="X630" s="27" t="s">
        <v>2997</v>
      </c>
      <c r="Y630" s="27" t="s">
        <v>3961</v>
      </c>
      <c r="Z630" s="80">
        <v>197</v>
      </c>
      <c r="AA630" s="27">
        <v>65</v>
      </c>
      <c r="AB630" s="80">
        <v>1912</v>
      </c>
      <c r="AC630" s="27">
        <v>26</v>
      </c>
      <c r="AD630" s="27" t="s">
        <v>3963</v>
      </c>
      <c r="AE630" s="27">
        <v>4705261516</v>
      </c>
      <c r="AF630" s="27" t="s">
        <v>3962</v>
      </c>
      <c r="AG630" s="27" t="s">
        <v>1272</v>
      </c>
      <c r="AH630" s="79">
        <v>1.6554621848739499</v>
      </c>
      <c r="AI630" s="83">
        <v>1.9313725490196101</v>
      </c>
      <c r="AJ630" s="80">
        <v>12.6077348066298</v>
      </c>
      <c r="AK630" s="80">
        <v>18.408839779005501</v>
      </c>
      <c r="AL630" s="27">
        <v>5</v>
      </c>
      <c r="AM630" s="97">
        <f>SUM(AL630/Z630)</f>
        <v>2.5380710659898477E-2</v>
      </c>
      <c r="AN630" s="27" t="s">
        <v>2997</v>
      </c>
      <c r="AO630" s="27">
        <v>20</v>
      </c>
      <c r="AP630" s="27">
        <v>7</v>
      </c>
      <c r="AQ630" s="27">
        <v>5</v>
      </c>
      <c r="AR630" s="27">
        <f>SUM(AO630:AQ630)</f>
        <v>32</v>
      </c>
      <c r="AS630" s="27" t="s">
        <v>6579</v>
      </c>
      <c r="AT630" s="27" t="s">
        <v>6772</v>
      </c>
      <c r="AU630" s="84" t="s">
        <v>4801</v>
      </c>
      <c r="BM630" s="77"/>
      <c r="BN630" s="77"/>
      <c r="BO630" s="77"/>
      <c r="BP630" s="77"/>
      <c r="BQ630" s="77"/>
      <c r="BR630" s="77"/>
      <c r="BS630" s="77"/>
      <c r="BT630" s="77"/>
      <c r="BU630" s="77"/>
      <c r="BV630" s="77"/>
      <c r="BW630" s="77"/>
      <c r="BX630" s="77"/>
      <c r="BY630" s="77"/>
      <c r="BZ630" s="77"/>
      <c r="CA630" s="77"/>
      <c r="CB630" s="77"/>
      <c r="CC630" s="77"/>
      <c r="CD630" s="77"/>
      <c r="CE630" s="77"/>
      <c r="CF630" s="77"/>
      <c r="CG630" s="77"/>
      <c r="CH630" s="77"/>
      <c r="CI630" s="77"/>
      <c r="CJ630" s="77"/>
      <c r="CK630" s="77"/>
      <c r="CL630" s="77"/>
      <c r="CM630" s="77"/>
      <c r="CN630" s="77"/>
      <c r="CO630" s="77"/>
      <c r="CP630" s="77"/>
      <c r="CQ630" s="77"/>
      <c r="CR630" s="77"/>
      <c r="CS630" s="77"/>
      <c r="CT630" s="77"/>
      <c r="CU630" s="77"/>
      <c r="CV630" s="77"/>
      <c r="CW630" s="77"/>
      <c r="CX630" s="77"/>
      <c r="CY630" s="77"/>
      <c r="CZ630" s="77"/>
      <c r="DA630" s="77"/>
      <c r="DB630" s="77"/>
      <c r="DC630" s="77"/>
      <c r="DD630" s="77"/>
      <c r="DE630" s="77"/>
      <c r="DF630" s="77"/>
      <c r="DG630" s="77"/>
      <c r="DH630" s="77"/>
      <c r="DI630" s="77"/>
      <c r="DJ630" s="77"/>
      <c r="DK630" s="77"/>
      <c r="DL630" s="77"/>
      <c r="DM630" s="77"/>
      <c r="DN630" s="77"/>
      <c r="DO630" s="77"/>
      <c r="DP630" s="77"/>
      <c r="DQ630" s="77"/>
      <c r="DR630" s="77"/>
      <c r="DS630" s="77"/>
      <c r="DT630" s="77"/>
      <c r="DU630" s="77"/>
      <c r="DV630" s="77"/>
      <c r="DW630" s="77"/>
      <c r="DX630" s="77"/>
      <c r="DY630" s="77"/>
      <c r="DZ630" s="77"/>
      <c r="EA630" s="77"/>
      <c r="EB630" s="77"/>
      <c r="EC630" s="77"/>
      <c r="ED630" s="77"/>
      <c r="EE630" s="77"/>
      <c r="EF630" s="77"/>
      <c r="EG630" s="77"/>
      <c r="EH630" s="77"/>
      <c r="EI630" s="77"/>
      <c r="EJ630" s="77"/>
      <c r="EK630" s="77"/>
      <c r="EL630" s="77"/>
      <c r="EP630" s="77"/>
      <c r="ER630" s="77"/>
      <c r="ES630" s="77"/>
      <c r="ET630" s="77"/>
      <c r="EU630" s="77"/>
      <c r="EV630" s="77"/>
      <c r="EW630" s="77"/>
      <c r="EX630" s="77"/>
      <c r="EY630" s="77"/>
      <c r="EZ630" s="77"/>
      <c r="FA630" s="77"/>
      <c r="FB630" s="77"/>
      <c r="FC630" s="77"/>
      <c r="FD630" s="77"/>
      <c r="FE630" s="77"/>
      <c r="FF630" s="77"/>
      <c r="FG630" s="77"/>
      <c r="FH630" s="77"/>
      <c r="FI630" s="77"/>
      <c r="FJ630" s="77"/>
      <c r="FK630" s="77"/>
      <c r="FL630" s="77"/>
      <c r="FM630" s="77"/>
      <c r="FN630" s="77"/>
      <c r="FO630" s="77"/>
      <c r="FP630" s="77"/>
      <c r="FQ630" s="77"/>
      <c r="FR630" s="77"/>
      <c r="FS630" s="77"/>
      <c r="FT630" s="77"/>
      <c r="FU630" s="77"/>
      <c r="FV630" s="77"/>
      <c r="FW630" s="77"/>
      <c r="FX630" s="77"/>
      <c r="FY630" s="77"/>
      <c r="FZ630" s="77"/>
      <c r="GA630" s="77"/>
      <c r="GB630" s="77"/>
      <c r="GC630" s="77"/>
      <c r="GD630" s="77"/>
      <c r="GE630" s="77"/>
      <c r="GF630" s="77"/>
      <c r="GG630" s="77"/>
      <c r="GH630" s="77"/>
      <c r="GI630" s="77"/>
      <c r="GJ630" s="77"/>
      <c r="GK630" s="77"/>
      <c r="GL630" s="77"/>
      <c r="GM630" s="77"/>
      <c r="GN630" s="77"/>
      <c r="GO630" s="77"/>
      <c r="GP630" s="77"/>
      <c r="GQ630" s="77"/>
      <c r="GR630" s="77"/>
      <c r="GS630" s="77"/>
      <c r="GT630" s="77"/>
      <c r="GU630" s="77"/>
      <c r="GV630" s="77"/>
      <c r="GW630" s="77"/>
      <c r="GX630" s="77"/>
      <c r="GY630" s="77"/>
      <c r="GZ630" s="77"/>
      <c r="HA630" s="77"/>
      <c r="HB630" s="77"/>
      <c r="HC630" s="77"/>
      <c r="HD630" s="77"/>
      <c r="HE630" s="77"/>
      <c r="HF630" s="77"/>
      <c r="HG630" s="77"/>
      <c r="HH630" s="77"/>
      <c r="HI630" s="77"/>
      <c r="HJ630" s="77"/>
      <c r="HK630" s="77"/>
      <c r="HL630" s="77"/>
      <c r="HM630" s="77"/>
      <c r="HN630" s="77"/>
      <c r="HO630" s="77"/>
      <c r="HP630" s="77"/>
      <c r="HQ630" s="77"/>
      <c r="HR630" s="77"/>
      <c r="HS630" s="77"/>
      <c r="HT630" s="77"/>
      <c r="HU630" s="77"/>
      <c r="HV630" s="77"/>
      <c r="HW630" s="77"/>
      <c r="HX630" s="77"/>
      <c r="HY630" s="77"/>
      <c r="HZ630" s="77"/>
      <c r="IA630" s="77"/>
      <c r="IB630" s="77"/>
      <c r="IC630" s="77"/>
      <c r="ID630" s="77"/>
      <c r="IE630" s="77"/>
      <c r="IF630" s="77"/>
      <c r="IG630" s="77"/>
      <c r="IH630" s="77"/>
      <c r="II630" s="77"/>
      <c r="IJ630" s="77"/>
      <c r="IK630" s="77"/>
      <c r="IL630" s="77"/>
      <c r="IM630" s="77"/>
      <c r="IN630" s="77"/>
      <c r="IO630" s="77"/>
      <c r="IP630" s="77"/>
      <c r="IQ630" s="77"/>
      <c r="IR630" s="77"/>
      <c r="IS630" s="77"/>
      <c r="IT630" s="77"/>
      <c r="IU630" s="77"/>
      <c r="IV630" s="77"/>
      <c r="IW630" s="77"/>
      <c r="IX630" s="77"/>
      <c r="IY630" s="77"/>
      <c r="IZ630" s="77"/>
      <c r="JA630" s="77"/>
      <c r="JB630" s="77"/>
      <c r="JC630" s="77"/>
      <c r="JD630" s="77"/>
      <c r="JE630" s="77"/>
      <c r="JF630" s="77"/>
      <c r="JG630" s="77"/>
      <c r="JH630" s="77"/>
      <c r="JI630" s="77"/>
      <c r="JJ630" s="77"/>
      <c r="JK630" s="77"/>
      <c r="JL630" s="77"/>
      <c r="JM630" s="77"/>
      <c r="JN630" s="77"/>
      <c r="JO630" s="77"/>
      <c r="JP630" s="77"/>
      <c r="JQ630" s="77"/>
      <c r="JR630" s="77"/>
      <c r="JS630" s="77"/>
      <c r="JT630" s="77"/>
      <c r="JU630" s="77"/>
      <c r="JV630" s="77"/>
      <c r="JW630" s="77"/>
      <c r="JX630" s="77"/>
      <c r="JY630" s="77"/>
      <c r="JZ630" s="77"/>
      <c r="KA630" s="77"/>
      <c r="KB630" s="77"/>
      <c r="KC630" s="77"/>
      <c r="KD630" s="77"/>
      <c r="KE630" s="77"/>
      <c r="KF630" s="77"/>
      <c r="KG630" s="77"/>
      <c r="KH630" s="77"/>
      <c r="KI630" s="77"/>
      <c r="KJ630" s="77"/>
      <c r="KK630" s="77"/>
      <c r="KL630" s="77"/>
      <c r="KM630" s="77"/>
      <c r="KN630" s="77"/>
      <c r="KO630" s="77"/>
      <c r="KP630" s="77"/>
      <c r="KQ630" s="77"/>
      <c r="KR630" s="77"/>
      <c r="KS630" s="77"/>
      <c r="KT630" s="77"/>
      <c r="KU630" s="77"/>
      <c r="KV630" s="77"/>
      <c r="KW630" s="77"/>
      <c r="KX630" s="77"/>
      <c r="KY630" s="77"/>
      <c r="KZ630" s="77"/>
      <c r="LA630" s="77"/>
      <c r="LB630" s="77"/>
      <c r="LC630" s="77"/>
      <c r="LD630" s="77"/>
      <c r="LE630" s="77"/>
      <c r="LF630" s="77"/>
      <c r="LG630" s="77"/>
      <c r="LH630" s="77"/>
      <c r="LI630" s="77"/>
      <c r="LJ630" s="77"/>
      <c r="LK630" s="77"/>
      <c r="LW630" s="77"/>
      <c r="LX630" s="77"/>
      <c r="MS630" s="77"/>
      <c r="MT630" s="77"/>
      <c r="MU630" s="77"/>
      <c r="MV630" s="77"/>
      <c r="MW630" s="77"/>
      <c r="MX630" s="77"/>
      <c r="MY630" s="77"/>
      <c r="MZ630" s="77"/>
      <c r="NA630" s="77"/>
      <c r="NB630" s="77"/>
      <c r="NC630" s="77"/>
    </row>
    <row r="631" spans="1:421" s="21" customFormat="1" ht="18.600000000000001" customHeight="1" x14ac:dyDescent="0.25">
      <c r="A631" s="119" t="s">
        <v>3270</v>
      </c>
      <c r="B631" s="27" t="s">
        <v>3416</v>
      </c>
      <c r="C631" s="27" t="s">
        <v>3417</v>
      </c>
      <c r="D631" s="12" t="s">
        <v>3269</v>
      </c>
      <c r="E631" s="30" t="str">
        <f>HYPERLINK("http://twiplomacy.com/info/europe/Switzerland","http://twiplomacy.com/info/europe/Switzerland")</f>
        <v>http://twiplomacy.com/info/europe/Switzerland</v>
      </c>
      <c r="F631" s="10" t="s">
        <v>332</v>
      </c>
      <c r="G631" s="10" t="s">
        <v>534</v>
      </c>
      <c r="H631" s="10" t="s">
        <v>772</v>
      </c>
      <c r="I631" s="10" t="s">
        <v>773</v>
      </c>
      <c r="J631" s="27" t="s">
        <v>1716</v>
      </c>
      <c r="K631" s="15" t="s">
        <v>777</v>
      </c>
      <c r="L631" s="10" t="s">
        <v>771</v>
      </c>
      <c r="M631" s="10" t="s">
        <v>770</v>
      </c>
      <c r="N631" s="30" t="s">
        <v>3294</v>
      </c>
      <c r="O631" s="27" t="s">
        <v>3298</v>
      </c>
      <c r="P631" s="80">
        <v>227</v>
      </c>
      <c r="Q631" s="80">
        <v>166</v>
      </c>
      <c r="R631" s="27" t="s">
        <v>2994</v>
      </c>
      <c r="S631" s="12" t="s">
        <v>3288</v>
      </c>
      <c r="T631" s="10" t="s">
        <v>771</v>
      </c>
      <c r="U631" s="10" t="s">
        <v>771</v>
      </c>
      <c r="V631" s="10" t="s">
        <v>771</v>
      </c>
      <c r="W631" s="10"/>
      <c r="X631" s="27" t="s">
        <v>3270</v>
      </c>
      <c r="Y631" s="27" t="s">
        <v>3416</v>
      </c>
      <c r="Z631" s="80">
        <v>197</v>
      </c>
      <c r="AA631" s="27">
        <v>7</v>
      </c>
      <c r="AB631" s="80">
        <v>4482</v>
      </c>
      <c r="AC631" s="27">
        <v>0</v>
      </c>
      <c r="AD631" s="27" t="s">
        <v>3418</v>
      </c>
      <c r="AE631" s="27">
        <v>2965582641</v>
      </c>
      <c r="AF631" s="27" t="s">
        <v>3417</v>
      </c>
      <c r="AG631" s="27" t="s">
        <v>1998</v>
      </c>
      <c r="AH631" s="79">
        <v>0.40956340956340997</v>
      </c>
      <c r="AI631" s="83">
        <v>0.41561181434599198</v>
      </c>
      <c r="AJ631" s="80">
        <v>9.5093167701863397</v>
      </c>
      <c r="AK631" s="80">
        <v>13.2298136645963</v>
      </c>
      <c r="AL631" s="96">
        <v>3</v>
      </c>
      <c r="AM631" s="97">
        <f>SUM(AL631/Z631)</f>
        <v>1.5228426395939087E-2</v>
      </c>
      <c r="AN631" s="27" t="s">
        <v>3270</v>
      </c>
      <c r="AO631" s="27">
        <v>0</v>
      </c>
      <c r="AP631" s="27">
        <v>4</v>
      </c>
      <c r="AQ631" s="27">
        <v>1</v>
      </c>
      <c r="AR631" s="27">
        <f>SUM(AO631:AQ631)</f>
        <v>5</v>
      </c>
      <c r="AS631" s="27"/>
      <c r="AT631" s="27" t="s">
        <v>4997</v>
      </c>
      <c r="AU631" s="84" t="s">
        <v>535</v>
      </c>
      <c r="AV631" s="77"/>
      <c r="AW631" s="77"/>
      <c r="AX631" s="77"/>
      <c r="AY631" s="77"/>
      <c r="AZ631" s="77"/>
      <c r="BA631" s="77"/>
      <c r="BB631" s="77"/>
      <c r="BC631" s="77"/>
      <c r="BD631" s="77"/>
      <c r="BE631" s="77"/>
      <c r="BF631" s="77"/>
      <c r="BG631" s="77"/>
      <c r="BH631" s="77"/>
      <c r="BI631" s="77"/>
      <c r="BJ631" s="77"/>
      <c r="BK631" s="77"/>
      <c r="BL631" s="77"/>
      <c r="BM631" s="77"/>
      <c r="BN631" s="77"/>
      <c r="BO631" s="77"/>
      <c r="BP631" s="77"/>
      <c r="BQ631" s="77"/>
      <c r="BR631" s="77"/>
      <c r="BS631" s="77"/>
      <c r="BT631" s="77"/>
      <c r="BU631" s="77"/>
      <c r="BV631" s="77"/>
      <c r="BW631" s="77"/>
      <c r="BX631" s="77"/>
      <c r="BY631" s="77"/>
      <c r="BZ631" s="77"/>
      <c r="CA631" s="77"/>
      <c r="CB631" s="77"/>
      <c r="CC631" s="77"/>
      <c r="CD631" s="77"/>
      <c r="CE631" s="77"/>
      <c r="CF631" s="77"/>
      <c r="CG631" s="77"/>
      <c r="CH631" s="77"/>
      <c r="CI631" s="77"/>
      <c r="CJ631" s="77"/>
      <c r="CK631" s="77"/>
      <c r="CL631" s="77"/>
      <c r="CM631" s="77"/>
      <c r="CN631" s="77"/>
      <c r="CO631" s="77"/>
      <c r="CP631" s="77"/>
      <c r="CQ631" s="77"/>
      <c r="CR631" s="77"/>
      <c r="CS631" s="77"/>
      <c r="CT631" s="77"/>
      <c r="CU631" s="77"/>
      <c r="CV631" s="77"/>
      <c r="CW631" s="77"/>
      <c r="CX631" s="77"/>
      <c r="CY631" s="77"/>
      <c r="CZ631" s="77"/>
      <c r="DA631" s="77"/>
      <c r="DB631" s="77"/>
      <c r="DC631" s="77"/>
      <c r="DD631" s="77"/>
      <c r="DE631" s="77"/>
      <c r="DF631" s="77"/>
      <c r="DG631" s="77"/>
      <c r="DH631" s="77"/>
      <c r="DI631" s="77"/>
      <c r="DJ631" s="77"/>
      <c r="DK631" s="77"/>
      <c r="DL631" s="77"/>
      <c r="DM631" s="77"/>
      <c r="DN631" s="77"/>
      <c r="DO631" s="77"/>
      <c r="DP631" s="77"/>
      <c r="DQ631" s="77"/>
      <c r="DR631" s="77"/>
      <c r="DS631" s="77"/>
      <c r="DT631" s="77"/>
      <c r="DU631" s="77"/>
      <c r="DV631" s="77"/>
      <c r="DW631" s="77"/>
      <c r="DX631" s="77"/>
      <c r="DY631" s="77"/>
      <c r="DZ631" s="77"/>
      <c r="EA631" s="77"/>
      <c r="EB631" s="77"/>
      <c r="EC631" s="77"/>
      <c r="ED631" s="77"/>
      <c r="EE631" s="77"/>
      <c r="EF631" s="77"/>
      <c r="EG631" s="77"/>
      <c r="EH631" s="77"/>
      <c r="EI631" s="77"/>
      <c r="EJ631" s="77"/>
      <c r="EK631" s="77"/>
      <c r="EL631" s="77"/>
      <c r="EM631" s="77"/>
      <c r="EN631" s="77"/>
      <c r="EO631" s="77"/>
      <c r="EP631" s="77"/>
      <c r="EQ631" s="77"/>
      <c r="ER631" s="77"/>
      <c r="ES631" s="77"/>
      <c r="ET631" s="77"/>
      <c r="EU631" s="77"/>
      <c r="EV631" s="77"/>
      <c r="EW631" s="77"/>
      <c r="EX631" s="77"/>
      <c r="EY631" s="77"/>
      <c r="EZ631" s="77"/>
      <c r="FA631" s="77"/>
      <c r="FB631" s="77"/>
      <c r="FC631" s="77"/>
      <c r="FD631" s="77"/>
      <c r="FE631" s="77"/>
      <c r="FF631" s="77"/>
      <c r="FG631" s="77"/>
      <c r="FH631" s="77"/>
      <c r="FI631" s="77"/>
      <c r="FJ631" s="77"/>
      <c r="FK631" s="77"/>
      <c r="FL631" s="77"/>
      <c r="FM631" s="77"/>
      <c r="FN631" s="77"/>
      <c r="FO631" s="77"/>
      <c r="FP631" s="77"/>
      <c r="FQ631" s="77"/>
      <c r="FR631" s="77"/>
      <c r="FS631" s="77"/>
      <c r="FT631" s="77"/>
      <c r="FU631" s="77"/>
      <c r="FV631" s="77"/>
      <c r="FW631" s="77"/>
      <c r="FX631" s="77"/>
      <c r="FY631" s="77"/>
      <c r="FZ631" s="77"/>
      <c r="GA631" s="77"/>
      <c r="GB631" s="77"/>
      <c r="GC631" s="77"/>
      <c r="GD631" s="77"/>
      <c r="GE631" s="77"/>
      <c r="GF631" s="77"/>
      <c r="GG631" s="77"/>
      <c r="GH631" s="77"/>
      <c r="GI631" s="77"/>
      <c r="GJ631" s="77"/>
      <c r="GK631" s="77"/>
      <c r="HL631" s="77"/>
      <c r="HM631" s="77"/>
      <c r="HN631" s="77"/>
      <c r="HO631" s="77"/>
      <c r="HP631" s="77"/>
      <c r="HQ631" s="77"/>
      <c r="HR631" s="77"/>
      <c r="HS631" s="77"/>
      <c r="HT631" s="77"/>
      <c r="HU631" s="77"/>
      <c r="HV631" s="77"/>
      <c r="HW631" s="77"/>
      <c r="HX631" s="77"/>
      <c r="HY631" s="77"/>
      <c r="HZ631" s="77"/>
      <c r="IA631" s="77"/>
      <c r="IB631" s="77"/>
      <c r="IC631" s="77"/>
      <c r="ID631" s="77"/>
      <c r="IE631" s="77"/>
      <c r="IF631" s="77"/>
      <c r="IG631" s="77"/>
      <c r="IH631" s="77"/>
      <c r="II631" s="77"/>
      <c r="IJ631" s="77"/>
      <c r="IK631" s="77"/>
      <c r="IL631" s="77"/>
      <c r="IM631" s="77"/>
      <c r="IN631" s="77"/>
      <c r="IO631" s="77"/>
      <c r="IP631" s="77"/>
      <c r="IQ631" s="77"/>
      <c r="IR631" s="77"/>
      <c r="IS631" s="77"/>
      <c r="IT631" s="77"/>
      <c r="IU631" s="77"/>
      <c r="IV631" s="77"/>
      <c r="IW631" s="77"/>
      <c r="IX631" s="77"/>
      <c r="IY631" s="77"/>
      <c r="IZ631" s="77"/>
      <c r="JA631" s="77"/>
      <c r="JB631" s="77"/>
      <c r="JC631" s="77"/>
      <c r="JD631" s="77"/>
      <c r="JE631" s="77"/>
      <c r="JF631" s="77"/>
      <c r="JG631" s="77"/>
      <c r="JH631" s="77"/>
      <c r="JI631" s="77"/>
      <c r="JJ631" s="77"/>
      <c r="JK631" s="77"/>
      <c r="JL631" s="77"/>
      <c r="JM631" s="77"/>
      <c r="JN631" s="77"/>
      <c r="JO631" s="77"/>
      <c r="JP631" s="77"/>
      <c r="JQ631" s="77"/>
      <c r="JR631" s="77"/>
      <c r="JS631" s="77"/>
      <c r="JT631" s="77"/>
      <c r="JU631" s="77"/>
      <c r="JV631" s="77"/>
      <c r="JW631" s="77"/>
      <c r="JX631" s="77"/>
      <c r="KM631" s="77"/>
      <c r="KN631" s="77"/>
      <c r="KO631" s="77"/>
      <c r="KP631" s="77"/>
      <c r="KQ631" s="77"/>
      <c r="KR631" s="77"/>
      <c r="KS631" s="77"/>
      <c r="KT631" s="77"/>
      <c r="KU631" s="77"/>
      <c r="KV631" s="77"/>
      <c r="KW631" s="77"/>
      <c r="KX631" s="77"/>
      <c r="KY631" s="77"/>
      <c r="KZ631" s="77"/>
      <c r="LA631" s="77"/>
      <c r="LB631" s="77"/>
      <c r="LC631" s="77"/>
      <c r="LD631" s="77"/>
      <c r="LE631" s="77"/>
      <c r="LF631" s="77"/>
      <c r="LG631" s="77"/>
      <c r="LH631" s="77"/>
      <c r="LI631" s="77"/>
      <c r="LJ631" s="77"/>
      <c r="LK631" s="77"/>
      <c r="LL631" s="77"/>
      <c r="LM631" s="77"/>
      <c r="LN631" s="77"/>
      <c r="LO631" s="77"/>
      <c r="LP631" s="77"/>
      <c r="LQ631" s="77"/>
      <c r="LR631" s="77"/>
      <c r="LS631" s="77"/>
      <c r="LT631" s="77"/>
      <c r="LU631" s="77"/>
      <c r="LV631" s="77"/>
      <c r="LW631" s="77"/>
      <c r="LX631" s="77"/>
      <c r="ND631" s="16"/>
      <c r="NE631" s="16"/>
      <c r="NF631" s="16"/>
      <c r="NG631" s="16"/>
      <c r="NH631" s="16"/>
      <c r="NI631" s="16"/>
      <c r="NJ631" s="16"/>
      <c r="NK631" s="16"/>
      <c r="NL631" s="16"/>
      <c r="NM631" s="16"/>
      <c r="NN631" s="16"/>
      <c r="NO631" s="16"/>
      <c r="NP631" s="16"/>
      <c r="NQ631" s="16"/>
      <c r="NR631" s="16"/>
      <c r="NS631" s="16"/>
      <c r="NT631" s="16"/>
      <c r="NU631" s="16"/>
      <c r="NV631" s="16"/>
      <c r="NW631" s="16"/>
      <c r="NX631" s="16"/>
      <c r="NY631" s="16"/>
      <c r="NZ631" s="16"/>
      <c r="OA631" s="16"/>
      <c r="OB631" s="16"/>
      <c r="OC631" s="16"/>
      <c r="OD631" s="16"/>
      <c r="OE631" s="16"/>
      <c r="OF631" s="16"/>
      <c r="OG631" s="16"/>
      <c r="OH631" s="16"/>
      <c r="OI631" s="16"/>
      <c r="OJ631" s="16"/>
      <c r="OK631" s="16"/>
      <c r="OL631" s="16"/>
      <c r="OM631" s="16"/>
      <c r="ON631" s="16"/>
      <c r="OO631" s="16"/>
      <c r="OP631" s="16"/>
      <c r="OQ631" s="16"/>
      <c r="OR631" s="16"/>
      <c r="OS631" s="16"/>
      <c r="OT631" s="16"/>
      <c r="OU631" s="16"/>
      <c r="OV631" s="16"/>
      <c r="OW631" s="16"/>
      <c r="OX631" s="16"/>
      <c r="OY631" s="16"/>
      <c r="OZ631" s="16"/>
      <c r="PA631" s="16"/>
      <c r="PB631" s="16"/>
      <c r="PC631" s="16"/>
      <c r="PD631" s="16"/>
      <c r="PE631" s="16"/>
    </row>
    <row r="632" spans="1:421" s="21" customFormat="1" ht="18.600000000000001" customHeight="1" x14ac:dyDescent="0.25">
      <c r="A632" s="119" t="s">
        <v>48</v>
      </c>
      <c r="B632" s="27" t="s">
        <v>891</v>
      </c>
      <c r="C632" s="27" t="s">
        <v>892</v>
      </c>
      <c r="D632" s="72" t="str">
        <f>HYPERLINK("https://twitter.com/jammehofficial","https://twitter.com/jammehofficial")</f>
        <v>https://twitter.com/jammehofficial</v>
      </c>
      <c r="E632" s="72" t="str">
        <f>HYPERLINK("http://twiplomacy.com/info/africa/Gambia","http://twiplomacy.com/info/africa/Gambia")</f>
        <v>http://twiplomacy.com/info/africa/Gambia</v>
      </c>
      <c r="F632" s="10" t="s">
        <v>1</v>
      </c>
      <c r="G632" s="10" t="s">
        <v>47</v>
      </c>
      <c r="H632" s="10" t="s">
        <v>772</v>
      </c>
      <c r="I632" s="10" t="s">
        <v>773</v>
      </c>
      <c r="J632" s="27" t="s">
        <v>789</v>
      </c>
      <c r="K632" s="10" t="s">
        <v>766</v>
      </c>
      <c r="L632" s="10" t="s">
        <v>770</v>
      </c>
      <c r="M632" s="10" t="s">
        <v>770</v>
      </c>
      <c r="N632" s="10"/>
      <c r="O632" s="13"/>
      <c r="P632" s="81"/>
      <c r="Q632" s="81"/>
      <c r="R632" s="27" t="s">
        <v>2995</v>
      </c>
      <c r="S632" s="10" t="s">
        <v>893</v>
      </c>
      <c r="T632" s="10" t="s">
        <v>771</v>
      </c>
      <c r="U632" s="10" t="s">
        <v>771</v>
      </c>
      <c r="V632" s="10" t="s">
        <v>771</v>
      </c>
      <c r="W632" s="10"/>
      <c r="X632" s="27" t="s">
        <v>48</v>
      </c>
      <c r="Y632" s="27" t="s">
        <v>891</v>
      </c>
      <c r="Z632" s="80">
        <v>196</v>
      </c>
      <c r="AA632" s="27">
        <v>48</v>
      </c>
      <c r="AB632" s="80">
        <v>278</v>
      </c>
      <c r="AC632" s="27">
        <v>15</v>
      </c>
      <c r="AD632" s="27" t="s">
        <v>3874</v>
      </c>
      <c r="AE632" s="27">
        <v>523491641</v>
      </c>
      <c r="AF632" s="27" t="s">
        <v>892</v>
      </c>
      <c r="AG632" s="27" t="s">
        <v>894</v>
      </c>
      <c r="AH632" s="79"/>
      <c r="AI632" s="79"/>
      <c r="AJ632" s="79"/>
      <c r="AK632" s="79"/>
      <c r="AL632" s="13">
        <v>0</v>
      </c>
      <c r="AM632" s="99">
        <f>SUM(AL632/Z632)</f>
        <v>0</v>
      </c>
      <c r="AN632" s="27" t="s">
        <v>48</v>
      </c>
      <c r="AO632" s="27">
        <v>0</v>
      </c>
      <c r="AP632" s="27">
        <v>3</v>
      </c>
      <c r="AQ632" s="27">
        <v>0</v>
      </c>
      <c r="AR632" s="27">
        <f>SUM(AO632:AQ632)</f>
        <v>3</v>
      </c>
      <c r="AS632" s="27"/>
      <c r="AT632" s="27" t="s">
        <v>5213</v>
      </c>
      <c r="AU632" s="84"/>
      <c r="AV632" s="77"/>
      <c r="AW632" s="77"/>
      <c r="AX632" s="77"/>
      <c r="AY632" s="77"/>
      <c r="AZ632" s="77"/>
      <c r="BA632" s="77"/>
      <c r="BB632" s="77"/>
      <c r="BC632" s="77"/>
      <c r="BD632" s="77"/>
      <c r="BE632" s="77"/>
      <c r="BF632" s="77"/>
      <c r="BG632" s="77"/>
      <c r="BH632" s="77"/>
      <c r="BI632" s="77"/>
      <c r="BJ632" s="77"/>
      <c r="BK632" s="77"/>
      <c r="BL632" s="77"/>
      <c r="BM632" s="77"/>
      <c r="BN632" s="77"/>
      <c r="BO632" s="77"/>
      <c r="BP632" s="77"/>
      <c r="BQ632" s="77"/>
      <c r="BR632" s="77"/>
      <c r="BS632" s="77"/>
      <c r="BT632" s="77"/>
      <c r="BU632" s="77"/>
      <c r="BV632" s="77"/>
      <c r="BW632" s="77"/>
      <c r="BX632" s="77"/>
      <c r="BY632" s="77"/>
      <c r="BZ632" s="77"/>
      <c r="CA632" s="77"/>
      <c r="CB632" s="77"/>
      <c r="CC632" s="77"/>
      <c r="CD632" s="77"/>
      <c r="CE632" s="77"/>
      <c r="CF632" s="77"/>
      <c r="CG632" s="77"/>
      <c r="CH632" s="77"/>
      <c r="CI632" s="77"/>
      <c r="CJ632" s="77"/>
      <c r="CK632" s="77"/>
      <c r="CL632" s="77"/>
      <c r="CM632" s="77"/>
      <c r="CN632" s="77"/>
      <c r="CO632" s="77"/>
      <c r="CP632" s="77"/>
      <c r="CQ632" s="77"/>
      <c r="CR632" s="77"/>
      <c r="CS632" s="77"/>
      <c r="CT632" s="77"/>
      <c r="CU632" s="77"/>
      <c r="CV632" s="77"/>
      <c r="CW632" s="77"/>
      <c r="CX632" s="77"/>
      <c r="CY632" s="77"/>
      <c r="CZ632" s="77"/>
      <c r="DA632" s="77"/>
      <c r="DB632" s="77"/>
      <c r="DC632" s="77"/>
      <c r="DD632" s="77"/>
      <c r="DE632" s="77"/>
      <c r="DF632" s="77"/>
      <c r="DG632" s="77"/>
      <c r="DH632" s="77"/>
      <c r="DI632" s="77"/>
      <c r="DJ632" s="77"/>
      <c r="DK632" s="77"/>
      <c r="DL632" s="77"/>
      <c r="DM632" s="77"/>
      <c r="DN632" s="77"/>
      <c r="DO632" s="77"/>
      <c r="DP632" s="77"/>
      <c r="DQ632" s="77"/>
      <c r="DR632" s="77"/>
      <c r="DS632" s="77"/>
      <c r="DT632" s="77"/>
      <c r="DU632" s="77"/>
      <c r="DV632" s="77"/>
      <c r="DW632" s="77"/>
      <c r="DX632" s="77"/>
      <c r="DY632" s="77"/>
      <c r="DZ632" s="77"/>
      <c r="EA632" s="77"/>
      <c r="EB632" s="77"/>
      <c r="EC632" s="77"/>
      <c r="ED632" s="77"/>
      <c r="EE632" s="77"/>
      <c r="EF632" s="77"/>
      <c r="EG632" s="77"/>
      <c r="EH632" s="77"/>
      <c r="EI632" s="77"/>
      <c r="EJ632" s="77"/>
      <c r="EK632" s="77"/>
      <c r="EL632" s="77"/>
      <c r="EM632" s="77"/>
      <c r="EN632" s="77"/>
      <c r="EO632" s="77"/>
      <c r="EP632" s="77"/>
      <c r="ER632" s="77"/>
      <c r="ES632" s="77"/>
      <c r="ET632" s="77"/>
      <c r="EU632" s="77"/>
      <c r="EV632" s="77"/>
      <c r="EW632" s="77"/>
      <c r="EX632" s="77"/>
      <c r="EY632" s="77"/>
      <c r="EZ632" s="77"/>
      <c r="FA632" s="77"/>
      <c r="FB632" s="77"/>
      <c r="FC632" s="77"/>
      <c r="FD632" s="77"/>
      <c r="FE632" s="77"/>
      <c r="FF632" s="77"/>
      <c r="FG632" s="77"/>
      <c r="FH632" s="77"/>
      <c r="FI632" s="77"/>
      <c r="FJ632" s="77"/>
      <c r="FK632" s="77"/>
      <c r="FL632" s="77"/>
      <c r="FM632" s="77"/>
      <c r="FN632" s="77"/>
      <c r="FO632" s="77"/>
      <c r="FP632" s="77"/>
      <c r="FQ632" s="77"/>
      <c r="FR632" s="77"/>
      <c r="FS632" s="77"/>
      <c r="FT632" s="77"/>
      <c r="FU632" s="77"/>
      <c r="FV632" s="77"/>
      <c r="FW632" s="77"/>
      <c r="FX632" s="77"/>
      <c r="FY632" s="77"/>
      <c r="FZ632" s="77"/>
      <c r="GA632" s="77"/>
      <c r="GB632" s="77"/>
      <c r="GC632" s="77"/>
      <c r="GD632" s="77"/>
      <c r="GE632" s="77"/>
      <c r="GF632" s="77"/>
      <c r="GG632" s="77"/>
      <c r="GH632" s="77"/>
      <c r="GI632" s="77"/>
      <c r="GJ632" s="77"/>
      <c r="GK632" s="77"/>
      <c r="GL632" s="77"/>
      <c r="GM632" s="77"/>
      <c r="GN632" s="77"/>
      <c r="GO632" s="77"/>
      <c r="GP632" s="77"/>
      <c r="GQ632" s="77"/>
      <c r="GR632" s="77"/>
      <c r="GS632" s="77"/>
      <c r="GT632" s="77"/>
      <c r="GU632" s="77"/>
      <c r="GV632" s="77"/>
      <c r="GW632" s="77"/>
      <c r="GX632" s="77"/>
      <c r="GY632" s="77"/>
      <c r="GZ632" s="77"/>
      <c r="HA632" s="77"/>
      <c r="HB632" s="77"/>
      <c r="HC632" s="77"/>
      <c r="HD632" s="77"/>
      <c r="HE632" s="77"/>
      <c r="HF632" s="77"/>
      <c r="HG632" s="77"/>
      <c r="HH632" s="77"/>
      <c r="HI632" s="77"/>
      <c r="HJ632" s="77"/>
      <c r="HK632" s="77"/>
      <c r="HL632" s="77"/>
      <c r="HM632" s="77"/>
      <c r="HN632" s="77"/>
      <c r="HO632" s="77"/>
      <c r="HP632" s="77"/>
      <c r="HQ632" s="77"/>
      <c r="HR632" s="77"/>
      <c r="HS632" s="77"/>
      <c r="HT632" s="77"/>
      <c r="HU632" s="77"/>
      <c r="HV632" s="77"/>
      <c r="HW632" s="77"/>
      <c r="HX632" s="77"/>
      <c r="HY632" s="77"/>
      <c r="HZ632" s="77"/>
      <c r="IA632" s="77"/>
      <c r="IB632" s="77"/>
      <c r="IC632" s="77"/>
      <c r="ID632" s="77"/>
      <c r="IE632" s="77"/>
      <c r="IF632" s="77"/>
      <c r="IG632" s="77"/>
      <c r="IH632" s="77"/>
      <c r="II632" s="77"/>
      <c r="IJ632" s="77"/>
      <c r="IK632" s="77"/>
      <c r="IL632" s="77"/>
      <c r="IM632" s="77"/>
      <c r="IN632" s="77"/>
      <c r="IO632" s="77"/>
      <c r="IP632" s="77"/>
      <c r="IQ632" s="77"/>
      <c r="IR632" s="77"/>
      <c r="IS632" s="77"/>
      <c r="IT632" s="77"/>
      <c r="IU632" s="77"/>
      <c r="IV632" s="77"/>
      <c r="IW632" s="77"/>
      <c r="IX632" s="77"/>
      <c r="IY632" s="77"/>
      <c r="IZ632" s="77"/>
      <c r="JA632" s="77"/>
      <c r="JB632" s="77"/>
      <c r="JC632" s="77"/>
      <c r="JD632" s="77"/>
      <c r="JE632" s="77"/>
      <c r="JF632" s="77"/>
      <c r="JG632" s="77"/>
      <c r="JH632" s="77"/>
      <c r="JI632" s="77"/>
      <c r="JJ632" s="77"/>
      <c r="JK632" s="77"/>
      <c r="JL632" s="77"/>
      <c r="JM632" s="77"/>
      <c r="JN632" s="77"/>
      <c r="JO632" s="77"/>
      <c r="JP632" s="77"/>
      <c r="JQ632" s="77"/>
      <c r="JR632" s="77"/>
      <c r="JS632" s="77"/>
      <c r="JT632" s="77"/>
      <c r="JU632" s="77"/>
      <c r="JV632" s="77"/>
      <c r="JW632" s="77"/>
      <c r="JX632" s="77"/>
      <c r="JY632" s="77"/>
      <c r="JZ632" s="77"/>
      <c r="KA632" s="77"/>
      <c r="KB632" s="77"/>
      <c r="KC632" s="77"/>
      <c r="KD632" s="77"/>
      <c r="KE632" s="77"/>
      <c r="KF632" s="77"/>
      <c r="KG632" s="77"/>
      <c r="KH632" s="77"/>
      <c r="KI632" s="77"/>
      <c r="KJ632" s="77"/>
      <c r="KK632" s="77"/>
      <c r="KL632" s="77"/>
      <c r="LL632" s="77"/>
      <c r="LM632" s="77"/>
      <c r="LN632" s="77"/>
      <c r="LO632" s="77"/>
      <c r="LP632" s="77"/>
      <c r="LQ632" s="77"/>
      <c r="LR632" s="77"/>
      <c r="LS632" s="77"/>
      <c r="LT632" s="77"/>
      <c r="LU632" s="77"/>
      <c r="LV632" s="77"/>
    </row>
    <row r="633" spans="1:421" s="21" customFormat="1" ht="18.600000000000001" customHeight="1" x14ac:dyDescent="0.25">
      <c r="A633" s="119" t="s">
        <v>3075</v>
      </c>
      <c r="B633" s="27" t="s">
        <v>2438</v>
      </c>
      <c r="C633" s="27" t="s">
        <v>4117</v>
      </c>
      <c r="D633" s="12" t="s">
        <v>3067</v>
      </c>
      <c r="E633" s="30" t="str">
        <f>HYPERLINK("http://twiplomacy.com/info/north-america/Canada","http://twiplomacy.com/info/north-america/Canada")</f>
        <v>http://twiplomacy.com/info/north-america/Canada</v>
      </c>
      <c r="F633" s="42" t="s">
        <v>558</v>
      </c>
      <c r="G633" s="42" t="s">
        <v>568</v>
      </c>
      <c r="H633" s="42" t="s">
        <v>860</v>
      </c>
      <c r="I633" s="42" t="s">
        <v>782</v>
      </c>
      <c r="J633" s="27" t="s">
        <v>789</v>
      </c>
      <c r="K633" s="15" t="s">
        <v>777</v>
      </c>
      <c r="L633" s="10"/>
      <c r="M633" s="42" t="s">
        <v>770</v>
      </c>
      <c r="N633" s="30" t="s">
        <v>3117</v>
      </c>
      <c r="O633" s="27" t="s">
        <v>5958</v>
      </c>
      <c r="P633" s="80">
        <v>154</v>
      </c>
      <c r="Q633" s="80">
        <v>101</v>
      </c>
      <c r="R633" s="27" t="s">
        <v>2994</v>
      </c>
      <c r="S633" s="12" t="s">
        <v>3082</v>
      </c>
      <c r="T633" s="10" t="s">
        <v>771</v>
      </c>
      <c r="U633" s="10">
        <v>2</v>
      </c>
      <c r="V633" s="10" t="s">
        <v>771</v>
      </c>
      <c r="W633" s="10"/>
      <c r="X633" s="27" t="s">
        <v>3075</v>
      </c>
      <c r="Y633" s="27" t="s">
        <v>2438</v>
      </c>
      <c r="Z633" s="80">
        <v>195</v>
      </c>
      <c r="AA633" s="27">
        <v>511</v>
      </c>
      <c r="AB633" s="80">
        <v>3574</v>
      </c>
      <c r="AC633" s="27">
        <v>0</v>
      </c>
      <c r="AD633" s="27" t="s">
        <v>4118</v>
      </c>
      <c r="AE633" s="27">
        <v>4341585436</v>
      </c>
      <c r="AF633" s="27" t="s">
        <v>4117</v>
      </c>
      <c r="AG633" s="27" t="s">
        <v>568</v>
      </c>
      <c r="AH633" s="79">
        <v>1.2745098039215701</v>
      </c>
      <c r="AI633" s="83">
        <v>1.29139072847682</v>
      </c>
      <c r="AJ633" s="80">
        <v>19.2739726027397</v>
      </c>
      <c r="AK633" s="80">
        <v>17.2397260273973</v>
      </c>
      <c r="AL633" s="27">
        <v>1</v>
      </c>
      <c r="AM633" s="97">
        <f>SUM(AL633/Z633)</f>
        <v>5.1282051282051282E-3</v>
      </c>
      <c r="AN633" s="27" t="s">
        <v>3075</v>
      </c>
      <c r="AO633" s="27">
        <v>110</v>
      </c>
      <c r="AP633" s="27">
        <v>4</v>
      </c>
      <c r="AQ633" s="27">
        <v>25</v>
      </c>
      <c r="AR633" s="27">
        <f>SUM(AO633:AQ633)</f>
        <v>139</v>
      </c>
      <c r="AS633" s="27" t="s">
        <v>6600</v>
      </c>
      <c r="AT633" s="39" t="s">
        <v>6911</v>
      </c>
      <c r="AU633" s="84" t="s">
        <v>6512</v>
      </c>
      <c r="AV633" s="77"/>
      <c r="AW633" s="77"/>
      <c r="AX633" s="77"/>
      <c r="AY633" s="77"/>
      <c r="AZ633" s="77"/>
      <c r="BA633" s="77"/>
      <c r="BB633" s="77"/>
      <c r="BC633" s="77"/>
      <c r="BD633" s="77"/>
      <c r="BE633" s="77"/>
      <c r="BF633" s="77"/>
      <c r="BG633" s="77"/>
      <c r="BH633" s="77"/>
      <c r="BI633" s="77"/>
      <c r="BJ633" s="77"/>
      <c r="BK633" s="77"/>
      <c r="BL633" s="77"/>
      <c r="BM633" s="77"/>
      <c r="BN633" s="77"/>
      <c r="BO633" s="77"/>
      <c r="BP633" s="77"/>
      <c r="BQ633" s="77"/>
      <c r="BR633" s="77"/>
      <c r="BS633" s="77"/>
      <c r="BT633" s="77"/>
      <c r="BU633" s="77"/>
      <c r="BV633" s="77"/>
      <c r="BW633" s="77"/>
      <c r="BX633" s="77"/>
      <c r="BY633" s="77"/>
      <c r="BZ633" s="77"/>
      <c r="CA633" s="77"/>
      <c r="CB633" s="77"/>
      <c r="CC633" s="77"/>
      <c r="CD633" s="77"/>
      <c r="CE633" s="77"/>
      <c r="CF633" s="77"/>
      <c r="CG633" s="77"/>
      <c r="CH633" s="77"/>
      <c r="CI633" s="77"/>
      <c r="CJ633" s="77"/>
      <c r="CK633" s="77"/>
      <c r="CL633" s="77"/>
      <c r="CM633" s="77"/>
      <c r="CN633" s="77"/>
      <c r="CO633" s="77"/>
      <c r="CP633" s="77"/>
      <c r="CQ633" s="77"/>
      <c r="CR633" s="77"/>
      <c r="CS633" s="77"/>
      <c r="CT633" s="77"/>
      <c r="CU633" s="77"/>
      <c r="CV633" s="77"/>
      <c r="CW633" s="77"/>
      <c r="CX633" s="77"/>
      <c r="CY633" s="77"/>
      <c r="CZ633" s="77"/>
      <c r="DA633" s="77"/>
      <c r="DB633" s="77"/>
      <c r="DC633" s="77"/>
      <c r="DD633" s="77"/>
      <c r="DE633" s="77"/>
      <c r="DF633" s="77"/>
      <c r="DG633" s="77"/>
      <c r="DH633" s="77"/>
      <c r="DI633" s="77"/>
      <c r="DJ633" s="77"/>
      <c r="DK633" s="77"/>
      <c r="DL633" s="77"/>
      <c r="DM633" s="77"/>
      <c r="DN633" s="77"/>
      <c r="DO633" s="77"/>
      <c r="DP633" s="77"/>
      <c r="DQ633" s="77"/>
      <c r="DR633" s="77"/>
      <c r="DS633" s="77"/>
      <c r="DT633" s="77"/>
      <c r="DU633" s="77"/>
      <c r="DV633" s="77"/>
      <c r="DW633" s="77"/>
      <c r="DX633" s="77"/>
      <c r="DY633" s="77"/>
      <c r="DZ633" s="77"/>
      <c r="EA633" s="77"/>
      <c r="EB633" s="77"/>
      <c r="EC633" s="77"/>
      <c r="ED633" s="77"/>
      <c r="EE633" s="77"/>
      <c r="EF633" s="77"/>
      <c r="EG633" s="77"/>
      <c r="EH633" s="77"/>
      <c r="EI633" s="77"/>
      <c r="EJ633" s="77"/>
      <c r="EK633" s="77"/>
      <c r="EL633" s="77"/>
      <c r="EM633" s="77"/>
      <c r="EN633" s="77"/>
      <c r="EO633" s="77"/>
      <c r="EP633" s="77"/>
      <c r="EQ633" s="77"/>
      <c r="ER633" s="77"/>
      <c r="ES633" s="77"/>
      <c r="ET633" s="77"/>
      <c r="EU633" s="77"/>
      <c r="EV633" s="77"/>
      <c r="EW633" s="77"/>
      <c r="EX633" s="77"/>
      <c r="EY633" s="77"/>
      <c r="EZ633" s="77"/>
      <c r="FA633" s="77"/>
      <c r="FB633" s="77"/>
      <c r="FC633" s="77"/>
      <c r="FD633" s="77"/>
      <c r="FE633" s="77"/>
      <c r="FF633" s="77"/>
      <c r="FG633" s="77"/>
      <c r="FH633" s="77"/>
      <c r="FI633" s="77"/>
      <c r="FJ633" s="77"/>
      <c r="FK633" s="77"/>
      <c r="FL633" s="77"/>
      <c r="FM633" s="77"/>
      <c r="FN633" s="77"/>
      <c r="FO633" s="77"/>
      <c r="FP633" s="77"/>
      <c r="FQ633" s="77"/>
      <c r="FR633" s="77"/>
      <c r="FS633" s="77"/>
      <c r="FT633" s="77"/>
      <c r="FU633" s="77"/>
      <c r="FV633" s="77"/>
      <c r="FW633" s="77"/>
      <c r="FX633" s="77"/>
      <c r="FY633" s="77"/>
      <c r="FZ633" s="77"/>
      <c r="GA633" s="77"/>
      <c r="GB633" s="77"/>
      <c r="GC633" s="77"/>
      <c r="GD633" s="77"/>
      <c r="GE633" s="77"/>
      <c r="GF633" s="77"/>
      <c r="GG633" s="77"/>
      <c r="GH633" s="77"/>
      <c r="GI633" s="77"/>
      <c r="GJ633" s="77"/>
      <c r="GK633" s="77"/>
      <c r="GL633" s="77"/>
      <c r="GM633" s="77"/>
      <c r="GN633" s="77"/>
      <c r="GO633" s="77"/>
      <c r="GP633" s="77"/>
      <c r="GQ633" s="77"/>
      <c r="GR633" s="77"/>
      <c r="GS633" s="77"/>
      <c r="GT633" s="77"/>
      <c r="GU633" s="77"/>
      <c r="GV633" s="77"/>
      <c r="GW633" s="77"/>
      <c r="GX633" s="77"/>
      <c r="GY633" s="77"/>
      <c r="GZ633" s="77"/>
      <c r="HA633" s="77"/>
      <c r="HB633" s="77"/>
      <c r="HC633" s="77"/>
      <c r="HD633" s="77"/>
      <c r="HE633" s="77"/>
      <c r="HF633" s="77"/>
      <c r="HG633" s="77"/>
      <c r="HH633" s="77"/>
      <c r="HI633" s="77"/>
      <c r="HJ633" s="77"/>
      <c r="HK633" s="77"/>
      <c r="HL633" s="77"/>
      <c r="HM633" s="77"/>
      <c r="HN633" s="77"/>
      <c r="HO633" s="77"/>
      <c r="HP633" s="77"/>
      <c r="HQ633" s="77"/>
      <c r="HR633" s="77"/>
      <c r="HS633" s="77"/>
      <c r="HT633" s="77"/>
      <c r="HU633" s="77"/>
      <c r="HV633" s="77"/>
      <c r="HW633" s="77"/>
      <c r="HX633" s="77"/>
      <c r="HY633" s="77"/>
      <c r="HZ633" s="77"/>
      <c r="IA633" s="77"/>
      <c r="IB633" s="77"/>
      <c r="IC633" s="77"/>
      <c r="ID633" s="77"/>
      <c r="IE633" s="77"/>
      <c r="IF633" s="77"/>
      <c r="IG633" s="77"/>
      <c r="IH633" s="77"/>
      <c r="II633" s="77"/>
      <c r="IJ633" s="77"/>
      <c r="IK633" s="77"/>
      <c r="IL633" s="77"/>
      <c r="IM633" s="77"/>
      <c r="IN633" s="77"/>
      <c r="IO633" s="77"/>
      <c r="IP633" s="77"/>
      <c r="IQ633" s="77"/>
      <c r="IR633" s="77"/>
      <c r="IS633" s="77"/>
      <c r="IT633" s="77"/>
      <c r="IU633" s="77"/>
      <c r="IV633" s="77"/>
      <c r="IW633" s="77"/>
      <c r="IX633" s="77"/>
      <c r="IY633" s="77"/>
      <c r="IZ633" s="77"/>
      <c r="JA633" s="77"/>
      <c r="JB633" s="77"/>
      <c r="JC633" s="77"/>
      <c r="JD633" s="77"/>
      <c r="JE633" s="77"/>
      <c r="JF633" s="77"/>
      <c r="JG633" s="77"/>
      <c r="JH633" s="77"/>
      <c r="JI633" s="77"/>
      <c r="JJ633" s="77"/>
      <c r="JK633" s="77"/>
      <c r="JL633" s="77"/>
      <c r="JM633" s="77"/>
      <c r="JN633" s="77"/>
      <c r="JO633" s="77"/>
      <c r="JP633" s="77"/>
      <c r="JQ633" s="77"/>
      <c r="JR633" s="77"/>
      <c r="JS633" s="77"/>
      <c r="JT633" s="77"/>
      <c r="JU633" s="77"/>
      <c r="JV633" s="77"/>
      <c r="JW633" s="77"/>
      <c r="JX633" s="77"/>
      <c r="JY633" s="77"/>
      <c r="JZ633" s="77"/>
      <c r="KA633" s="77"/>
      <c r="KB633" s="77"/>
      <c r="KC633" s="77"/>
      <c r="KD633" s="77"/>
      <c r="KE633" s="77"/>
      <c r="KF633" s="77"/>
      <c r="KG633" s="77"/>
      <c r="KH633" s="77"/>
      <c r="KI633" s="77"/>
      <c r="KJ633" s="77"/>
      <c r="KK633" s="77"/>
      <c r="KL633" s="77"/>
      <c r="KM633" s="77"/>
      <c r="KN633" s="77"/>
      <c r="KO633" s="77"/>
      <c r="KP633" s="77"/>
      <c r="KQ633" s="77"/>
      <c r="KR633" s="77"/>
      <c r="KS633" s="77"/>
      <c r="KT633" s="77"/>
      <c r="KU633" s="77"/>
      <c r="KV633" s="77"/>
      <c r="KW633" s="77"/>
      <c r="KX633" s="77"/>
      <c r="KY633" s="77"/>
      <c r="KZ633" s="77"/>
      <c r="LA633" s="77"/>
      <c r="LB633" s="77"/>
      <c r="LC633" s="77"/>
      <c r="LD633" s="77"/>
      <c r="LE633" s="77"/>
      <c r="LF633" s="77"/>
      <c r="LG633" s="77"/>
      <c r="LH633" s="77"/>
      <c r="LI633" s="77"/>
      <c r="LJ633" s="77"/>
      <c r="LK633" s="77"/>
      <c r="LL633" s="77"/>
      <c r="LM633" s="77"/>
      <c r="LN633" s="77"/>
      <c r="LO633" s="77"/>
      <c r="LP633" s="77"/>
      <c r="LQ633" s="77"/>
      <c r="LR633" s="77"/>
      <c r="LS633" s="77"/>
      <c r="LT633" s="77"/>
      <c r="LU633" s="77"/>
      <c r="LV633" s="77"/>
      <c r="MT633" s="77"/>
      <c r="MU633" s="77"/>
      <c r="MV633" s="77"/>
      <c r="MW633" s="77"/>
      <c r="MX633" s="77"/>
      <c r="MY633" s="77"/>
      <c r="MZ633" s="77"/>
      <c r="NA633" s="77"/>
      <c r="NB633" s="77"/>
      <c r="NC633" s="77"/>
    </row>
    <row r="634" spans="1:421" s="21" customFormat="1" ht="18.600000000000001" customHeight="1" x14ac:dyDescent="0.25">
      <c r="A634" s="119" t="s">
        <v>3264</v>
      </c>
      <c r="B634" s="27" t="s">
        <v>4308</v>
      </c>
      <c r="C634" s="27" t="s">
        <v>4309</v>
      </c>
      <c r="D634" s="51" t="s">
        <v>3266</v>
      </c>
      <c r="E634" s="72" t="str">
        <f>HYPERLINK("http://twiplomacy.com/info/africa/Guinea","http://twiplomacy.com/info/africa/Guinea")</f>
        <v>http://twiplomacy.com/info/africa/Guinea</v>
      </c>
      <c r="F634" s="10" t="s">
        <v>1</v>
      </c>
      <c r="G634" s="10" t="s">
        <v>55</v>
      </c>
      <c r="H634" s="10" t="s">
        <v>772</v>
      </c>
      <c r="I634" s="10" t="s">
        <v>773</v>
      </c>
      <c r="J634" s="27" t="s">
        <v>789</v>
      </c>
      <c r="K634" s="15" t="s">
        <v>777</v>
      </c>
      <c r="L634" s="15"/>
      <c r="M634" s="10" t="s">
        <v>770</v>
      </c>
      <c r="N634" s="30" t="s">
        <v>3267</v>
      </c>
      <c r="O634" s="27" t="s">
        <v>3268</v>
      </c>
      <c r="P634" s="80">
        <v>50</v>
      </c>
      <c r="Q634" s="80">
        <v>34</v>
      </c>
      <c r="R634" s="27" t="s">
        <v>2995</v>
      </c>
      <c r="S634" s="12" t="s">
        <v>3265</v>
      </c>
      <c r="T634" s="10" t="s">
        <v>771</v>
      </c>
      <c r="U634" s="10" t="s">
        <v>771</v>
      </c>
      <c r="V634" s="10" t="s">
        <v>771</v>
      </c>
      <c r="W634" s="10"/>
      <c r="X634" s="27" t="s">
        <v>3264</v>
      </c>
      <c r="Y634" s="27" t="s">
        <v>4308</v>
      </c>
      <c r="Z634" s="80">
        <v>189</v>
      </c>
      <c r="AA634" s="27">
        <v>15</v>
      </c>
      <c r="AB634" s="80">
        <v>4032</v>
      </c>
      <c r="AC634" s="27">
        <v>4</v>
      </c>
      <c r="AD634" s="27" t="s">
        <v>4310</v>
      </c>
      <c r="AE634" s="27">
        <v>3258131078</v>
      </c>
      <c r="AF634" s="27" t="s">
        <v>4309</v>
      </c>
      <c r="AG634" s="27" t="s">
        <v>915</v>
      </c>
      <c r="AH634" s="79">
        <v>0.61165048543689304</v>
      </c>
      <c r="AI634" s="83">
        <v>1</v>
      </c>
      <c r="AJ634" s="80">
        <v>5.2554347826086998</v>
      </c>
      <c r="AK634" s="80">
        <v>7.0923913043478297</v>
      </c>
      <c r="AL634" s="27">
        <v>10</v>
      </c>
      <c r="AM634" s="97">
        <f>SUM(AL634/Z634)</f>
        <v>5.2910052910052907E-2</v>
      </c>
      <c r="AN634" s="27" t="s">
        <v>3264</v>
      </c>
      <c r="AO634" s="27">
        <v>9</v>
      </c>
      <c r="AP634" s="27">
        <v>5</v>
      </c>
      <c r="AQ634" s="27">
        <v>1</v>
      </c>
      <c r="AR634" s="27">
        <f>SUM(AO634:AQ634)</f>
        <v>15</v>
      </c>
      <c r="AS634" s="27" t="s">
        <v>5416</v>
      </c>
      <c r="AT634" s="27" t="s">
        <v>5417</v>
      </c>
      <c r="AU634" s="84" t="s">
        <v>58</v>
      </c>
      <c r="AV634" s="71"/>
      <c r="AW634" s="71"/>
      <c r="AX634" s="71"/>
      <c r="AY634" s="71"/>
      <c r="AZ634" s="71"/>
      <c r="BA634" s="71"/>
      <c r="BB634" s="71"/>
      <c r="BC634" s="71"/>
      <c r="BD634" s="71"/>
      <c r="BE634" s="71"/>
      <c r="BF634" s="71"/>
      <c r="BG634" s="71"/>
      <c r="BH634" s="71"/>
      <c r="BI634" s="71"/>
      <c r="BJ634" s="71"/>
      <c r="BK634" s="71"/>
      <c r="BL634" s="71"/>
      <c r="BM634" s="16"/>
      <c r="BN634" s="77"/>
      <c r="BO634" s="77"/>
      <c r="BP634" s="77"/>
      <c r="BQ634" s="77"/>
      <c r="BR634" s="77"/>
      <c r="BS634" s="77"/>
      <c r="BT634" s="77"/>
      <c r="BU634" s="77"/>
      <c r="BV634" s="77"/>
      <c r="BW634" s="77"/>
      <c r="BX634" s="77"/>
      <c r="BY634" s="77"/>
      <c r="BZ634" s="77"/>
      <c r="CA634" s="77"/>
      <c r="CB634" s="77"/>
      <c r="CC634" s="77"/>
      <c r="CD634" s="77"/>
      <c r="CE634" s="77"/>
      <c r="CF634" s="77"/>
      <c r="CG634" s="77"/>
      <c r="CH634" s="77"/>
      <c r="CI634" s="77"/>
      <c r="CJ634" s="77"/>
      <c r="CK634" s="77"/>
      <c r="CL634" s="77"/>
      <c r="CM634" s="77"/>
      <c r="CN634" s="77"/>
      <c r="CO634" s="77"/>
      <c r="CP634" s="77"/>
      <c r="CQ634" s="77"/>
      <c r="CR634" s="77"/>
      <c r="CS634" s="77"/>
      <c r="CT634" s="77"/>
      <c r="CU634" s="77"/>
      <c r="CV634" s="77"/>
      <c r="CW634" s="77"/>
      <c r="CX634" s="77"/>
      <c r="CY634" s="77"/>
      <c r="CZ634" s="77"/>
      <c r="DA634" s="77"/>
      <c r="DB634" s="77"/>
      <c r="DC634" s="77"/>
      <c r="DD634" s="77"/>
      <c r="DE634" s="77"/>
      <c r="DF634" s="77"/>
      <c r="DG634" s="77"/>
      <c r="DH634" s="77"/>
      <c r="DI634" s="77"/>
      <c r="DJ634" s="77"/>
      <c r="DK634" s="77"/>
      <c r="DL634" s="77"/>
      <c r="DM634" s="77"/>
      <c r="DN634" s="77"/>
      <c r="DO634" s="77"/>
      <c r="DP634" s="77"/>
      <c r="DQ634" s="77"/>
      <c r="DR634" s="77"/>
      <c r="DS634" s="77"/>
      <c r="DT634" s="77"/>
      <c r="DU634" s="77"/>
      <c r="DV634" s="77"/>
      <c r="DW634" s="77"/>
      <c r="DX634" s="77"/>
      <c r="DY634" s="77"/>
      <c r="DZ634" s="77"/>
      <c r="EA634" s="77"/>
      <c r="EB634" s="77"/>
      <c r="EC634" s="77"/>
      <c r="ED634" s="77"/>
      <c r="EE634" s="77"/>
      <c r="EF634" s="77"/>
      <c r="EG634" s="77"/>
      <c r="EH634" s="77"/>
      <c r="EI634" s="77"/>
      <c r="EJ634" s="77"/>
      <c r="EK634" s="77"/>
      <c r="EL634" s="77"/>
      <c r="EM634" s="77"/>
      <c r="EN634" s="77"/>
      <c r="EO634" s="77"/>
      <c r="EP634" s="77"/>
      <c r="EQ634" s="77"/>
      <c r="GL634" s="77"/>
      <c r="GM634" s="77"/>
      <c r="GN634" s="77"/>
      <c r="GO634" s="77"/>
      <c r="GP634" s="77"/>
      <c r="GQ634" s="77"/>
      <c r="GR634" s="77"/>
      <c r="GS634" s="77"/>
      <c r="GT634" s="77"/>
      <c r="GU634" s="77"/>
      <c r="GV634" s="77"/>
      <c r="GW634" s="77"/>
      <c r="GX634" s="77"/>
      <c r="GY634" s="77"/>
      <c r="GZ634" s="77"/>
      <c r="HA634" s="77"/>
      <c r="HB634" s="77"/>
      <c r="HC634" s="77"/>
      <c r="HD634" s="77"/>
      <c r="HE634" s="77"/>
      <c r="HF634" s="77"/>
      <c r="HG634" s="77"/>
      <c r="HH634" s="77"/>
      <c r="HI634" s="77"/>
      <c r="HJ634" s="77"/>
      <c r="HK634" s="77"/>
      <c r="HL634" s="77"/>
      <c r="HM634" s="77"/>
      <c r="HN634" s="77"/>
      <c r="HO634" s="77"/>
      <c r="HP634" s="77"/>
      <c r="HQ634" s="77"/>
      <c r="HR634" s="77"/>
      <c r="HS634" s="77"/>
      <c r="HT634" s="77"/>
      <c r="HU634" s="77"/>
      <c r="HV634" s="77"/>
      <c r="HW634" s="77"/>
      <c r="HX634" s="77"/>
      <c r="HY634" s="77"/>
      <c r="HZ634" s="77"/>
      <c r="IA634" s="77"/>
      <c r="IB634" s="77"/>
      <c r="IC634" s="77"/>
      <c r="ID634" s="77"/>
      <c r="IE634" s="77"/>
      <c r="IF634" s="16"/>
      <c r="IG634" s="16"/>
      <c r="IH634" s="16"/>
      <c r="II634" s="16"/>
      <c r="IJ634" s="16"/>
      <c r="IK634" s="16"/>
      <c r="IL634" s="16"/>
      <c r="IM634" s="16"/>
      <c r="IN634" s="16"/>
      <c r="IO634" s="16"/>
      <c r="IP634" s="16"/>
      <c r="IQ634" s="16"/>
      <c r="IR634" s="16"/>
      <c r="IS634" s="16"/>
      <c r="IT634" s="16"/>
      <c r="IU634" s="16"/>
      <c r="IV634" s="16"/>
      <c r="IW634" s="16"/>
      <c r="IX634" s="16"/>
      <c r="IY634" s="16"/>
      <c r="IZ634" s="16"/>
      <c r="JA634" s="16"/>
      <c r="JB634" s="16"/>
      <c r="JC634" s="16"/>
      <c r="JD634" s="16"/>
      <c r="JE634" s="16"/>
      <c r="JF634" s="16"/>
      <c r="JG634" s="16"/>
      <c r="JH634" s="16"/>
      <c r="JI634" s="16"/>
      <c r="JJ634" s="16"/>
      <c r="JK634" s="16"/>
      <c r="JL634" s="16"/>
      <c r="JM634" s="16"/>
      <c r="JN634" s="16"/>
      <c r="JO634" s="16"/>
      <c r="JP634" s="16"/>
      <c r="JQ634" s="16"/>
      <c r="JR634" s="16"/>
      <c r="JS634" s="16"/>
      <c r="JT634" s="16"/>
      <c r="JU634" s="16"/>
      <c r="JV634" s="16"/>
      <c r="JW634" s="16"/>
      <c r="JX634" s="16"/>
      <c r="JY634" s="77"/>
      <c r="JZ634" s="77"/>
      <c r="KA634" s="77"/>
      <c r="KB634" s="77"/>
      <c r="KC634" s="77"/>
      <c r="KD634" s="77"/>
      <c r="KE634" s="77"/>
      <c r="KF634" s="77"/>
      <c r="KG634" s="77"/>
      <c r="KH634" s="77"/>
      <c r="KI634" s="77"/>
      <c r="KJ634" s="77"/>
      <c r="KK634" s="77"/>
      <c r="KL634" s="77"/>
      <c r="LL634" s="77"/>
      <c r="LM634" s="77"/>
      <c r="LN634" s="77"/>
      <c r="LO634" s="77"/>
      <c r="LP634" s="77"/>
      <c r="LQ634" s="77"/>
      <c r="LR634" s="77"/>
      <c r="LS634" s="77"/>
      <c r="LT634" s="77"/>
      <c r="LU634" s="77"/>
      <c r="LV634" s="77"/>
      <c r="LW634" s="77"/>
      <c r="LX634" s="77"/>
      <c r="MS634" s="77"/>
      <c r="MT634" s="77"/>
      <c r="MU634" s="77"/>
      <c r="MV634" s="77"/>
      <c r="MW634" s="77"/>
      <c r="MX634" s="77"/>
      <c r="MY634" s="77"/>
      <c r="MZ634" s="77"/>
      <c r="NA634" s="77"/>
      <c r="NB634" s="77"/>
      <c r="NC634" s="77"/>
    </row>
    <row r="635" spans="1:421" s="21" customFormat="1" ht="18.600000000000001" customHeight="1" x14ac:dyDescent="0.25">
      <c r="A635" s="119" t="s">
        <v>3232</v>
      </c>
      <c r="B635" s="27" t="s">
        <v>3875</v>
      </c>
      <c r="C635" s="27" t="s">
        <v>3876</v>
      </c>
      <c r="D635" s="12" t="s">
        <v>3231</v>
      </c>
      <c r="E635" s="30" t="str">
        <f>HYPERLINK("http://twiplomacy.com/info/asia/Georgia","http://twiplomacy.com/info/asia/Georgia")</f>
        <v>http://twiplomacy.com/info/asia/Georgia</v>
      </c>
      <c r="F635" s="10" t="s">
        <v>154</v>
      </c>
      <c r="G635" s="10" t="s">
        <v>178</v>
      </c>
      <c r="H635" s="10" t="s">
        <v>860</v>
      </c>
      <c r="I635" s="10" t="s">
        <v>773</v>
      </c>
      <c r="J635" s="27" t="s">
        <v>789</v>
      </c>
      <c r="K635" s="15" t="s">
        <v>777</v>
      </c>
      <c r="L635" s="15"/>
      <c r="M635" s="10" t="s">
        <v>770</v>
      </c>
      <c r="N635" s="12" t="s">
        <v>3233</v>
      </c>
      <c r="O635" s="27" t="s">
        <v>5887</v>
      </c>
      <c r="P635" s="80">
        <v>32</v>
      </c>
      <c r="Q635" s="80">
        <v>0</v>
      </c>
      <c r="R635" s="27" t="s">
        <v>2995</v>
      </c>
      <c r="S635" s="10" t="s">
        <v>3230</v>
      </c>
      <c r="T635" s="10" t="s">
        <v>771</v>
      </c>
      <c r="U635" s="10" t="s">
        <v>771</v>
      </c>
      <c r="V635" s="10" t="s">
        <v>771</v>
      </c>
      <c r="W635" s="10"/>
      <c r="X635" s="27" t="s">
        <v>3232</v>
      </c>
      <c r="Y635" s="27" t="s">
        <v>3875</v>
      </c>
      <c r="Z635" s="80">
        <v>185</v>
      </c>
      <c r="AA635" s="27">
        <v>124</v>
      </c>
      <c r="AB635" s="80">
        <v>413</v>
      </c>
      <c r="AC635" s="27">
        <v>17</v>
      </c>
      <c r="AD635" s="27" t="s">
        <v>3877</v>
      </c>
      <c r="AE635" s="27">
        <v>4794961402</v>
      </c>
      <c r="AF635" s="27" t="s">
        <v>3876</v>
      </c>
      <c r="AG635" s="27" t="s">
        <v>178</v>
      </c>
      <c r="AH635" s="79">
        <v>1.6818181818181801</v>
      </c>
      <c r="AI635" s="83">
        <v>2.5342465753424701</v>
      </c>
      <c r="AJ635" s="80">
        <v>5.7931034482758603</v>
      </c>
      <c r="AK635" s="80">
        <v>6.6436781609195403</v>
      </c>
      <c r="AL635" s="27">
        <v>1</v>
      </c>
      <c r="AM635" s="97">
        <f>SUM(AL635/Z635)</f>
        <v>5.4054054054054057E-3</v>
      </c>
      <c r="AN635" s="27" t="s">
        <v>3232</v>
      </c>
      <c r="AO635" s="27">
        <v>28</v>
      </c>
      <c r="AP635" s="27">
        <v>1</v>
      </c>
      <c r="AQ635" s="27">
        <v>6</v>
      </c>
      <c r="AR635" s="27">
        <f>SUM(AO635:AQ635)</f>
        <v>35</v>
      </c>
      <c r="AS635" s="27" t="s">
        <v>6220</v>
      </c>
      <c r="AT635" s="27" t="s">
        <v>553</v>
      </c>
      <c r="AU635" s="84" t="s">
        <v>4773</v>
      </c>
      <c r="AV635" s="77"/>
      <c r="AW635" s="77"/>
      <c r="AX635" s="77"/>
      <c r="AY635" s="77"/>
      <c r="AZ635" s="77"/>
      <c r="BA635" s="77"/>
      <c r="BB635" s="77"/>
      <c r="BC635" s="77"/>
      <c r="BD635" s="77"/>
      <c r="BE635" s="77"/>
      <c r="BF635" s="77"/>
      <c r="BG635" s="77"/>
      <c r="BH635" s="77"/>
      <c r="BI635" s="77"/>
      <c r="BJ635" s="77"/>
      <c r="BK635" s="77"/>
      <c r="BL635" s="77"/>
      <c r="BM635" s="77"/>
      <c r="BN635" s="77"/>
      <c r="BO635" s="77"/>
      <c r="BP635" s="77"/>
      <c r="BQ635" s="77"/>
      <c r="BR635" s="77"/>
      <c r="BS635" s="77"/>
      <c r="BT635" s="77"/>
      <c r="BU635" s="77"/>
      <c r="BV635" s="77"/>
      <c r="BW635" s="77"/>
      <c r="BX635" s="77"/>
      <c r="BY635" s="77"/>
      <c r="BZ635" s="77"/>
      <c r="CA635" s="77"/>
      <c r="CB635" s="77"/>
      <c r="CC635" s="77"/>
      <c r="CD635" s="77"/>
      <c r="CE635" s="77"/>
      <c r="CF635" s="77"/>
      <c r="CG635" s="77"/>
      <c r="CH635" s="77"/>
      <c r="CI635" s="77"/>
      <c r="CJ635" s="77"/>
      <c r="CK635" s="77"/>
      <c r="CL635" s="77"/>
      <c r="CM635" s="77"/>
      <c r="CN635" s="77"/>
      <c r="CO635" s="77"/>
      <c r="CP635" s="77"/>
      <c r="CQ635" s="77"/>
      <c r="CR635" s="77"/>
      <c r="CS635" s="77"/>
      <c r="CT635" s="77"/>
      <c r="CU635" s="77"/>
      <c r="CV635" s="77"/>
      <c r="CW635" s="77"/>
      <c r="CX635" s="77"/>
      <c r="CY635" s="77"/>
      <c r="CZ635" s="77"/>
      <c r="DA635" s="77"/>
      <c r="DB635" s="77"/>
      <c r="DC635" s="77"/>
      <c r="DD635" s="77"/>
      <c r="DE635" s="77"/>
      <c r="DF635" s="77"/>
      <c r="DG635" s="77"/>
      <c r="DH635" s="77"/>
      <c r="DI635" s="77"/>
      <c r="DJ635" s="77"/>
      <c r="DK635" s="77"/>
      <c r="DL635" s="77"/>
      <c r="DM635" s="77"/>
      <c r="DN635" s="77"/>
      <c r="DO635" s="77"/>
      <c r="DP635" s="77"/>
      <c r="DQ635" s="77"/>
      <c r="DR635" s="77"/>
      <c r="DS635" s="77"/>
      <c r="DT635" s="77"/>
      <c r="DU635" s="77"/>
      <c r="DV635" s="77"/>
      <c r="DW635" s="77"/>
      <c r="DX635" s="77"/>
      <c r="DY635" s="77"/>
      <c r="DZ635" s="77"/>
      <c r="EA635" s="77"/>
      <c r="EB635" s="77"/>
      <c r="EC635" s="77"/>
      <c r="ED635" s="77"/>
      <c r="EE635" s="77"/>
      <c r="EF635" s="77"/>
      <c r="EG635" s="77"/>
      <c r="EH635" s="77"/>
      <c r="EI635" s="77"/>
      <c r="EJ635" s="77"/>
      <c r="EK635" s="77"/>
      <c r="EL635" s="77"/>
      <c r="EM635" s="77"/>
      <c r="EN635" s="77"/>
      <c r="EO635" s="77"/>
      <c r="EP635" s="77"/>
      <c r="EQ635" s="77"/>
      <c r="ER635" s="77"/>
      <c r="ES635" s="77"/>
      <c r="ET635" s="77"/>
      <c r="EU635" s="77"/>
      <c r="EV635" s="77"/>
      <c r="EW635" s="77"/>
      <c r="EX635" s="77"/>
      <c r="EY635" s="77"/>
      <c r="EZ635" s="77"/>
      <c r="FA635" s="77"/>
      <c r="FB635" s="77"/>
      <c r="FC635" s="77"/>
      <c r="FD635" s="77"/>
      <c r="FE635" s="77"/>
      <c r="FF635" s="77"/>
      <c r="FG635" s="77"/>
      <c r="FH635" s="77"/>
      <c r="FI635" s="77"/>
      <c r="FJ635" s="77"/>
      <c r="FK635" s="77"/>
      <c r="FL635" s="77"/>
      <c r="FM635" s="77"/>
      <c r="FN635" s="77"/>
      <c r="FO635" s="77"/>
      <c r="FP635" s="77"/>
      <c r="FQ635" s="77"/>
      <c r="FR635" s="77"/>
      <c r="FS635" s="77"/>
      <c r="FT635" s="77"/>
      <c r="FU635" s="77"/>
      <c r="FV635" s="77"/>
      <c r="FW635" s="77"/>
      <c r="FX635" s="77"/>
      <c r="FY635" s="77"/>
      <c r="FZ635" s="77"/>
      <c r="GA635" s="77"/>
      <c r="GB635" s="77"/>
      <c r="GC635" s="77"/>
      <c r="GD635" s="77"/>
      <c r="GE635" s="77"/>
      <c r="GF635" s="77"/>
      <c r="GG635" s="77"/>
      <c r="GH635" s="77"/>
      <c r="GI635" s="77"/>
      <c r="GJ635" s="77"/>
      <c r="GK635" s="77"/>
      <c r="GL635" s="77"/>
      <c r="GM635" s="77"/>
      <c r="GN635" s="77"/>
      <c r="GO635" s="77"/>
      <c r="GP635" s="77"/>
      <c r="GQ635" s="77"/>
      <c r="GR635" s="77"/>
      <c r="GS635" s="77"/>
      <c r="GT635" s="77"/>
      <c r="GU635" s="77"/>
      <c r="GV635" s="77"/>
      <c r="GW635" s="77"/>
      <c r="GX635" s="77"/>
      <c r="GY635" s="77"/>
      <c r="GZ635" s="77"/>
      <c r="HA635" s="77"/>
      <c r="HB635" s="77"/>
      <c r="HC635" s="77"/>
      <c r="HD635" s="77"/>
      <c r="HE635" s="77"/>
      <c r="HF635" s="77"/>
      <c r="HG635" s="77"/>
      <c r="HH635" s="77"/>
      <c r="HI635" s="77"/>
      <c r="HJ635" s="77"/>
      <c r="HK635" s="77"/>
      <c r="HL635" s="77"/>
      <c r="HM635" s="77"/>
      <c r="HN635" s="77"/>
      <c r="HO635" s="77"/>
      <c r="HP635" s="77"/>
      <c r="HQ635" s="77"/>
      <c r="HR635" s="77"/>
      <c r="HS635" s="77"/>
      <c r="HT635" s="77"/>
      <c r="HU635" s="77"/>
      <c r="HV635" s="77"/>
      <c r="HW635" s="77"/>
      <c r="HX635" s="77"/>
      <c r="HY635" s="77"/>
      <c r="HZ635" s="77"/>
      <c r="IA635" s="77"/>
      <c r="IB635" s="77"/>
      <c r="IC635" s="77"/>
      <c r="ID635" s="16"/>
      <c r="IE635" s="16"/>
      <c r="IF635" s="77"/>
      <c r="IG635" s="77"/>
      <c r="IH635" s="77"/>
      <c r="II635" s="77"/>
      <c r="IJ635" s="77"/>
      <c r="IK635" s="77"/>
      <c r="IL635" s="77"/>
      <c r="IM635" s="77"/>
      <c r="IN635" s="77"/>
      <c r="IO635" s="77"/>
      <c r="IP635" s="77"/>
      <c r="IQ635" s="77"/>
      <c r="IR635" s="77"/>
      <c r="IS635" s="77"/>
      <c r="IT635" s="77"/>
      <c r="IU635" s="77"/>
      <c r="IV635" s="77"/>
      <c r="IW635" s="77"/>
      <c r="IX635" s="77"/>
      <c r="IY635" s="77"/>
      <c r="IZ635" s="77"/>
      <c r="JA635" s="77"/>
      <c r="JB635" s="77"/>
      <c r="JC635" s="77"/>
      <c r="JD635" s="77"/>
      <c r="JE635" s="77"/>
      <c r="JF635" s="77"/>
      <c r="JG635" s="77"/>
      <c r="JH635" s="77"/>
      <c r="JI635" s="77"/>
      <c r="JJ635" s="77"/>
      <c r="JK635" s="77"/>
      <c r="JL635" s="77"/>
      <c r="JM635" s="77"/>
      <c r="JN635" s="77"/>
      <c r="JO635" s="77"/>
      <c r="JP635" s="77"/>
      <c r="JQ635" s="77"/>
      <c r="JR635" s="77"/>
      <c r="JS635" s="77"/>
      <c r="JT635" s="77"/>
      <c r="JU635" s="77"/>
      <c r="JV635" s="77"/>
      <c r="JW635" s="77"/>
      <c r="JX635" s="77"/>
      <c r="KM635" s="77"/>
      <c r="KN635" s="77"/>
      <c r="KO635" s="77"/>
      <c r="KP635" s="77"/>
      <c r="KQ635" s="77"/>
      <c r="KR635" s="77"/>
      <c r="KS635" s="77"/>
      <c r="KT635" s="77"/>
      <c r="KU635" s="77"/>
      <c r="KV635" s="77"/>
      <c r="KW635" s="77"/>
      <c r="KX635" s="77"/>
      <c r="KY635" s="77"/>
      <c r="KZ635" s="77"/>
      <c r="LA635" s="77"/>
      <c r="LB635" s="77"/>
      <c r="LC635" s="77"/>
      <c r="LD635" s="77"/>
      <c r="LE635" s="77"/>
      <c r="LF635" s="77"/>
      <c r="LG635" s="77"/>
      <c r="LH635" s="77"/>
      <c r="LI635" s="77"/>
      <c r="LJ635" s="77"/>
      <c r="LK635" s="77"/>
      <c r="LL635" s="77"/>
      <c r="LM635" s="77"/>
      <c r="LN635" s="77"/>
      <c r="LO635" s="77"/>
      <c r="LP635" s="77"/>
      <c r="LQ635" s="77"/>
      <c r="LR635" s="77"/>
      <c r="LS635" s="77"/>
      <c r="LT635" s="77"/>
      <c r="LU635" s="77"/>
      <c r="LV635" s="77"/>
      <c r="MT635" s="77"/>
      <c r="MU635" s="77"/>
      <c r="MV635" s="77"/>
      <c r="MW635" s="77"/>
      <c r="MX635" s="77"/>
      <c r="MY635" s="77"/>
      <c r="MZ635" s="77"/>
      <c r="NA635" s="77"/>
      <c r="NB635" s="77"/>
      <c r="NC635" s="77"/>
    </row>
    <row r="636" spans="1:421" s="21" customFormat="1" ht="18.600000000000001" customHeight="1" x14ac:dyDescent="0.25">
      <c r="A636" s="119" t="s">
        <v>1278</v>
      </c>
      <c r="B636" s="27" t="s">
        <v>1279</v>
      </c>
      <c r="C636" s="27" t="s">
        <v>6396</v>
      </c>
      <c r="D636" s="30" t="str">
        <f>HYPERLINK("https://twitter.com/govgeoabkhaz","https://twitter.com/govgeoabkhaz")</f>
        <v>https://twitter.com/govgeoabkhaz</v>
      </c>
      <c r="E636" s="30" t="str">
        <f>HYPERLINK("http://twiplomacy.com/info/asia/Georgia","http://twiplomacy.com/info/asia/Georgia")</f>
        <v>http://twiplomacy.com/info/asia/Georgia</v>
      </c>
      <c r="F636" s="10" t="s">
        <v>154</v>
      </c>
      <c r="G636" s="10" t="s">
        <v>178</v>
      </c>
      <c r="H636" s="10" t="s">
        <v>788</v>
      </c>
      <c r="I636" s="10" t="s">
        <v>782</v>
      </c>
      <c r="J636" s="27" t="s">
        <v>789</v>
      </c>
      <c r="K636" s="10" t="s">
        <v>777</v>
      </c>
      <c r="L636" s="10" t="s">
        <v>771</v>
      </c>
      <c r="M636" s="10" t="s">
        <v>770</v>
      </c>
      <c r="N636" s="30" t="str">
        <f>HYPERLINK("https://twitter.com/govgeoabkhaz/status/461437898454499328","https://twitter.com/govgeoabkhaz/status/461437898454499328")</f>
        <v>https://twitter.com/govgeoabkhaz/status/461437898454499328</v>
      </c>
      <c r="O636" s="27" t="s">
        <v>5834</v>
      </c>
      <c r="P636" s="80">
        <v>9</v>
      </c>
      <c r="Q636" s="80">
        <v>0</v>
      </c>
      <c r="R636" s="27" t="s">
        <v>2995</v>
      </c>
      <c r="S636" s="30" t="str">
        <f>HYPERLINK("https://twitter.com/govgeoabkhaz/lists","https://twitter.com/govgeoabkhaz/lists")</f>
        <v>https://twitter.com/govgeoabkhaz/lists</v>
      </c>
      <c r="T636" s="10" t="s">
        <v>771</v>
      </c>
      <c r="U636" s="10" t="s">
        <v>771</v>
      </c>
      <c r="V636" s="10" t="s">
        <v>771</v>
      </c>
      <c r="W636" s="10"/>
      <c r="X636" s="27" t="s">
        <v>1278</v>
      </c>
      <c r="Y636" s="27" t="s">
        <v>1279</v>
      </c>
      <c r="Z636" s="80">
        <v>180</v>
      </c>
      <c r="AA636" s="27">
        <v>22</v>
      </c>
      <c r="AB636" s="80">
        <v>570</v>
      </c>
      <c r="AC636" s="27">
        <v>0</v>
      </c>
      <c r="AD636" s="27" t="s">
        <v>3763</v>
      </c>
      <c r="AE636" s="27">
        <v>2470587673</v>
      </c>
      <c r="AF636" s="27" t="s">
        <v>6396</v>
      </c>
      <c r="AG636" s="27" t="s">
        <v>178</v>
      </c>
      <c r="AH636" s="79">
        <v>0.24556616643929099</v>
      </c>
      <c r="AI636" s="83">
        <v>0.24691358024691401</v>
      </c>
      <c r="AJ636" s="80">
        <v>0.238095238095238</v>
      </c>
      <c r="AK636" s="80">
        <v>8.3333333333333301E-2</v>
      </c>
      <c r="AL636" s="27">
        <v>20</v>
      </c>
      <c r="AM636" s="97">
        <f>SUM(AL636/Z636)</f>
        <v>0.1111111111111111</v>
      </c>
      <c r="AN636" s="27" t="s">
        <v>1278</v>
      </c>
      <c r="AO636" s="27">
        <v>1</v>
      </c>
      <c r="AP636" s="27">
        <v>1</v>
      </c>
      <c r="AQ636" s="27">
        <v>2</v>
      </c>
      <c r="AR636" s="27">
        <f>SUM(AO636:AQ636)</f>
        <v>4</v>
      </c>
      <c r="AS636" s="27" t="s">
        <v>2997</v>
      </c>
      <c r="AT636" s="27" t="s">
        <v>360</v>
      </c>
      <c r="AU636" s="84" t="s">
        <v>4743</v>
      </c>
      <c r="AV636" s="77"/>
      <c r="AW636" s="77"/>
      <c r="AX636" s="77"/>
      <c r="AY636" s="77"/>
      <c r="AZ636" s="77"/>
      <c r="BA636" s="77"/>
      <c r="BB636" s="77"/>
      <c r="BC636" s="77"/>
      <c r="BD636" s="77"/>
      <c r="BE636" s="77"/>
      <c r="BF636" s="77"/>
      <c r="BG636" s="77"/>
      <c r="BH636" s="77"/>
      <c r="BI636" s="77"/>
      <c r="BJ636" s="77"/>
      <c r="BK636" s="77"/>
      <c r="BL636" s="77"/>
      <c r="BM636" s="77"/>
      <c r="BN636" s="77"/>
      <c r="BO636" s="77"/>
      <c r="BP636" s="77"/>
      <c r="BQ636" s="77"/>
      <c r="BR636" s="77"/>
      <c r="BS636" s="77"/>
      <c r="BT636" s="77"/>
      <c r="BU636" s="77"/>
      <c r="BV636" s="77"/>
      <c r="BW636" s="77"/>
      <c r="BX636" s="77"/>
      <c r="BY636" s="77"/>
      <c r="BZ636" s="77"/>
      <c r="CA636" s="77"/>
      <c r="CB636" s="77"/>
      <c r="CC636" s="77"/>
      <c r="CD636" s="77"/>
      <c r="CE636" s="77"/>
      <c r="CF636" s="77"/>
      <c r="CG636" s="77"/>
      <c r="CH636" s="77"/>
      <c r="CI636" s="77"/>
      <c r="CJ636" s="77"/>
      <c r="CK636" s="77"/>
      <c r="CL636" s="77"/>
      <c r="CM636" s="77"/>
      <c r="CN636" s="77"/>
      <c r="CO636" s="77"/>
      <c r="CP636" s="77"/>
      <c r="CQ636" s="77"/>
      <c r="CR636" s="77"/>
      <c r="CS636" s="77"/>
      <c r="CT636" s="77"/>
      <c r="CU636" s="77"/>
      <c r="CV636" s="77"/>
      <c r="CW636" s="77"/>
      <c r="CX636" s="77"/>
      <c r="CY636" s="77"/>
      <c r="CZ636" s="77"/>
      <c r="DA636" s="77"/>
      <c r="DB636" s="77"/>
      <c r="DC636" s="77"/>
      <c r="DD636" s="77"/>
      <c r="DE636" s="77"/>
      <c r="DF636" s="77"/>
      <c r="DG636" s="77"/>
      <c r="DH636" s="77"/>
      <c r="DI636" s="77"/>
      <c r="DJ636" s="77"/>
      <c r="DK636" s="77"/>
      <c r="DL636" s="77"/>
      <c r="DM636" s="77"/>
      <c r="DN636" s="77"/>
      <c r="DO636" s="77"/>
      <c r="DP636" s="77"/>
      <c r="DQ636" s="77"/>
      <c r="DR636" s="77"/>
      <c r="DS636" s="77"/>
      <c r="DT636" s="77"/>
      <c r="DU636" s="77"/>
      <c r="DV636" s="77"/>
      <c r="DW636" s="77"/>
      <c r="DX636" s="77"/>
      <c r="DY636" s="77"/>
      <c r="DZ636" s="77"/>
      <c r="EA636" s="77"/>
      <c r="EB636" s="77"/>
      <c r="EC636" s="77"/>
      <c r="ED636" s="77"/>
      <c r="EE636" s="77"/>
      <c r="EF636" s="77"/>
      <c r="EG636" s="77"/>
      <c r="EH636" s="77"/>
      <c r="EI636" s="77"/>
      <c r="EJ636" s="77"/>
      <c r="EK636" s="77"/>
      <c r="EL636" s="77"/>
      <c r="EP636" s="77"/>
      <c r="EQ636" s="77"/>
      <c r="HL636" s="77"/>
      <c r="HM636" s="77"/>
      <c r="HN636" s="77"/>
      <c r="HO636" s="77"/>
      <c r="HP636" s="77"/>
      <c r="HQ636" s="77"/>
      <c r="HR636" s="77"/>
      <c r="HS636" s="77"/>
      <c r="HT636" s="77"/>
      <c r="HU636" s="77"/>
      <c r="HV636" s="77"/>
      <c r="HW636" s="77"/>
      <c r="HX636" s="77"/>
      <c r="HY636" s="77"/>
      <c r="HZ636" s="77"/>
      <c r="IA636" s="77"/>
      <c r="IB636" s="77"/>
      <c r="IC636" s="77"/>
      <c r="ID636" s="77"/>
      <c r="IE636" s="77"/>
      <c r="JY636" s="77"/>
      <c r="JZ636" s="77"/>
      <c r="KA636" s="77"/>
      <c r="KB636" s="77"/>
      <c r="KC636" s="77"/>
      <c r="KD636" s="77"/>
      <c r="KE636" s="77"/>
      <c r="KF636" s="77"/>
      <c r="KG636" s="77"/>
      <c r="KH636" s="77"/>
      <c r="KI636" s="77"/>
      <c r="KJ636" s="77"/>
      <c r="KK636" s="77"/>
      <c r="KL636" s="77"/>
      <c r="LL636" s="77"/>
      <c r="LM636" s="77"/>
      <c r="LN636" s="77"/>
      <c r="LO636" s="77"/>
      <c r="LP636" s="77"/>
      <c r="LQ636" s="77"/>
      <c r="LR636" s="77"/>
      <c r="LS636" s="77"/>
      <c r="LT636" s="77"/>
      <c r="LU636" s="77"/>
      <c r="LV636" s="77"/>
      <c r="MS636" s="77"/>
      <c r="MT636" s="77"/>
      <c r="MU636" s="77"/>
      <c r="MV636" s="77"/>
      <c r="MW636" s="77"/>
      <c r="MX636" s="77"/>
      <c r="MY636" s="77"/>
      <c r="MZ636" s="77"/>
      <c r="NA636" s="77"/>
      <c r="NB636" s="77"/>
      <c r="NC636" s="77"/>
    </row>
    <row r="637" spans="1:421" s="21" customFormat="1" ht="18.600000000000001" customHeight="1" x14ac:dyDescent="0.25">
      <c r="A637" s="119" t="s">
        <v>3452</v>
      </c>
      <c r="B637" s="27" t="s">
        <v>775</v>
      </c>
      <c r="C637" s="27" t="s">
        <v>3453</v>
      </c>
      <c r="D637" s="72" t="str">
        <f>HYPERLINK("https://twitter.com/AMSellal","https://twitter.com/AMSellal")</f>
        <v>https://twitter.com/AMSellal</v>
      </c>
      <c r="E637" s="72" t="str">
        <f>HYPERLINK("http://twiplomacy.com/info/africa/Algeria","http://twiplomacy.com/info/africa/Algeria")</f>
        <v>http://twiplomacy.com/info/africa/Algeria</v>
      </c>
      <c r="F637" s="10" t="s">
        <v>1</v>
      </c>
      <c r="G637" s="10" t="s">
        <v>0</v>
      </c>
      <c r="H637" s="10" t="s">
        <v>776</v>
      </c>
      <c r="I637" s="10" t="s">
        <v>773</v>
      </c>
      <c r="J637" s="27" t="s">
        <v>779</v>
      </c>
      <c r="K637" s="10" t="s">
        <v>777</v>
      </c>
      <c r="L637" s="10" t="s">
        <v>771</v>
      </c>
      <c r="M637" s="10" t="s">
        <v>770</v>
      </c>
      <c r="N637" s="30" t="str">
        <f>HYPERLINK("https://twitter.com/AMSellal/status/449587672630427649","https://twitter.com/AMSellal/status/449587672630427649")</f>
        <v>https://twitter.com/AMSellal/status/449587672630427649</v>
      </c>
      <c r="O637" s="27" t="s">
        <v>5681</v>
      </c>
      <c r="P637" s="80">
        <v>34</v>
      </c>
      <c r="Q637" s="80">
        <v>61</v>
      </c>
      <c r="R637" s="27" t="s">
        <v>2995</v>
      </c>
      <c r="S637" s="30" t="str">
        <f>HYPERLINK("https://twitter.com/AMSellal/lists","https://twitter.com/AMSellal/lists")</f>
        <v>https://twitter.com/AMSellal/lists</v>
      </c>
      <c r="T637" s="10" t="s">
        <v>771</v>
      </c>
      <c r="U637" s="10" t="s">
        <v>771</v>
      </c>
      <c r="V637" s="10" t="s">
        <v>771</v>
      </c>
      <c r="W637" s="10"/>
      <c r="X637" s="27" t="s">
        <v>3452</v>
      </c>
      <c r="Y637" s="27" t="s">
        <v>775</v>
      </c>
      <c r="Z637" s="80">
        <v>179</v>
      </c>
      <c r="AA637" s="27">
        <v>22</v>
      </c>
      <c r="AB637" s="80">
        <v>7582</v>
      </c>
      <c r="AC637" s="27">
        <v>7</v>
      </c>
      <c r="AD637" s="27" t="s">
        <v>3454</v>
      </c>
      <c r="AE637" s="27">
        <v>2416157107</v>
      </c>
      <c r="AF637" s="27" t="s">
        <v>3453</v>
      </c>
      <c r="AG637" s="27" t="s">
        <v>778</v>
      </c>
      <c r="AH637" s="79">
        <v>0.233681462140992</v>
      </c>
      <c r="AI637" s="83">
        <v>0.23460026212319801</v>
      </c>
      <c r="AJ637" s="80">
        <v>3.0843373493975901</v>
      </c>
      <c r="AK637" s="80">
        <v>8.4879518072289208</v>
      </c>
      <c r="AL637" s="96">
        <v>19</v>
      </c>
      <c r="AM637" s="97">
        <f>SUM(AL637/Z637)</f>
        <v>0.10614525139664804</v>
      </c>
      <c r="AN637" s="27" t="s">
        <v>3452</v>
      </c>
      <c r="AO637" s="27">
        <v>0</v>
      </c>
      <c r="AP637" s="27">
        <v>3</v>
      </c>
      <c r="AQ637" s="27">
        <v>0</v>
      </c>
      <c r="AR637" s="27">
        <f>SUM(AO637:AQ637)</f>
        <v>3</v>
      </c>
      <c r="AS637" s="27"/>
      <c r="AT637" s="27" t="s">
        <v>5013</v>
      </c>
      <c r="AU637" s="84"/>
      <c r="AV637" s="77"/>
      <c r="AW637" s="77"/>
      <c r="AX637" s="77"/>
      <c r="AY637" s="77"/>
      <c r="AZ637" s="77"/>
      <c r="BA637" s="77"/>
      <c r="BB637" s="77"/>
      <c r="BC637" s="77"/>
      <c r="BD637" s="77"/>
      <c r="BE637" s="77"/>
      <c r="BF637" s="77"/>
      <c r="BG637" s="77"/>
      <c r="BH637" s="77"/>
      <c r="BI637" s="77"/>
      <c r="BJ637" s="77"/>
      <c r="BK637" s="77"/>
      <c r="BL637" s="77"/>
      <c r="BM637" s="77"/>
      <c r="BN637" s="77"/>
      <c r="BO637" s="77"/>
      <c r="BP637" s="77"/>
      <c r="BQ637" s="16"/>
      <c r="BR637" s="16"/>
      <c r="BS637" s="16"/>
      <c r="BT637" s="16"/>
      <c r="BU637" s="16"/>
      <c r="BV637" s="16"/>
      <c r="BW637" s="16"/>
      <c r="BX637" s="16"/>
      <c r="BY637" s="16"/>
      <c r="BZ637" s="16"/>
      <c r="CA637" s="16"/>
      <c r="CB637" s="16"/>
      <c r="CC637" s="77"/>
      <c r="CD637" s="77"/>
      <c r="CE637" s="77"/>
      <c r="CF637" s="77"/>
      <c r="CG637" s="77"/>
      <c r="CH637" s="77"/>
      <c r="CI637" s="77"/>
      <c r="CJ637" s="77"/>
      <c r="CX637" s="77"/>
      <c r="CY637" s="77"/>
      <c r="CZ637" s="77"/>
      <c r="DA637" s="77"/>
      <c r="DB637" s="77"/>
      <c r="DC637" s="77"/>
      <c r="DD637" s="77"/>
      <c r="DE637" s="77"/>
      <c r="DF637" s="77"/>
      <c r="DG637" s="77"/>
      <c r="DH637" s="77"/>
      <c r="DI637" s="77"/>
      <c r="DJ637" s="77"/>
      <c r="DK637" s="77"/>
      <c r="DL637" s="77"/>
      <c r="DM637" s="77"/>
      <c r="DN637" s="77"/>
      <c r="DO637" s="77"/>
      <c r="DP637" s="77"/>
      <c r="DQ637" s="77"/>
      <c r="DR637" s="77"/>
      <c r="DS637" s="77"/>
      <c r="DT637" s="77"/>
      <c r="DU637" s="77"/>
      <c r="DV637" s="77"/>
      <c r="DW637" s="77"/>
      <c r="DX637" s="77"/>
      <c r="DY637" s="77"/>
      <c r="DZ637" s="77"/>
      <c r="EA637" s="77"/>
      <c r="EB637" s="77"/>
      <c r="EC637" s="77"/>
      <c r="ED637" s="77"/>
      <c r="EE637" s="77"/>
      <c r="EF637" s="77"/>
      <c r="EG637" s="77"/>
      <c r="EH637" s="77"/>
      <c r="EI637" s="77"/>
      <c r="EJ637" s="77"/>
      <c r="EK637" s="77"/>
      <c r="EL637" s="77"/>
      <c r="EM637" s="77"/>
      <c r="EN637" s="77"/>
      <c r="EO637" s="77"/>
      <c r="EP637" s="77"/>
      <c r="EQ637" s="77"/>
      <c r="GL637" s="16"/>
      <c r="GM637" s="16"/>
      <c r="GN637" s="16"/>
      <c r="GO637" s="16"/>
      <c r="GP637" s="16"/>
      <c r="GQ637" s="16"/>
      <c r="GR637" s="16"/>
      <c r="GS637" s="16"/>
      <c r="GT637" s="16"/>
      <c r="GU637" s="16"/>
      <c r="GV637" s="16"/>
      <c r="GW637" s="16"/>
      <c r="GX637" s="16"/>
      <c r="GY637" s="16"/>
      <c r="GZ637" s="16"/>
      <c r="HA637" s="16"/>
      <c r="HB637" s="16"/>
      <c r="HC637" s="16"/>
      <c r="HD637" s="16"/>
      <c r="HE637" s="16"/>
      <c r="HF637" s="16"/>
      <c r="HG637" s="16"/>
      <c r="HH637" s="16"/>
      <c r="HI637" s="16"/>
      <c r="HJ637" s="16"/>
      <c r="HK637" s="16"/>
      <c r="ID637" s="77"/>
      <c r="IE637" s="77"/>
      <c r="IF637" s="77"/>
      <c r="IG637" s="77"/>
      <c r="IH637" s="77"/>
      <c r="II637" s="77"/>
      <c r="IJ637" s="77"/>
      <c r="IK637" s="77"/>
      <c r="IL637" s="77"/>
      <c r="IM637" s="77"/>
      <c r="IN637" s="77"/>
      <c r="IO637" s="77"/>
      <c r="IP637" s="77"/>
      <c r="IQ637" s="77"/>
      <c r="IR637" s="77"/>
      <c r="IS637" s="77"/>
      <c r="IT637" s="77"/>
      <c r="IU637" s="77"/>
      <c r="IV637" s="77"/>
      <c r="IW637" s="77"/>
      <c r="IX637" s="77"/>
      <c r="IY637" s="77"/>
      <c r="IZ637" s="77"/>
      <c r="JA637" s="77"/>
      <c r="JB637" s="77"/>
      <c r="JC637" s="77"/>
      <c r="JD637" s="77"/>
      <c r="JE637" s="77"/>
      <c r="JF637" s="77"/>
      <c r="JG637" s="77"/>
      <c r="JH637" s="77"/>
      <c r="JI637" s="77"/>
      <c r="JJ637" s="77"/>
      <c r="JK637" s="77"/>
      <c r="JL637" s="77"/>
      <c r="JM637" s="77"/>
      <c r="JN637" s="77"/>
      <c r="JO637" s="77"/>
      <c r="JP637" s="77"/>
      <c r="JQ637" s="77"/>
      <c r="JR637" s="77"/>
      <c r="JS637" s="77"/>
      <c r="JT637" s="77"/>
      <c r="JU637" s="77"/>
      <c r="JV637" s="77"/>
      <c r="JW637" s="77"/>
      <c r="JX637" s="77"/>
      <c r="JY637" s="77"/>
      <c r="JZ637" s="77"/>
      <c r="KA637" s="77"/>
      <c r="KB637" s="77"/>
      <c r="KC637" s="77"/>
      <c r="KD637" s="77"/>
      <c r="KE637" s="77"/>
      <c r="KF637" s="77"/>
      <c r="KG637" s="77"/>
      <c r="KH637" s="77"/>
      <c r="KI637" s="77"/>
      <c r="KJ637" s="77"/>
      <c r="KK637" s="77"/>
      <c r="KL637" s="77"/>
      <c r="KM637" s="77"/>
      <c r="KN637" s="77"/>
      <c r="KO637" s="77"/>
      <c r="KP637" s="77"/>
      <c r="KQ637" s="77"/>
      <c r="KR637" s="77"/>
      <c r="KS637" s="77"/>
      <c r="KT637" s="77"/>
      <c r="KU637" s="77"/>
      <c r="KV637" s="77"/>
      <c r="KW637" s="77"/>
      <c r="KX637" s="77"/>
      <c r="KY637" s="77"/>
      <c r="KZ637" s="77"/>
      <c r="LA637" s="77"/>
      <c r="LB637" s="77"/>
      <c r="LC637" s="77"/>
      <c r="LD637" s="77"/>
      <c r="LE637" s="77"/>
      <c r="LF637" s="77"/>
      <c r="LG637" s="77"/>
      <c r="LH637" s="77"/>
      <c r="LI637" s="77"/>
      <c r="LJ637" s="77"/>
      <c r="LK637" s="77"/>
      <c r="MT637" s="77"/>
      <c r="MU637" s="77"/>
      <c r="MV637" s="77"/>
      <c r="MW637" s="77"/>
      <c r="MX637" s="77"/>
      <c r="MY637" s="77"/>
      <c r="MZ637" s="77"/>
      <c r="NA637" s="77"/>
      <c r="NB637" s="77"/>
      <c r="NC637" s="77"/>
    </row>
    <row r="638" spans="1:421" s="21" customFormat="1" ht="18.600000000000001" customHeight="1" x14ac:dyDescent="0.25">
      <c r="A638" s="119" t="s">
        <v>57</v>
      </c>
      <c r="B638" s="27" t="s">
        <v>917</v>
      </c>
      <c r="C638" s="27"/>
      <c r="D638" s="72" t="str">
        <f>HYPERLINK("https://twitter.com/Presidence_gn","https://twitter.com/Presidence_gn")</f>
        <v>https://twitter.com/Presidence_gn</v>
      </c>
      <c r="E638" s="72" t="s">
        <v>918</v>
      </c>
      <c r="F638" s="20" t="s">
        <v>1</v>
      </c>
      <c r="G638" s="10" t="s">
        <v>55</v>
      </c>
      <c r="H638" s="10" t="s">
        <v>781</v>
      </c>
      <c r="I638" s="10" t="s">
        <v>782</v>
      </c>
      <c r="J638" s="27" t="s">
        <v>789</v>
      </c>
      <c r="K638" s="10" t="s">
        <v>777</v>
      </c>
      <c r="L638" s="10" t="s">
        <v>771</v>
      </c>
      <c r="M638" s="10" t="s">
        <v>770</v>
      </c>
      <c r="N638" s="30" t="str">
        <f>HYPERLINK("https://twitter.com/Presidence_gn/status/503090148377370624","https://twitter.com/Presidence_gn/status/503090148377370624")</f>
        <v>https://twitter.com/Presidence_gn/status/503090148377370624</v>
      </c>
      <c r="O638" s="27" t="s">
        <v>6031</v>
      </c>
      <c r="P638" s="80">
        <v>9</v>
      </c>
      <c r="Q638" s="80">
        <v>7</v>
      </c>
      <c r="R638" s="27" t="s">
        <v>2995</v>
      </c>
      <c r="S638" s="30" t="str">
        <f>HYPERLINK("https://twitter.com/Presidence_gn/lists","https://twitter.com/Presidence_gn/lists")</f>
        <v>https://twitter.com/Presidence_gn/lists</v>
      </c>
      <c r="T638" s="10" t="s">
        <v>771</v>
      </c>
      <c r="U638" s="10" t="s">
        <v>771</v>
      </c>
      <c r="V638" s="10" t="s">
        <v>771</v>
      </c>
      <c r="W638" s="10"/>
      <c r="X638" s="27" t="s">
        <v>57</v>
      </c>
      <c r="Y638" s="27" t="s">
        <v>917</v>
      </c>
      <c r="Z638" s="80">
        <v>164</v>
      </c>
      <c r="AA638" s="27">
        <v>16</v>
      </c>
      <c r="AB638" s="80">
        <v>2828</v>
      </c>
      <c r="AC638" s="27">
        <v>0</v>
      </c>
      <c r="AD638" s="27" t="s">
        <v>4315</v>
      </c>
      <c r="AE638" s="27">
        <v>2752428146</v>
      </c>
      <c r="AF638" s="27"/>
      <c r="AG638" s="27" t="s">
        <v>915</v>
      </c>
      <c r="AH638" s="79">
        <v>0.26451612903225802</v>
      </c>
      <c r="AI638" s="83">
        <v>0.28373702422145303</v>
      </c>
      <c r="AJ638" s="80">
        <v>0.61006289308176098</v>
      </c>
      <c r="AK638" s="80">
        <v>0.53459119496855301</v>
      </c>
      <c r="AL638" s="27">
        <v>1</v>
      </c>
      <c r="AM638" s="97">
        <f>SUM(AL638/Z638)</f>
        <v>6.0975609756097563E-3</v>
      </c>
      <c r="AN638" s="27" t="s">
        <v>57</v>
      </c>
      <c r="AO638" s="27">
        <v>2</v>
      </c>
      <c r="AP638" s="27">
        <v>3</v>
      </c>
      <c r="AQ638" s="27">
        <v>0</v>
      </c>
      <c r="AR638" s="27">
        <f>SUM(AO638:AQ638)</f>
        <v>5</v>
      </c>
      <c r="AS638" s="27" t="s">
        <v>6614</v>
      </c>
      <c r="AT638" s="27" t="s">
        <v>5421</v>
      </c>
      <c r="AU638" s="84"/>
      <c r="AV638" s="77"/>
      <c r="AW638" s="77"/>
      <c r="AX638" s="77"/>
      <c r="AY638" s="77"/>
      <c r="AZ638" s="77"/>
      <c r="BA638" s="77"/>
      <c r="BB638" s="77"/>
      <c r="BC638" s="77"/>
      <c r="BD638" s="77"/>
      <c r="BE638" s="77"/>
      <c r="BF638" s="77"/>
      <c r="BG638" s="77"/>
      <c r="BH638" s="77"/>
      <c r="BI638" s="77"/>
      <c r="BJ638" s="77"/>
      <c r="BK638" s="77"/>
      <c r="BL638" s="77"/>
      <c r="BM638" s="77"/>
      <c r="BN638" s="77"/>
      <c r="BO638" s="77"/>
      <c r="BP638" s="77"/>
      <c r="BQ638" s="77"/>
      <c r="BR638" s="77"/>
      <c r="BS638" s="77"/>
      <c r="BT638" s="77"/>
      <c r="BU638" s="77"/>
      <c r="BV638" s="77"/>
      <c r="BW638" s="77"/>
      <c r="BX638" s="77"/>
      <c r="BY638" s="77"/>
      <c r="BZ638" s="77"/>
      <c r="CA638" s="77"/>
      <c r="CB638" s="77"/>
      <c r="CC638" s="77"/>
      <c r="CD638" s="77"/>
      <c r="CE638" s="77"/>
      <c r="CF638" s="77"/>
      <c r="CG638" s="77"/>
      <c r="CH638" s="77"/>
      <c r="CI638" s="77"/>
      <c r="CJ638" s="77"/>
      <c r="CK638" s="77"/>
      <c r="CL638" s="77"/>
      <c r="CM638" s="77"/>
      <c r="CN638" s="77"/>
      <c r="CO638" s="77"/>
      <c r="CP638" s="77"/>
      <c r="CQ638" s="77"/>
      <c r="CR638" s="77"/>
      <c r="CS638" s="77"/>
      <c r="CT638" s="77"/>
      <c r="CU638" s="77"/>
      <c r="CV638" s="77"/>
      <c r="CW638" s="77"/>
      <c r="CX638" s="77"/>
      <c r="CY638" s="77"/>
      <c r="CZ638" s="77"/>
      <c r="DA638" s="77"/>
      <c r="DB638" s="77"/>
      <c r="DC638" s="77"/>
      <c r="DD638" s="77"/>
      <c r="DE638" s="77"/>
      <c r="DF638" s="77"/>
      <c r="DG638" s="77"/>
      <c r="DH638" s="77"/>
      <c r="DI638" s="77"/>
      <c r="DJ638" s="77"/>
      <c r="DK638" s="77"/>
      <c r="DL638" s="77"/>
      <c r="DM638" s="77"/>
      <c r="DN638" s="77"/>
      <c r="DO638" s="77"/>
      <c r="DP638" s="77"/>
      <c r="DQ638" s="77"/>
      <c r="DR638" s="77"/>
      <c r="DS638" s="77"/>
      <c r="DT638" s="77"/>
      <c r="DU638" s="77"/>
      <c r="DV638" s="77"/>
      <c r="DW638" s="77"/>
      <c r="DX638" s="77"/>
      <c r="DY638" s="77"/>
      <c r="DZ638" s="77"/>
      <c r="EA638" s="77"/>
      <c r="EB638" s="77"/>
      <c r="EC638" s="77"/>
      <c r="ED638" s="77"/>
      <c r="EE638" s="77"/>
      <c r="EF638" s="77"/>
      <c r="EG638" s="77"/>
      <c r="EH638" s="77"/>
      <c r="EI638" s="77"/>
      <c r="EJ638" s="77"/>
      <c r="EK638" s="77"/>
      <c r="EL638" s="77"/>
      <c r="EM638" s="77"/>
      <c r="EN638" s="77"/>
      <c r="EO638" s="77"/>
      <c r="EQ638" s="77"/>
      <c r="ER638" s="77"/>
      <c r="ES638" s="77"/>
      <c r="ET638" s="77"/>
      <c r="EU638" s="77"/>
      <c r="EV638" s="77"/>
      <c r="EW638" s="77"/>
      <c r="EX638" s="77"/>
      <c r="EY638" s="77"/>
      <c r="EZ638" s="77"/>
      <c r="FA638" s="77"/>
      <c r="FB638" s="77"/>
      <c r="FC638" s="77"/>
      <c r="FD638" s="77"/>
      <c r="FE638" s="77"/>
      <c r="FF638" s="77"/>
      <c r="FG638" s="77"/>
      <c r="FH638" s="77"/>
      <c r="FI638" s="77"/>
      <c r="FJ638" s="77"/>
      <c r="FK638" s="77"/>
      <c r="FL638" s="77"/>
      <c r="FM638" s="77"/>
      <c r="FN638" s="77"/>
      <c r="FO638" s="77"/>
      <c r="FP638" s="77"/>
      <c r="FQ638" s="77"/>
      <c r="FR638" s="77"/>
      <c r="FS638" s="77"/>
      <c r="FT638" s="77"/>
      <c r="FU638" s="77"/>
      <c r="FV638" s="77"/>
      <c r="FW638" s="77"/>
      <c r="FX638" s="77"/>
      <c r="FY638" s="77"/>
      <c r="FZ638" s="77"/>
      <c r="GA638" s="77"/>
      <c r="GB638" s="77"/>
      <c r="GC638" s="77"/>
      <c r="GD638" s="77"/>
      <c r="GE638" s="77"/>
      <c r="GF638" s="77"/>
      <c r="GG638" s="77"/>
      <c r="GH638" s="77"/>
      <c r="GI638" s="77"/>
      <c r="GJ638" s="77"/>
      <c r="GK638" s="77"/>
      <c r="GL638" s="77"/>
      <c r="GM638" s="77"/>
      <c r="GN638" s="77"/>
      <c r="GO638" s="77"/>
      <c r="GP638" s="77"/>
      <c r="GQ638" s="77"/>
      <c r="GR638" s="77"/>
      <c r="GS638" s="77"/>
      <c r="GT638" s="77"/>
      <c r="GU638" s="77"/>
      <c r="GV638" s="77"/>
      <c r="GW638" s="77"/>
      <c r="GX638" s="77"/>
      <c r="GY638" s="77"/>
      <c r="GZ638" s="77"/>
      <c r="HA638" s="77"/>
      <c r="HB638" s="77"/>
      <c r="HC638" s="77"/>
      <c r="HD638" s="77"/>
      <c r="HE638" s="77"/>
      <c r="HF638" s="77"/>
      <c r="HG638" s="77"/>
      <c r="HH638" s="77"/>
      <c r="HI638" s="77"/>
      <c r="HJ638" s="77"/>
      <c r="HK638" s="77"/>
      <c r="HL638" s="77"/>
      <c r="HM638" s="77"/>
      <c r="HN638" s="77"/>
      <c r="HO638" s="77"/>
      <c r="HP638" s="77"/>
      <c r="HQ638" s="77"/>
      <c r="HR638" s="77"/>
      <c r="HS638" s="77"/>
      <c r="HT638" s="77"/>
      <c r="HU638" s="77"/>
      <c r="HV638" s="77"/>
      <c r="HW638" s="77"/>
      <c r="HX638" s="77"/>
      <c r="HY638" s="77"/>
      <c r="HZ638" s="77"/>
      <c r="IA638" s="77"/>
      <c r="IB638" s="77"/>
      <c r="IC638" s="77"/>
      <c r="ID638" s="77"/>
      <c r="IE638" s="77"/>
      <c r="IF638" s="77"/>
      <c r="IG638" s="77"/>
      <c r="IH638" s="77"/>
      <c r="II638" s="77"/>
      <c r="IJ638" s="77"/>
      <c r="IK638" s="77"/>
      <c r="IL638" s="77"/>
      <c r="IM638" s="77"/>
      <c r="IN638" s="77"/>
      <c r="IO638" s="77"/>
      <c r="IP638" s="77"/>
      <c r="IQ638" s="77"/>
      <c r="IR638" s="77"/>
      <c r="IS638" s="77"/>
      <c r="IT638" s="77"/>
      <c r="IU638" s="77"/>
      <c r="IV638" s="77"/>
      <c r="IW638" s="77"/>
      <c r="IX638" s="77"/>
      <c r="IY638" s="77"/>
      <c r="IZ638" s="77"/>
      <c r="JA638" s="77"/>
      <c r="JB638" s="77"/>
      <c r="JC638" s="77"/>
      <c r="JD638" s="77"/>
      <c r="JE638" s="77"/>
      <c r="JF638" s="77"/>
      <c r="JG638" s="77"/>
      <c r="JH638" s="77"/>
      <c r="JI638" s="77"/>
      <c r="JJ638" s="77"/>
      <c r="JK638" s="77"/>
      <c r="JL638" s="77"/>
      <c r="JM638" s="77"/>
      <c r="JN638" s="77"/>
      <c r="JO638" s="77"/>
      <c r="JP638" s="77"/>
      <c r="JQ638" s="77"/>
      <c r="JR638" s="77"/>
      <c r="JS638" s="77"/>
      <c r="JT638" s="77"/>
      <c r="JU638" s="77"/>
      <c r="JV638" s="77"/>
      <c r="JW638" s="77"/>
      <c r="JX638" s="77"/>
      <c r="JY638" s="77"/>
      <c r="JZ638" s="77"/>
      <c r="KA638" s="77"/>
      <c r="KB638" s="77"/>
      <c r="KC638" s="77"/>
      <c r="KD638" s="77"/>
      <c r="KE638" s="77"/>
      <c r="KF638" s="77"/>
      <c r="KG638" s="77"/>
      <c r="KH638" s="77"/>
      <c r="KI638" s="77"/>
      <c r="KJ638" s="77"/>
      <c r="KK638" s="77"/>
      <c r="KL638" s="77"/>
      <c r="LW638" s="77"/>
      <c r="LX638" s="77"/>
      <c r="LY638" s="77"/>
      <c r="LZ638" s="77"/>
      <c r="MA638" s="77"/>
      <c r="MB638" s="77"/>
      <c r="MC638" s="77"/>
      <c r="MD638" s="77"/>
      <c r="ME638" s="77"/>
      <c r="MF638" s="77"/>
      <c r="MG638" s="77"/>
      <c r="MH638" s="77"/>
      <c r="MI638" s="77"/>
      <c r="MJ638" s="77"/>
      <c r="MK638" s="77"/>
      <c r="ML638" s="77"/>
      <c r="MM638" s="77"/>
      <c r="MN638" s="77"/>
      <c r="MO638" s="77"/>
      <c r="MP638" s="77"/>
      <c r="MQ638" s="77"/>
      <c r="MR638" s="77"/>
      <c r="ND638" s="16"/>
    </row>
    <row r="639" spans="1:421" s="21" customFormat="1" ht="18.600000000000001" customHeight="1" x14ac:dyDescent="0.25">
      <c r="A639" s="119" t="s">
        <v>197</v>
      </c>
      <c r="B639" s="27" t="s">
        <v>1323</v>
      </c>
      <c r="C639" s="27" t="s">
        <v>1324</v>
      </c>
      <c r="D639" s="30" t="str">
        <f>HYPERLINK("https://twitter.com/Jzarif","https://twitter.com/Jzarif")</f>
        <v>https://twitter.com/Jzarif</v>
      </c>
      <c r="E639" s="30" t="str">
        <f>HYPERLINK("http://twiplomacy.com/info/asia/Iran","http://twiplomacy.com/info/asia/Iran")</f>
        <v>http://twiplomacy.com/info/asia/Iran</v>
      </c>
      <c r="F639" s="10" t="s">
        <v>154</v>
      </c>
      <c r="G639" s="10" t="s">
        <v>194</v>
      </c>
      <c r="H639" s="10" t="s">
        <v>860</v>
      </c>
      <c r="I639" s="10" t="s">
        <v>773</v>
      </c>
      <c r="J639" s="27" t="s">
        <v>789</v>
      </c>
      <c r="K639" s="15" t="s">
        <v>777</v>
      </c>
      <c r="L639" s="10"/>
      <c r="M639" s="10" t="s">
        <v>770</v>
      </c>
      <c r="N639" s="30" t="str">
        <f>HYPERLINK("https://twitter.com/JZarif/statuses/375326214132494336","https://twitter.com/JZarif/statuses/375326214132494336")</f>
        <v>https://twitter.com/JZarif/statuses/375326214132494336</v>
      </c>
      <c r="O639" s="12" t="str">
        <f>HYPERLINK("https://twitter.com/JZarif/status/583672737194999808","https://twitter.com/JZarif/status/583672737194999808")</f>
        <v>https://twitter.com/JZarif/status/583672737194999808</v>
      </c>
      <c r="P639" s="46">
        <v>7662</v>
      </c>
      <c r="Q639" s="46">
        <v>9595</v>
      </c>
      <c r="R639" s="27" t="s">
        <v>2994</v>
      </c>
      <c r="S639" s="10" t="s">
        <v>1325</v>
      </c>
      <c r="T639" s="10" t="s">
        <v>771</v>
      </c>
      <c r="U639" s="10" t="s">
        <v>771</v>
      </c>
      <c r="V639" s="10" t="s">
        <v>771</v>
      </c>
      <c r="W639" s="10"/>
      <c r="X639" s="27" t="s">
        <v>197</v>
      </c>
      <c r="Y639" s="27" t="s">
        <v>1323</v>
      </c>
      <c r="Z639" s="80">
        <v>157</v>
      </c>
      <c r="AA639" s="27">
        <v>18</v>
      </c>
      <c r="AB639" s="80">
        <v>443823</v>
      </c>
      <c r="AC639" s="27">
        <v>0</v>
      </c>
      <c r="AD639" s="27" t="s">
        <v>3914</v>
      </c>
      <c r="AE639" s="27">
        <v>47813521</v>
      </c>
      <c r="AF639" s="27" t="s">
        <v>1324</v>
      </c>
      <c r="AG639" s="27" t="s">
        <v>1319</v>
      </c>
      <c r="AH639" s="79">
        <v>6.2524890481879702E-2</v>
      </c>
      <c r="AI639" s="83">
        <v>0.162190082644628</v>
      </c>
      <c r="AJ639" s="80">
        <v>477.62091503267999</v>
      </c>
      <c r="AK639" s="80">
        <v>1152.30718954248</v>
      </c>
      <c r="AL639" s="27">
        <v>6</v>
      </c>
      <c r="AM639" s="97">
        <f>SUM(AL639/Z639)</f>
        <v>3.8216560509554139E-2</v>
      </c>
      <c r="AN639" s="27" t="s">
        <v>197</v>
      </c>
      <c r="AO639" s="27">
        <v>2</v>
      </c>
      <c r="AP639" s="27">
        <v>55</v>
      </c>
      <c r="AQ639" s="27">
        <v>1</v>
      </c>
      <c r="AR639" s="27">
        <f>SUM(AO639:AQ639)</f>
        <v>58</v>
      </c>
      <c r="AS639" s="27" t="s">
        <v>5224</v>
      </c>
      <c r="AT639" s="27" t="s">
        <v>6764</v>
      </c>
      <c r="AU639" s="84" t="s">
        <v>196</v>
      </c>
      <c r="AV639" s="71"/>
      <c r="AW639" s="71"/>
      <c r="AX639" s="71"/>
      <c r="AY639" s="71"/>
      <c r="AZ639" s="71"/>
      <c r="BA639" s="71"/>
      <c r="BB639" s="71"/>
      <c r="BC639" s="71"/>
      <c r="BD639" s="71"/>
      <c r="BE639" s="71"/>
      <c r="BF639" s="71"/>
      <c r="BG639" s="71"/>
      <c r="BH639" s="71"/>
      <c r="BI639" s="71"/>
      <c r="BJ639" s="71"/>
      <c r="BK639" s="71"/>
      <c r="BL639" s="71"/>
      <c r="BM639" s="71"/>
      <c r="BN639" s="71"/>
      <c r="BO639" s="71"/>
      <c r="BP639" s="71"/>
      <c r="BQ639" s="77"/>
      <c r="BR639" s="77"/>
      <c r="BS639" s="77"/>
      <c r="BT639" s="77"/>
      <c r="BU639" s="77"/>
      <c r="BV639" s="77"/>
      <c r="BW639" s="77"/>
      <c r="BX639" s="77"/>
      <c r="BY639" s="77"/>
      <c r="BZ639" s="77"/>
      <c r="CA639" s="77"/>
      <c r="CB639" s="77"/>
      <c r="CC639" s="77"/>
      <c r="CD639" s="77"/>
      <c r="CE639" s="77"/>
      <c r="CF639" s="77"/>
      <c r="CG639" s="77"/>
      <c r="CH639" s="77"/>
      <c r="CI639" s="77"/>
      <c r="CJ639" s="77"/>
      <c r="CK639" s="77"/>
      <c r="CL639" s="77"/>
      <c r="CM639" s="77"/>
      <c r="CN639" s="77"/>
      <c r="CO639" s="77"/>
      <c r="CP639" s="77"/>
      <c r="CQ639" s="77"/>
      <c r="CR639" s="77"/>
      <c r="CS639" s="77"/>
      <c r="CT639" s="77"/>
      <c r="CU639" s="77"/>
      <c r="CV639" s="77"/>
      <c r="CW639" s="77"/>
      <c r="CX639" s="77"/>
      <c r="CY639" s="77"/>
      <c r="CZ639" s="77"/>
      <c r="DA639" s="77"/>
      <c r="DB639" s="77"/>
      <c r="DC639" s="77"/>
      <c r="DD639" s="77"/>
      <c r="DE639" s="77"/>
      <c r="DF639" s="77"/>
      <c r="DG639" s="77"/>
      <c r="DH639" s="77"/>
      <c r="DI639" s="77"/>
      <c r="DJ639" s="77"/>
      <c r="DK639" s="77"/>
      <c r="DL639" s="77"/>
      <c r="DM639" s="77"/>
      <c r="DN639" s="77"/>
      <c r="DO639" s="77"/>
      <c r="DP639" s="77"/>
      <c r="DQ639" s="77"/>
      <c r="DR639" s="77"/>
      <c r="DS639" s="77"/>
      <c r="DT639" s="77"/>
      <c r="DU639" s="77"/>
      <c r="DV639" s="77"/>
      <c r="DW639" s="77"/>
      <c r="DX639" s="77"/>
      <c r="DY639" s="77"/>
      <c r="DZ639" s="77"/>
      <c r="EA639" s="77"/>
      <c r="EB639" s="77"/>
      <c r="EC639" s="77"/>
      <c r="ED639" s="77"/>
      <c r="EE639" s="77"/>
      <c r="EF639" s="77"/>
      <c r="EG639" s="77"/>
      <c r="EH639" s="77"/>
      <c r="EI639" s="77"/>
      <c r="EJ639" s="77"/>
      <c r="EK639" s="77"/>
      <c r="EL639" s="77"/>
      <c r="EM639" s="77"/>
      <c r="EN639" s="77"/>
      <c r="EO639" s="77"/>
      <c r="EP639" s="77"/>
      <c r="EQ639" s="77"/>
      <c r="HL639" s="77"/>
      <c r="HM639" s="77"/>
      <c r="HN639" s="77"/>
      <c r="HO639" s="77"/>
      <c r="HP639" s="77"/>
      <c r="HQ639" s="77"/>
      <c r="HR639" s="77"/>
      <c r="HS639" s="77"/>
      <c r="HT639" s="77"/>
      <c r="HU639" s="77"/>
      <c r="HV639" s="77"/>
      <c r="HW639" s="77"/>
      <c r="HX639" s="77"/>
      <c r="HY639" s="77"/>
      <c r="HZ639" s="77"/>
      <c r="IA639" s="77"/>
      <c r="IB639" s="77"/>
      <c r="IC639" s="77"/>
      <c r="ID639" s="77"/>
      <c r="IE639" s="77"/>
      <c r="IF639" s="77"/>
      <c r="IG639" s="77"/>
      <c r="IH639" s="77"/>
      <c r="II639" s="77"/>
      <c r="IJ639" s="77"/>
      <c r="IK639" s="77"/>
      <c r="IL639" s="77"/>
      <c r="IM639" s="77"/>
      <c r="IN639" s="77"/>
      <c r="IO639" s="77"/>
      <c r="IP639" s="77"/>
      <c r="IQ639" s="77"/>
      <c r="IR639" s="77"/>
      <c r="IS639" s="77"/>
      <c r="IT639" s="77"/>
      <c r="IU639" s="77"/>
      <c r="IV639" s="77"/>
      <c r="IW639" s="77"/>
      <c r="IX639" s="77"/>
      <c r="IY639" s="77"/>
      <c r="IZ639" s="77"/>
      <c r="JA639" s="77"/>
      <c r="JB639" s="77"/>
      <c r="JC639" s="77"/>
      <c r="JD639" s="77"/>
      <c r="JE639" s="77"/>
      <c r="JF639" s="77"/>
      <c r="JG639" s="77"/>
      <c r="JH639" s="77"/>
      <c r="JI639" s="77"/>
      <c r="JJ639" s="77"/>
      <c r="JK639" s="77"/>
      <c r="JL639" s="77"/>
      <c r="JM639" s="77"/>
      <c r="JN639" s="77"/>
      <c r="JO639" s="77"/>
      <c r="JP639" s="77"/>
      <c r="JQ639" s="77"/>
      <c r="JR639" s="77"/>
      <c r="JS639" s="77"/>
      <c r="JT639" s="77"/>
      <c r="JU639" s="77"/>
      <c r="JV639" s="77"/>
      <c r="JW639" s="77"/>
      <c r="JX639" s="77"/>
      <c r="KM639" s="77"/>
      <c r="KN639" s="77"/>
      <c r="KO639" s="77"/>
      <c r="KP639" s="77"/>
      <c r="KQ639" s="77"/>
      <c r="KR639" s="77"/>
      <c r="KS639" s="77"/>
      <c r="KT639" s="77"/>
      <c r="KU639" s="77"/>
      <c r="KV639" s="77"/>
      <c r="KW639" s="77"/>
      <c r="KX639" s="77"/>
      <c r="KY639" s="77"/>
      <c r="KZ639" s="77"/>
      <c r="LA639" s="77"/>
      <c r="LB639" s="77"/>
      <c r="LC639" s="77"/>
      <c r="LD639" s="77"/>
      <c r="LE639" s="77"/>
      <c r="LF639" s="77"/>
      <c r="LG639" s="77"/>
      <c r="LH639" s="77"/>
      <c r="LI639" s="77"/>
      <c r="LJ639" s="77"/>
      <c r="LK639" s="77"/>
      <c r="MT639" s="16"/>
      <c r="MU639" s="16"/>
      <c r="MV639" s="16"/>
      <c r="MW639" s="16"/>
      <c r="MX639" s="16"/>
      <c r="MY639" s="16"/>
      <c r="MZ639" s="16"/>
      <c r="NA639" s="16"/>
      <c r="NB639" s="16"/>
      <c r="NC639" s="16"/>
    </row>
    <row r="640" spans="1:421" s="21" customFormat="1" ht="18.600000000000001" customHeight="1" x14ac:dyDescent="0.25">
      <c r="A640" s="119" t="s">
        <v>2880</v>
      </c>
      <c r="B640" s="27" t="s">
        <v>2881</v>
      </c>
      <c r="C640" s="27" t="s">
        <v>2882</v>
      </c>
      <c r="D640" s="30" t="str">
        <f>HYPERLINK("https://twitter.com/govtofgeorgia","https://twitter.com/govtofgeorgia")</f>
        <v>https://twitter.com/govtofgeorgia</v>
      </c>
      <c r="E640" s="30" t="str">
        <f>HYPERLINK("http://twiplomacy.com/info/asia/Georgia","http://twiplomacy.com/info/asia/Georgia")</f>
        <v>http://twiplomacy.com/info/asia/Georgia</v>
      </c>
      <c r="F640" s="10" t="s">
        <v>154</v>
      </c>
      <c r="G640" s="10" t="s">
        <v>178</v>
      </c>
      <c r="H640" s="10" t="s">
        <v>788</v>
      </c>
      <c r="I640" s="14" t="s">
        <v>782</v>
      </c>
      <c r="J640" s="27" t="s">
        <v>789</v>
      </c>
      <c r="K640" s="15" t="s">
        <v>2883</v>
      </c>
      <c r="L640" s="14" t="s">
        <v>771</v>
      </c>
      <c r="M640" s="14" t="s">
        <v>771</v>
      </c>
      <c r="N640" s="100" t="str">
        <f>HYPERLINK("https://twitter.com/govtofgeorgia/statuses/1464314026","https://twitter.com/govtofgeorgia/statuses/1464314026")</f>
        <v>https://twitter.com/govtofgeorgia/statuses/1464314026</v>
      </c>
      <c r="O640" s="27" t="s">
        <v>5844</v>
      </c>
      <c r="P640" s="80">
        <v>11</v>
      </c>
      <c r="Q640" s="80">
        <v>7</v>
      </c>
      <c r="R640" s="27" t="s">
        <v>2995</v>
      </c>
      <c r="S640" s="10" t="s">
        <v>2884</v>
      </c>
      <c r="T640" s="10" t="s">
        <v>771</v>
      </c>
      <c r="U640" s="10" t="s">
        <v>771</v>
      </c>
      <c r="V640" s="10" t="s">
        <v>771</v>
      </c>
      <c r="W640" s="10"/>
      <c r="X640" s="27" t="s">
        <v>2880</v>
      </c>
      <c r="Y640" s="27" t="s">
        <v>2881</v>
      </c>
      <c r="Z640" s="80">
        <v>155</v>
      </c>
      <c r="AA640" s="27">
        <v>17</v>
      </c>
      <c r="AB640" s="80">
        <v>3262</v>
      </c>
      <c r="AC640" s="27">
        <v>1</v>
      </c>
      <c r="AD640" s="27" t="s">
        <v>3776</v>
      </c>
      <c r="AE640" s="27">
        <v>29242264</v>
      </c>
      <c r="AF640" s="27" t="s">
        <v>2882</v>
      </c>
      <c r="AG640" s="27" t="s">
        <v>2885</v>
      </c>
      <c r="AH640" s="79">
        <v>6.00077429345722E-2</v>
      </c>
      <c r="AI640" s="83">
        <v>0.615079365079365</v>
      </c>
      <c r="AJ640" s="80">
        <v>0.4</v>
      </c>
      <c r="AK640" s="80">
        <v>0.26451612903225802</v>
      </c>
      <c r="AL640" s="13">
        <v>0</v>
      </c>
      <c r="AM640" s="97">
        <f>SUM(AL640/Z640)</f>
        <v>0</v>
      </c>
      <c r="AN640" s="27" t="s">
        <v>2880</v>
      </c>
      <c r="AO640" s="27">
        <v>1</v>
      </c>
      <c r="AP640" s="27">
        <v>5</v>
      </c>
      <c r="AQ640" s="27">
        <v>0</v>
      </c>
      <c r="AR640" s="27">
        <f>SUM(AO640:AQ640)</f>
        <v>6</v>
      </c>
      <c r="AS640" s="27" t="s">
        <v>639</v>
      </c>
      <c r="AT640" s="27" t="s">
        <v>5163</v>
      </c>
      <c r="AU640" s="84"/>
      <c r="AV640" s="77"/>
      <c r="AW640" s="77"/>
      <c r="AX640" s="77"/>
      <c r="AY640" s="77"/>
      <c r="AZ640" s="77"/>
      <c r="BA640" s="77"/>
      <c r="BB640" s="77"/>
      <c r="BC640" s="77"/>
      <c r="BD640" s="77"/>
      <c r="BE640" s="77"/>
      <c r="BF640" s="77"/>
      <c r="BG640" s="77"/>
      <c r="BH640" s="77"/>
      <c r="BI640" s="77"/>
      <c r="BJ640" s="77"/>
      <c r="BK640" s="77"/>
      <c r="BL640" s="77"/>
      <c r="BM640" s="77"/>
      <c r="BN640" s="77"/>
      <c r="BO640" s="77"/>
      <c r="BP640" s="77"/>
      <c r="BQ640" s="77"/>
      <c r="BR640" s="77"/>
      <c r="BS640" s="77"/>
      <c r="BT640" s="77"/>
      <c r="BU640" s="77"/>
      <c r="BV640" s="77"/>
      <c r="BW640" s="77"/>
      <c r="BX640" s="77"/>
      <c r="BY640" s="77"/>
      <c r="BZ640" s="77"/>
      <c r="CA640" s="77"/>
      <c r="CB640" s="77"/>
      <c r="CC640" s="77"/>
      <c r="CD640" s="77"/>
      <c r="CE640" s="77"/>
      <c r="CF640" s="77"/>
      <c r="CG640" s="77"/>
      <c r="CH640" s="77"/>
      <c r="CI640" s="77"/>
      <c r="CJ640" s="77"/>
      <c r="CK640" s="77"/>
      <c r="CL640" s="77"/>
      <c r="CM640" s="77"/>
      <c r="CN640" s="77"/>
      <c r="CO640" s="77"/>
      <c r="CP640" s="77"/>
      <c r="CQ640" s="77"/>
      <c r="CR640" s="77"/>
      <c r="CS640" s="77"/>
      <c r="CT640" s="77"/>
      <c r="CU640" s="77"/>
      <c r="CV640" s="77"/>
      <c r="CW640" s="77"/>
      <c r="CX640" s="77"/>
      <c r="CY640" s="77"/>
      <c r="CZ640" s="77"/>
      <c r="DA640" s="77"/>
      <c r="DB640" s="77"/>
      <c r="DC640" s="77"/>
      <c r="DD640" s="77"/>
      <c r="DE640" s="77"/>
      <c r="DF640" s="77"/>
      <c r="DG640" s="77"/>
      <c r="DH640" s="77"/>
      <c r="DI640" s="77"/>
      <c r="DJ640" s="77"/>
      <c r="DK640" s="77"/>
      <c r="DL640" s="77"/>
      <c r="DM640" s="77"/>
      <c r="DN640" s="77"/>
      <c r="DO640" s="77"/>
      <c r="DP640" s="77"/>
      <c r="DQ640" s="77"/>
      <c r="DR640" s="77"/>
      <c r="DS640" s="77"/>
      <c r="DT640" s="77"/>
      <c r="DU640" s="77"/>
      <c r="DV640" s="77"/>
      <c r="DW640" s="77"/>
      <c r="DX640" s="77"/>
      <c r="DY640" s="77"/>
      <c r="DZ640" s="77"/>
      <c r="EA640" s="77"/>
      <c r="EB640" s="77"/>
      <c r="EC640" s="77"/>
      <c r="ED640" s="77"/>
      <c r="EE640" s="77"/>
      <c r="EF640" s="77"/>
      <c r="EG640" s="77"/>
      <c r="EH640" s="77"/>
      <c r="EI640" s="77"/>
      <c r="EJ640" s="77"/>
      <c r="EK640" s="77"/>
      <c r="EL640" s="77"/>
      <c r="EM640" s="77"/>
      <c r="EN640" s="77"/>
      <c r="EO640" s="77"/>
      <c r="EP640" s="77"/>
      <c r="EQ640" s="77"/>
      <c r="GL640" s="77"/>
      <c r="GM640" s="77"/>
      <c r="GN640" s="77"/>
      <c r="GO640" s="77"/>
      <c r="GP640" s="77"/>
      <c r="GQ640" s="77"/>
      <c r="GR640" s="77"/>
      <c r="GS640" s="77"/>
      <c r="GT640" s="77"/>
      <c r="GU640" s="77"/>
      <c r="GV640" s="77"/>
      <c r="GW640" s="77"/>
      <c r="GX640" s="77"/>
      <c r="GY640" s="77"/>
      <c r="GZ640" s="77"/>
      <c r="HA640" s="77"/>
      <c r="HB640" s="77"/>
      <c r="HC640" s="77"/>
      <c r="HD640" s="77"/>
      <c r="HE640" s="77"/>
      <c r="HF640" s="77"/>
      <c r="HG640" s="77"/>
      <c r="HH640" s="77"/>
      <c r="HI640" s="77"/>
      <c r="HJ640" s="77"/>
      <c r="HK640" s="77"/>
      <c r="HL640" s="77"/>
      <c r="HM640" s="77"/>
      <c r="HN640" s="77"/>
      <c r="HO640" s="77"/>
      <c r="HP640" s="77"/>
      <c r="HQ640" s="77"/>
      <c r="HR640" s="77"/>
      <c r="HS640" s="77"/>
      <c r="HT640" s="77"/>
      <c r="HU640" s="77"/>
      <c r="HV640" s="77"/>
      <c r="HW640" s="77"/>
      <c r="HX640" s="77"/>
      <c r="HY640" s="77"/>
      <c r="HZ640" s="77"/>
      <c r="IA640" s="77"/>
      <c r="IB640" s="77"/>
      <c r="IC640" s="77"/>
      <c r="IF640" s="77"/>
      <c r="IG640" s="77"/>
      <c r="IH640" s="77"/>
      <c r="II640" s="77"/>
      <c r="IJ640" s="77"/>
      <c r="IK640" s="77"/>
      <c r="IL640" s="77"/>
      <c r="IM640" s="77"/>
      <c r="IN640" s="77"/>
      <c r="IO640" s="77"/>
      <c r="IP640" s="77"/>
      <c r="IQ640" s="77"/>
      <c r="IR640" s="77"/>
      <c r="IS640" s="77"/>
      <c r="IT640" s="77"/>
      <c r="IU640" s="77"/>
      <c r="IV640" s="77"/>
      <c r="IW640" s="77"/>
      <c r="IX640" s="77"/>
      <c r="IY640" s="77"/>
      <c r="IZ640" s="77"/>
      <c r="JA640" s="77"/>
      <c r="JB640" s="77"/>
      <c r="JC640" s="77"/>
      <c r="JD640" s="77"/>
      <c r="JE640" s="77"/>
      <c r="JF640" s="77"/>
      <c r="JG640" s="77"/>
      <c r="JH640" s="77"/>
      <c r="JI640" s="77"/>
      <c r="JJ640" s="77"/>
      <c r="JK640" s="77"/>
      <c r="JL640" s="77"/>
      <c r="JM640" s="77"/>
      <c r="JN640" s="77"/>
      <c r="JO640" s="77"/>
      <c r="JP640" s="77"/>
      <c r="JQ640" s="77"/>
      <c r="JR640" s="77"/>
      <c r="JS640" s="77"/>
      <c r="JT640" s="77"/>
      <c r="JU640" s="77"/>
      <c r="JV640" s="77"/>
      <c r="JW640" s="77"/>
      <c r="JX640" s="77"/>
      <c r="JY640" s="77"/>
      <c r="JZ640" s="77"/>
      <c r="KA640" s="77"/>
      <c r="KB640" s="77"/>
      <c r="KC640" s="77"/>
      <c r="KD640" s="77"/>
      <c r="KE640" s="77"/>
      <c r="KF640" s="77"/>
      <c r="KG640" s="77"/>
      <c r="KH640" s="77"/>
      <c r="KI640" s="77"/>
      <c r="KJ640" s="77"/>
      <c r="KK640" s="77"/>
      <c r="KL640" s="77"/>
      <c r="LL640" s="77"/>
      <c r="LM640" s="77"/>
      <c r="LN640" s="77"/>
      <c r="LO640" s="77"/>
      <c r="LP640" s="77"/>
      <c r="LQ640" s="77"/>
      <c r="LR640" s="77"/>
      <c r="LS640" s="77"/>
      <c r="LT640" s="77"/>
      <c r="LU640" s="77"/>
      <c r="LV640" s="77"/>
      <c r="LY640" s="77"/>
      <c r="LZ640" s="77"/>
      <c r="MA640" s="77"/>
      <c r="MB640" s="77"/>
      <c r="MC640" s="77"/>
      <c r="MD640" s="77"/>
      <c r="ME640" s="77"/>
      <c r="MF640" s="77"/>
      <c r="MG640" s="77"/>
      <c r="MH640" s="77"/>
      <c r="MI640" s="77"/>
      <c r="MJ640" s="77"/>
      <c r="MK640" s="77"/>
      <c r="ML640" s="77"/>
      <c r="MM640" s="77"/>
      <c r="MN640" s="77"/>
      <c r="MO640" s="77"/>
      <c r="MP640" s="77"/>
      <c r="MQ640" s="77"/>
      <c r="MR640" s="77"/>
    </row>
    <row r="641" spans="1:368" s="21" customFormat="1" ht="18.600000000000001" customHeight="1" x14ac:dyDescent="0.25">
      <c r="A641" s="119" t="s">
        <v>174</v>
      </c>
      <c r="B641" s="27" t="s">
        <v>1254</v>
      </c>
      <c r="C641" s="27" t="s">
        <v>1255</v>
      </c>
      <c r="D641" s="30" t="str">
        <f>HYPERLINK("https://twitter.com/brunei_pmo","https://twitter.com/brunei_pmo")</f>
        <v>https://twitter.com/brunei_pmo</v>
      </c>
      <c r="E641" s="30" t="str">
        <f>HYPERLINK("http://twiplomacy.com/info/asia/Brunei","http://twiplomacy.com/info/asia/Brunei")</f>
        <v>http://twiplomacy.com/info/asia/Brunei</v>
      </c>
      <c r="F641" s="10" t="s">
        <v>154</v>
      </c>
      <c r="G641" s="10" t="s">
        <v>1256</v>
      </c>
      <c r="H641" s="10" t="s">
        <v>788</v>
      </c>
      <c r="I641" s="10" t="s">
        <v>782</v>
      </c>
      <c r="J641" s="27" t="s">
        <v>789</v>
      </c>
      <c r="K641" s="15" t="s">
        <v>777</v>
      </c>
      <c r="L641" s="10" t="s">
        <v>771</v>
      </c>
      <c r="M641" s="10" t="s">
        <v>771</v>
      </c>
      <c r="N641" s="30" t="str">
        <f>HYPERLINK("https://twitter.com/brunei_pmo/statuses/295030905167282176","https://twitter.com/brunei_pmo/statuses/295030905167282176")</f>
        <v>https://twitter.com/brunei_pmo/statuses/295030905167282176</v>
      </c>
      <c r="O641" s="27" t="s">
        <v>5718</v>
      </c>
      <c r="P641" s="80">
        <v>11</v>
      </c>
      <c r="Q641" s="80">
        <v>3</v>
      </c>
      <c r="R641" s="27" t="s">
        <v>2995</v>
      </c>
      <c r="S641" s="10" t="s">
        <v>1257</v>
      </c>
      <c r="T641" s="10" t="s">
        <v>771</v>
      </c>
      <c r="U641" s="10" t="s">
        <v>771</v>
      </c>
      <c r="V641" s="10" t="s">
        <v>771</v>
      </c>
      <c r="W641" s="10"/>
      <c r="X641" s="27" t="s">
        <v>174</v>
      </c>
      <c r="Y641" s="27" t="s">
        <v>1254</v>
      </c>
      <c r="Z641" s="80">
        <v>154</v>
      </c>
      <c r="AA641" s="27">
        <v>12</v>
      </c>
      <c r="AB641" s="80">
        <v>1613</v>
      </c>
      <c r="AC641" s="27">
        <v>2</v>
      </c>
      <c r="AD641" s="27" t="s">
        <v>3529</v>
      </c>
      <c r="AE641" s="27">
        <v>1120940742</v>
      </c>
      <c r="AF641" s="27" t="s">
        <v>1255</v>
      </c>
      <c r="AG641" s="27" t="s">
        <v>173</v>
      </c>
      <c r="AH641" s="79">
        <v>0.12908633696563299</v>
      </c>
      <c r="AI641" s="83">
        <v>0.127946127946128</v>
      </c>
      <c r="AJ641" s="80">
        <v>0.5</v>
      </c>
      <c r="AK641" s="80">
        <v>0.58064516129032295</v>
      </c>
      <c r="AL641" s="27">
        <v>2</v>
      </c>
      <c r="AM641" s="97">
        <f>SUM(AL641/Z641)</f>
        <v>1.2987012987012988E-2</v>
      </c>
      <c r="AN641" s="27" t="s">
        <v>174</v>
      </c>
      <c r="AO641" s="27">
        <v>0</v>
      </c>
      <c r="AP641" s="27">
        <v>3</v>
      </c>
      <c r="AQ641" s="27">
        <v>1</v>
      </c>
      <c r="AR641" s="27">
        <f>SUM(AO641:AQ641)</f>
        <v>4</v>
      </c>
      <c r="AS641" s="27"/>
      <c r="AT641" s="27" t="s">
        <v>5047</v>
      </c>
      <c r="AU641" s="84" t="s">
        <v>1258</v>
      </c>
      <c r="AV641" s="77"/>
      <c r="AW641" s="77"/>
      <c r="AX641" s="77"/>
      <c r="AY641" s="77"/>
      <c r="AZ641" s="77"/>
      <c r="BA641" s="77"/>
      <c r="BB641" s="77"/>
      <c r="BC641" s="77"/>
      <c r="BD641" s="77"/>
      <c r="BE641" s="77"/>
      <c r="BF641" s="77"/>
      <c r="BG641" s="77"/>
      <c r="BH641" s="77"/>
      <c r="BI641" s="77"/>
      <c r="BJ641" s="77"/>
      <c r="BK641" s="77"/>
      <c r="BL641" s="77"/>
      <c r="BM641" s="77"/>
      <c r="BN641" s="77"/>
      <c r="BO641" s="77"/>
      <c r="BP641" s="77"/>
      <c r="BQ641" s="77"/>
      <c r="BR641" s="77"/>
      <c r="BS641" s="77"/>
      <c r="BT641" s="77"/>
      <c r="BU641" s="77"/>
      <c r="BV641" s="77"/>
      <c r="BW641" s="77"/>
      <c r="BX641" s="77"/>
      <c r="BY641" s="77"/>
      <c r="BZ641" s="77"/>
      <c r="CA641" s="77"/>
      <c r="CB641" s="77"/>
      <c r="CC641" s="77"/>
      <c r="CD641" s="77"/>
      <c r="CE641" s="77"/>
      <c r="CF641" s="77"/>
      <c r="CG641" s="77"/>
      <c r="CH641" s="77"/>
      <c r="CI641" s="77"/>
      <c r="CJ641" s="77"/>
      <c r="CK641" s="77"/>
      <c r="CL641" s="77"/>
      <c r="CM641" s="77"/>
      <c r="CN641" s="77"/>
      <c r="CO641" s="77"/>
      <c r="CP641" s="77"/>
      <c r="CQ641" s="77"/>
      <c r="CR641" s="77"/>
      <c r="CS641" s="77"/>
      <c r="CT641" s="77"/>
      <c r="CU641" s="77"/>
      <c r="CV641" s="77"/>
      <c r="CW641" s="77"/>
      <c r="CX641" s="77"/>
      <c r="CY641" s="77"/>
      <c r="CZ641" s="77"/>
      <c r="DA641" s="77"/>
      <c r="DB641" s="77"/>
      <c r="DC641" s="77"/>
      <c r="DD641" s="77"/>
      <c r="DE641" s="77"/>
      <c r="DF641" s="77"/>
      <c r="DG641" s="77"/>
      <c r="DH641" s="77"/>
      <c r="DI641" s="77"/>
      <c r="DJ641" s="77"/>
      <c r="DK641" s="77"/>
      <c r="DL641" s="77"/>
      <c r="DM641" s="77"/>
      <c r="DN641" s="77"/>
      <c r="DO641" s="77"/>
      <c r="DP641" s="77"/>
      <c r="DQ641" s="77"/>
      <c r="DR641" s="77"/>
      <c r="DS641" s="77"/>
      <c r="DT641" s="77"/>
      <c r="DU641" s="77"/>
      <c r="DV641" s="77"/>
      <c r="DW641" s="77"/>
      <c r="DX641" s="77"/>
      <c r="DY641" s="77"/>
      <c r="DZ641" s="77"/>
      <c r="EA641" s="77"/>
      <c r="EB641" s="77"/>
      <c r="EC641" s="77"/>
      <c r="ED641" s="77"/>
      <c r="EE641" s="77"/>
      <c r="EF641" s="77"/>
      <c r="EG641" s="77"/>
      <c r="EH641" s="77"/>
      <c r="EI641" s="77"/>
      <c r="EJ641" s="77"/>
      <c r="EK641" s="77"/>
      <c r="EL641" s="77"/>
      <c r="EM641" s="77"/>
      <c r="EN641" s="77"/>
      <c r="EO641" s="77"/>
      <c r="EQ641" s="16"/>
      <c r="ER641" s="77"/>
      <c r="ES641" s="77"/>
      <c r="ET641" s="77"/>
      <c r="EU641" s="77"/>
      <c r="EV641" s="77"/>
      <c r="EW641" s="77"/>
      <c r="EX641" s="77"/>
      <c r="EY641" s="77"/>
      <c r="EZ641" s="77"/>
      <c r="FA641" s="77"/>
      <c r="FB641" s="77"/>
      <c r="FC641" s="77"/>
      <c r="FD641" s="77"/>
      <c r="FE641" s="77"/>
      <c r="FF641" s="77"/>
      <c r="FG641" s="77"/>
      <c r="FH641" s="77"/>
      <c r="FI641" s="77"/>
      <c r="FJ641" s="77"/>
      <c r="FK641" s="77"/>
      <c r="FL641" s="77"/>
      <c r="FM641" s="77"/>
      <c r="FN641" s="77"/>
      <c r="FO641" s="77"/>
      <c r="FP641" s="77"/>
      <c r="FQ641" s="77"/>
      <c r="FR641" s="77"/>
      <c r="FS641" s="77"/>
      <c r="FT641" s="77"/>
      <c r="FU641" s="77"/>
      <c r="FV641" s="77"/>
      <c r="FW641" s="77"/>
      <c r="FX641" s="77"/>
      <c r="FY641" s="77"/>
      <c r="FZ641" s="77"/>
      <c r="GA641" s="77"/>
      <c r="GB641" s="77"/>
      <c r="GC641" s="77"/>
      <c r="GD641" s="77"/>
      <c r="GE641" s="77"/>
      <c r="GF641" s="77"/>
      <c r="GG641" s="77"/>
      <c r="GH641" s="77"/>
      <c r="GI641" s="77"/>
      <c r="GJ641" s="77"/>
      <c r="GK641" s="77"/>
      <c r="HL641" s="77"/>
      <c r="HM641" s="77"/>
      <c r="HN641" s="77"/>
      <c r="HO641" s="77"/>
      <c r="HP641" s="77"/>
      <c r="HQ641" s="77"/>
      <c r="HR641" s="77"/>
      <c r="HS641" s="77"/>
      <c r="HT641" s="77"/>
      <c r="HU641" s="77"/>
      <c r="HV641" s="77"/>
      <c r="HW641" s="77"/>
      <c r="HX641" s="77"/>
      <c r="HY641" s="77"/>
      <c r="HZ641" s="77"/>
      <c r="IA641" s="77"/>
      <c r="IB641" s="77"/>
      <c r="IC641" s="77"/>
      <c r="ID641" s="77"/>
      <c r="IE641" s="77"/>
      <c r="IF641" s="77"/>
      <c r="IG641" s="77"/>
      <c r="IH641" s="77"/>
      <c r="II641" s="77"/>
      <c r="IJ641" s="77"/>
      <c r="IK641" s="77"/>
      <c r="IL641" s="77"/>
      <c r="IM641" s="77"/>
      <c r="IN641" s="77"/>
      <c r="IO641" s="77"/>
      <c r="IP641" s="77"/>
      <c r="IQ641" s="77"/>
      <c r="IR641" s="77"/>
      <c r="IS641" s="77"/>
      <c r="IT641" s="77"/>
      <c r="IU641" s="77"/>
      <c r="IV641" s="77"/>
      <c r="IW641" s="77"/>
      <c r="IX641" s="77"/>
      <c r="IY641" s="77"/>
      <c r="IZ641" s="77"/>
      <c r="JA641" s="77"/>
      <c r="JB641" s="77"/>
      <c r="JC641" s="77"/>
      <c r="JD641" s="77"/>
      <c r="JE641" s="77"/>
      <c r="JF641" s="77"/>
      <c r="JG641" s="77"/>
      <c r="JH641" s="77"/>
      <c r="JI641" s="77"/>
      <c r="JJ641" s="77"/>
      <c r="JK641" s="77"/>
      <c r="JL641" s="77"/>
      <c r="JM641" s="77"/>
      <c r="JN641" s="77"/>
      <c r="JO641" s="77"/>
      <c r="JP641" s="77"/>
      <c r="JQ641" s="77"/>
      <c r="JR641" s="77"/>
      <c r="JS641" s="77"/>
      <c r="JT641" s="77"/>
      <c r="JU641" s="77"/>
      <c r="JV641" s="77"/>
      <c r="JW641" s="77"/>
      <c r="JX641" s="77"/>
      <c r="JY641" s="77"/>
      <c r="JZ641" s="77"/>
      <c r="KA641" s="77"/>
      <c r="KB641" s="77"/>
      <c r="KC641" s="77"/>
      <c r="KD641" s="77"/>
      <c r="KE641" s="77"/>
      <c r="KF641" s="77"/>
      <c r="KG641" s="77"/>
      <c r="KH641" s="77"/>
      <c r="KI641" s="77"/>
      <c r="KJ641" s="77"/>
      <c r="KK641" s="77"/>
      <c r="KL641" s="77"/>
      <c r="LL641" s="77"/>
      <c r="LM641" s="77"/>
      <c r="LN641" s="77"/>
      <c r="LO641" s="77"/>
      <c r="LP641" s="77"/>
      <c r="LQ641" s="77"/>
      <c r="LR641" s="77"/>
      <c r="LS641" s="77"/>
      <c r="LT641" s="77"/>
      <c r="LU641" s="77"/>
      <c r="LV641" s="77"/>
      <c r="LY641" s="77"/>
      <c r="LZ641" s="77"/>
      <c r="MA641" s="77"/>
      <c r="MB641" s="77"/>
      <c r="MC641" s="77"/>
      <c r="MD641" s="77"/>
      <c r="ME641" s="77"/>
      <c r="MF641" s="77"/>
      <c r="MG641" s="77"/>
      <c r="MH641" s="77"/>
      <c r="MI641" s="77"/>
      <c r="MJ641" s="77"/>
      <c r="MK641" s="77"/>
      <c r="ML641" s="77"/>
      <c r="MM641" s="77"/>
      <c r="MN641" s="77"/>
      <c r="MO641" s="77"/>
      <c r="MP641" s="77"/>
      <c r="MQ641" s="77"/>
      <c r="MR641" s="77"/>
    </row>
    <row r="642" spans="1:368" s="21" customFormat="1" ht="18.600000000000001" customHeight="1" x14ac:dyDescent="0.25">
      <c r="A642" s="119" t="s">
        <v>2978</v>
      </c>
      <c r="B642" s="27" t="s">
        <v>815</v>
      </c>
      <c r="C642" s="27" t="s">
        <v>2979</v>
      </c>
      <c r="D642" s="72" t="s">
        <v>3277</v>
      </c>
      <c r="E642" s="31" t="s">
        <v>3058</v>
      </c>
      <c r="F642" s="10" t="s">
        <v>1</v>
      </c>
      <c r="G642" s="10" t="s">
        <v>19</v>
      </c>
      <c r="H642" s="10" t="s">
        <v>772</v>
      </c>
      <c r="I642" s="10" t="s">
        <v>773</v>
      </c>
      <c r="J642" s="27" t="s">
        <v>789</v>
      </c>
      <c r="K642" s="15" t="s">
        <v>3278</v>
      </c>
      <c r="L642" s="15"/>
      <c r="M642" s="10" t="s">
        <v>771</v>
      </c>
      <c r="N642" s="30" t="s">
        <v>3289</v>
      </c>
      <c r="O642" s="27" t="s">
        <v>5890</v>
      </c>
      <c r="P642" s="80">
        <v>1</v>
      </c>
      <c r="Q642" s="80">
        <v>0</v>
      </c>
      <c r="R642" s="27" t="s">
        <v>2995</v>
      </c>
      <c r="S642" s="12" t="s">
        <v>2980</v>
      </c>
      <c r="T642" s="10" t="s">
        <v>771</v>
      </c>
      <c r="U642" s="10" t="s">
        <v>771</v>
      </c>
      <c r="V642" s="10" t="s">
        <v>771</v>
      </c>
      <c r="W642" s="10"/>
      <c r="X642" s="27" t="s">
        <v>2978</v>
      </c>
      <c r="Y642" s="27" t="s">
        <v>815</v>
      </c>
      <c r="Z642" s="80">
        <v>151</v>
      </c>
      <c r="AA642" s="27">
        <v>57</v>
      </c>
      <c r="AB642" s="80">
        <v>267</v>
      </c>
      <c r="AC642" s="27">
        <v>0</v>
      </c>
      <c r="AD642" s="27" t="s">
        <v>3898</v>
      </c>
      <c r="AE642" s="27">
        <v>345455857</v>
      </c>
      <c r="AF642" s="27" t="s">
        <v>2979</v>
      </c>
      <c r="AG642" s="27" t="s">
        <v>2981</v>
      </c>
      <c r="AH642" s="79">
        <v>8.6881472957422295E-2</v>
      </c>
      <c r="AI642" s="83">
        <v>0.235202492211838</v>
      </c>
      <c r="AJ642" s="80">
        <v>1.3245033112582801E-2</v>
      </c>
      <c r="AK642" s="80">
        <v>0</v>
      </c>
      <c r="AL642" s="27">
        <v>1</v>
      </c>
      <c r="AM642" s="97">
        <f>SUM(AL642/Z642)</f>
        <v>6.6225165562913907E-3</v>
      </c>
      <c r="AN642" s="27" t="s">
        <v>2978</v>
      </c>
      <c r="AO642" s="27">
        <v>0</v>
      </c>
      <c r="AP642" s="27">
        <v>4</v>
      </c>
      <c r="AQ642" s="27">
        <v>0</v>
      </c>
      <c r="AR642" s="27">
        <f>SUM(AO642:AQ642)</f>
        <v>4</v>
      </c>
      <c r="AS642" s="27"/>
      <c r="AT642" s="27" t="s">
        <v>5063</v>
      </c>
      <c r="AU642" s="84"/>
      <c r="AV642" s="77"/>
      <c r="AW642" s="77"/>
      <c r="AX642" s="77"/>
      <c r="AY642" s="77"/>
      <c r="AZ642" s="77"/>
      <c r="BA642" s="77"/>
      <c r="BB642" s="77"/>
      <c r="BC642" s="77"/>
      <c r="BD642" s="77"/>
      <c r="BE642" s="77"/>
      <c r="BF642" s="77"/>
      <c r="BG642" s="77"/>
      <c r="BH642" s="77"/>
      <c r="BI642" s="77"/>
      <c r="BJ642" s="77"/>
      <c r="BK642" s="77"/>
      <c r="BL642" s="77"/>
      <c r="BM642" s="43"/>
      <c r="BN642" s="77"/>
      <c r="BO642" s="77"/>
      <c r="BP642" s="77"/>
      <c r="BQ642" s="77"/>
      <c r="BR642" s="77"/>
      <c r="BS642" s="77"/>
      <c r="BT642" s="77"/>
      <c r="BU642" s="77"/>
      <c r="BV642" s="77"/>
      <c r="BW642" s="77"/>
      <c r="BX642" s="77"/>
      <c r="BY642" s="77"/>
      <c r="BZ642" s="77"/>
      <c r="CA642" s="77"/>
      <c r="CB642" s="77"/>
      <c r="CC642" s="77"/>
      <c r="CD642" s="77"/>
      <c r="CE642" s="77"/>
      <c r="CF642" s="77"/>
      <c r="CG642" s="77"/>
      <c r="CH642" s="77"/>
      <c r="CI642" s="77"/>
      <c r="CJ642" s="77"/>
      <c r="CK642" s="77"/>
      <c r="CL642" s="77"/>
      <c r="CM642" s="77"/>
      <c r="CN642" s="77"/>
      <c r="CO642" s="77"/>
      <c r="CP642" s="77"/>
      <c r="CQ642" s="77"/>
      <c r="CR642" s="77"/>
      <c r="CS642" s="77"/>
      <c r="CT642" s="77"/>
      <c r="CU642" s="77"/>
      <c r="CV642" s="77"/>
      <c r="CW642" s="77"/>
      <c r="CX642" s="77"/>
      <c r="CY642" s="77"/>
      <c r="CZ642" s="77"/>
      <c r="DA642" s="77"/>
      <c r="DB642" s="77"/>
      <c r="DC642" s="77"/>
      <c r="DD642" s="77"/>
      <c r="DE642" s="77"/>
      <c r="DF642" s="77"/>
      <c r="DG642" s="77"/>
      <c r="DH642" s="77"/>
      <c r="DI642" s="77"/>
      <c r="DJ642" s="77"/>
      <c r="DK642" s="77"/>
      <c r="DL642" s="77"/>
      <c r="DM642" s="77"/>
      <c r="DN642" s="77"/>
      <c r="DO642" s="77"/>
      <c r="DP642" s="77"/>
      <c r="DQ642" s="77"/>
      <c r="DR642" s="77"/>
      <c r="DS642" s="77"/>
      <c r="DT642" s="77"/>
      <c r="DU642" s="77"/>
      <c r="DV642" s="77"/>
      <c r="DW642" s="77"/>
      <c r="DX642" s="77"/>
      <c r="DY642" s="77"/>
      <c r="DZ642" s="77"/>
      <c r="EA642" s="77"/>
      <c r="EB642" s="77"/>
      <c r="EC642" s="77"/>
      <c r="ED642" s="77"/>
      <c r="EE642" s="77"/>
      <c r="EF642" s="77"/>
      <c r="EG642" s="77"/>
      <c r="EH642" s="77"/>
      <c r="EI642" s="77"/>
      <c r="EJ642" s="77"/>
      <c r="EK642" s="77"/>
      <c r="EL642" s="77"/>
      <c r="EM642" s="77"/>
      <c r="EN642" s="77"/>
      <c r="EO642" s="77"/>
      <c r="EP642" s="77"/>
      <c r="ER642" s="77"/>
      <c r="ES642" s="77"/>
      <c r="ET642" s="77"/>
      <c r="EU642" s="77"/>
      <c r="EV642" s="77"/>
      <c r="EW642" s="77"/>
      <c r="EX642" s="77"/>
      <c r="EY642" s="77"/>
      <c r="EZ642" s="77"/>
      <c r="FA642" s="77"/>
      <c r="FB642" s="77"/>
      <c r="FC642" s="77"/>
      <c r="FD642" s="77"/>
      <c r="FE642" s="77"/>
      <c r="FF642" s="77"/>
      <c r="FG642" s="77"/>
      <c r="FH642" s="77"/>
      <c r="FI642" s="77"/>
      <c r="FJ642" s="77"/>
      <c r="FK642" s="77"/>
      <c r="FL642" s="77"/>
      <c r="FM642" s="77"/>
      <c r="FN642" s="77"/>
      <c r="FO642" s="77"/>
      <c r="FP642" s="77"/>
      <c r="FQ642" s="77"/>
      <c r="FR642" s="77"/>
      <c r="FS642" s="77"/>
      <c r="FT642" s="77"/>
      <c r="FU642" s="77"/>
      <c r="FV642" s="77"/>
      <c r="FW642" s="77"/>
      <c r="FX642" s="77"/>
      <c r="FY642" s="77"/>
      <c r="FZ642" s="77"/>
      <c r="GA642" s="77"/>
      <c r="GB642" s="77"/>
      <c r="GC642" s="77"/>
      <c r="GD642" s="77"/>
      <c r="GE642" s="77"/>
      <c r="GF642" s="77"/>
      <c r="GG642" s="77"/>
      <c r="GH642" s="77"/>
      <c r="GI642" s="77"/>
      <c r="GJ642" s="77"/>
      <c r="GK642" s="77"/>
      <c r="GL642" s="77"/>
      <c r="GM642" s="77"/>
      <c r="GN642" s="77"/>
      <c r="GO642" s="77"/>
      <c r="GP642" s="77"/>
      <c r="GQ642" s="77"/>
      <c r="GR642" s="77"/>
      <c r="GS642" s="77"/>
      <c r="GT642" s="77"/>
      <c r="GU642" s="77"/>
      <c r="GV642" s="77"/>
      <c r="GW642" s="77"/>
      <c r="GX642" s="77"/>
      <c r="GY642" s="77"/>
      <c r="GZ642" s="77"/>
      <c r="HA642" s="77"/>
      <c r="HB642" s="77"/>
      <c r="HC642" s="77"/>
      <c r="HD642" s="77"/>
      <c r="HE642" s="77"/>
      <c r="HF642" s="77"/>
      <c r="HG642" s="77"/>
      <c r="HH642" s="77"/>
      <c r="HI642" s="77"/>
      <c r="HJ642" s="77"/>
      <c r="HK642" s="77"/>
      <c r="HL642" s="77"/>
      <c r="HM642" s="77"/>
      <c r="HN642" s="77"/>
      <c r="HO642" s="77"/>
      <c r="HP642" s="77"/>
      <c r="HQ642" s="77"/>
      <c r="HR642" s="77"/>
      <c r="HS642" s="77"/>
      <c r="HT642" s="77"/>
      <c r="HU642" s="77"/>
      <c r="HV642" s="77"/>
      <c r="HW642" s="77"/>
      <c r="HX642" s="77"/>
      <c r="HY642" s="77"/>
      <c r="HZ642" s="77"/>
      <c r="IA642" s="77"/>
      <c r="IB642" s="77"/>
      <c r="IC642" s="77"/>
      <c r="ID642" s="77"/>
      <c r="IE642" s="77"/>
      <c r="IF642" s="77"/>
      <c r="IG642" s="77"/>
      <c r="IH642" s="77"/>
      <c r="II642" s="77"/>
      <c r="IJ642" s="77"/>
      <c r="IK642" s="77"/>
      <c r="IL642" s="77"/>
      <c r="IM642" s="77"/>
      <c r="IN642" s="77"/>
      <c r="IO642" s="77"/>
      <c r="IP642" s="77"/>
      <c r="IQ642" s="77"/>
      <c r="IR642" s="77"/>
      <c r="IS642" s="77"/>
      <c r="IT642" s="77"/>
      <c r="IU642" s="77"/>
      <c r="IV642" s="77"/>
      <c r="IW642" s="77"/>
      <c r="IX642" s="77"/>
      <c r="IY642" s="77"/>
      <c r="IZ642" s="77"/>
      <c r="JA642" s="77"/>
      <c r="JB642" s="77"/>
      <c r="JC642" s="77"/>
      <c r="JD642" s="77"/>
      <c r="JE642" s="77"/>
      <c r="JF642" s="77"/>
      <c r="JG642" s="77"/>
      <c r="JH642" s="77"/>
      <c r="JI642" s="77"/>
      <c r="JJ642" s="77"/>
      <c r="JK642" s="77"/>
      <c r="JL642" s="77"/>
      <c r="JM642" s="77"/>
      <c r="JN642" s="77"/>
      <c r="JO642" s="77"/>
      <c r="JP642" s="77"/>
      <c r="JQ642" s="77"/>
      <c r="JR642" s="77"/>
      <c r="JS642" s="77"/>
      <c r="JT642" s="77"/>
      <c r="JU642" s="77"/>
      <c r="JV642" s="77"/>
      <c r="JW642" s="77"/>
      <c r="JX642" s="77"/>
      <c r="LW642" s="77"/>
      <c r="LX642" s="77"/>
    </row>
    <row r="643" spans="1:368" s="21" customFormat="1" ht="18.600000000000001" customHeight="1" x14ac:dyDescent="0.25">
      <c r="A643" s="119" t="s">
        <v>3255</v>
      </c>
      <c r="B643" s="27" t="s">
        <v>4606</v>
      </c>
      <c r="C643" s="27" t="s">
        <v>5583</v>
      </c>
      <c r="D643" s="19" t="s">
        <v>3254</v>
      </c>
      <c r="E643" s="72" t="str">
        <f>HYPERLINK("http://twiplomacy.com/info/africa/Benin","http://twiplomacy.com/info/africa/Benin")</f>
        <v>http://twiplomacy.com/info/africa/Benin</v>
      </c>
      <c r="F643" s="10" t="s">
        <v>1</v>
      </c>
      <c r="G643" s="10" t="s">
        <v>4</v>
      </c>
      <c r="H643" s="10" t="s">
        <v>776</v>
      </c>
      <c r="I643" s="10" t="s">
        <v>773</v>
      </c>
      <c r="J643" s="27" t="s">
        <v>779</v>
      </c>
      <c r="K643" s="98" t="s">
        <v>777</v>
      </c>
      <c r="L643" s="15"/>
      <c r="M643" s="10" t="s">
        <v>770</v>
      </c>
      <c r="N643" s="34" t="s">
        <v>3256</v>
      </c>
      <c r="O643" s="27" t="s">
        <v>3258</v>
      </c>
      <c r="P643" s="80">
        <v>255</v>
      </c>
      <c r="Q643" s="80">
        <v>199</v>
      </c>
      <c r="R643" s="27" t="s">
        <v>2995</v>
      </c>
      <c r="S643" s="86" t="s">
        <v>3257</v>
      </c>
      <c r="T643" s="10" t="s">
        <v>771</v>
      </c>
      <c r="U643" s="10" t="s">
        <v>771</v>
      </c>
      <c r="V643" s="10" t="s">
        <v>771</v>
      </c>
      <c r="W643" s="42"/>
      <c r="X643" s="27" t="s">
        <v>3255</v>
      </c>
      <c r="Y643" s="27" t="s">
        <v>4606</v>
      </c>
      <c r="Z643" s="80">
        <v>149</v>
      </c>
      <c r="AA643" s="27">
        <v>50</v>
      </c>
      <c r="AB643" s="80">
        <v>5286</v>
      </c>
      <c r="AC643" s="27">
        <v>44</v>
      </c>
      <c r="AD643" s="27" t="s">
        <v>4607</v>
      </c>
      <c r="AE643" s="27">
        <v>3338682634</v>
      </c>
      <c r="AF643" s="27" t="s">
        <v>5583</v>
      </c>
      <c r="AG643" s="27"/>
      <c r="AH643" s="79">
        <v>0.471518987341772</v>
      </c>
      <c r="AI643" s="83">
        <v>0.54181818181818198</v>
      </c>
      <c r="AJ643" s="80">
        <v>31.394160583941598</v>
      </c>
      <c r="AK643" s="80">
        <v>20.751824817518202</v>
      </c>
      <c r="AL643" s="96">
        <v>69</v>
      </c>
      <c r="AM643" s="97">
        <f>SUM(AL643/Z643)</f>
        <v>0.46308724832214765</v>
      </c>
      <c r="AN643" s="27" t="s">
        <v>3255</v>
      </c>
      <c r="AO643" s="27">
        <v>0</v>
      </c>
      <c r="AP643" s="27">
        <v>0</v>
      </c>
      <c r="AQ643" s="27">
        <v>1</v>
      </c>
      <c r="AR643" s="27">
        <f>SUM(AO643:AQ643)</f>
        <v>1</v>
      </c>
      <c r="AS643" s="27"/>
      <c r="AT643" s="27"/>
      <c r="AU643" s="84" t="s">
        <v>3259</v>
      </c>
      <c r="AV643" s="77"/>
      <c r="AW643" s="77"/>
      <c r="AX643" s="77"/>
      <c r="AY643" s="77"/>
      <c r="AZ643" s="77"/>
      <c r="BA643" s="77"/>
      <c r="BB643" s="77"/>
      <c r="BC643" s="77"/>
      <c r="BD643" s="77"/>
      <c r="BE643" s="77"/>
      <c r="BF643" s="77"/>
      <c r="BG643" s="77"/>
      <c r="BH643" s="77"/>
      <c r="BI643" s="77"/>
      <c r="BJ643" s="77"/>
      <c r="BK643" s="77"/>
      <c r="BL643" s="77"/>
      <c r="BN643" s="77"/>
      <c r="BO643" s="77"/>
      <c r="BP643" s="77"/>
      <c r="BQ643" s="77"/>
      <c r="BR643" s="77"/>
      <c r="BS643" s="77"/>
      <c r="BT643" s="77"/>
      <c r="BU643" s="77"/>
      <c r="BV643" s="77"/>
      <c r="BW643" s="77"/>
      <c r="BX643" s="77"/>
      <c r="BY643" s="77"/>
      <c r="BZ643" s="77"/>
      <c r="CA643" s="77"/>
      <c r="CB643" s="77"/>
      <c r="CC643" s="77"/>
      <c r="CD643" s="77"/>
      <c r="CE643" s="77"/>
      <c r="CF643" s="77"/>
      <c r="CG643" s="77"/>
      <c r="CH643" s="77"/>
      <c r="CI643" s="77"/>
      <c r="CJ643" s="77"/>
      <c r="CK643" s="77"/>
      <c r="CL643" s="77"/>
      <c r="CM643" s="77"/>
      <c r="CN643" s="77"/>
      <c r="CO643" s="77"/>
      <c r="CP643" s="77"/>
      <c r="CQ643" s="77"/>
      <c r="CR643" s="77"/>
      <c r="CS643" s="77"/>
      <c r="CT643" s="77"/>
      <c r="CU643" s="77"/>
      <c r="CV643" s="77"/>
      <c r="CW643" s="77"/>
      <c r="CX643" s="77"/>
      <c r="CY643" s="77"/>
      <c r="CZ643" s="77"/>
      <c r="DA643" s="77"/>
      <c r="DB643" s="77"/>
      <c r="DC643" s="77"/>
      <c r="DD643" s="77"/>
      <c r="DE643" s="77"/>
      <c r="DF643" s="77"/>
      <c r="DG643" s="77"/>
      <c r="DH643" s="77"/>
      <c r="DI643" s="77"/>
      <c r="DJ643" s="77"/>
      <c r="DK643" s="77"/>
      <c r="DL643" s="77"/>
      <c r="DM643" s="77"/>
      <c r="DN643" s="77"/>
      <c r="DO643" s="77"/>
      <c r="DP643" s="77"/>
      <c r="DQ643" s="77"/>
      <c r="DR643" s="77"/>
      <c r="DS643" s="77"/>
      <c r="DT643" s="77"/>
      <c r="DU643" s="77"/>
      <c r="DV643" s="77"/>
      <c r="DW643" s="77"/>
      <c r="DX643" s="77"/>
      <c r="DY643" s="77"/>
      <c r="DZ643" s="77"/>
      <c r="EA643" s="77"/>
      <c r="EB643" s="77"/>
      <c r="EC643" s="77"/>
      <c r="ED643" s="77"/>
      <c r="EE643" s="77"/>
      <c r="EF643" s="77"/>
      <c r="EG643" s="77"/>
      <c r="EH643" s="77"/>
      <c r="EI643" s="77"/>
      <c r="EJ643" s="77"/>
      <c r="EK643" s="77"/>
      <c r="EL643" s="77"/>
      <c r="EM643" s="77"/>
      <c r="EN643" s="77"/>
      <c r="EO643" s="77"/>
      <c r="EQ643" s="77"/>
      <c r="ER643" s="77"/>
      <c r="ES643" s="77"/>
      <c r="ET643" s="77"/>
      <c r="EU643" s="77"/>
      <c r="EV643" s="77"/>
      <c r="EW643" s="77"/>
      <c r="EX643" s="77"/>
      <c r="EY643" s="77"/>
      <c r="EZ643" s="77"/>
      <c r="FA643" s="77"/>
      <c r="FB643" s="77"/>
      <c r="FC643" s="77"/>
      <c r="FD643" s="77"/>
      <c r="FE643" s="77"/>
      <c r="FF643" s="77"/>
      <c r="FG643" s="77"/>
      <c r="FH643" s="77"/>
      <c r="FI643" s="77"/>
      <c r="FJ643" s="77"/>
      <c r="FK643" s="77"/>
      <c r="FL643" s="77"/>
      <c r="FM643" s="77"/>
      <c r="FN643" s="77"/>
      <c r="FO643" s="77"/>
      <c r="FP643" s="77"/>
      <c r="FQ643" s="77"/>
      <c r="FR643" s="77"/>
      <c r="FS643" s="77"/>
      <c r="FT643" s="77"/>
      <c r="FU643" s="77"/>
      <c r="FV643" s="77"/>
      <c r="FW643" s="77"/>
      <c r="FX643" s="77"/>
      <c r="FY643" s="77"/>
      <c r="FZ643" s="77"/>
      <c r="GA643" s="77"/>
      <c r="GB643" s="77"/>
      <c r="GC643" s="77"/>
      <c r="GD643" s="77"/>
      <c r="GE643" s="77"/>
      <c r="GF643" s="77"/>
      <c r="GG643" s="77"/>
      <c r="GH643" s="77"/>
      <c r="GI643" s="77"/>
      <c r="GJ643" s="77"/>
      <c r="GK643" s="77"/>
      <c r="GL643" s="77"/>
      <c r="GM643" s="77"/>
      <c r="GN643" s="77"/>
      <c r="GO643" s="77"/>
      <c r="GP643" s="77"/>
      <c r="GQ643" s="77"/>
      <c r="GR643" s="77"/>
      <c r="GS643" s="77"/>
      <c r="GT643" s="77"/>
      <c r="GU643" s="77"/>
      <c r="GV643" s="77"/>
      <c r="GW643" s="77"/>
      <c r="GX643" s="77"/>
      <c r="GY643" s="77"/>
      <c r="GZ643" s="77"/>
      <c r="HA643" s="77"/>
      <c r="HB643" s="77"/>
      <c r="HC643" s="77"/>
      <c r="HD643" s="77"/>
      <c r="HE643" s="77"/>
      <c r="HF643" s="77"/>
      <c r="HG643" s="77"/>
      <c r="HH643" s="77"/>
      <c r="HI643" s="77"/>
      <c r="HJ643" s="77"/>
      <c r="HK643" s="77"/>
      <c r="JY643" s="77"/>
      <c r="JZ643" s="77"/>
      <c r="KA643" s="77"/>
      <c r="KB643" s="77"/>
      <c r="KC643" s="77"/>
      <c r="KD643" s="77"/>
      <c r="KE643" s="77"/>
      <c r="KF643" s="77"/>
      <c r="KG643" s="77"/>
      <c r="KH643" s="77"/>
      <c r="KI643" s="77"/>
      <c r="KJ643" s="77"/>
      <c r="KK643" s="77"/>
      <c r="KL643" s="77"/>
      <c r="KM643" s="77"/>
      <c r="KN643" s="77"/>
      <c r="KO643" s="77"/>
      <c r="KP643" s="77"/>
      <c r="KQ643" s="77"/>
      <c r="KR643" s="77"/>
      <c r="KS643" s="77"/>
      <c r="KT643" s="77"/>
      <c r="KU643" s="77"/>
      <c r="KV643" s="77"/>
      <c r="KW643" s="77"/>
      <c r="KX643" s="77"/>
      <c r="KY643" s="77"/>
      <c r="KZ643" s="77"/>
      <c r="LA643" s="77"/>
      <c r="LB643" s="77"/>
      <c r="LC643" s="77"/>
      <c r="LD643" s="77"/>
      <c r="LE643" s="77"/>
      <c r="LF643" s="77"/>
      <c r="LG643" s="77"/>
      <c r="LH643" s="77"/>
      <c r="LI643" s="77"/>
      <c r="LJ643" s="77"/>
      <c r="LK643" s="77"/>
      <c r="LL643" s="77"/>
      <c r="LM643" s="77"/>
      <c r="LN643" s="77"/>
      <c r="LO643" s="77"/>
      <c r="LP643" s="77"/>
      <c r="LQ643" s="77"/>
      <c r="LR643" s="77"/>
      <c r="LS643" s="77"/>
      <c r="LT643" s="77"/>
      <c r="LU643" s="77"/>
      <c r="LV643" s="77"/>
      <c r="LW643" s="77"/>
      <c r="LX643" s="77"/>
      <c r="LY643" s="77"/>
      <c r="LZ643" s="77"/>
      <c r="MA643" s="77"/>
      <c r="MB643" s="77"/>
      <c r="MC643" s="77"/>
      <c r="MD643" s="77"/>
      <c r="ME643" s="77"/>
      <c r="MF643" s="77"/>
      <c r="MG643" s="77"/>
      <c r="MH643" s="77"/>
      <c r="MI643" s="77"/>
      <c r="MJ643" s="77"/>
      <c r="MK643" s="77"/>
      <c r="ML643" s="77"/>
      <c r="MM643" s="77"/>
      <c r="MN643" s="77"/>
      <c r="MO643" s="77"/>
      <c r="MP643" s="77"/>
      <c r="MQ643" s="77"/>
      <c r="MR643" s="77"/>
      <c r="MS643" s="77"/>
    </row>
    <row r="644" spans="1:368" s="21" customFormat="1" ht="18.600000000000001" customHeight="1" x14ac:dyDescent="0.25">
      <c r="A644" s="119" t="s">
        <v>59</v>
      </c>
      <c r="B644" s="27" t="s">
        <v>922</v>
      </c>
      <c r="C644" s="27" t="s">
        <v>923</v>
      </c>
      <c r="D644" s="72" t="str">
        <f>HYPERLINK("https://twitter.com/Sekhoutoureya","https://twitter.com/Sekhoutoureya")</f>
        <v>https://twitter.com/Sekhoutoureya</v>
      </c>
      <c r="E644" s="72" t="s">
        <v>918</v>
      </c>
      <c r="F644" s="10" t="s">
        <v>1</v>
      </c>
      <c r="G644" s="10" t="s">
        <v>55</v>
      </c>
      <c r="H644" s="10" t="s">
        <v>781</v>
      </c>
      <c r="I644" s="10" t="s">
        <v>782</v>
      </c>
      <c r="J644" s="27" t="s">
        <v>779</v>
      </c>
      <c r="K644" s="15" t="s">
        <v>924</v>
      </c>
      <c r="L644" s="10" t="s">
        <v>771</v>
      </c>
      <c r="M644" s="10" t="s">
        <v>771</v>
      </c>
      <c r="N644" s="30" t="str">
        <f>HYPERLINK("https://twitter.com/Sekhoutoureya/statuses/218068132651220993","https://twitter.com/Sekhoutoureya/statuses/218068132651220993")</f>
        <v>https://twitter.com/Sekhoutoureya/statuses/218068132651220993</v>
      </c>
      <c r="O644" s="27" t="s">
        <v>925</v>
      </c>
      <c r="P644" s="80">
        <v>9</v>
      </c>
      <c r="Q644" s="80">
        <v>13</v>
      </c>
      <c r="R644" s="27" t="s">
        <v>2995</v>
      </c>
      <c r="S644" s="10" t="s">
        <v>926</v>
      </c>
      <c r="T644" s="10" t="s">
        <v>771</v>
      </c>
      <c r="U644" s="10" t="s">
        <v>771</v>
      </c>
      <c r="V644" s="10" t="s">
        <v>771</v>
      </c>
      <c r="W644" s="10"/>
      <c r="X644" s="27" t="s">
        <v>59</v>
      </c>
      <c r="Y644" s="27" t="s">
        <v>922</v>
      </c>
      <c r="Z644" s="80">
        <v>148</v>
      </c>
      <c r="AA644" s="27">
        <v>269</v>
      </c>
      <c r="AB644" s="80">
        <v>1505</v>
      </c>
      <c r="AC644" s="27">
        <v>0</v>
      </c>
      <c r="AD644" s="27" t="s">
        <v>4467</v>
      </c>
      <c r="AE644" s="27">
        <v>600418108</v>
      </c>
      <c r="AF644" s="27" t="s">
        <v>923</v>
      </c>
      <c r="AG644" s="27" t="s">
        <v>921</v>
      </c>
      <c r="AH644" s="79">
        <v>0.103786816269285</v>
      </c>
      <c r="AI644" s="83">
        <v>0.44984802431610899</v>
      </c>
      <c r="AJ644" s="80">
        <v>0.530612244897959</v>
      </c>
      <c r="AK644" s="80">
        <v>0.319727891156463</v>
      </c>
      <c r="AL644" s="13">
        <v>0</v>
      </c>
      <c r="AM644" s="97">
        <f>SUM(AL644/Z644)</f>
        <v>0</v>
      </c>
      <c r="AN644" s="27" t="s">
        <v>59</v>
      </c>
      <c r="AO644" s="27">
        <v>8</v>
      </c>
      <c r="AP644" s="27">
        <v>6</v>
      </c>
      <c r="AQ644" s="27">
        <v>2</v>
      </c>
      <c r="AR644" s="27">
        <f>SUM(AO644:AQ644)</f>
        <v>16</v>
      </c>
      <c r="AS644" s="27" t="s">
        <v>5489</v>
      </c>
      <c r="AT644" s="27" t="s">
        <v>6857</v>
      </c>
      <c r="AU644" s="84" t="s">
        <v>4758</v>
      </c>
      <c r="AV644" s="77"/>
      <c r="AW644" s="77"/>
      <c r="AX644" s="77"/>
      <c r="AY644" s="77"/>
      <c r="AZ644" s="77"/>
      <c r="BA644" s="77"/>
      <c r="BB644" s="77"/>
      <c r="BC644" s="77"/>
      <c r="BD644" s="77"/>
      <c r="BE644" s="77"/>
      <c r="BF644" s="77"/>
      <c r="BG644" s="77"/>
      <c r="BH644" s="77"/>
      <c r="BI644" s="77"/>
      <c r="BJ644" s="77"/>
      <c r="BK644" s="77"/>
      <c r="BL644" s="77"/>
      <c r="BM644" s="77"/>
      <c r="BN644" s="77"/>
      <c r="BO644" s="77"/>
      <c r="BP644" s="77"/>
      <c r="BQ644" s="77"/>
      <c r="BR644" s="77"/>
      <c r="BS644" s="77"/>
      <c r="BT644" s="77"/>
      <c r="BU644" s="77"/>
      <c r="BV644" s="77"/>
      <c r="BW644" s="77"/>
      <c r="BX644" s="77"/>
      <c r="BY644" s="77"/>
      <c r="BZ644" s="77"/>
      <c r="CA644" s="77"/>
      <c r="CB644" s="77"/>
      <c r="CC644" s="77"/>
      <c r="CD644" s="77"/>
      <c r="CE644" s="77"/>
      <c r="CF644" s="77"/>
      <c r="CG644" s="77"/>
      <c r="CH644" s="77"/>
      <c r="CI644" s="77"/>
      <c r="CJ644" s="77"/>
      <c r="CK644" s="77"/>
      <c r="CL644" s="77"/>
      <c r="CM644" s="77"/>
      <c r="CN644" s="77"/>
      <c r="CO644" s="77"/>
      <c r="CP644" s="77"/>
      <c r="CQ644" s="77"/>
      <c r="CR644" s="77"/>
      <c r="CS644" s="77"/>
      <c r="CT644" s="77"/>
      <c r="CU644" s="77"/>
      <c r="CV644" s="77"/>
      <c r="CW644" s="77"/>
      <c r="CX644" s="77"/>
      <c r="CY644" s="77"/>
      <c r="CZ644" s="77"/>
      <c r="DA644" s="77"/>
      <c r="DB644" s="77"/>
      <c r="DC644" s="77"/>
      <c r="DD644" s="77"/>
      <c r="DE644" s="77"/>
      <c r="DF644" s="77"/>
      <c r="DG644" s="77"/>
      <c r="DH644" s="77"/>
      <c r="DI644" s="77"/>
      <c r="DJ644" s="77"/>
      <c r="DK644" s="77"/>
      <c r="DL644" s="77"/>
      <c r="DM644" s="77"/>
      <c r="DN644" s="77"/>
      <c r="DO644" s="77"/>
      <c r="DP644" s="77"/>
      <c r="DQ644" s="77"/>
      <c r="DR644" s="77"/>
      <c r="DS644" s="77"/>
      <c r="DT644" s="77"/>
      <c r="DU644" s="77"/>
      <c r="DV644" s="77"/>
      <c r="DW644" s="77"/>
      <c r="DX644" s="77"/>
      <c r="DY644" s="77"/>
      <c r="DZ644" s="77"/>
      <c r="EA644" s="77"/>
      <c r="EB644" s="77"/>
      <c r="EC644" s="77"/>
      <c r="ED644" s="77"/>
      <c r="EE644" s="77"/>
      <c r="EF644" s="77"/>
      <c r="EG644" s="77"/>
      <c r="EH644" s="77"/>
      <c r="EI644" s="77"/>
      <c r="EJ644" s="77"/>
      <c r="EK644" s="77"/>
      <c r="EL644" s="77"/>
      <c r="EM644" s="77"/>
      <c r="EN644" s="77"/>
      <c r="EO644" s="77"/>
      <c r="EP644" s="77"/>
      <c r="EQ644" s="77"/>
      <c r="ER644" s="77"/>
      <c r="ES644" s="77"/>
      <c r="ET644" s="77"/>
      <c r="EU644" s="77"/>
      <c r="EV644" s="77"/>
      <c r="EW644" s="77"/>
      <c r="EX644" s="77"/>
      <c r="EY644" s="77"/>
      <c r="EZ644" s="77"/>
      <c r="FA644" s="77"/>
      <c r="FB644" s="77"/>
      <c r="FC644" s="77"/>
      <c r="FD644" s="77"/>
      <c r="FE644" s="77"/>
      <c r="FF644" s="77"/>
      <c r="FG644" s="77"/>
      <c r="FH644" s="77"/>
      <c r="FI644" s="77"/>
      <c r="FJ644" s="77"/>
      <c r="FK644" s="77"/>
      <c r="FL644" s="77"/>
      <c r="FM644" s="77"/>
      <c r="FN644" s="77"/>
      <c r="FO644" s="77"/>
      <c r="FP644" s="77"/>
      <c r="FQ644" s="77"/>
      <c r="FR644" s="77"/>
      <c r="FS644" s="77"/>
      <c r="FT644" s="77"/>
      <c r="FU644" s="77"/>
      <c r="FV644" s="77"/>
      <c r="FW644" s="77"/>
      <c r="FX644" s="77"/>
      <c r="FY644" s="77"/>
      <c r="FZ644" s="77"/>
      <c r="GA644" s="77"/>
      <c r="GB644" s="77"/>
      <c r="GC644" s="77"/>
      <c r="GD644" s="77"/>
      <c r="GE644" s="77"/>
      <c r="GF644" s="77"/>
      <c r="GG644" s="77"/>
      <c r="GH644" s="77"/>
      <c r="GI644" s="77"/>
      <c r="GJ644" s="77"/>
      <c r="GK644" s="77"/>
      <c r="GL644" s="77"/>
      <c r="GM644" s="77"/>
      <c r="GN644" s="77"/>
      <c r="GO644" s="77"/>
      <c r="GP644" s="77"/>
      <c r="GQ644" s="77"/>
      <c r="GR644" s="77"/>
      <c r="GS644" s="77"/>
      <c r="GT644" s="77"/>
      <c r="GU644" s="77"/>
      <c r="GV644" s="77"/>
      <c r="GW644" s="77"/>
      <c r="GX644" s="77"/>
      <c r="GY644" s="77"/>
      <c r="GZ644" s="77"/>
      <c r="HA644" s="77"/>
      <c r="HB644" s="77"/>
      <c r="HC644" s="77"/>
      <c r="HD644" s="77"/>
      <c r="HE644" s="77"/>
      <c r="HF644" s="77"/>
      <c r="HG644" s="77"/>
      <c r="HH644" s="77"/>
      <c r="HI644" s="77"/>
      <c r="HJ644" s="77"/>
      <c r="HK644" s="77"/>
      <c r="HL644" s="77"/>
      <c r="HM644" s="77"/>
      <c r="HN644" s="77"/>
      <c r="HO644" s="77"/>
      <c r="HP644" s="77"/>
      <c r="HQ644" s="77"/>
      <c r="HR644" s="77"/>
      <c r="HS644" s="77"/>
      <c r="HT644" s="77"/>
      <c r="HU644" s="77"/>
      <c r="HV644" s="77"/>
      <c r="HW644" s="77"/>
      <c r="HX644" s="77"/>
      <c r="HY644" s="77"/>
      <c r="HZ644" s="77"/>
      <c r="IA644" s="77"/>
      <c r="IB644" s="77"/>
      <c r="IC644" s="77"/>
      <c r="ID644" s="77"/>
      <c r="IE644" s="77"/>
      <c r="IF644" s="16"/>
      <c r="IG644" s="16"/>
      <c r="IH644" s="16"/>
      <c r="II644" s="16"/>
      <c r="IJ644" s="16"/>
      <c r="IK644" s="16"/>
      <c r="IL644" s="16"/>
      <c r="IM644" s="16"/>
      <c r="IN644" s="16"/>
      <c r="IO644" s="16"/>
      <c r="IP644" s="16"/>
      <c r="IQ644" s="16"/>
      <c r="IR644" s="16"/>
      <c r="IS644" s="16"/>
      <c r="IT644" s="16"/>
      <c r="IU644" s="16"/>
      <c r="IV644" s="16"/>
      <c r="IW644" s="16"/>
      <c r="IX644" s="16"/>
      <c r="IY644" s="16"/>
      <c r="IZ644" s="16"/>
      <c r="JA644" s="16"/>
      <c r="JB644" s="16"/>
      <c r="JC644" s="16"/>
      <c r="JD644" s="16"/>
      <c r="JE644" s="16"/>
      <c r="JF644" s="16"/>
      <c r="JG644" s="16"/>
      <c r="JH644" s="16"/>
      <c r="JI644" s="16"/>
      <c r="JJ644" s="16"/>
      <c r="JK644" s="16"/>
      <c r="JL644" s="16"/>
      <c r="JM644" s="16"/>
      <c r="JN644" s="16"/>
      <c r="JO644" s="16"/>
      <c r="JP644" s="16"/>
      <c r="JQ644" s="16"/>
      <c r="JR644" s="16"/>
      <c r="JS644" s="16"/>
      <c r="JT644" s="16"/>
      <c r="JU644" s="16"/>
      <c r="JV644" s="16"/>
      <c r="JW644" s="16"/>
      <c r="JX644" s="16"/>
      <c r="KM644" s="77"/>
      <c r="KN644" s="77"/>
      <c r="KO644" s="77"/>
      <c r="KP644" s="77"/>
      <c r="KQ644" s="77"/>
      <c r="KR644" s="77"/>
      <c r="KS644" s="77"/>
      <c r="KT644" s="77"/>
      <c r="KU644" s="77"/>
      <c r="KV644" s="77"/>
      <c r="KW644" s="77"/>
      <c r="KX644" s="77"/>
      <c r="KY644" s="77"/>
      <c r="KZ644" s="77"/>
      <c r="LA644" s="77"/>
      <c r="LB644" s="77"/>
      <c r="LC644" s="77"/>
      <c r="LD644" s="77"/>
      <c r="LE644" s="77"/>
      <c r="LF644" s="77"/>
      <c r="LG644" s="77"/>
      <c r="LH644" s="77"/>
      <c r="LI644" s="77"/>
      <c r="LJ644" s="77"/>
      <c r="LK644" s="77"/>
      <c r="LY644" s="77"/>
      <c r="LZ644" s="77"/>
      <c r="MA644" s="77"/>
      <c r="MB644" s="77"/>
      <c r="MC644" s="77"/>
      <c r="MD644" s="77"/>
      <c r="ME644" s="77"/>
      <c r="MF644" s="77"/>
      <c r="MG644" s="77"/>
      <c r="MH644" s="77"/>
      <c r="MI644" s="77"/>
      <c r="MJ644" s="77"/>
      <c r="MK644" s="77"/>
      <c r="ML644" s="77"/>
      <c r="MM644" s="77"/>
      <c r="MN644" s="77"/>
      <c r="MO644" s="77"/>
      <c r="MP644" s="77"/>
      <c r="MQ644" s="77"/>
      <c r="MR644" s="77"/>
      <c r="MT644" s="77"/>
      <c r="MU644" s="77"/>
      <c r="MV644" s="77"/>
      <c r="MW644" s="77"/>
      <c r="MX644" s="77"/>
      <c r="MY644" s="77"/>
      <c r="MZ644" s="77"/>
      <c r="NA644" s="77"/>
      <c r="NB644" s="77"/>
      <c r="NC644" s="77"/>
    </row>
    <row r="645" spans="1:368" s="21" customFormat="1" ht="18.600000000000001" customHeight="1" x14ac:dyDescent="0.25">
      <c r="A645" s="119" t="s">
        <v>459</v>
      </c>
      <c r="B645" s="27" t="s">
        <v>2982</v>
      </c>
      <c r="C645" s="27"/>
      <c r="D645" s="30" t="s">
        <v>3276</v>
      </c>
      <c r="E645" s="30" t="str">
        <f>HYPERLINK("http://twiplomacy.com/info/europe/Moldova","http://twiplomacy.com/info/europe/Moldova")</f>
        <v>http://twiplomacy.com/info/europe/Moldova</v>
      </c>
      <c r="F645" s="10" t="s">
        <v>332</v>
      </c>
      <c r="G645" s="10" t="s">
        <v>454</v>
      </c>
      <c r="H645" s="10" t="s">
        <v>788</v>
      </c>
      <c r="I645" s="10" t="s">
        <v>782</v>
      </c>
      <c r="J645" s="27" t="s">
        <v>789</v>
      </c>
      <c r="K645" s="10" t="s">
        <v>2983</v>
      </c>
      <c r="L645" s="10" t="s">
        <v>771</v>
      </c>
      <c r="M645" s="10" t="s">
        <v>771</v>
      </c>
      <c r="N645" s="30" t="s">
        <v>3293</v>
      </c>
      <c r="O645" s="27" t="s">
        <v>5851</v>
      </c>
      <c r="P645" s="80">
        <v>1</v>
      </c>
      <c r="Q645" s="80">
        <v>1</v>
      </c>
      <c r="R645" s="27" t="s">
        <v>2995</v>
      </c>
      <c r="S645" s="12" t="s">
        <v>2984</v>
      </c>
      <c r="T645" s="10" t="s">
        <v>771</v>
      </c>
      <c r="U645" s="10" t="s">
        <v>771</v>
      </c>
      <c r="V645" s="10" t="s">
        <v>771</v>
      </c>
      <c r="W645" s="10"/>
      <c r="X645" s="27" t="s">
        <v>459</v>
      </c>
      <c r="Y645" s="27" t="s">
        <v>2982</v>
      </c>
      <c r="Z645" s="80">
        <v>147</v>
      </c>
      <c r="AA645" s="27">
        <v>49</v>
      </c>
      <c r="AB645" s="80">
        <v>277</v>
      </c>
      <c r="AC645" s="27">
        <v>0</v>
      </c>
      <c r="AD645" s="27" t="s">
        <v>3788</v>
      </c>
      <c r="AE645" s="27">
        <v>278969895</v>
      </c>
      <c r="AF645" s="27"/>
      <c r="AG645" s="27"/>
      <c r="AH645" s="79">
        <v>7.9416531604538099E-2</v>
      </c>
      <c r="AI645" s="83">
        <v>0.29696969696969699</v>
      </c>
      <c r="AJ645" s="80">
        <v>2.7210884353741499E-2</v>
      </c>
      <c r="AK645" s="80">
        <v>6.8027210884353704E-3</v>
      </c>
      <c r="AL645" s="27">
        <v>1</v>
      </c>
      <c r="AM645" s="97">
        <f>SUM(AL645/Z645)</f>
        <v>6.8027210884353739E-3</v>
      </c>
      <c r="AN645" s="27" t="s">
        <v>459</v>
      </c>
      <c r="AO645" s="27">
        <v>0</v>
      </c>
      <c r="AP645" s="27">
        <v>3</v>
      </c>
      <c r="AQ645" s="27">
        <v>0</v>
      </c>
      <c r="AR645" s="27">
        <f>SUM(AO645:AQ645)</f>
        <v>3</v>
      </c>
      <c r="AS645" s="27"/>
      <c r="AT645" s="27" t="s">
        <v>5167</v>
      </c>
      <c r="AU645" s="84"/>
      <c r="AV645" s="77"/>
      <c r="AW645" s="77"/>
      <c r="AX645" s="77"/>
      <c r="AY645" s="77"/>
      <c r="AZ645" s="77"/>
      <c r="BA645" s="77"/>
      <c r="BB645" s="77"/>
      <c r="BC645" s="77"/>
      <c r="BD645" s="77"/>
      <c r="BE645" s="77"/>
      <c r="BF645" s="77"/>
      <c r="BG645" s="77"/>
      <c r="BH645" s="77"/>
      <c r="BI645" s="77"/>
      <c r="BJ645" s="77"/>
      <c r="BK645" s="77"/>
      <c r="BL645" s="77"/>
      <c r="BM645" s="77"/>
      <c r="BN645" s="77"/>
      <c r="BO645" s="77"/>
      <c r="BP645" s="77"/>
      <c r="BQ645" s="77"/>
      <c r="BR645" s="77"/>
      <c r="BS645" s="77"/>
      <c r="BT645" s="77"/>
      <c r="BU645" s="77"/>
      <c r="BV645" s="77"/>
      <c r="BW645" s="77"/>
      <c r="BX645" s="77"/>
      <c r="BY645" s="77"/>
      <c r="BZ645" s="77"/>
      <c r="CA645" s="77"/>
      <c r="CB645" s="77"/>
      <c r="CC645" s="77"/>
      <c r="CD645" s="77"/>
      <c r="CE645" s="77"/>
      <c r="CF645" s="77"/>
      <c r="CG645" s="77"/>
      <c r="CH645" s="77"/>
      <c r="CI645" s="77"/>
      <c r="CJ645" s="77"/>
      <c r="CK645" s="77"/>
      <c r="CL645" s="77"/>
      <c r="CM645" s="77"/>
      <c r="CN645" s="77"/>
      <c r="CO645" s="77"/>
      <c r="CP645" s="77"/>
      <c r="CQ645" s="77"/>
      <c r="CR645" s="77"/>
      <c r="CS645" s="77"/>
      <c r="CT645" s="77"/>
      <c r="CU645" s="77"/>
      <c r="CV645" s="77"/>
      <c r="CW645" s="77"/>
      <c r="CX645" s="77"/>
      <c r="CY645" s="77"/>
      <c r="CZ645" s="77"/>
      <c r="DA645" s="77"/>
      <c r="DB645" s="77"/>
      <c r="DC645" s="77"/>
      <c r="DD645" s="77"/>
      <c r="DE645" s="77"/>
      <c r="DF645" s="77"/>
      <c r="DG645" s="77"/>
      <c r="DH645" s="77"/>
      <c r="DI645" s="77"/>
      <c r="DJ645" s="77"/>
      <c r="DK645" s="77"/>
      <c r="DL645" s="77"/>
      <c r="DM645" s="77"/>
      <c r="DN645" s="77"/>
      <c r="DO645" s="77"/>
      <c r="DP645" s="77"/>
      <c r="DQ645" s="77"/>
      <c r="DR645" s="77"/>
      <c r="DS645" s="77"/>
      <c r="DT645" s="77"/>
      <c r="DU645" s="77"/>
      <c r="DV645" s="77"/>
      <c r="DW645" s="77"/>
      <c r="DX645" s="77"/>
      <c r="DY645" s="77"/>
      <c r="DZ645" s="77"/>
      <c r="EA645" s="77"/>
      <c r="EB645" s="77"/>
      <c r="EC645" s="77"/>
      <c r="ED645" s="77"/>
      <c r="EE645" s="77"/>
      <c r="EF645" s="77"/>
      <c r="EG645" s="77"/>
      <c r="EH645" s="77"/>
      <c r="EI645" s="77"/>
      <c r="EJ645" s="77"/>
      <c r="EK645" s="77"/>
      <c r="EL645" s="77"/>
      <c r="EM645" s="77"/>
      <c r="EN645" s="77"/>
      <c r="EO645" s="77"/>
      <c r="EP645" s="77"/>
      <c r="EQ645" s="77"/>
      <c r="ER645" s="77"/>
      <c r="ES645" s="77"/>
      <c r="ET645" s="77"/>
      <c r="EU645" s="77"/>
      <c r="EV645" s="77"/>
      <c r="EW645" s="77"/>
      <c r="EX645" s="77"/>
      <c r="EY645" s="77"/>
      <c r="EZ645" s="77"/>
      <c r="FA645" s="77"/>
      <c r="FB645" s="77"/>
      <c r="FC645" s="77"/>
      <c r="FD645" s="77"/>
      <c r="FE645" s="77"/>
      <c r="FF645" s="77"/>
      <c r="FG645" s="77"/>
      <c r="FH645" s="77"/>
      <c r="FI645" s="77"/>
      <c r="FJ645" s="77"/>
      <c r="FK645" s="77"/>
      <c r="FL645" s="77"/>
      <c r="FM645" s="77"/>
      <c r="FN645" s="77"/>
      <c r="FO645" s="77"/>
      <c r="FP645" s="77"/>
      <c r="FQ645" s="77"/>
      <c r="FR645" s="77"/>
      <c r="FS645" s="77"/>
      <c r="FT645" s="77"/>
      <c r="FU645" s="77"/>
      <c r="FV645" s="77"/>
      <c r="FW645" s="77"/>
      <c r="FX645" s="77"/>
      <c r="FY645" s="77"/>
      <c r="FZ645" s="77"/>
      <c r="GA645" s="77"/>
      <c r="GB645" s="77"/>
      <c r="GC645" s="77"/>
      <c r="GD645" s="77"/>
      <c r="GE645" s="77"/>
      <c r="GF645" s="77"/>
      <c r="GG645" s="77"/>
      <c r="GH645" s="77"/>
      <c r="GI645" s="77"/>
      <c r="GJ645" s="77"/>
      <c r="GK645" s="77"/>
      <c r="GL645" s="77"/>
      <c r="GM645" s="77"/>
      <c r="GN645" s="77"/>
      <c r="GO645" s="77"/>
      <c r="GP645" s="77"/>
      <c r="GQ645" s="77"/>
      <c r="GR645" s="77"/>
      <c r="GS645" s="77"/>
      <c r="GT645" s="77"/>
      <c r="GU645" s="77"/>
      <c r="GV645" s="77"/>
      <c r="GW645" s="77"/>
      <c r="GX645" s="77"/>
      <c r="GY645" s="77"/>
      <c r="GZ645" s="77"/>
      <c r="HA645" s="77"/>
      <c r="HB645" s="77"/>
      <c r="HC645" s="77"/>
      <c r="HD645" s="77"/>
      <c r="HE645" s="77"/>
      <c r="HF645" s="77"/>
      <c r="HG645" s="77"/>
      <c r="HH645" s="77"/>
      <c r="HI645" s="77"/>
      <c r="HJ645" s="77"/>
      <c r="HK645" s="77"/>
      <c r="ID645" s="77"/>
      <c r="IE645" s="77"/>
      <c r="IF645" s="77"/>
      <c r="IG645" s="77"/>
      <c r="IH645" s="77"/>
      <c r="II645" s="77"/>
      <c r="IJ645" s="77"/>
      <c r="IK645" s="77"/>
      <c r="IL645" s="77"/>
      <c r="IM645" s="77"/>
      <c r="IN645" s="77"/>
      <c r="IO645" s="77"/>
      <c r="IP645" s="77"/>
      <c r="IQ645" s="77"/>
      <c r="IR645" s="77"/>
      <c r="IS645" s="77"/>
      <c r="IT645" s="77"/>
      <c r="IU645" s="77"/>
      <c r="IV645" s="77"/>
      <c r="IW645" s="77"/>
      <c r="IX645" s="77"/>
      <c r="IY645" s="77"/>
      <c r="IZ645" s="77"/>
      <c r="JA645" s="77"/>
      <c r="JB645" s="77"/>
      <c r="JC645" s="77"/>
      <c r="JD645" s="77"/>
      <c r="JE645" s="77"/>
      <c r="JF645" s="77"/>
      <c r="JG645" s="77"/>
      <c r="JH645" s="77"/>
      <c r="JI645" s="77"/>
      <c r="JJ645" s="77"/>
      <c r="JK645" s="77"/>
      <c r="JL645" s="77"/>
      <c r="JM645" s="77"/>
      <c r="JN645" s="77"/>
      <c r="JO645" s="77"/>
      <c r="JP645" s="77"/>
      <c r="JQ645" s="77"/>
      <c r="JR645" s="77"/>
      <c r="JS645" s="77"/>
      <c r="JT645" s="77"/>
      <c r="JU645" s="77"/>
      <c r="JV645" s="77"/>
      <c r="JW645" s="77"/>
      <c r="JX645" s="77"/>
      <c r="JY645" s="16"/>
      <c r="JZ645" s="16"/>
      <c r="KA645" s="16"/>
      <c r="KB645" s="16"/>
      <c r="KC645" s="16"/>
      <c r="KD645" s="16"/>
      <c r="KE645" s="16"/>
      <c r="KF645" s="16"/>
      <c r="KG645" s="16"/>
      <c r="KH645" s="16"/>
      <c r="KI645" s="16"/>
      <c r="KJ645" s="16"/>
      <c r="KK645" s="16"/>
      <c r="KL645" s="16"/>
      <c r="KM645" s="77"/>
      <c r="KN645" s="77"/>
      <c r="KO645" s="77"/>
      <c r="KP645" s="77"/>
      <c r="KQ645" s="77"/>
      <c r="KR645" s="77"/>
      <c r="KS645" s="77"/>
      <c r="KT645" s="77"/>
      <c r="KU645" s="77"/>
      <c r="KV645" s="77"/>
      <c r="KW645" s="77"/>
      <c r="KX645" s="77"/>
      <c r="KY645" s="77"/>
      <c r="KZ645" s="77"/>
      <c r="LA645" s="77"/>
      <c r="LB645" s="77"/>
      <c r="LC645" s="77"/>
      <c r="LD645" s="77"/>
      <c r="LE645" s="77"/>
      <c r="LF645" s="77"/>
      <c r="LG645" s="77"/>
      <c r="LH645" s="77"/>
      <c r="LI645" s="77"/>
      <c r="LJ645" s="77"/>
      <c r="LK645" s="77"/>
      <c r="LL645" s="77"/>
      <c r="LM645" s="77"/>
      <c r="LN645" s="77"/>
      <c r="LO645" s="77"/>
      <c r="LP645" s="77"/>
      <c r="LQ645" s="77"/>
      <c r="LR645" s="77"/>
      <c r="LS645" s="77"/>
      <c r="LT645" s="77"/>
      <c r="LU645" s="77"/>
      <c r="LV645" s="77"/>
    </row>
    <row r="646" spans="1:368" s="21" customFormat="1" ht="18.600000000000001" customHeight="1" x14ac:dyDescent="0.25">
      <c r="A646" s="119" t="s">
        <v>280</v>
      </c>
      <c r="B646" s="27" t="s">
        <v>2917</v>
      </c>
      <c r="C646" s="27" t="s">
        <v>4397</v>
      </c>
      <c r="D646" s="30" t="str">
        <f>HYPERLINK("https://twitter.com/QaTaR_","https://twitter.com/QaTaR_")</f>
        <v>https://twitter.com/QaTaR_</v>
      </c>
      <c r="E646" s="30" t="str">
        <f>HYPERLINK("http://twiplomacy.com/info/asia/Qatar","http://twiplomacy.com/info/asia/Qatar")</f>
        <v>http://twiplomacy.com/info/asia/Qatar</v>
      </c>
      <c r="F646" s="14" t="s">
        <v>154</v>
      </c>
      <c r="G646" s="14" t="s">
        <v>276</v>
      </c>
      <c r="H646" s="14" t="s">
        <v>788</v>
      </c>
      <c r="I646" s="14" t="s">
        <v>782</v>
      </c>
      <c r="J646" s="27" t="s">
        <v>789</v>
      </c>
      <c r="K646" s="15" t="s">
        <v>777</v>
      </c>
      <c r="L646" s="14" t="s">
        <v>771</v>
      </c>
      <c r="M646" s="14" t="s">
        <v>771</v>
      </c>
      <c r="N646" s="100" t="str">
        <f>HYPERLINK("https://twitter.com/QaTaR_/statuses/167619154386485248","https://twitter.com/QaTaR_/statuses/167619154386485248")</f>
        <v>https://twitter.com/QaTaR_/statuses/167619154386485248</v>
      </c>
      <c r="O646" s="27" t="s">
        <v>2918</v>
      </c>
      <c r="P646" s="80">
        <v>607</v>
      </c>
      <c r="Q646" s="80">
        <v>5</v>
      </c>
      <c r="R646" s="27" t="s">
        <v>2995</v>
      </c>
      <c r="S646" s="10" t="s">
        <v>2919</v>
      </c>
      <c r="T646" s="10" t="s">
        <v>771</v>
      </c>
      <c r="U646" s="10" t="s">
        <v>771</v>
      </c>
      <c r="V646" s="10" t="s">
        <v>771</v>
      </c>
      <c r="W646" s="10"/>
      <c r="X646" s="27" t="s">
        <v>280</v>
      </c>
      <c r="Y646" s="27" t="s">
        <v>2917</v>
      </c>
      <c r="Z646" s="80">
        <v>146</v>
      </c>
      <c r="AA646" s="27">
        <v>16</v>
      </c>
      <c r="AB646" s="80">
        <v>13099</v>
      </c>
      <c r="AC646" s="27">
        <v>0</v>
      </c>
      <c r="AD646" s="27" t="s">
        <v>4398</v>
      </c>
      <c r="AE646" s="27">
        <v>68643830</v>
      </c>
      <c r="AF646" s="27" t="s">
        <v>4397</v>
      </c>
      <c r="AG646" s="27"/>
      <c r="AH646" s="79">
        <v>5.9787059787059803E-2</v>
      </c>
      <c r="AI646" s="83">
        <v>9.8118279569892497E-2</v>
      </c>
      <c r="AJ646" s="80">
        <v>9.4573643410852704</v>
      </c>
      <c r="AK646" s="80">
        <v>1.48837209302326</v>
      </c>
      <c r="AL646" s="27">
        <v>6</v>
      </c>
      <c r="AM646" s="97">
        <f>SUM(AL646/Z646)</f>
        <v>4.1095890410958902E-2</v>
      </c>
      <c r="AN646" s="27" t="s">
        <v>280</v>
      </c>
      <c r="AO646" s="27">
        <v>0</v>
      </c>
      <c r="AP646" s="27">
        <v>3</v>
      </c>
      <c r="AQ646" s="27">
        <v>0</v>
      </c>
      <c r="AR646" s="27">
        <f>SUM(AO646:AQ646)</f>
        <v>3</v>
      </c>
      <c r="AS646" s="27"/>
      <c r="AT646" s="27" t="s">
        <v>5047</v>
      </c>
      <c r="AU646" s="84"/>
      <c r="AV646" s="77"/>
      <c r="AW646" s="77"/>
      <c r="AX646" s="77"/>
      <c r="AY646" s="77"/>
      <c r="AZ646" s="77"/>
      <c r="BA646" s="77"/>
      <c r="BB646" s="77"/>
      <c r="BC646" s="77"/>
      <c r="BD646" s="77"/>
      <c r="BE646" s="77"/>
      <c r="BF646" s="77"/>
      <c r="BG646" s="77"/>
      <c r="BH646" s="77"/>
      <c r="BI646" s="77"/>
      <c r="BJ646" s="77"/>
      <c r="BK646" s="77"/>
      <c r="BL646" s="77"/>
      <c r="BM646" s="77"/>
      <c r="BN646" s="77"/>
      <c r="BO646" s="77"/>
      <c r="BP646" s="77"/>
      <c r="BQ646" s="77"/>
      <c r="BR646" s="77"/>
      <c r="BS646" s="77"/>
      <c r="BT646" s="77"/>
      <c r="BU646" s="77"/>
      <c r="BV646" s="77"/>
      <c r="BW646" s="77"/>
      <c r="BX646" s="77"/>
      <c r="BY646" s="77"/>
      <c r="BZ646" s="77"/>
      <c r="CA646" s="77"/>
      <c r="CB646" s="77"/>
      <c r="EM646" s="77"/>
      <c r="EN646" s="77"/>
      <c r="EO646" s="77"/>
      <c r="EP646" s="77"/>
      <c r="EQ646" s="77"/>
      <c r="ER646" s="77"/>
      <c r="ES646" s="77"/>
      <c r="ET646" s="77"/>
      <c r="EU646" s="77"/>
      <c r="EV646" s="77"/>
      <c r="EW646" s="77"/>
      <c r="EX646" s="77"/>
      <c r="EY646" s="77"/>
      <c r="EZ646" s="77"/>
      <c r="FA646" s="77"/>
      <c r="FB646" s="77"/>
      <c r="FC646" s="77"/>
      <c r="FD646" s="77"/>
      <c r="FE646" s="77"/>
      <c r="FF646" s="77"/>
      <c r="FG646" s="77"/>
      <c r="FH646" s="77"/>
      <c r="FI646" s="77"/>
      <c r="FJ646" s="77"/>
      <c r="FK646" s="77"/>
      <c r="FL646" s="77"/>
      <c r="FM646" s="77"/>
      <c r="FN646" s="77"/>
      <c r="FO646" s="77"/>
      <c r="FP646" s="77"/>
      <c r="FQ646" s="77"/>
      <c r="FR646" s="77"/>
      <c r="FS646" s="77"/>
      <c r="FT646" s="77"/>
      <c r="FU646" s="77"/>
      <c r="FV646" s="77"/>
      <c r="FW646" s="77"/>
      <c r="FX646" s="77"/>
      <c r="FY646" s="77"/>
      <c r="FZ646" s="77"/>
      <c r="GA646" s="77"/>
      <c r="GB646" s="77"/>
      <c r="GC646" s="77"/>
      <c r="GD646" s="77"/>
      <c r="GE646" s="77"/>
      <c r="GF646" s="77"/>
      <c r="GG646" s="77"/>
      <c r="GH646" s="77"/>
      <c r="GI646" s="77"/>
      <c r="GJ646" s="77"/>
      <c r="GK646" s="77"/>
      <c r="GL646" s="77"/>
      <c r="GM646" s="77"/>
      <c r="GN646" s="77"/>
      <c r="GO646" s="77"/>
      <c r="GP646" s="77"/>
      <c r="GQ646" s="77"/>
      <c r="GR646" s="77"/>
      <c r="GS646" s="77"/>
      <c r="GT646" s="77"/>
      <c r="GU646" s="77"/>
      <c r="GV646" s="77"/>
      <c r="GW646" s="77"/>
      <c r="GX646" s="77"/>
      <c r="GY646" s="77"/>
      <c r="GZ646" s="77"/>
      <c r="HA646" s="77"/>
      <c r="HB646" s="77"/>
      <c r="HC646" s="77"/>
      <c r="HD646" s="77"/>
      <c r="HE646" s="77"/>
      <c r="HF646" s="77"/>
      <c r="HG646" s="77"/>
      <c r="HH646" s="77"/>
      <c r="HI646" s="77"/>
      <c r="HJ646" s="77"/>
      <c r="HK646" s="77"/>
      <c r="HL646" s="77"/>
      <c r="HM646" s="77"/>
      <c r="HN646" s="77"/>
      <c r="HO646" s="77"/>
      <c r="HP646" s="77"/>
      <c r="HQ646" s="77"/>
      <c r="HR646" s="77"/>
      <c r="HS646" s="77"/>
      <c r="HT646" s="77"/>
      <c r="HU646" s="77"/>
      <c r="HV646" s="77"/>
      <c r="HW646" s="77"/>
      <c r="HX646" s="77"/>
      <c r="HY646" s="77"/>
      <c r="HZ646" s="77"/>
      <c r="IA646" s="77"/>
      <c r="IB646" s="77"/>
      <c r="IC646" s="77"/>
      <c r="ID646" s="77"/>
      <c r="IE646" s="77"/>
      <c r="LL646" s="77"/>
      <c r="LM646" s="77"/>
      <c r="LN646" s="77"/>
      <c r="LO646" s="77"/>
      <c r="LP646" s="77"/>
      <c r="LQ646" s="77"/>
      <c r="LR646" s="77"/>
      <c r="LS646" s="77"/>
      <c r="LT646" s="77"/>
      <c r="LU646" s="77"/>
      <c r="LV646" s="77"/>
      <c r="ND646" s="77"/>
    </row>
    <row r="647" spans="1:368" s="21" customFormat="1" ht="18.600000000000001" customHeight="1" x14ac:dyDescent="0.25">
      <c r="A647" s="119" t="s">
        <v>259</v>
      </c>
      <c r="B647" s="27" t="s">
        <v>4250</v>
      </c>
      <c r="C647" s="27" t="s">
        <v>4251</v>
      </c>
      <c r="D647" s="30" t="s">
        <v>1518</v>
      </c>
      <c r="E647" s="30" t="str">
        <f>HYPERLINK("http://twiplomacy.com/info/asia/Nepal","http://twiplomacy.com/info/asia/Nepal")</f>
        <v>http://twiplomacy.com/info/asia/Nepal</v>
      </c>
      <c r="F647" s="10" t="s">
        <v>154</v>
      </c>
      <c r="G647" s="10" t="s">
        <v>257</v>
      </c>
      <c r="H647" s="10" t="s">
        <v>776</v>
      </c>
      <c r="I647" s="10" t="s">
        <v>782</v>
      </c>
      <c r="J647" s="27" t="s">
        <v>789</v>
      </c>
      <c r="K647" s="15" t="s">
        <v>777</v>
      </c>
      <c r="L647" s="10" t="s">
        <v>771</v>
      </c>
      <c r="M647" s="10" t="s">
        <v>770</v>
      </c>
      <c r="N647" s="30" t="s">
        <v>1519</v>
      </c>
      <c r="O647" s="27" t="s">
        <v>3189</v>
      </c>
      <c r="P647" s="80">
        <v>616</v>
      </c>
      <c r="Q647" s="80">
        <v>1119</v>
      </c>
      <c r="R647" s="27" t="s">
        <v>2995</v>
      </c>
      <c r="S647" s="12" t="s">
        <v>1520</v>
      </c>
      <c r="T647" s="10" t="s">
        <v>771</v>
      </c>
      <c r="U647" s="10" t="s">
        <v>771</v>
      </c>
      <c r="V647" s="10" t="s">
        <v>771</v>
      </c>
      <c r="W647" s="10"/>
      <c r="X647" s="27" t="s">
        <v>259</v>
      </c>
      <c r="Y647" s="27" t="s">
        <v>4250</v>
      </c>
      <c r="Z647" s="80">
        <v>141</v>
      </c>
      <c r="AA647" s="27">
        <v>17</v>
      </c>
      <c r="AB647" s="80">
        <v>135222</v>
      </c>
      <c r="AC647" s="27">
        <v>3</v>
      </c>
      <c r="AD647" s="27" t="s">
        <v>4252</v>
      </c>
      <c r="AE647" s="27">
        <v>3241480459</v>
      </c>
      <c r="AF647" s="27" t="s">
        <v>4251</v>
      </c>
      <c r="AG647" s="27" t="s">
        <v>4253</v>
      </c>
      <c r="AH647" s="79">
        <v>0.43119266055045902</v>
      </c>
      <c r="AI647" s="83">
        <v>0.432515337423313</v>
      </c>
      <c r="AJ647" s="80">
        <v>46.2753623188406</v>
      </c>
      <c r="AK647" s="80">
        <v>170.51449275362299</v>
      </c>
      <c r="AL647" s="27">
        <v>2</v>
      </c>
      <c r="AM647" s="97">
        <f>SUM(AL647/Z647)</f>
        <v>1.4184397163120567E-2</v>
      </c>
      <c r="AN647" s="27" t="s">
        <v>259</v>
      </c>
      <c r="AO647" s="27">
        <v>2</v>
      </c>
      <c r="AP647" s="27">
        <v>2</v>
      </c>
      <c r="AQ647" s="27">
        <v>2</v>
      </c>
      <c r="AR647" s="27">
        <f>SUM(AO647:AQ647)</f>
        <v>6</v>
      </c>
      <c r="AS647" s="27" t="s">
        <v>5390</v>
      </c>
      <c r="AT647" s="27" t="s">
        <v>5242</v>
      </c>
      <c r="AU647" s="84" t="s">
        <v>4890</v>
      </c>
      <c r="AV647" s="77"/>
      <c r="AW647" s="77"/>
      <c r="AX647" s="77"/>
      <c r="AY647" s="77"/>
      <c r="AZ647" s="77"/>
      <c r="BA647" s="77"/>
      <c r="BB647" s="77"/>
      <c r="BC647" s="77"/>
      <c r="BD647" s="77"/>
      <c r="BE647" s="77"/>
      <c r="BF647" s="77"/>
      <c r="BG647" s="77"/>
      <c r="BH647" s="77"/>
      <c r="BI647" s="77"/>
      <c r="BJ647" s="77"/>
      <c r="BK647" s="77"/>
      <c r="BL647" s="77"/>
      <c r="BM647" s="77"/>
      <c r="BN647" s="77"/>
      <c r="BO647" s="77"/>
      <c r="BP647" s="77"/>
      <c r="CC647" s="16"/>
      <c r="CD647" s="16"/>
      <c r="CE647" s="16"/>
      <c r="CF647" s="16"/>
      <c r="CG647" s="16"/>
      <c r="CH647" s="16"/>
      <c r="CI647" s="16"/>
      <c r="CJ647" s="16"/>
      <c r="CK647" s="16"/>
      <c r="CL647" s="16"/>
      <c r="CM647" s="16"/>
      <c r="CN647" s="16"/>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16"/>
      <c r="DV647" s="16"/>
      <c r="DW647" s="16"/>
      <c r="DX647" s="16"/>
      <c r="DY647" s="16"/>
      <c r="DZ647" s="16"/>
      <c r="EA647" s="16"/>
      <c r="EB647" s="16"/>
      <c r="EC647" s="16"/>
      <c r="ED647" s="16"/>
      <c r="EE647" s="16"/>
      <c r="EF647" s="16"/>
      <c r="EG647" s="16"/>
      <c r="EH647" s="16"/>
      <c r="EI647" s="16"/>
      <c r="EJ647" s="16"/>
      <c r="EK647" s="16"/>
      <c r="EL647" s="16"/>
      <c r="EM647" s="77"/>
      <c r="EN647" s="77"/>
      <c r="EO647" s="77"/>
      <c r="EP647" s="77"/>
      <c r="EQ647" s="77"/>
      <c r="GL647" s="77"/>
      <c r="GM647" s="77"/>
      <c r="GN647" s="77"/>
      <c r="GO647" s="77"/>
      <c r="GP647" s="77"/>
      <c r="GQ647" s="77"/>
      <c r="GR647" s="77"/>
      <c r="GS647" s="77"/>
      <c r="GT647" s="77"/>
      <c r="GU647" s="77"/>
      <c r="GV647" s="77"/>
      <c r="GW647" s="77"/>
      <c r="GX647" s="77"/>
      <c r="GY647" s="77"/>
      <c r="GZ647" s="77"/>
      <c r="HA647" s="77"/>
      <c r="HB647" s="77"/>
      <c r="HC647" s="77"/>
      <c r="HD647" s="77"/>
      <c r="HE647" s="77"/>
      <c r="HF647" s="77"/>
      <c r="HG647" s="77"/>
      <c r="HH647" s="77"/>
      <c r="HI647" s="77"/>
      <c r="HJ647" s="77"/>
      <c r="HK647" s="77"/>
      <c r="HL647" s="77"/>
      <c r="HM647" s="77"/>
      <c r="HN647" s="77"/>
      <c r="HO647" s="77"/>
      <c r="HP647" s="77"/>
      <c r="HQ647" s="77"/>
      <c r="HR647" s="77"/>
      <c r="HS647" s="77"/>
      <c r="HT647" s="77"/>
      <c r="HU647" s="77"/>
      <c r="HV647" s="77"/>
      <c r="HW647" s="77"/>
      <c r="HX647" s="77"/>
      <c r="HY647" s="77"/>
      <c r="HZ647" s="77"/>
      <c r="IA647" s="77"/>
      <c r="IB647" s="77"/>
      <c r="IC647" s="77"/>
      <c r="ID647" s="77"/>
      <c r="IE647" s="77"/>
      <c r="JY647" s="77"/>
      <c r="JZ647" s="77"/>
      <c r="KA647" s="77"/>
      <c r="KB647" s="77"/>
      <c r="KC647" s="77"/>
      <c r="KD647" s="77"/>
      <c r="KE647" s="77"/>
      <c r="KF647" s="77"/>
      <c r="KG647" s="77"/>
      <c r="KH647" s="77"/>
      <c r="KI647" s="77"/>
      <c r="KJ647" s="77"/>
      <c r="KK647" s="77"/>
      <c r="KL647" s="77"/>
      <c r="LW647" s="77"/>
      <c r="LX647" s="77"/>
      <c r="LY647" s="16"/>
      <c r="LZ647" s="16"/>
      <c r="MA647" s="16"/>
      <c r="MB647" s="16"/>
      <c r="MC647" s="16"/>
      <c r="MD647" s="16"/>
      <c r="ME647" s="16"/>
      <c r="MF647" s="16"/>
      <c r="MG647" s="16"/>
      <c r="MH647" s="16"/>
      <c r="MI647" s="16"/>
      <c r="MJ647" s="16"/>
      <c r="MK647" s="16"/>
      <c r="ML647" s="16"/>
      <c r="MM647" s="16"/>
      <c r="MN647" s="16"/>
      <c r="MO647" s="16"/>
      <c r="MP647" s="16"/>
      <c r="MQ647" s="16"/>
      <c r="MR647" s="16"/>
    </row>
    <row r="648" spans="1:368" s="21" customFormat="1" ht="18.600000000000001" customHeight="1" x14ac:dyDescent="0.25">
      <c r="A648" s="119" t="s">
        <v>284</v>
      </c>
      <c r="B648" s="27" t="s">
        <v>1593</v>
      </c>
      <c r="C648" s="27" t="s">
        <v>6367</v>
      </c>
      <c r="D648" s="30" t="str">
        <f>HYPERLINK("https://twitter.com/AdelAljubeir","https://twitter.com/AdelAljubeir")</f>
        <v>https://twitter.com/AdelAljubeir</v>
      </c>
      <c r="E648" s="30" t="str">
        <f>HYPERLINK("http://twiplomacy.com/info/asia/Saudi-Arabia","http://twiplomacy.com/info/asia/Saudi-Arabia")</f>
        <v>http://twiplomacy.com/info/asia/Saudi-Arabia</v>
      </c>
      <c r="F648" s="10" t="s">
        <v>154</v>
      </c>
      <c r="G648" s="10" t="s">
        <v>282</v>
      </c>
      <c r="H648" s="10" t="s">
        <v>860</v>
      </c>
      <c r="I648" s="10" t="s">
        <v>782</v>
      </c>
      <c r="J648" s="27" t="s">
        <v>789</v>
      </c>
      <c r="K648" s="15" t="s">
        <v>777</v>
      </c>
      <c r="L648" s="10" t="s">
        <v>771</v>
      </c>
      <c r="M648" s="10" t="s">
        <v>770</v>
      </c>
      <c r="N648" s="30" t="s">
        <v>3106</v>
      </c>
      <c r="O648" s="11" t="s">
        <v>3153</v>
      </c>
      <c r="P648" s="80">
        <v>22944</v>
      </c>
      <c r="Q648" s="80">
        <v>5143</v>
      </c>
      <c r="R648" s="27" t="s">
        <v>2994</v>
      </c>
      <c r="S648" s="12" t="s">
        <v>1594</v>
      </c>
      <c r="T648" s="10" t="s">
        <v>771</v>
      </c>
      <c r="U648" s="10" t="s">
        <v>771</v>
      </c>
      <c r="V648" s="10" t="s">
        <v>771</v>
      </c>
      <c r="W648" s="10"/>
      <c r="X648" s="27" t="s">
        <v>284</v>
      </c>
      <c r="Y648" s="27" t="s">
        <v>1593</v>
      </c>
      <c r="Z648" s="80">
        <v>141</v>
      </c>
      <c r="AA648" s="27">
        <v>45</v>
      </c>
      <c r="AB648" s="80">
        <v>741556</v>
      </c>
      <c r="AC648" s="27">
        <v>0</v>
      </c>
      <c r="AD648" s="27" t="s">
        <v>3430</v>
      </c>
      <c r="AE648" s="27">
        <v>3235871559</v>
      </c>
      <c r="AF648" s="27" t="s">
        <v>6367</v>
      </c>
      <c r="AG648" s="27" t="s">
        <v>1590</v>
      </c>
      <c r="AH648" s="79">
        <v>0.38842975206611602</v>
      </c>
      <c r="AI648" s="83">
        <v>0.39718309859154899</v>
      </c>
      <c r="AJ648" s="80">
        <v>2398.3309352517999</v>
      </c>
      <c r="AK648" s="80">
        <v>788.28776978417295</v>
      </c>
      <c r="AL648" s="96">
        <v>10</v>
      </c>
      <c r="AM648" s="97">
        <f>SUM(AL648/Z648)</f>
        <v>7.0921985815602842E-2</v>
      </c>
      <c r="AN648" s="27" t="s">
        <v>284</v>
      </c>
      <c r="AO648" s="27">
        <v>2</v>
      </c>
      <c r="AP648" s="27">
        <v>19</v>
      </c>
      <c r="AQ648" s="27">
        <v>2</v>
      </c>
      <c r="AR648" s="27">
        <f>SUM(AO648:AQ648)</f>
        <v>23</v>
      </c>
      <c r="AS648" s="27" t="s">
        <v>5001</v>
      </c>
      <c r="AT648" s="39" t="s">
        <v>6910</v>
      </c>
      <c r="AU648" s="84" t="s">
        <v>6916</v>
      </c>
      <c r="AV648" s="77"/>
      <c r="AW648" s="77"/>
      <c r="AX648" s="77"/>
      <c r="AY648" s="77"/>
      <c r="AZ648" s="77"/>
      <c r="BA648" s="77"/>
      <c r="BB648" s="77"/>
      <c r="BC648" s="77"/>
      <c r="BD648" s="77"/>
      <c r="BE648" s="77"/>
      <c r="BF648" s="77"/>
      <c r="BG648" s="77"/>
      <c r="BH648" s="77"/>
      <c r="BI648" s="77"/>
      <c r="BJ648" s="77"/>
      <c r="BK648" s="77"/>
      <c r="BL648" s="77"/>
      <c r="BM648" s="77"/>
      <c r="BN648" s="77"/>
      <c r="BO648" s="77"/>
      <c r="BP648" s="77"/>
      <c r="BQ648" s="77"/>
      <c r="BR648" s="77"/>
      <c r="BS648" s="77"/>
      <c r="BT648" s="77"/>
      <c r="BU648" s="77"/>
      <c r="BV648" s="77"/>
      <c r="BW648" s="77"/>
      <c r="BX648" s="77"/>
      <c r="BY648" s="77"/>
      <c r="BZ648" s="77"/>
      <c r="CA648" s="77"/>
      <c r="CB648" s="77"/>
      <c r="CC648" s="77"/>
      <c r="CD648" s="77"/>
      <c r="CE648" s="77"/>
      <c r="CF648" s="77"/>
      <c r="CG648" s="77"/>
      <c r="CH648" s="77"/>
      <c r="CI648" s="77"/>
      <c r="CJ648" s="77"/>
      <c r="CK648" s="77"/>
      <c r="CL648" s="77"/>
      <c r="CM648" s="77"/>
      <c r="CN648" s="77"/>
      <c r="CO648" s="77"/>
      <c r="CP648" s="77"/>
      <c r="CQ648" s="77"/>
      <c r="CR648" s="77"/>
      <c r="CS648" s="77"/>
      <c r="CT648" s="77"/>
      <c r="CU648" s="77"/>
      <c r="CV648" s="77"/>
      <c r="CW648" s="77"/>
      <c r="CX648" s="77"/>
      <c r="CY648" s="77"/>
      <c r="CZ648" s="77"/>
      <c r="DA648" s="77"/>
      <c r="DB648" s="77"/>
      <c r="DC648" s="77"/>
      <c r="DD648" s="77"/>
      <c r="DE648" s="77"/>
      <c r="DF648" s="77"/>
      <c r="DG648" s="77"/>
      <c r="DH648" s="77"/>
      <c r="DI648" s="77"/>
      <c r="DJ648" s="77"/>
      <c r="DK648" s="77"/>
      <c r="DL648" s="77"/>
      <c r="DM648" s="77"/>
      <c r="DN648" s="77"/>
      <c r="DO648" s="77"/>
      <c r="DP648" s="77"/>
      <c r="DQ648" s="77"/>
      <c r="DR648" s="77"/>
      <c r="DS648" s="77"/>
      <c r="DT648" s="77"/>
      <c r="DU648" s="77"/>
      <c r="DV648" s="77"/>
      <c r="DW648" s="77"/>
      <c r="DX648" s="77"/>
      <c r="DY648" s="77"/>
      <c r="DZ648" s="77"/>
      <c r="EA648" s="77"/>
      <c r="EB648" s="77"/>
      <c r="EC648" s="77"/>
      <c r="ED648" s="77"/>
      <c r="EE648" s="77"/>
      <c r="EF648" s="77"/>
      <c r="EG648" s="77"/>
      <c r="EH648" s="77"/>
      <c r="EI648" s="77"/>
      <c r="EJ648" s="77"/>
      <c r="EK648" s="77"/>
      <c r="EL648" s="77"/>
      <c r="EM648" s="77"/>
      <c r="EN648" s="77"/>
      <c r="EO648" s="77"/>
      <c r="EP648" s="16"/>
      <c r="EQ648" s="77"/>
      <c r="ER648" s="77"/>
      <c r="ES648" s="77"/>
      <c r="ET648" s="77"/>
      <c r="EU648" s="77"/>
      <c r="EV648" s="77"/>
      <c r="EW648" s="77"/>
      <c r="EX648" s="77"/>
      <c r="EY648" s="77"/>
      <c r="EZ648" s="77"/>
      <c r="FA648" s="77"/>
      <c r="FB648" s="77"/>
      <c r="FC648" s="77"/>
      <c r="FD648" s="77"/>
      <c r="FE648" s="77"/>
      <c r="FF648" s="77"/>
      <c r="FG648" s="77"/>
      <c r="FH648" s="77"/>
      <c r="FI648" s="77"/>
      <c r="FJ648" s="77"/>
      <c r="FK648" s="77"/>
      <c r="FL648" s="77"/>
      <c r="FM648" s="77"/>
      <c r="FN648" s="77"/>
      <c r="FO648" s="77"/>
      <c r="FP648" s="77"/>
      <c r="FQ648" s="77"/>
      <c r="FR648" s="77"/>
      <c r="FS648" s="77"/>
      <c r="FT648" s="77"/>
      <c r="FU648" s="77"/>
      <c r="FV648" s="77"/>
      <c r="FW648" s="77"/>
      <c r="FX648" s="77"/>
      <c r="FY648" s="77"/>
      <c r="FZ648" s="77"/>
      <c r="GA648" s="77"/>
      <c r="GB648" s="77"/>
      <c r="GC648" s="77"/>
      <c r="GD648" s="77"/>
      <c r="GE648" s="77"/>
      <c r="GF648" s="77"/>
      <c r="GG648" s="77"/>
      <c r="GH648" s="77"/>
      <c r="GI648" s="77"/>
      <c r="GJ648" s="77"/>
      <c r="GK648" s="77"/>
      <c r="IF648" s="16"/>
      <c r="IG648" s="16"/>
      <c r="IH648" s="16"/>
      <c r="II648" s="16"/>
      <c r="IJ648" s="16"/>
      <c r="IK648" s="16"/>
      <c r="IL648" s="16"/>
      <c r="IM648" s="16"/>
      <c r="IN648" s="16"/>
      <c r="IO648" s="16"/>
      <c r="IP648" s="16"/>
      <c r="IQ648" s="16"/>
      <c r="IR648" s="16"/>
      <c r="IS648" s="16"/>
      <c r="IT648" s="16"/>
      <c r="IU648" s="16"/>
      <c r="IV648" s="16"/>
      <c r="IW648" s="16"/>
      <c r="IX648" s="16"/>
      <c r="IY648" s="16"/>
      <c r="IZ648" s="16"/>
      <c r="JA648" s="16"/>
      <c r="JB648" s="16"/>
      <c r="JC648" s="16"/>
      <c r="JD648" s="16"/>
      <c r="JE648" s="16"/>
      <c r="JF648" s="16"/>
      <c r="JG648" s="16"/>
      <c r="JH648" s="16"/>
      <c r="JI648" s="16"/>
      <c r="JJ648" s="16"/>
      <c r="JK648" s="16"/>
      <c r="JL648" s="16"/>
      <c r="JM648" s="16"/>
      <c r="JN648" s="16"/>
      <c r="JO648" s="16"/>
      <c r="JP648" s="16"/>
      <c r="JQ648" s="16"/>
      <c r="JR648" s="16"/>
      <c r="JS648" s="16"/>
      <c r="JT648" s="16"/>
      <c r="JU648" s="16"/>
      <c r="JV648" s="16"/>
      <c r="JW648" s="16"/>
      <c r="JX648" s="16"/>
      <c r="JY648" s="77"/>
      <c r="JZ648" s="77"/>
      <c r="KA648" s="77"/>
      <c r="KB648" s="77"/>
      <c r="KC648" s="77"/>
      <c r="KD648" s="77"/>
      <c r="KE648" s="77"/>
      <c r="KF648" s="77"/>
      <c r="KG648" s="77"/>
      <c r="KH648" s="77"/>
      <c r="KI648" s="77"/>
      <c r="KJ648" s="77"/>
      <c r="KK648" s="77"/>
      <c r="KL648" s="77"/>
      <c r="LW648" s="77"/>
      <c r="LX648" s="77"/>
      <c r="LY648" s="77"/>
      <c r="LZ648" s="77"/>
      <c r="MA648" s="77"/>
      <c r="MB648" s="77"/>
      <c r="MC648" s="77"/>
      <c r="MD648" s="77"/>
      <c r="ME648" s="77"/>
      <c r="MF648" s="77"/>
      <c r="MG648" s="77"/>
      <c r="MH648" s="77"/>
      <c r="MI648" s="77"/>
      <c r="MJ648" s="77"/>
      <c r="MK648" s="77"/>
      <c r="ML648" s="77"/>
      <c r="MM648" s="77"/>
      <c r="MN648" s="77"/>
      <c r="MO648" s="77"/>
      <c r="MP648" s="77"/>
      <c r="MQ648" s="77"/>
      <c r="MR648" s="77"/>
      <c r="ND648" s="77"/>
    </row>
    <row r="649" spans="1:368" s="21" customFormat="1" ht="18.600000000000001" customHeight="1" x14ac:dyDescent="0.25">
      <c r="A649" s="119" t="s">
        <v>3050</v>
      </c>
      <c r="B649" s="27" t="s">
        <v>4006</v>
      </c>
      <c r="C649" s="27" t="s">
        <v>4007</v>
      </c>
      <c r="D649" s="31" t="s">
        <v>3049</v>
      </c>
      <c r="E649" s="30" t="str">
        <f>HYPERLINK("http://twiplomacy.com/info/africa/Tanzania","http://twiplomacy.com/info/africa/Tanzania")</f>
        <v>http://twiplomacy.com/info/africa/Tanzania</v>
      </c>
      <c r="F649" s="10" t="s">
        <v>1</v>
      </c>
      <c r="G649" s="10" t="s">
        <v>127</v>
      </c>
      <c r="H649" s="10" t="s">
        <v>772</v>
      </c>
      <c r="I649" s="10" t="s">
        <v>773</v>
      </c>
      <c r="J649" s="27" t="s">
        <v>789</v>
      </c>
      <c r="K649" s="15" t="s">
        <v>777</v>
      </c>
      <c r="L649" s="10"/>
      <c r="M649" s="10" t="s">
        <v>771</v>
      </c>
      <c r="N649" s="30" t="s">
        <v>3132</v>
      </c>
      <c r="O649" s="27" t="s">
        <v>3206</v>
      </c>
      <c r="P649" s="80">
        <v>1249</v>
      </c>
      <c r="Q649" s="80">
        <v>1447</v>
      </c>
      <c r="R649" s="27" t="s">
        <v>2994</v>
      </c>
      <c r="S649" s="10" t="s">
        <v>3062</v>
      </c>
      <c r="T649" s="10" t="s">
        <v>771</v>
      </c>
      <c r="U649" s="10" t="s">
        <v>771</v>
      </c>
      <c r="V649" s="10" t="s">
        <v>771</v>
      </c>
      <c r="W649" s="10"/>
      <c r="X649" s="27" t="s">
        <v>3050</v>
      </c>
      <c r="Y649" s="27" t="s">
        <v>4006</v>
      </c>
      <c r="Z649" s="80">
        <v>137</v>
      </c>
      <c r="AA649" s="27">
        <v>4</v>
      </c>
      <c r="AB649" s="80">
        <v>136993</v>
      </c>
      <c r="AC649" s="27">
        <v>0</v>
      </c>
      <c r="AD649" s="27" t="s">
        <v>4008</v>
      </c>
      <c r="AE649" s="27">
        <v>3378377920</v>
      </c>
      <c r="AF649" s="27" t="s">
        <v>4007</v>
      </c>
      <c r="AG649" s="27" t="s">
        <v>127</v>
      </c>
      <c r="AH649" s="79">
        <v>0.47079037800687301</v>
      </c>
      <c r="AI649" s="83">
        <v>0.55241935483870996</v>
      </c>
      <c r="AJ649" s="80">
        <v>205.54807692307699</v>
      </c>
      <c r="AK649" s="80">
        <v>312.34615384615398</v>
      </c>
      <c r="AL649" s="13">
        <v>0</v>
      </c>
      <c r="AM649" s="97">
        <f>SUM(AL649/Z649)</f>
        <v>0</v>
      </c>
      <c r="AN649" s="27" t="s">
        <v>3050</v>
      </c>
      <c r="AO649" s="27">
        <v>0</v>
      </c>
      <c r="AP649" s="27">
        <v>8</v>
      </c>
      <c r="AQ649" s="27">
        <v>1</v>
      </c>
      <c r="AR649" s="27">
        <f>SUM(AO649:AQ649)</f>
        <v>9</v>
      </c>
      <c r="AS649" s="27"/>
      <c r="AT649" s="27" t="s">
        <v>6311</v>
      </c>
      <c r="AU649" s="84" t="s">
        <v>66</v>
      </c>
      <c r="AV649" s="77"/>
      <c r="AW649" s="77"/>
      <c r="AX649" s="77"/>
      <c r="AY649" s="77"/>
      <c r="AZ649" s="77"/>
      <c r="BA649" s="77"/>
      <c r="BB649" s="77"/>
      <c r="BC649" s="77"/>
      <c r="BD649" s="77"/>
      <c r="BE649" s="77"/>
      <c r="BF649" s="77"/>
      <c r="BG649" s="77"/>
      <c r="BH649" s="77"/>
      <c r="BI649" s="77"/>
      <c r="BJ649" s="77"/>
      <c r="BK649" s="77"/>
      <c r="BL649" s="77"/>
      <c r="BM649" s="77"/>
      <c r="BN649" s="77"/>
      <c r="BO649" s="77"/>
      <c r="BP649" s="77"/>
      <c r="BQ649" s="71"/>
      <c r="BR649" s="71"/>
      <c r="BS649" s="71"/>
      <c r="BT649" s="71"/>
      <c r="BU649" s="71"/>
      <c r="BV649" s="71"/>
      <c r="BW649" s="71"/>
      <c r="BX649" s="71"/>
      <c r="BY649" s="71"/>
      <c r="BZ649" s="71"/>
      <c r="CA649" s="71"/>
      <c r="CB649" s="71"/>
      <c r="CC649" s="77"/>
      <c r="CD649" s="77"/>
      <c r="CE649" s="77"/>
      <c r="CF649" s="77"/>
      <c r="CG649" s="77"/>
      <c r="CH649" s="77"/>
      <c r="CI649" s="77"/>
      <c r="CJ649" s="77"/>
      <c r="CK649" s="77"/>
      <c r="CL649" s="77"/>
      <c r="CM649" s="77"/>
      <c r="CN649" s="77"/>
      <c r="CO649" s="77"/>
      <c r="CP649" s="77"/>
      <c r="CQ649" s="77"/>
      <c r="CR649" s="77"/>
      <c r="CS649" s="77"/>
      <c r="CT649" s="77"/>
      <c r="CU649" s="77"/>
      <c r="CV649" s="77"/>
      <c r="CW649" s="77"/>
      <c r="CX649" s="77"/>
      <c r="CY649" s="77"/>
      <c r="CZ649" s="77"/>
      <c r="DA649" s="77"/>
      <c r="DB649" s="77"/>
      <c r="DC649" s="77"/>
      <c r="DD649" s="77"/>
      <c r="DE649" s="77"/>
      <c r="DF649" s="77"/>
      <c r="DG649" s="77"/>
      <c r="DH649" s="77"/>
      <c r="DI649" s="77"/>
      <c r="DJ649" s="77"/>
      <c r="DK649" s="77"/>
      <c r="DL649" s="77"/>
      <c r="DM649" s="77"/>
      <c r="DN649" s="77"/>
      <c r="DO649" s="77"/>
      <c r="DP649" s="77"/>
      <c r="DQ649" s="77"/>
      <c r="DR649" s="77"/>
      <c r="DS649" s="77"/>
      <c r="DT649" s="77"/>
      <c r="DU649" s="77"/>
      <c r="DV649" s="77"/>
      <c r="DW649" s="77"/>
      <c r="DX649" s="77"/>
      <c r="DY649" s="77"/>
      <c r="DZ649" s="77"/>
      <c r="EA649" s="77"/>
      <c r="EB649" s="77"/>
      <c r="EC649" s="77"/>
      <c r="ED649" s="77"/>
      <c r="EE649" s="77"/>
      <c r="EF649" s="77"/>
      <c r="EG649" s="77"/>
      <c r="EH649" s="77"/>
      <c r="EI649" s="77"/>
      <c r="EJ649" s="77"/>
      <c r="EK649" s="77"/>
      <c r="EL649" s="77"/>
      <c r="EM649" s="77"/>
      <c r="EN649" s="77"/>
      <c r="EO649" s="77"/>
      <c r="EP649" s="77"/>
      <c r="ER649" s="77"/>
      <c r="ES649" s="77"/>
      <c r="ET649" s="77"/>
      <c r="EU649" s="77"/>
      <c r="EV649" s="77"/>
      <c r="EW649" s="77"/>
      <c r="EX649" s="77"/>
      <c r="EY649" s="77"/>
      <c r="EZ649" s="77"/>
      <c r="FA649" s="77"/>
      <c r="FB649" s="77"/>
      <c r="FC649" s="77"/>
      <c r="FD649" s="77"/>
      <c r="FE649" s="77"/>
      <c r="FF649" s="77"/>
      <c r="FG649" s="77"/>
      <c r="FH649" s="77"/>
      <c r="FI649" s="77"/>
      <c r="FJ649" s="77"/>
      <c r="FK649" s="77"/>
      <c r="FL649" s="77"/>
      <c r="FM649" s="77"/>
      <c r="FN649" s="77"/>
      <c r="FO649" s="77"/>
      <c r="FP649" s="77"/>
      <c r="FQ649" s="77"/>
      <c r="FR649" s="77"/>
      <c r="FS649" s="77"/>
      <c r="FT649" s="77"/>
      <c r="FU649" s="77"/>
      <c r="FV649" s="77"/>
      <c r="FW649" s="77"/>
      <c r="FX649" s="77"/>
      <c r="FY649" s="77"/>
      <c r="FZ649" s="77"/>
      <c r="GA649" s="77"/>
      <c r="GB649" s="77"/>
      <c r="GC649" s="77"/>
      <c r="GD649" s="77"/>
      <c r="GE649" s="77"/>
      <c r="GF649" s="77"/>
      <c r="GG649" s="77"/>
      <c r="GH649" s="77"/>
      <c r="GI649" s="77"/>
      <c r="GJ649" s="77"/>
      <c r="GK649" s="77"/>
      <c r="HL649" s="77"/>
      <c r="HM649" s="77"/>
      <c r="HN649" s="77"/>
      <c r="HO649" s="77"/>
      <c r="HP649" s="77"/>
      <c r="HQ649" s="77"/>
      <c r="HR649" s="77"/>
      <c r="HS649" s="77"/>
      <c r="HT649" s="77"/>
      <c r="HU649" s="77"/>
      <c r="HV649" s="77"/>
      <c r="HW649" s="77"/>
      <c r="HX649" s="77"/>
      <c r="HY649" s="77"/>
      <c r="HZ649" s="77"/>
      <c r="IA649" s="77"/>
      <c r="IB649" s="77"/>
      <c r="IC649" s="77"/>
      <c r="ID649" s="77"/>
      <c r="IE649" s="77"/>
      <c r="IF649" s="77"/>
      <c r="IG649" s="77"/>
      <c r="IH649" s="77"/>
      <c r="II649" s="77"/>
      <c r="IJ649" s="77"/>
      <c r="IK649" s="77"/>
      <c r="IL649" s="77"/>
      <c r="IM649" s="77"/>
      <c r="IN649" s="77"/>
      <c r="IO649" s="77"/>
      <c r="IP649" s="77"/>
      <c r="IQ649" s="77"/>
      <c r="IR649" s="77"/>
      <c r="IS649" s="77"/>
      <c r="IT649" s="77"/>
      <c r="IU649" s="77"/>
      <c r="IV649" s="77"/>
      <c r="IW649" s="77"/>
      <c r="IX649" s="77"/>
      <c r="IY649" s="77"/>
      <c r="IZ649" s="77"/>
      <c r="JA649" s="77"/>
      <c r="JB649" s="77"/>
      <c r="JC649" s="77"/>
      <c r="JD649" s="77"/>
      <c r="JE649" s="77"/>
      <c r="JF649" s="77"/>
      <c r="JG649" s="77"/>
      <c r="JH649" s="77"/>
      <c r="JI649" s="77"/>
      <c r="JJ649" s="77"/>
      <c r="JK649" s="77"/>
      <c r="JL649" s="77"/>
      <c r="JM649" s="77"/>
      <c r="JN649" s="77"/>
      <c r="JO649" s="77"/>
      <c r="JP649" s="77"/>
      <c r="JQ649" s="77"/>
      <c r="JR649" s="77"/>
      <c r="JS649" s="77"/>
      <c r="JT649" s="77"/>
      <c r="JU649" s="77"/>
      <c r="JV649" s="77"/>
      <c r="JW649" s="77"/>
      <c r="JX649" s="77"/>
      <c r="KM649" s="77"/>
      <c r="KN649" s="77"/>
      <c r="KO649" s="77"/>
      <c r="KP649" s="77"/>
      <c r="KQ649" s="77"/>
      <c r="KR649" s="77"/>
      <c r="KS649" s="77"/>
      <c r="KT649" s="77"/>
      <c r="KU649" s="77"/>
      <c r="KV649" s="77"/>
      <c r="KW649" s="77"/>
      <c r="KX649" s="77"/>
      <c r="KY649" s="77"/>
      <c r="KZ649" s="77"/>
      <c r="LA649" s="77"/>
      <c r="LB649" s="77"/>
      <c r="LC649" s="77"/>
      <c r="LD649" s="77"/>
      <c r="LE649" s="77"/>
      <c r="LF649" s="77"/>
      <c r="LG649" s="77"/>
      <c r="LH649" s="77"/>
      <c r="LI649" s="77"/>
      <c r="LJ649" s="77"/>
      <c r="LK649" s="77"/>
      <c r="LL649" s="77"/>
      <c r="LM649" s="77"/>
      <c r="LN649" s="77"/>
      <c r="LO649" s="77"/>
      <c r="LP649" s="77"/>
      <c r="LQ649" s="77"/>
      <c r="LR649" s="77"/>
      <c r="LS649" s="77"/>
      <c r="LT649" s="77"/>
      <c r="LU649" s="77"/>
      <c r="LV649" s="77"/>
      <c r="LW649" s="77"/>
      <c r="LX649" s="77"/>
    </row>
    <row r="650" spans="1:368" s="21" customFormat="1" ht="18.600000000000001" customHeight="1" x14ac:dyDescent="0.25">
      <c r="A650" s="119" t="s">
        <v>1506</v>
      </c>
      <c r="B650" s="27" t="s">
        <v>1507</v>
      </c>
      <c r="C650" s="27" t="s">
        <v>1508</v>
      </c>
      <c r="D650" s="30" t="str">
        <f>HYPERLINK("https://twitter.com/zasagmn","https://twitter.com/zasagmn")</f>
        <v>https://twitter.com/zasagmn</v>
      </c>
      <c r="E650" s="30" t="str">
        <f>HYPERLINK("http://twiplomacy.com/info/asia/Mongolia","http://twiplomacy.com/info/asia/Mongolia")</f>
        <v>http://twiplomacy.com/info/asia/Mongolia</v>
      </c>
      <c r="F650" s="10" t="s">
        <v>154</v>
      </c>
      <c r="G650" s="10" t="s">
        <v>252</v>
      </c>
      <c r="H650" s="10" t="s">
        <v>788</v>
      </c>
      <c r="I650" s="10" t="s">
        <v>782</v>
      </c>
      <c r="J650" s="27" t="s">
        <v>789</v>
      </c>
      <c r="K650" s="15" t="s">
        <v>1509</v>
      </c>
      <c r="L650" s="10" t="s">
        <v>771</v>
      </c>
      <c r="M650" s="10" t="s">
        <v>771</v>
      </c>
      <c r="N650" s="30" t="str">
        <f>HYPERLINK("https://twitter.com/zasagmn/statuses/306331373080297473","https://twitter.com/zasagmn/statuses/306331373080297473")</f>
        <v>https://twitter.com/zasagmn/statuses/306331373080297473</v>
      </c>
      <c r="O650" s="27" t="s">
        <v>1510</v>
      </c>
      <c r="P650" s="80">
        <v>6</v>
      </c>
      <c r="Q650" s="80">
        <v>1</v>
      </c>
      <c r="R650" s="27" t="s">
        <v>2995</v>
      </c>
      <c r="S650" s="30" t="str">
        <f>HYPERLINK("https://twitter.com/zasagmn/lists","https://twitter.com/zasagmn/lists")</f>
        <v>https://twitter.com/zasagmn/lists</v>
      </c>
      <c r="T650" s="10">
        <v>1</v>
      </c>
      <c r="U650" s="10" t="s">
        <v>771</v>
      </c>
      <c r="V650" s="10" t="s">
        <v>771</v>
      </c>
      <c r="W650" s="10"/>
      <c r="X650" s="27" t="s">
        <v>1506</v>
      </c>
      <c r="Y650" s="27" t="s">
        <v>1507</v>
      </c>
      <c r="Z650" s="80">
        <v>137</v>
      </c>
      <c r="AA650" s="27">
        <v>62</v>
      </c>
      <c r="AB650" s="80">
        <v>615</v>
      </c>
      <c r="AC650" s="27">
        <v>0</v>
      </c>
      <c r="AD650" s="27" t="s">
        <v>4605</v>
      </c>
      <c r="AE650" s="27">
        <v>806124644</v>
      </c>
      <c r="AF650" s="27" t="s">
        <v>1508</v>
      </c>
      <c r="AG650" s="27"/>
      <c r="AH650" s="79">
        <v>0.10269865067466299</v>
      </c>
      <c r="AI650" s="83">
        <v>0.51724137931034497</v>
      </c>
      <c r="AJ650" s="80">
        <v>0.42857142857142899</v>
      </c>
      <c r="AK650" s="80">
        <v>0.17293233082706799</v>
      </c>
      <c r="AL650" s="96">
        <v>21</v>
      </c>
      <c r="AM650" s="97">
        <f>SUM(AL650/Z650)</f>
        <v>0.15328467153284672</v>
      </c>
      <c r="AN650" s="27" t="s">
        <v>1506</v>
      </c>
      <c r="AO650" s="27">
        <v>1</v>
      </c>
      <c r="AP650" s="27">
        <v>2</v>
      </c>
      <c r="AQ650" s="27">
        <v>0</v>
      </c>
      <c r="AR650" s="27">
        <f>SUM(AO650:AQ650)</f>
        <v>3</v>
      </c>
      <c r="AS650" s="27" t="s">
        <v>253</v>
      </c>
      <c r="AT650" s="27" t="s">
        <v>5055</v>
      </c>
      <c r="AU650" s="84"/>
      <c r="BM650" s="77"/>
      <c r="BN650" s="77"/>
      <c r="BO650" s="77"/>
      <c r="BP650" s="77"/>
      <c r="BQ650" s="77"/>
      <c r="BR650" s="77"/>
      <c r="BS650" s="77"/>
      <c r="BT650" s="77"/>
      <c r="BU650" s="77"/>
      <c r="BV650" s="77"/>
      <c r="BW650" s="77"/>
      <c r="BX650" s="77"/>
      <c r="BY650" s="77"/>
      <c r="BZ650" s="77"/>
      <c r="CA650" s="77"/>
      <c r="CB650" s="77"/>
      <c r="CC650" s="77"/>
      <c r="CD650" s="77"/>
      <c r="CE650" s="77"/>
      <c r="CF650" s="77"/>
      <c r="CG650" s="77"/>
      <c r="CH650" s="77"/>
      <c r="CI650" s="77"/>
      <c r="CJ650" s="77"/>
      <c r="CK650" s="77"/>
      <c r="CL650" s="77"/>
      <c r="CM650" s="77"/>
      <c r="CN650" s="77"/>
      <c r="CO650" s="77"/>
      <c r="CP650" s="77"/>
      <c r="CQ650" s="77"/>
      <c r="CR650" s="77"/>
      <c r="CS650" s="77"/>
      <c r="CT650" s="77"/>
      <c r="CU650" s="77"/>
      <c r="CV650" s="77"/>
      <c r="CW650" s="77"/>
      <c r="CX650" s="77"/>
      <c r="CY650" s="77"/>
      <c r="CZ650" s="77"/>
      <c r="DA650" s="77"/>
      <c r="DB650" s="77"/>
      <c r="DC650" s="77"/>
      <c r="DD650" s="77"/>
      <c r="DE650" s="77"/>
      <c r="DF650" s="77"/>
      <c r="DG650" s="77"/>
      <c r="DH650" s="77"/>
      <c r="DI650" s="77"/>
      <c r="DJ650" s="77"/>
      <c r="DK650" s="77"/>
      <c r="DL650" s="77"/>
      <c r="DM650" s="77"/>
      <c r="DN650" s="77"/>
      <c r="DO650" s="77"/>
      <c r="DP650" s="77"/>
      <c r="DQ650" s="77"/>
      <c r="DR650" s="77"/>
      <c r="DS650" s="77"/>
      <c r="DT650" s="77"/>
      <c r="DU650" s="77"/>
      <c r="DV650" s="77"/>
      <c r="DW650" s="77"/>
      <c r="DX650" s="77"/>
      <c r="DY650" s="77"/>
      <c r="DZ650" s="77"/>
      <c r="EA650" s="77"/>
      <c r="EB650" s="77"/>
      <c r="EC650" s="77"/>
      <c r="ED650" s="77"/>
      <c r="EE650" s="77"/>
      <c r="EF650" s="77"/>
      <c r="EG650" s="77"/>
      <c r="EH650" s="77"/>
      <c r="EI650" s="77"/>
      <c r="EJ650" s="77"/>
      <c r="EK650" s="77"/>
      <c r="EL650" s="77"/>
      <c r="EM650" s="77"/>
      <c r="EN650" s="77"/>
      <c r="EO650" s="77"/>
      <c r="EP650" s="77"/>
      <c r="EQ650" s="77"/>
      <c r="ER650" s="77"/>
      <c r="ES650" s="77"/>
      <c r="ET650" s="77"/>
      <c r="EU650" s="77"/>
      <c r="EV650" s="77"/>
      <c r="EW650" s="77"/>
      <c r="EX650" s="77"/>
      <c r="EY650" s="77"/>
      <c r="EZ650" s="77"/>
      <c r="FA650" s="77"/>
      <c r="FB650" s="77"/>
      <c r="FC650" s="77"/>
      <c r="FD650" s="77"/>
      <c r="FE650" s="77"/>
      <c r="FF650" s="77"/>
      <c r="FG650" s="77"/>
      <c r="FH650" s="77"/>
      <c r="FI650" s="77"/>
      <c r="FJ650" s="77"/>
      <c r="FK650" s="77"/>
      <c r="FL650" s="77"/>
      <c r="FM650" s="77"/>
      <c r="FN650" s="77"/>
      <c r="FO650" s="77"/>
      <c r="FP650" s="77"/>
      <c r="FQ650" s="77"/>
      <c r="FR650" s="77"/>
      <c r="FS650" s="77"/>
      <c r="FT650" s="77"/>
      <c r="FU650" s="77"/>
      <c r="FV650" s="77"/>
      <c r="FW650" s="77"/>
      <c r="FX650" s="77"/>
      <c r="FY650" s="77"/>
      <c r="FZ650" s="77"/>
      <c r="GA650" s="77"/>
      <c r="GB650" s="77"/>
      <c r="GC650" s="77"/>
      <c r="GD650" s="77"/>
      <c r="GE650" s="77"/>
      <c r="GF650" s="77"/>
      <c r="GG650" s="77"/>
      <c r="GH650" s="77"/>
      <c r="GI650" s="77"/>
      <c r="GJ650" s="77"/>
      <c r="GK650" s="77"/>
      <c r="HL650" s="77"/>
      <c r="HM650" s="77"/>
      <c r="HN650" s="77"/>
      <c r="HO650" s="77"/>
      <c r="HP650" s="77"/>
      <c r="HQ650" s="77"/>
      <c r="HR650" s="77"/>
      <c r="HS650" s="77"/>
      <c r="HT650" s="77"/>
      <c r="HU650" s="77"/>
      <c r="HV650" s="77"/>
      <c r="HW650" s="77"/>
      <c r="HX650" s="77"/>
      <c r="HY650" s="77"/>
      <c r="HZ650" s="77"/>
      <c r="IA650" s="77"/>
      <c r="IB650" s="77"/>
      <c r="IC650" s="77"/>
      <c r="IF650" s="77"/>
      <c r="IG650" s="77"/>
      <c r="IH650" s="77"/>
      <c r="II650" s="77"/>
      <c r="IJ650" s="77"/>
      <c r="IK650" s="77"/>
      <c r="IL650" s="77"/>
      <c r="IM650" s="77"/>
      <c r="IN650" s="77"/>
      <c r="IO650" s="77"/>
      <c r="IP650" s="77"/>
      <c r="IQ650" s="77"/>
      <c r="IR650" s="77"/>
      <c r="IS650" s="77"/>
      <c r="IT650" s="77"/>
      <c r="IU650" s="77"/>
      <c r="IV650" s="77"/>
      <c r="IW650" s="77"/>
      <c r="IX650" s="77"/>
      <c r="IY650" s="77"/>
      <c r="IZ650" s="77"/>
      <c r="JA650" s="77"/>
      <c r="JB650" s="77"/>
      <c r="JC650" s="77"/>
      <c r="JD650" s="77"/>
      <c r="JE650" s="77"/>
      <c r="JF650" s="77"/>
      <c r="JG650" s="77"/>
      <c r="JH650" s="77"/>
      <c r="JI650" s="77"/>
      <c r="JJ650" s="77"/>
      <c r="JK650" s="77"/>
      <c r="JL650" s="77"/>
      <c r="JM650" s="77"/>
      <c r="JN650" s="77"/>
      <c r="JO650" s="77"/>
      <c r="JP650" s="77"/>
      <c r="JQ650" s="77"/>
      <c r="JR650" s="77"/>
      <c r="JS650" s="77"/>
      <c r="JT650" s="77"/>
      <c r="JU650" s="77"/>
      <c r="JV650" s="77"/>
      <c r="JW650" s="77"/>
      <c r="JX650" s="77"/>
      <c r="LW650" s="77"/>
      <c r="LX650" s="77"/>
      <c r="MS650" s="77"/>
      <c r="ND650" s="77"/>
    </row>
    <row r="651" spans="1:368" s="21" customFormat="1" ht="18.600000000000001" customHeight="1" x14ac:dyDescent="0.25">
      <c r="A651" s="119" t="s">
        <v>23</v>
      </c>
      <c r="B651" s="27" t="s">
        <v>817</v>
      </c>
      <c r="C651" s="27" t="s">
        <v>818</v>
      </c>
      <c r="D651" s="72" t="str">
        <f>HYPERLINK("https://twitter.com/MKOfficiel","https://twitter.com/MKOfficiel")</f>
        <v>https://twitter.com/MKOfficiel</v>
      </c>
      <c r="E651" s="72" t="s">
        <v>819</v>
      </c>
      <c r="F651" s="20" t="s">
        <v>1</v>
      </c>
      <c r="G651" s="10" t="s">
        <v>21</v>
      </c>
      <c r="H651" s="10" t="s">
        <v>776</v>
      </c>
      <c r="I651" s="10" t="s">
        <v>773</v>
      </c>
      <c r="J651" s="27" t="s">
        <v>779</v>
      </c>
      <c r="K651" s="15" t="s">
        <v>970</v>
      </c>
      <c r="L651" s="10" t="s">
        <v>771</v>
      </c>
      <c r="M651" s="10" t="s">
        <v>770</v>
      </c>
      <c r="N651" s="30" t="str">
        <f>HYPERLINK("https://twitter.com/MKOfficiel/status/535823667964690432","https://twitter.com/MKOfficiel/status/535823667964690432")</f>
        <v>https://twitter.com/MKOfficiel/status/535823667964690432</v>
      </c>
      <c r="O651" s="27" t="s">
        <v>820</v>
      </c>
      <c r="P651" s="80">
        <v>7</v>
      </c>
      <c r="Q651" s="80">
        <v>3</v>
      </c>
      <c r="R651" s="27" t="s">
        <v>2995</v>
      </c>
      <c r="S651" s="30" t="str">
        <f>HYPERLINK("https://twitter.com/MKOfficiel/lists","https://twitter.com/MKOfficiel/lists")</f>
        <v>https://twitter.com/MKOfficiel/lists</v>
      </c>
      <c r="T651" s="10" t="s">
        <v>771</v>
      </c>
      <c r="U651" s="10" t="s">
        <v>771</v>
      </c>
      <c r="V651" s="10" t="s">
        <v>771</v>
      </c>
      <c r="W651" s="10"/>
      <c r="X651" s="27" t="s">
        <v>23</v>
      </c>
      <c r="Y651" s="27" t="s">
        <v>817</v>
      </c>
      <c r="Z651" s="80">
        <v>135</v>
      </c>
      <c r="AA651" s="27">
        <v>124</v>
      </c>
      <c r="AB651" s="80">
        <v>327</v>
      </c>
      <c r="AC651" s="27">
        <v>8</v>
      </c>
      <c r="AD651" s="27" t="s">
        <v>4134</v>
      </c>
      <c r="AE651" s="27">
        <v>2886990785</v>
      </c>
      <c r="AF651" s="27" t="s">
        <v>818</v>
      </c>
      <c r="AG651" s="27" t="s">
        <v>821</v>
      </c>
      <c r="AH651" s="79">
        <v>0.25568181818181801</v>
      </c>
      <c r="AI651" s="83">
        <v>0.63809523809523805</v>
      </c>
      <c r="AJ651" s="80">
        <v>0.898876404494382</v>
      </c>
      <c r="AK651" s="80">
        <v>0.550561797752809</v>
      </c>
      <c r="AL651" s="27">
        <v>7</v>
      </c>
      <c r="AM651" s="97">
        <f>SUM(AL651/Z651)</f>
        <v>5.185185185185185E-2</v>
      </c>
      <c r="AN651" s="27" t="s">
        <v>23</v>
      </c>
      <c r="AO651" s="27">
        <v>10</v>
      </c>
      <c r="AP651" s="27">
        <v>1</v>
      </c>
      <c r="AQ651" s="27">
        <v>1</v>
      </c>
      <c r="AR651" s="27">
        <f>SUM(AO651:AQ651)</f>
        <v>12</v>
      </c>
      <c r="AS651" s="27" t="s">
        <v>5331</v>
      </c>
      <c r="AT651" s="27" t="s">
        <v>705</v>
      </c>
      <c r="AU651" s="84" t="s">
        <v>398</v>
      </c>
      <c r="AV651" s="77"/>
      <c r="AW651" s="77"/>
      <c r="AX651" s="77"/>
      <c r="AY651" s="77"/>
      <c r="AZ651" s="77"/>
      <c r="BA651" s="77"/>
      <c r="BB651" s="77"/>
      <c r="BC651" s="77"/>
      <c r="BD651" s="77"/>
      <c r="BE651" s="77"/>
      <c r="BF651" s="77"/>
      <c r="BG651" s="77"/>
      <c r="BH651" s="77"/>
      <c r="BI651" s="77"/>
      <c r="BJ651" s="77"/>
      <c r="BK651" s="77"/>
      <c r="BL651" s="77"/>
      <c r="BM651" s="77"/>
      <c r="BN651" s="77"/>
      <c r="BO651" s="77"/>
      <c r="BP651" s="77"/>
      <c r="BQ651" s="77"/>
      <c r="BR651" s="77"/>
      <c r="BS651" s="77"/>
      <c r="BT651" s="77"/>
      <c r="BU651" s="77"/>
      <c r="BV651" s="77"/>
      <c r="BW651" s="77"/>
      <c r="BX651" s="77"/>
      <c r="BY651" s="77"/>
      <c r="BZ651" s="77"/>
      <c r="CA651" s="77"/>
      <c r="CB651" s="77"/>
      <c r="CC651" s="77"/>
      <c r="CD651" s="77"/>
      <c r="CE651" s="77"/>
      <c r="CF651" s="77"/>
      <c r="CG651" s="77"/>
      <c r="CH651" s="77"/>
      <c r="CI651" s="77"/>
      <c r="CJ651" s="77"/>
      <c r="CK651" s="77"/>
      <c r="CL651" s="77"/>
      <c r="CM651" s="77"/>
      <c r="CN651" s="77"/>
      <c r="CO651" s="77"/>
      <c r="CP651" s="77"/>
      <c r="CQ651" s="77"/>
      <c r="CR651" s="77"/>
      <c r="CS651" s="77"/>
      <c r="CT651" s="77"/>
      <c r="CU651" s="77"/>
      <c r="CV651" s="77"/>
      <c r="CW651" s="77"/>
      <c r="CX651" s="77"/>
      <c r="CY651" s="77"/>
      <c r="CZ651" s="77"/>
      <c r="DA651" s="77"/>
      <c r="DB651" s="77"/>
      <c r="DC651" s="77"/>
      <c r="DD651" s="77"/>
      <c r="DE651" s="77"/>
      <c r="DF651" s="77"/>
      <c r="DG651" s="77"/>
      <c r="DH651" s="77"/>
      <c r="DI651" s="77"/>
      <c r="DJ651" s="77"/>
      <c r="DK651" s="77"/>
      <c r="DL651" s="77"/>
      <c r="DM651" s="77"/>
      <c r="DN651" s="77"/>
      <c r="DO651" s="77"/>
      <c r="DP651" s="77"/>
      <c r="DQ651" s="77"/>
      <c r="DR651" s="77"/>
      <c r="DS651" s="77"/>
      <c r="DT651" s="77"/>
      <c r="DU651" s="77"/>
      <c r="DV651" s="77"/>
      <c r="DW651" s="77"/>
      <c r="DX651" s="77"/>
      <c r="DY651" s="77"/>
      <c r="DZ651" s="77"/>
      <c r="EA651" s="77"/>
      <c r="EB651" s="77"/>
      <c r="EC651" s="77"/>
      <c r="ED651" s="77"/>
      <c r="EE651" s="77"/>
      <c r="EF651" s="77"/>
      <c r="EG651" s="77"/>
      <c r="EH651" s="77"/>
      <c r="EI651" s="77"/>
      <c r="EJ651" s="77"/>
      <c r="EK651" s="77"/>
      <c r="EL651" s="77"/>
      <c r="EP651" s="77"/>
      <c r="EQ651" s="77"/>
      <c r="ER651" s="77"/>
      <c r="ES651" s="77"/>
      <c r="ET651" s="77"/>
      <c r="EU651" s="77"/>
      <c r="EV651" s="77"/>
      <c r="EW651" s="77"/>
      <c r="EX651" s="77"/>
      <c r="EY651" s="77"/>
      <c r="EZ651" s="77"/>
      <c r="FA651" s="77"/>
      <c r="FB651" s="77"/>
      <c r="FC651" s="77"/>
      <c r="FD651" s="77"/>
      <c r="FE651" s="77"/>
      <c r="FF651" s="77"/>
      <c r="FG651" s="77"/>
      <c r="FH651" s="77"/>
      <c r="FI651" s="77"/>
      <c r="FJ651" s="77"/>
      <c r="FK651" s="77"/>
      <c r="FL651" s="77"/>
      <c r="FM651" s="77"/>
      <c r="FN651" s="77"/>
      <c r="FO651" s="77"/>
      <c r="FP651" s="77"/>
      <c r="FQ651" s="77"/>
      <c r="FR651" s="77"/>
      <c r="FS651" s="77"/>
      <c r="FT651" s="77"/>
      <c r="FU651" s="77"/>
      <c r="FV651" s="77"/>
      <c r="FW651" s="77"/>
      <c r="FX651" s="77"/>
      <c r="FY651" s="77"/>
      <c r="FZ651" s="77"/>
      <c r="GA651" s="77"/>
      <c r="GB651" s="77"/>
      <c r="GC651" s="77"/>
      <c r="GD651" s="77"/>
      <c r="GE651" s="77"/>
      <c r="GF651" s="77"/>
      <c r="GG651" s="77"/>
      <c r="GH651" s="77"/>
      <c r="GI651" s="77"/>
      <c r="GJ651" s="77"/>
      <c r="GK651" s="77"/>
      <c r="GL651" s="77"/>
      <c r="GM651" s="77"/>
      <c r="GN651" s="77"/>
      <c r="GO651" s="77"/>
      <c r="GP651" s="77"/>
      <c r="GQ651" s="77"/>
      <c r="GR651" s="77"/>
      <c r="GS651" s="77"/>
      <c r="GT651" s="77"/>
      <c r="GU651" s="77"/>
      <c r="GV651" s="77"/>
      <c r="GW651" s="77"/>
      <c r="GX651" s="77"/>
      <c r="GY651" s="77"/>
      <c r="GZ651" s="77"/>
      <c r="HA651" s="77"/>
      <c r="HB651" s="77"/>
      <c r="HC651" s="77"/>
      <c r="HD651" s="77"/>
      <c r="HE651" s="77"/>
      <c r="HF651" s="77"/>
      <c r="HG651" s="77"/>
      <c r="HH651" s="77"/>
      <c r="HI651" s="77"/>
      <c r="HJ651" s="77"/>
      <c r="HK651" s="77"/>
      <c r="JY651" s="77"/>
      <c r="JZ651" s="77"/>
      <c r="KA651" s="77"/>
      <c r="KB651" s="77"/>
      <c r="KC651" s="77"/>
      <c r="KD651" s="77"/>
      <c r="KE651" s="77"/>
      <c r="KF651" s="77"/>
      <c r="KG651" s="77"/>
      <c r="KH651" s="77"/>
      <c r="KI651" s="77"/>
      <c r="KJ651" s="77"/>
      <c r="KK651" s="77"/>
      <c r="KL651" s="77"/>
      <c r="KM651" s="77"/>
      <c r="KN651" s="77"/>
      <c r="KO651" s="77"/>
      <c r="KP651" s="77"/>
      <c r="KQ651" s="77"/>
      <c r="KR651" s="77"/>
      <c r="KS651" s="77"/>
      <c r="KT651" s="77"/>
      <c r="KU651" s="77"/>
      <c r="KV651" s="77"/>
      <c r="KW651" s="77"/>
      <c r="KX651" s="77"/>
      <c r="KY651" s="77"/>
      <c r="KZ651" s="77"/>
      <c r="LA651" s="77"/>
      <c r="LB651" s="77"/>
      <c r="LC651" s="77"/>
      <c r="LD651" s="77"/>
      <c r="LE651" s="77"/>
      <c r="LF651" s="77"/>
      <c r="LG651" s="77"/>
      <c r="LH651" s="77"/>
      <c r="LI651" s="77"/>
      <c r="LJ651" s="77"/>
      <c r="LK651" s="77"/>
      <c r="LW651" s="77"/>
      <c r="LX651" s="77"/>
      <c r="LY651" s="77"/>
      <c r="LZ651" s="77"/>
      <c r="MA651" s="77"/>
      <c r="MB651" s="77"/>
      <c r="MC651" s="77"/>
      <c r="MD651" s="77"/>
      <c r="ME651" s="77"/>
      <c r="MF651" s="77"/>
      <c r="MG651" s="77"/>
      <c r="MH651" s="77"/>
      <c r="MI651" s="77"/>
      <c r="MJ651" s="77"/>
      <c r="MK651" s="77"/>
      <c r="ML651" s="77"/>
      <c r="MM651" s="77"/>
      <c r="MN651" s="77"/>
      <c r="MO651" s="77"/>
      <c r="MP651" s="77"/>
      <c r="MQ651" s="77"/>
      <c r="MR651" s="77"/>
      <c r="MS651" s="77"/>
    </row>
    <row r="652" spans="1:368" s="21" customFormat="1" ht="18.600000000000001" customHeight="1" x14ac:dyDescent="0.25">
      <c r="A652" s="119" t="s">
        <v>650</v>
      </c>
      <c r="B652" s="27" t="s">
        <v>2643</v>
      </c>
      <c r="C652" s="27" t="s">
        <v>2644</v>
      </c>
      <c r="D652" s="30" t="str">
        <f>HYPERLINK("https://twitter.com/MFAFiji","https://twitter.com/MFAFiji")</f>
        <v>https://twitter.com/MFAFiji</v>
      </c>
      <c r="E652" s="30" t="str">
        <f>HYPERLINK("http://twiplomacy.com/info/oceania/Fiji","http://twiplomacy.com/info/oceania/Fiji")</f>
        <v>http://twiplomacy.com/info/oceania/Fiji</v>
      </c>
      <c r="F652" s="10" t="s">
        <v>643</v>
      </c>
      <c r="G652" s="10" t="s">
        <v>647</v>
      </c>
      <c r="H652" s="10" t="s">
        <v>795</v>
      </c>
      <c r="I652" s="10" t="s">
        <v>782</v>
      </c>
      <c r="J652" s="27" t="s">
        <v>789</v>
      </c>
      <c r="K652" s="10" t="s">
        <v>777</v>
      </c>
      <c r="L652" s="10" t="s">
        <v>771</v>
      </c>
      <c r="M652" s="10" t="s">
        <v>771</v>
      </c>
      <c r="N652" s="30" t="str">
        <f>HYPERLINK("https://twitter.com/MFAFiji/status/560908480920317952","https://twitter.com/MFAFiji/status/560908480920317952")</f>
        <v>https://twitter.com/MFAFiji/status/560908480920317952</v>
      </c>
      <c r="O652" s="27" t="s">
        <v>2645</v>
      </c>
      <c r="P652" s="80">
        <v>12</v>
      </c>
      <c r="Q652" s="80">
        <v>1</v>
      </c>
      <c r="R652" s="27" t="s">
        <v>2995</v>
      </c>
      <c r="S652" s="30" t="str">
        <f>HYPERLINK("https://twitter.com/MFAFiji/lists","https://twitter.com/MFAFiji/lists")</f>
        <v>https://twitter.com/MFAFiji/lists</v>
      </c>
      <c r="T652" s="10" t="s">
        <v>771</v>
      </c>
      <c r="U652" s="10" t="s">
        <v>771</v>
      </c>
      <c r="V652" s="10" t="s">
        <v>771</v>
      </c>
      <c r="W652" s="10"/>
      <c r="X652" s="27" t="s">
        <v>650</v>
      </c>
      <c r="Y652" s="27" t="s">
        <v>2643</v>
      </c>
      <c r="Z652" s="80">
        <v>135</v>
      </c>
      <c r="AA652" s="27">
        <v>177</v>
      </c>
      <c r="AB652" s="80">
        <v>602</v>
      </c>
      <c r="AC652" s="27">
        <v>16</v>
      </c>
      <c r="AD652" s="27" t="s">
        <v>4076</v>
      </c>
      <c r="AE652" s="27">
        <v>3002448583</v>
      </c>
      <c r="AF652" s="27" t="s">
        <v>2644</v>
      </c>
      <c r="AG652" s="27" t="s">
        <v>2637</v>
      </c>
      <c r="AH652" s="79">
        <v>0.29475982532751099</v>
      </c>
      <c r="AI652" s="83">
        <v>0.29801324503311299</v>
      </c>
      <c r="AJ652" s="80">
        <v>1.3374999999999999</v>
      </c>
      <c r="AK652" s="80">
        <v>1.4875</v>
      </c>
      <c r="AL652" s="27">
        <v>6</v>
      </c>
      <c r="AM652" s="97">
        <f>SUM(AL652/Z652)</f>
        <v>4.4444444444444446E-2</v>
      </c>
      <c r="AN652" s="27" t="s">
        <v>650</v>
      </c>
      <c r="AO652" s="27">
        <v>19</v>
      </c>
      <c r="AP652" s="27">
        <v>9</v>
      </c>
      <c r="AQ652" s="27">
        <v>3</v>
      </c>
      <c r="AR652" s="27">
        <f>SUM(AO652:AQ652)</f>
        <v>31</v>
      </c>
      <c r="AS652" s="27" t="s">
        <v>6234</v>
      </c>
      <c r="AT652" s="27" t="s">
        <v>5300</v>
      </c>
      <c r="AU652" s="84" t="s">
        <v>5595</v>
      </c>
      <c r="AV652" s="71"/>
      <c r="AW652" s="71"/>
      <c r="AX652" s="71"/>
      <c r="AY652" s="71"/>
      <c r="AZ652" s="71"/>
      <c r="BA652" s="71"/>
      <c r="BB652" s="71"/>
      <c r="BC652" s="71"/>
      <c r="BD652" s="71"/>
      <c r="BE652" s="71"/>
      <c r="BF652" s="71"/>
      <c r="BG652" s="71"/>
      <c r="BH652" s="71"/>
      <c r="BI652" s="71"/>
      <c r="BJ652" s="71"/>
      <c r="BK652" s="71"/>
      <c r="BL652" s="71"/>
      <c r="BM652" s="71"/>
      <c r="BN652" s="77"/>
      <c r="BO652" s="77"/>
      <c r="BP652" s="77"/>
      <c r="BQ652" s="77"/>
      <c r="BR652" s="77"/>
      <c r="BS652" s="77"/>
      <c r="BT652" s="77"/>
      <c r="BU652" s="77"/>
      <c r="BV652" s="77"/>
      <c r="BW652" s="77"/>
      <c r="BX652" s="77"/>
      <c r="BY652" s="77"/>
      <c r="BZ652" s="77"/>
      <c r="CA652" s="77"/>
      <c r="CB652" s="77"/>
      <c r="CC652" s="77"/>
      <c r="CD652" s="77"/>
      <c r="CE652" s="77"/>
      <c r="CF652" s="77"/>
      <c r="CG652" s="77"/>
      <c r="CH652" s="77"/>
      <c r="CI652" s="77"/>
      <c r="CJ652" s="77"/>
      <c r="CK652" s="77"/>
      <c r="CL652" s="77"/>
      <c r="CM652" s="77"/>
      <c r="CN652" s="77"/>
      <c r="CO652" s="77"/>
      <c r="CP652" s="77"/>
      <c r="CQ652" s="77"/>
      <c r="CR652" s="77"/>
      <c r="CS652" s="77"/>
      <c r="CT652" s="77"/>
      <c r="CU652" s="77"/>
      <c r="CV652" s="77"/>
      <c r="CW652" s="77"/>
      <c r="CX652" s="77"/>
      <c r="CY652" s="77"/>
      <c r="CZ652" s="77"/>
      <c r="DA652" s="77"/>
      <c r="DB652" s="77"/>
      <c r="DC652" s="77"/>
      <c r="DD652" s="77"/>
      <c r="DE652" s="77"/>
      <c r="DF652" s="77"/>
      <c r="DG652" s="77"/>
      <c r="DH652" s="77"/>
      <c r="DI652" s="77"/>
      <c r="DJ652" s="77"/>
      <c r="DK652" s="77"/>
      <c r="DL652" s="77"/>
      <c r="DM652" s="77"/>
      <c r="DN652" s="77"/>
      <c r="DO652" s="77"/>
      <c r="DP652" s="77"/>
      <c r="DQ652" s="77"/>
      <c r="DR652" s="77"/>
      <c r="DS652" s="77"/>
      <c r="DT652" s="77"/>
      <c r="DU652" s="77"/>
      <c r="DV652" s="77"/>
      <c r="DW652" s="77"/>
      <c r="DX652" s="77"/>
      <c r="DY652" s="77"/>
      <c r="DZ652" s="77"/>
      <c r="EA652" s="77"/>
      <c r="EB652" s="77"/>
      <c r="EC652" s="77"/>
      <c r="ED652" s="77"/>
      <c r="EE652" s="77"/>
      <c r="EF652" s="77"/>
      <c r="EG652" s="77"/>
      <c r="EH652" s="77"/>
      <c r="EI652" s="77"/>
      <c r="EJ652" s="77"/>
      <c r="EK652" s="77"/>
      <c r="EL652" s="77"/>
      <c r="EM652" s="77"/>
      <c r="EN652" s="77"/>
      <c r="EO652" s="77"/>
      <c r="EP652" s="77"/>
      <c r="ER652" s="77"/>
      <c r="ES652" s="77"/>
      <c r="ET652" s="77"/>
      <c r="EU652" s="77"/>
      <c r="EV652" s="77"/>
      <c r="EW652" s="77"/>
      <c r="EX652" s="77"/>
      <c r="EY652" s="77"/>
      <c r="EZ652" s="77"/>
      <c r="FA652" s="77"/>
      <c r="FB652" s="77"/>
      <c r="FC652" s="77"/>
      <c r="FD652" s="77"/>
      <c r="FE652" s="77"/>
      <c r="FF652" s="77"/>
      <c r="FG652" s="77"/>
      <c r="FH652" s="77"/>
      <c r="FI652" s="77"/>
      <c r="FJ652" s="77"/>
      <c r="FK652" s="77"/>
      <c r="FL652" s="77"/>
      <c r="FM652" s="77"/>
      <c r="FN652" s="77"/>
      <c r="FO652" s="77"/>
      <c r="FP652" s="77"/>
      <c r="FQ652" s="77"/>
      <c r="FR652" s="77"/>
      <c r="FS652" s="77"/>
      <c r="FT652" s="77"/>
      <c r="FU652" s="77"/>
      <c r="FV652" s="77"/>
      <c r="FW652" s="77"/>
      <c r="FX652" s="77"/>
      <c r="FY652" s="77"/>
      <c r="FZ652" s="77"/>
      <c r="GA652" s="77"/>
      <c r="GB652" s="77"/>
      <c r="GC652" s="77"/>
      <c r="GD652" s="77"/>
      <c r="GE652" s="77"/>
      <c r="GF652" s="77"/>
      <c r="GG652" s="77"/>
      <c r="GH652" s="77"/>
      <c r="GI652" s="77"/>
      <c r="GJ652" s="77"/>
      <c r="GK652" s="77"/>
      <c r="GL652" s="77"/>
      <c r="GM652" s="77"/>
      <c r="GN652" s="77"/>
      <c r="GO652" s="77"/>
      <c r="GP652" s="77"/>
      <c r="GQ652" s="77"/>
      <c r="GR652" s="77"/>
      <c r="GS652" s="77"/>
      <c r="GT652" s="77"/>
      <c r="GU652" s="77"/>
      <c r="GV652" s="77"/>
      <c r="GW652" s="77"/>
      <c r="GX652" s="77"/>
      <c r="GY652" s="77"/>
      <c r="GZ652" s="77"/>
      <c r="HA652" s="77"/>
      <c r="HB652" s="77"/>
      <c r="HC652" s="77"/>
      <c r="HD652" s="77"/>
      <c r="HE652" s="77"/>
      <c r="HF652" s="77"/>
      <c r="HG652" s="77"/>
      <c r="HH652" s="77"/>
      <c r="HI652" s="77"/>
      <c r="HJ652" s="77"/>
      <c r="HK652" s="77"/>
      <c r="HL652" s="77"/>
      <c r="HM652" s="77"/>
      <c r="HN652" s="77"/>
      <c r="HO652" s="77"/>
      <c r="HP652" s="77"/>
      <c r="HQ652" s="77"/>
      <c r="HR652" s="77"/>
      <c r="HS652" s="77"/>
      <c r="HT652" s="77"/>
      <c r="HU652" s="77"/>
      <c r="HV652" s="77"/>
      <c r="HW652" s="77"/>
      <c r="HX652" s="77"/>
      <c r="HY652" s="77"/>
      <c r="HZ652" s="77"/>
      <c r="IA652" s="77"/>
      <c r="IB652" s="77"/>
      <c r="IC652" s="77"/>
      <c r="IF652" s="77"/>
      <c r="IG652" s="77"/>
      <c r="IH652" s="77"/>
      <c r="II652" s="77"/>
      <c r="IJ652" s="77"/>
      <c r="IK652" s="77"/>
      <c r="IL652" s="77"/>
      <c r="IM652" s="77"/>
      <c r="IN652" s="77"/>
      <c r="IO652" s="77"/>
      <c r="IP652" s="77"/>
      <c r="IQ652" s="77"/>
      <c r="IR652" s="77"/>
      <c r="IS652" s="77"/>
      <c r="IT652" s="77"/>
      <c r="IU652" s="77"/>
      <c r="IV652" s="77"/>
      <c r="IW652" s="77"/>
      <c r="IX652" s="77"/>
      <c r="IY652" s="77"/>
      <c r="IZ652" s="77"/>
      <c r="JA652" s="77"/>
      <c r="JB652" s="77"/>
      <c r="JC652" s="77"/>
      <c r="JD652" s="77"/>
      <c r="JE652" s="77"/>
      <c r="JF652" s="77"/>
      <c r="JG652" s="77"/>
      <c r="JH652" s="77"/>
      <c r="JI652" s="77"/>
      <c r="JJ652" s="77"/>
      <c r="JK652" s="77"/>
      <c r="JL652" s="77"/>
      <c r="JM652" s="77"/>
      <c r="JN652" s="77"/>
      <c r="JO652" s="77"/>
      <c r="JP652" s="77"/>
      <c r="JQ652" s="77"/>
      <c r="JR652" s="77"/>
      <c r="JS652" s="77"/>
      <c r="JT652" s="77"/>
      <c r="JU652" s="77"/>
      <c r="JV652" s="77"/>
      <c r="JW652" s="77"/>
      <c r="JX652" s="77"/>
      <c r="KM652" s="77"/>
      <c r="KN652" s="77"/>
      <c r="KO652" s="77"/>
      <c r="KP652" s="77"/>
      <c r="KQ652" s="77"/>
      <c r="KR652" s="77"/>
      <c r="KS652" s="77"/>
      <c r="KT652" s="77"/>
      <c r="KU652" s="77"/>
      <c r="KV652" s="77"/>
      <c r="KW652" s="77"/>
      <c r="KX652" s="77"/>
      <c r="KY652" s="77"/>
      <c r="KZ652" s="77"/>
      <c r="LA652" s="77"/>
      <c r="LB652" s="77"/>
      <c r="LC652" s="77"/>
      <c r="LD652" s="77"/>
      <c r="LE652" s="77"/>
      <c r="LF652" s="77"/>
      <c r="LG652" s="77"/>
      <c r="LH652" s="77"/>
      <c r="LI652" s="77"/>
      <c r="LJ652" s="77"/>
      <c r="LK652" s="77"/>
      <c r="LL652" s="77"/>
      <c r="LM652" s="77"/>
      <c r="LN652" s="77"/>
      <c r="LO652" s="77"/>
      <c r="LP652" s="77"/>
      <c r="LQ652" s="77"/>
      <c r="LR652" s="77"/>
      <c r="LS652" s="77"/>
      <c r="LT652" s="77"/>
      <c r="LU652" s="77"/>
      <c r="LV652" s="77"/>
    </row>
    <row r="653" spans="1:368" s="21" customFormat="1" ht="18.600000000000001" customHeight="1" x14ac:dyDescent="0.25">
      <c r="A653" s="119" t="s">
        <v>436</v>
      </c>
      <c r="B653" s="27" t="s">
        <v>1997</v>
      </c>
      <c r="C653" s="27"/>
      <c r="D653" s="30" t="str">
        <f>HYPERLINK("https://twitter.com/adrian_hasler","https://twitter.com/adrian_hasler")</f>
        <v>https://twitter.com/adrian_hasler</v>
      </c>
      <c r="E653" s="30" t="str">
        <f>HYPERLINK("http://twiplomacy.com/info/europe/Liechtenstein","http://twiplomacy.com/info/europe/Liechtenstein")</f>
        <v>http://twiplomacy.com/info/europe/Liechtenstein</v>
      </c>
      <c r="F653" s="10" t="s">
        <v>332</v>
      </c>
      <c r="G653" s="10" t="s">
        <v>435</v>
      </c>
      <c r="H653" s="10" t="s">
        <v>776</v>
      </c>
      <c r="I653" s="10" t="s">
        <v>773</v>
      </c>
      <c r="J653" s="27" t="s">
        <v>1716</v>
      </c>
      <c r="K653" s="15" t="s">
        <v>777</v>
      </c>
      <c r="L653" s="10" t="s">
        <v>771</v>
      </c>
      <c r="M653" s="10" t="s">
        <v>771</v>
      </c>
      <c r="N653" s="30" t="str">
        <f>HYPERLINK("https://twitter.com/MFA_LI/status/482178881580195840","https://twitter.com/MFA_LI/status/482178881580195840")</f>
        <v>https://twitter.com/MFA_LI/status/482178881580195840</v>
      </c>
      <c r="O653" s="27" t="s">
        <v>5673</v>
      </c>
      <c r="P653" s="80">
        <v>4</v>
      </c>
      <c r="Q653" s="80">
        <v>0</v>
      </c>
      <c r="R653" s="27" t="s">
        <v>2995</v>
      </c>
      <c r="S653" s="30" t="str">
        <f>HYPERLINK("https://twitter.com/adrian_hasler/lists","https://twitter.com/adrian_hasler/lists")</f>
        <v>https://twitter.com/adrian_hasler/lists</v>
      </c>
      <c r="T653" s="10" t="s">
        <v>771</v>
      </c>
      <c r="U653" s="10">
        <v>1</v>
      </c>
      <c r="V653" s="10" t="s">
        <v>771</v>
      </c>
      <c r="W653" s="10"/>
      <c r="X653" s="27" t="s">
        <v>436</v>
      </c>
      <c r="Y653" s="27" t="s">
        <v>1997</v>
      </c>
      <c r="Z653" s="80">
        <v>127</v>
      </c>
      <c r="AA653" s="27">
        <v>39</v>
      </c>
      <c r="AB653" s="80">
        <v>469</v>
      </c>
      <c r="AC653" s="27">
        <v>22</v>
      </c>
      <c r="AD653" s="27" t="s">
        <v>3433</v>
      </c>
      <c r="AE653" s="27">
        <v>316668206</v>
      </c>
      <c r="AF653" s="27"/>
      <c r="AG653" s="27" t="s">
        <v>435</v>
      </c>
      <c r="AH653" s="79">
        <v>7.1188340807174899E-2</v>
      </c>
      <c r="AI653" s="83">
        <v>0.18955223880597</v>
      </c>
      <c r="AJ653" s="80">
        <v>0.91304347826086996</v>
      </c>
      <c r="AK653" s="80">
        <v>1.9565217391304299</v>
      </c>
      <c r="AL653" s="96">
        <v>1</v>
      </c>
      <c r="AM653" s="97">
        <f>SUM(AL653/Z653)</f>
        <v>7.874015748031496E-3</v>
      </c>
      <c r="AN653" s="27" t="s">
        <v>436</v>
      </c>
      <c r="AO653" s="27">
        <v>3</v>
      </c>
      <c r="AP653" s="27">
        <v>3</v>
      </c>
      <c r="AQ653" s="27">
        <v>1</v>
      </c>
      <c r="AR653" s="27">
        <f>SUM(AO653:AQ653)</f>
        <v>7</v>
      </c>
      <c r="AS653" s="27" t="s">
        <v>5004</v>
      </c>
      <c r="AT653" s="27" t="s">
        <v>5601</v>
      </c>
      <c r="AU653" s="84" t="s">
        <v>438</v>
      </c>
      <c r="AV653" s="77"/>
      <c r="AW653" s="77"/>
      <c r="AX653" s="77"/>
      <c r="AY653" s="77"/>
      <c r="AZ653" s="77"/>
      <c r="BA653" s="77"/>
      <c r="BB653" s="77"/>
      <c r="BC653" s="77"/>
      <c r="BD653" s="77"/>
      <c r="BE653" s="77"/>
      <c r="BF653" s="77"/>
      <c r="BG653" s="77"/>
      <c r="BH653" s="77"/>
      <c r="BI653" s="77"/>
      <c r="BJ653" s="77"/>
      <c r="BK653" s="77"/>
      <c r="BL653" s="77"/>
      <c r="BM653" s="77"/>
      <c r="BN653" s="77"/>
      <c r="BO653" s="77"/>
      <c r="BP653" s="77"/>
      <c r="BQ653" s="16"/>
      <c r="BR653" s="16"/>
      <c r="BS653" s="16"/>
      <c r="BT653" s="16"/>
      <c r="BU653" s="16"/>
      <c r="BV653" s="16"/>
      <c r="BW653" s="16"/>
      <c r="BX653" s="16"/>
      <c r="BY653" s="16"/>
      <c r="BZ653" s="16"/>
      <c r="CA653" s="16"/>
      <c r="CB653" s="16"/>
      <c r="CC653" s="77"/>
      <c r="CD653" s="77"/>
      <c r="CE653" s="77"/>
      <c r="CF653" s="77"/>
      <c r="CG653" s="77"/>
      <c r="CH653" s="77"/>
      <c r="CI653" s="77"/>
      <c r="CJ653" s="77"/>
      <c r="CK653" s="77"/>
      <c r="CL653" s="77"/>
      <c r="CM653" s="77"/>
      <c r="CN653" s="77"/>
      <c r="CO653" s="77"/>
      <c r="CP653" s="77"/>
      <c r="CQ653" s="77"/>
      <c r="CR653" s="77"/>
      <c r="CS653" s="77"/>
      <c r="CT653" s="77"/>
      <c r="CU653" s="77"/>
      <c r="CV653" s="77"/>
      <c r="CW653" s="77"/>
      <c r="CX653" s="16"/>
      <c r="CY653" s="16"/>
      <c r="CZ653" s="16"/>
      <c r="DA653" s="16"/>
      <c r="DB653" s="16"/>
      <c r="DC653" s="16"/>
      <c r="DD653" s="16"/>
      <c r="DE653" s="16"/>
      <c r="DF653" s="16"/>
      <c r="DG653" s="16"/>
      <c r="DH653" s="16"/>
      <c r="DI653" s="16"/>
      <c r="DJ653" s="16"/>
      <c r="DK653" s="16"/>
      <c r="DL653" s="16"/>
      <c r="DM653" s="16"/>
      <c r="DN653" s="16"/>
      <c r="DO653" s="16"/>
      <c r="DP653" s="16"/>
      <c r="DQ653" s="16"/>
      <c r="DR653" s="16"/>
      <c r="DS653" s="16"/>
      <c r="DT653" s="16"/>
      <c r="DU653" s="16"/>
      <c r="DV653" s="16"/>
      <c r="DW653" s="16"/>
      <c r="DX653" s="16"/>
      <c r="DY653" s="16"/>
      <c r="DZ653" s="16"/>
      <c r="EA653" s="16"/>
      <c r="EB653" s="16"/>
      <c r="EC653" s="16"/>
      <c r="ED653" s="16"/>
      <c r="EE653" s="16"/>
      <c r="EF653" s="16"/>
      <c r="EG653" s="16"/>
      <c r="EH653" s="16"/>
      <c r="EI653" s="16"/>
      <c r="EJ653" s="16"/>
      <c r="EK653" s="16"/>
      <c r="EL653" s="16"/>
      <c r="EM653" s="77"/>
      <c r="EN653" s="77"/>
      <c r="EO653" s="77"/>
      <c r="EP653" s="77"/>
      <c r="EQ653" s="77"/>
      <c r="ER653" s="77"/>
      <c r="ES653" s="77"/>
      <c r="ET653" s="77"/>
      <c r="EU653" s="77"/>
      <c r="EV653" s="77"/>
      <c r="EW653" s="77"/>
      <c r="EX653" s="77"/>
      <c r="EY653" s="77"/>
      <c r="EZ653" s="77"/>
      <c r="FA653" s="77"/>
      <c r="FB653" s="77"/>
      <c r="FC653" s="77"/>
      <c r="FD653" s="77"/>
      <c r="FE653" s="77"/>
      <c r="FF653" s="77"/>
      <c r="FG653" s="77"/>
      <c r="FH653" s="77"/>
      <c r="FI653" s="77"/>
      <c r="FJ653" s="77"/>
      <c r="FK653" s="77"/>
      <c r="FL653" s="77"/>
      <c r="FM653" s="77"/>
      <c r="FN653" s="77"/>
      <c r="FO653" s="77"/>
      <c r="FP653" s="77"/>
      <c r="FQ653" s="77"/>
      <c r="FR653" s="77"/>
      <c r="FS653" s="77"/>
      <c r="FT653" s="77"/>
      <c r="FU653" s="77"/>
      <c r="FV653" s="77"/>
      <c r="FW653" s="77"/>
      <c r="FX653" s="77"/>
      <c r="FY653" s="77"/>
      <c r="FZ653" s="77"/>
      <c r="GA653" s="77"/>
      <c r="GB653" s="77"/>
      <c r="GC653" s="77"/>
      <c r="GD653" s="77"/>
      <c r="GE653" s="77"/>
      <c r="GF653" s="77"/>
      <c r="GG653" s="77"/>
      <c r="GH653" s="77"/>
      <c r="GI653" s="77"/>
      <c r="GJ653" s="77"/>
      <c r="GK653" s="77"/>
      <c r="GL653" s="77"/>
      <c r="GM653" s="77"/>
      <c r="GN653" s="77"/>
      <c r="GO653" s="77"/>
      <c r="GP653" s="77"/>
      <c r="GQ653" s="77"/>
      <c r="GR653" s="77"/>
      <c r="GS653" s="77"/>
      <c r="GT653" s="77"/>
      <c r="GU653" s="77"/>
      <c r="GV653" s="77"/>
      <c r="GW653" s="77"/>
      <c r="GX653" s="77"/>
      <c r="GY653" s="77"/>
      <c r="GZ653" s="77"/>
      <c r="HA653" s="77"/>
      <c r="HB653" s="77"/>
      <c r="HC653" s="77"/>
      <c r="HD653" s="77"/>
      <c r="HE653" s="77"/>
      <c r="HF653" s="77"/>
      <c r="HG653" s="77"/>
      <c r="HH653" s="77"/>
      <c r="HI653" s="77"/>
      <c r="HJ653" s="77"/>
      <c r="HK653" s="77"/>
      <c r="HL653" s="77"/>
      <c r="HM653" s="77"/>
      <c r="HN653" s="77"/>
      <c r="HO653" s="77"/>
      <c r="HP653" s="77"/>
      <c r="HQ653" s="77"/>
      <c r="HR653" s="77"/>
      <c r="HS653" s="77"/>
      <c r="HT653" s="77"/>
      <c r="HU653" s="77"/>
      <c r="HV653" s="77"/>
      <c r="HW653" s="77"/>
      <c r="HX653" s="77"/>
      <c r="HY653" s="77"/>
      <c r="HZ653" s="77"/>
      <c r="IA653" s="77"/>
      <c r="IB653" s="77"/>
      <c r="IC653" s="77"/>
      <c r="IF653" s="77"/>
      <c r="IG653" s="77"/>
      <c r="IH653" s="77"/>
      <c r="II653" s="77"/>
      <c r="IJ653" s="77"/>
      <c r="IK653" s="77"/>
      <c r="IL653" s="77"/>
      <c r="IM653" s="77"/>
      <c r="IN653" s="77"/>
      <c r="IO653" s="77"/>
      <c r="IP653" s="77"/>
      <c r="IQ653" s="77"/>
      <c r="IR653" s="77"/>
      <c r="IS653" s="77"/>
      <c r="IT653" s="77"/>
      <c r="IU653" s="77"/>
      <c r="IV653" s="77"/>
      <c r="IW653" s="77"/>
      <c r="IX653" s="77"/>
      <c r="IY653" s="77"/>
      <c r="IZ653" s="77"/>
      <c r="JA653" s="77"/>
      <c r="JB653" s="77"/>
      <c r="JC653" s="77"/>
      <c r="JD653" s="77"/>
      <c r="JE653" s="77"/>
      <c r="JF653" s="77"/>
      <c r="JG653" s="77"/>
      <c r="JH653" s="77"/>
      <c r="JI653" s="77"/>
      <c r="JJ653" s="77"/>
      <c r="JK653" s="77"/>
      <c r="JL653" s="77"/>
      <c r="JM653" s="77"/>
      <c r="JN653" s="77"/>
      <c r="JO653" s="77"/>
      <c r="JP653" s="77"/>
      <c r="JQ653" s="77"/>
      <c r="JR653" s="77"/>
      <c r="JS653" s="77"/>
      <c r="JT653" s="77"/>
      <c r="JU653" s="77"/>
      <c r="JV653" s="77"/>
      <c r="JW653" s="77"/>
      <c r="JX653" s="77"/>
      <c r="JY653" s="77"/>
      <c r="JZ653" s="77"/>
      <c r="KA653" s="77"/>
      <c r="KB653" s="77"/>
      <c r="KC653" s="77"/>
      <c r="KD653" s="77"/>
      <c r="KE653" s="77"/>
      <c r="KF653" s="77"/>
      <c r="KG653" s="77"/>
      <c r="KH653" s="77"/>
      <c r="KI653" s="77"/>
      <c r="KJ653" s="77"/>
      <c r="KK653" s="77"/>
      <c r="KL653" s="77"/>
      <c r="KM653" s="77"/>
      <c r="KN653" s="77"/>
      <c r="KO653" s="77"/>
      <c r="KP653" s="77"/>
      <c r="KQ653" s="77"/>
      <c r="KR653" s="77"/>
      <c r="KS653" s="77"/>
      <c r="KT653" s="77"/>
      <c r="KU653" s="77"/>
      <c r="KV653" s="77"/>
      <c r="KW653" s="77"/>
      <c r="KX653" s="77"/>
      <c r="KY653" s="77"/>
      <c r="KZ653" s="77"/>
      <c r="LA653" s="77"/>
      <c r="LB653" s="77"/>
      <c r="LC653" s="77"/>
      <c r="LD653" s="77"/>
      <c r="LE653" s="77"/>
      <c r="LF653" s="77"/>
      <c r="LG653" s="77"/>
      <c r="LH653" s="77"/>
      <c r="LI653" s="77"/>
      <c r="LJ653" s="77"/>
      <c r="LK653" s="77"/>
      <c r="MS653" s="77"/>
    </row>
    <row r="654" spans="1:368" s="21" customFormat="1" ht="18.600000000000001" customHeight="1" x14ac:dyDescent="0.25">
      <c r="A654" s="119" t="s">
        <v>2911</v>
      </c>
      <c r="B654" s="27" t="s">
        <v>1491</v>
      </c>
      <c r="C654" s="27" t="s">
        <v>2912</v>
      </c>
      <c r="D654" s="30" t="str">
        <f>HYPERLINK("https://twitter.com/MaldivesPO","https://twitter.com/MaldivesPO")</f>
        <v>https://twitter.com/MaldivesPO</v>
      </c>
      <c r="E654" s="30" t="str">
        <f>HYPERLINK("http://twiplomacy.com/info/asia/Maldives","http://twiplomacy.com/info/asia/Maldives")</f>
        <v>http://twiplomacy.com/info/asia/Maldives</v>
      </c>
      <c r="F654" s="14" t="s">
        <v>154</v>
      </c>
      <c r="G654" s="10" t="s">
        <v>244</v>
      </c>
      <c r="H654" s="14" t="s">
        <v>781</v>
      </c>
      <c r="I654" s="14" t="s">
        <v>782</v>
      </c>
      <c r="J654" s="27" t="s">
        <v>789</v>
      </c>
      <c r="K654" s="98" t="s">
        <v>1926</v>
      </c>
      <c r="L654" s="14" t="s">
        <v>771</v>
      </c>
      <c r="M654" s="14" t="s">
        <v>771</v>
      </c>
      <c r="N654" s="100" t="str">
        <f>HYPERLINK("https://twitter.com/MaldivesPO/statuses/207936076931805184","https://twitter.com/MaldivesPO/statuses/207936076931805184")</f>
        <v>https://twitter.com/MaldivesPO/statuses/207936076931805184</v>
      </c>
      <c r="O654" s="27" t="s">
        <v>2913</v>
      </c>
      <c r="P654" s="80">
        <v>1</v>
      </c>
      <c r="Q654" s="80">
        <v>0</v>
      </c>
      <c r="R654" s="27" t="s">
        <v>2995</v>
      </c>
      <c r="S654" s="10" t="s">
        <v>2914</v>
      </c>
      <c r="T654" s="10" t="s">
        <v>771</v>
      </c>
      <c r="U654" s="10" t="s">
        <v>771</v>
      </c>
      <c r="V654" s="10" t="s">
        <v>771</v>
      </c>
      <c r="W654" s="10"/>
      <c r="X654" s="27" t="s">
        <v>2911</v>
      </c>
      <c r="Y654" s="27" t="s">
        <v>1491</v>
      </c>
      <c r="Z654" s="80">
        <v>125</v>
      </c>
      <c r="AA654" s="27">
        <v>1</v>
      </c>
      <c r="AB654" s="80">
        <v>271</v>
      </c>
      <c r="AC654" s="27">
        <v>0</v>
      </c>
      <c r="AD654" s="27" t="s">
        <v>4015</v>
      </c>
      <c r="AE654" s="27">
        <v>594963354</v>
      </c>
      <c r="AF654" s="27" t="s">
        <v>2912</v>
      </c>
      <c r="AG654" s="27" t="s">
        <v>1484</v>
      </c>
      <c r="AH654" s="79">
        <v>8.7290502793296101E-2</v>
      </c>
      <c r="AI654" s="83">
        <v>125</v>
      </c>
      <c r="AJ654" s="80">
        <v>8.0000000000000002E-3</v>
      </c>
      <c r="AK654" s="80">
        <v>2.4E-2</v>
      </c>
      <c r="AL654" s="13">
        <v>0</v>
      </c>
      <c r="AM654" s="97">
        <f>SUM(AL654/Z654)</f>
        <v>0</v>
      </c>
      <c r="AN654" s="27" t="s">
        <v>2911</v>
      </c>
      <c r="AO654" s="27">
        <v>0</v>
      </c>
      <c r="AP654" s="27">
        <v>2</v>
      </c>
      <c r="AQ654" s="27">
        <v>0</v>
      </c>
      <c r="AR654" s="27">
        <f>SUM(AO654:AQ654)</f>
        <v>2</v>
      </c>
      <c r="AS654" s="27"/>
      <c r="AT654" s="27" t="s">
        <v>5055</v>
      </c>
      <c r="AU654" s="84"/>
      <c r="AV654" s="77"/>
      <c r="AW654" s="77"/>
      <c r="AX654" s="77"/>
      <c r="AY654" s="77"/>
      <c r="AZ654" s="77"/>
      <c r="BA654" s="77"/>
      <c r="BB654" s="77"/>
      <c r="BC654" s="77"/>
      <c r="BD654" s="77"/>
      <c r="BE654" s="77"/>
      <c r="BF654" s="77"/>
      <c r="BG654" s="77"/>
      <c r="BH654" s="77"/>
      <c r="BI654" s="77"/>
      <c r="BJ654" s="77"/>
      <c r="BK654" s="77"/>
      <c r="BL654" s="77"/>
      <c r="BM654" s="77"/>
      <c r="BN654" s="77"/>
      <c r="BO654" s="77"/>
      <c r="BP654" s="77"/>
      <c r="BQ654" s="77"/>
      <c r="BR654" s="77"/>
      <c r="BS654" s="77"/>
      <c r="BT654" s="77"/>
      <c r="BU654" s="77"/>
      <c r="BV654" s="77"/>
      <c r="BW654" s="77"/>
      <c r="BX654" s="77"/>
      <c r="BY654" s="77"/>
      <c r="BZ654" s="77"/>
      <c r="CA654" s="77"/>
      <c r="CB654" s="77"/>
      <c r="CC654" s="77"/>
      <c r="CD654" s="77"/>
      <c r="CE654" s="77"/>
      <c r="CF654" s="77"/>
      <c r="CG654" s="77"/>
      <c r="CH654" s="77"/>
      <c r="CI654" s="77"/>
      <c r="CJ654" s="77"/>
      <c r="CK654" s="77"/>
      <c r="CL654" s="77"/>
      <c r="CM654" s="77"/>
      <c r="CN654" s="77"/>
      <c r="CO654" s="77"/>
      <c r="CP654" s="77"/>
      <c r="CQ654" s="77"/>
      <c r="CR654" s="77"/>
      <c r="CS654" s="77"/>
      <c r="CT654" s="77"/>
      <c r="CU654" s="77"/>
      <c r="CV654" s="77"/>
      <c r="CW654" s="77"/>
      <c r="CX654" s="77"/>
      <c r="CY654" s="77"/>
      <c r="CZ654" s="77"/>
      <c r="DA654" s="77"/>
      <c r="DB654" s="77"/>
      <c r="DC654" s="77"/>
      <c r="DD654" s="77"/>
      <c r="DE654" s="77"/>
      <c r="DF654" s="77"/>
      <c r="DG654" s="77"/>
      <c r="DH654" s="77"/>
      <c r="DI654" s="77"/>
      <c r="DJ654" s="77"/>
      <c r="DK654" s="77"/>
      <c r="DL654" s="77"/>
      <c r="DM654" s="77"/>
      <c r="DN654" s="77"/>
      <c r="DO654" s="77"/>
      <c r="DP654" s="77"/>
      <c r="DQ654" s="77"/>
      <c r="DR654" s="77"/>
      <c r="DS654" s="77"/>
      <c r="DT654" s="77"/>
      <c r="DU654" s="77"/>
      <c r="DV654" s="77"/>
      <c r="DW654" s="77"/>
      <c r="DX654" s="77"/>
      <c r="DY654" s="77"/>
      <c r="DZ654" s="77"/>
      <c r="EA654" s="77"/>
      <c r="EB654" s="77"/>
      <c r="EC654" s="77"/>
      <c r="ED654" s="77"/>
      <c r="EE654" s="77"/>
      <c r="EF654" s="77"/>
      <c r="EG654" s="77"/>
      <c r="EH654" s="77"/>
      <c r="EI654" s="77"/>
      <c r="EJ654" s="77"/>
      <c r="EK654" s="77"/>
      <c r="EL654" s="77"/>
      <c r="EM654" s="77"/>
      <c r="EN654" s="77"/>
      <c r="EO654" s="77"/>
      <c r="EP654" s="77"/>
      <c r="EQ654" s="77"/>
      <c r="GL654" s="77"/>
      <c r="GM654" s="77"/>
      <c r="GN654" s="77"/>
      <c r="GO654" s="77"/>
      <c r="GP654" s="77"/>
      <c r="GQ654" s="77"/>
      <c r="GR654" s="77"/>
      <c r="GS654" s="77"/>
      <c r="GT654" s="77"/>
      <c r="GU654" s="77"/>
      <c r="GV654" s="77"/>
      <c r="GW654" s="77"/>
      <c r="GX654" s="77"/>
      <c r="GY654" s="77"/>
      <c r="GZ654" s="77"/>
      <c r="HA654" s="77"/>
      <c r="HB654" s="77"/>
      <c r="HC654" s="77"/>
      <c r="HD654" s="77"/>
      <c r="HE654" s="77"/>
      <c r="HF654" s="77"/>
      <c r="HG654" s="77"/>
      <c r="HH654" s="77"/>
      <c r="HI654" s="77"/>
      <c r="HJ654" s="77"/>
      <c r="HK654" s="77"/>
      <c r="HL654" s="77"/>
      <c r="HM654" s="77"/>
      <c r="HN654" s="77"/>
      <c r="HO654" s="77"/>
      <c r="HP654" s="77"/>
      <c r="HQ654" s="77"/>
      <c r="HR654" s="77"/>
      <c r="HS654" s="77"/>
      <c r="HT654" s="77"/>
      <c r="HU654" s="77"/>
      <c r="HV654" s="77"/>
      <c r="HW654" s="77"/>
      <c r="HX654" s="77"/>
      <c r="HY654" s="77"/>
      <c r="HZ654" s="77"/>
      <c r="IA654" s="77"/>
      <c r="IB654" s="77"/>
      <c r="IC654" s="77"/>
      <c r="ID654" s="77"/>
      <c r="IE654" s="77"/>
      <c r="IF654" s="77"/>
      <c r="IG654" s="77"/>
      <c r="IH654" s="77"/>
      <c r="II654" s="77"/>
      <c r="IJ654" s="77"/>
      <c r="IK654" s="77"/>
      <c r="IL654" s="77"/>
      <c r="IM654" s="77"/>
      <c r="IN654" s="77"/>
      <c r="IO654" s="77"/>
      <c r="IP654" s="77"/>
      <c r="IQ654" s="77"/>
      <c r="IR654" s="77"/>
      <c r="IS654" s="77"/>
      <c r="IT654" s="77"/>
      <c r="IU654" s="77"/>
      <c r="IV654" s="77"/>
      <c r="IW654" s="77"/>
      <c r="IX654" s="77"/>
      <c r="IY654" s="77"/>
      <c r="IZ654" s="77"/>
      <c r="JA654" s="77"/>
      <c r="JB654" s="77"/>
      <c r="JC654" s="77"/>
      <c r="JD654" s="77"/>
      <c r="JE654" s="77"/>
      <c r="JF654" s="77"/>
      <c r="JG654" s="77"/>
      <c r="JH654" s="77"/>
      <c r="JI654" s="77"/>
      <c r="JJ654" s="77"/>
      <c r="JK654" s="77"/>
      <c r="JL654" s="77"/>
      <c r="JM654" s="77"/>
      <c r="JN654" s="77"/>
      <c r="JO654" s="77"/>
      <c r="JP654" s="77"/>
      <c r="JQ654" s="77"/>
      <c r="JR654" s="77"/>
      <c r="JS654" s="77"/>
      <c r="JT654" s="77"/>
      <c r="JU654" s="77"/>
      <c r="JV654" s="77"/>
      <c r="JW654" s="77"/>
      <c r="JX654" s="77"/>
      <c r="JY654" s="77"/>
      <c r="JZ654" s="77"/>
      <c r="KA654" s="77"/>
      <c r="KB654" s="77"/>
      <c r="KC654" s="77"/>
      <c r="KD654" s="77"/>
      <c r="KE654" s="77"/>
      <c r="KF654" s="77"/>
      <c r="KG654" s="77"/>
      <c r="KH654" s="77"/>
      <c r="KI654" s="77"/>
      <c r="KJ654" s="77"/>
      <c r="KK654" s="77"/>
      <c r="KL654" s="77"/>
      <c r="KM654" s="77"/>
      <c r="KN654" s="77"/>
      <c r="KO654" s="77"/>
      <c r="KP654" s="77"/>
      <c r="KQ654" s="77"/>
      <c r="KR654" s="77"/>
      <c r="KS654" s="77"/>
      <c r="KT654" s="77"/>
      <c r="KU654" s="77"/>
      <c r="KV654" s="77"/>
      <c r="KW654" s="77"/>
      <c r="KX654" s="77"/>
      <c r="KY654" s="77"/>
      <c r="KZ654" s="77"/>
      <c r="LA654" s="77"/>
      <c r="LB654" s="77"/>
      <c r="LC654" s="77"/>
      <c r="LD654" s="77"/>
      <c r="LE654" s="77"/>
      <c r="LF654" s="77"/>
      <c r="LG654" s="77"/>
      <c r="LH654" s="77"/>
      <c r="LI654" s="77"/>
      <c r="LJ654" s="77"/>
      <c r="LK654" s="77"/>
      <c r="LL654" s="77"/>
      <c r="LM654" s="77"/>
      <c r="LN654" s="77"/>
      <c r="LO654" s="77"/>
      <c r="LP654" s="77"/>
      <c r="LQ654" s="77"/>
      <c r="LR654" s="77"/>
      <c r="LS654" s="77"/>
      <c r="LT654" s="77"/>
      <c r="LU654" s="77"/>
      <c r="LV654" s="77"/>
      <c r="LW654" s="77"/>
      <c r="LX654" s="77"/>
    </row>
    <row r="655" spans="1:368" s="21" customFormat="1" ht="18.600000000000001" customHeight="1" x14ac:dyDescent="0.25">
      <c r="A655" s="119" t="s">
        <v>631</v>
      </c>
      <c r="B655" s="27" t="s">
        <v>3926</v>
      </c>
      <c r="C655" s="27" t="s">
        <v>3927</v>
      </c>
      <c r="D655" s="34" t="s">
        <v>2558</v>
      </c>
      <c r="E655" s="34" t="s">
        <v>2554</v>
      </c>
      <c r="F655" s="38" t="s">
        <v>558</v>
      </c>
      <c r="G655" s="38" t="s">
        <v>629</v>
      </c>
      <c r="H655" s="38" t="s">
        <v>776</v>
      </c>
      <c r="I655" s="38" t="s">
        <v>773</v>
      </c>
      <c r="J655" s="27" t="s">
        <v>789</v>
      </c>
      <c r="K655" s="38" t="s">
        <v>830</v>
      </c>
      <c r="L655" s="10"/>
      <c r="M655" s="38" t="s">
        <v>771</v>
      </c>
      <c r="N655" s="34" t="s">
        <v>2559</v>
      </c>
      <c r="O655" s="27" t="s">
        <v>3215</v>
      </c>
      <c r="P655" s="80">
        <v>29</v>
      </c>
      <c r="Q655" s="80">
        <v>0</v>
      </c>
      <c r="R655" s="27" t="s">
        <v>2995</v>
      </c>
      <c r="S655" s="34" t="s">
        <v>2560</v>
      </c>
      <c r="T655" s="38" t="s">
        <v>771</v>
      </c>
      <c r="U655" s="38">
        <v>1</v>
      </c>
      <c r="V655" s="10" t="s">
        <v>771</v>
      </c>
      <c r="W655" s="38"/>
      <c r="X655" s="27" t="s">
        <v>631</v>
      </c>
      <c r="Y655" s="27" t="s">
        <v>3926</v>
      </c>
      <c r="Z655" s="80">
        <v>123</v>
      </c>
      <c r="AA655" s="27">
        <v>1901</v>
      </c>
      <c r="AB655" s="80">
        <v>2680</v>
      </c>
      <c r="AC655" s="27">
        <v>1</v>
      </c>
      <c r="AD655" s="27" t="s">
        <v>3928</v>
      </c>
      <c r="AE655" s="27">
        <v>292191046</v>
      </c>
      <c r="AF655" s="27" t="s">
        <v>3927</v>
      </c>
      <c r="AG655" s="27" t="s">
        <v>3929</v>
      </c>
      <c r="AH655" s="79">
        <v>6.7360350492880597E-2</v>
      </c>
      <c r="AI655" s="83">
        <v>0.35329341317365298</v>
      </c>
      <c r="AJ655" s="80">
        <v>2.3050847457627102</v>
      </c>
      <c r="AK655" s="80">
        <v>0.54237288135593198</v>
      </c>
      <c r="AL655" s="13">
        <v>0</v>
      </c>
      <c r="AM655" s="97">
        <f>SUM(AL655/Z655)</f>
        <v>0</v>
      </c>
      <c r="AN655" s="27" t="s">
        <v>631</v>
      </c>
      <c r="AO655" s="27">
        <v>11</v>
      </c>
      <c r="AP655" s="27">
        <v>0</v>
      </c>
      <c r="AQ655" s="27">
        <v>0</v>
      </c>
      <c r="AR655" s="27">
        <f>SUM(AO655:AQ655)</f>
        <v>11</v>
      </c>
      <c r="AS655" s="27" t="s">
        <v>6223</v>
      </c>
      <c r="AT655" s="27"/>
      <c r="AU655" s="84"/>
      <c r="AV655" s="77"/>
      <c r="AW655" s="77"/>
      <c r="AX655" s="77"/>
      <c r="AY655" s="77"/>
      <c r="AZ655" s="77"/>
      <c r="BA655" s="77"/>
      <c r="BB655" s="77"/>
      <c r="BC655" s="77"/>
      <c r="BD655" s="77"/>
      <c r="BE655" s="77"/>
      <c r="BF655" s="77"/>
      <c r="BG655" s="77"/>
      <c r="BH655" s="77"/>
      <c r="BI655" s="77"/>
      <c r="BJ655" s="77"/>
      <c r="BK655" s="77"/>
      <c r="BL655" s="77"/>
      <c r="BM655" s="77"/>
      <c r="BN655" s="77"/>
      <c r="BO655" s="77"/>
      <c r="BP655" s="77"/>
      <c r="BQ655" s="77"/>
      <c r="BR655" s="77"/>
      <c r="BS655" s="77"/>
      <c r="BT655" s="77"/>
      <c r="BU655" s="77"/>
      <c r="BV655" s="77"/>
      <c r="BW655" s="77"/>
      <c r="BX655" s="77"/>
      <c r="BY655" s="77"/>
      <c r="BZ655" s="77"/>
      <c r="CA655" s="77"/>
      <c r="CB655" s="77"/>
      <c r="CC655" s="77"/>
      <c r="CD655" s="77"/>
      <c r="CE655" s="77"/>
      <c r="CF655" s="77"/>
      <c r="CG655" s="77"/>
      <c r="CH655" s="77"/>
      <c r="CI655" s="77"/>
      <c r="CJ655" s="77"/>
      <c r="CK655" s="77"/>
      <c r="CL655" s="77"/>
      <c r="CM655" s="77"/>
      <c r="CN655" s="77"/>
      <c r="CO655" s="77"/>
      <c r="CP655" s="77"/>
      <c r="CQ655" s="77"/>
      <c r="CR655" s="77"/>
      <c r="CS655" s="77"/>
      <c r="CT655" s="77"/>
      <c r="CU655" s="77"/>
      <c r="CV655" s="77"/>
      <c r="CW655" s="77"/>
      <c r="CX655" s="77"/>
      <c r="CY655" s="77"/>
      <c r="CZ655" s="77"/>
      <c r="DA655" s="77"/>
      <c r="DB655" s="77"/>
      <c r="DC655" s="77"/>
      <c r="DD655" s="77"/>
      <c r="DE655" s="77"/>
      <c r="DF655" s="77"/>
      <c r="DG655" s="77"/>
      <c r="DH655" s="77"/>
      <c r="DI655" s="77"/>
      <c r="DJ655" s="77"/>
      <c r="DK655" s="77"/>
      <c r="DL655" s="77"/>
      <c r="DM655" s="77"/>
      <c r="DN655" s="77"/>
      <c r="DO655" s="77"/>
      <c r="DP655" s="77"/>
      <c r="DQ655" s="77"/>
      <c r="DR655" s="77"/>
      <c r="DS655" s="77"/>
      <c r="DT655" s="77"/>
      <c r="DU655" s="77"/>
      <c r="DV655" s="77"/>
      <c r="DW655" s="77"/>
      <c r="DX655" s="77"/>
      <c r="DY655" s="77"/>
      <c r="DZ655" s="77"/>
      <c r="EA655" s="77"/>
      <c r="EB655" s="77"/>
      <c r="EC655" s="77"/>
      <c r="ED655" s="77"/>
      <c r="EE655" s="77"/>
      <c r="EF655" s="77"/>
      <c r="EG655" s="77"/>
      <c r="EH655" s="77"/>
      <c r="EI655" s="77"/>
      <c r="EJ655" s="77"/>
      <c r="EK655" s="77"/>
      <c r="EL655" s="77"/>
      <c r="EM655" s="77"/>
      <c r="EN655" s="77"/>
      <c r="EO655" s="77"/>
      <c r="EP655" s="77"/>
      <c r="EQ655" s="77"/>
      <c r="ER655" s="77"/>
      <c r="ES655" s="77"/>
      <c r="ET655" s="77"/>
      <c r="EU655" s="77"/>
      <c r="EV655" s="77"/>
      <c r="EW655" s="77"/>
      <c r="EX655" s="77"/>
      <c r="EY655" s="77"/>
      <c r="EZ655" s="77"/>
      <c r="FA655" s="77"/>
      <c r="FB655" s="77"/>
      <c r="FC655" s="77"/>
      <c r="FD655" s="77"/>
      <c r="FE655" s="77"/>
      <c r="FF655" s="77"/>
      <c r="FG655" s="77"/>
      <c r="FH655" s="77"/>
      <c r="FI655" s="77"/>
      <c r="FJ655" s="77"/>
      <c r="FK655" s="77"/>
      <c r="FL655" s="77"/>
      <c r="FM655" s="77"/>
      <c r="FN655" s="77"/>
      <c r="FO655" s="77"/>
      <c r="FP655" s="77"/>
      <c r="FQ655" s="77"/>
      <c r="FR655" s="77"/>
      <c r="FS655" s="77"/>
      <c r="FT655" s="77"/>
      <c r="FU655" s="77"/>
      <c r="FV655" s="77"/>
      <c r="FW655" s="77"/>
      <c r="FX655" s="77"/>
      <c r="FY655" s="77"/>
      <c r="FZ655" s="77"/>
      <c r="GA655" s="77"/>
      <c r="GB655" s="77"/>
      <c r="GC655" s="77"/>
      <c r="GD655" s="77"/>
      <c r="GE655" s="77"/>
      <c r="GF655" s="77"/>
      <c r="GG655" s="77"/>
      <c r="GH655" s="77"/>
      <c r="GI655" s="77"/>
      <c r="GJ655" s="77"/>
      <c r="GK655" s="77"/>
      <c r="GL655" s="77"/>
      <c r="GM655" s="77"/>
      <c r="GN655" s="77"/>
      <c r="GO655" s="77"/>
      <c r="GP655" s="77"/>
      <c r="GQ655" s="77"/>
      <c r="GR655" s="77"/>
      <c r="GS655" s="77"/>
      <c r="GT655" s="77"/>
      <c r="GU655" s="77"/>
      <c r="GV655" s="77"/>
      <c r="GW655" s="77"/>
      <c r="GX655" s="77"/>
      <c r="GY655" s="77"/>
      <c r="GZ655" s="77"/>
      <c r="HA655" s="77"/>
      <c r="HB655" s="77"/>
      <c r="HC655" s="77"/>
      <c r="HD655" s="77"/>
      <c r="HE655" s="77"/>
      <c r="HF655" s="77"/>
      <c r="HG655" s="77"/>
      <c r="HH655" s="77"/>
      <c r="HI655" s="77"/>
      <c r="HJ655" s="77"/>
      <c r="HK655" s="77"/>
      <c r="HL655" s="77"/>
      <c r="HM655" s="77"/>
      <c r="HN655" s="77"/>
      <c r="HO655" s="77"/>
      <c r="HP655" s="77"/>
      <c r="HQ655" s="77"/>
      <c r="HR655" s="77"/>
      <c r="HS655" s="77"/>
      <c r="HT655" s="77"/>
      <c r="HU655" s="77"/>
      <c r="HV655" s="77"/>
      <c r="HW655" s="77"/>
      <c r="HX655" s="77"/>
      <c r="HY655" s="77"/>
      <c r="HZ655" s="77"/>
      <c r="IA655" s="77"/>
      <c r="IB655" s="77"/>
      <c r="IC655" s="77"/>
      <c r="IF655" s="77"/>
      <c r="IG655" s="77"/>
      <c r="IH655" s="77"/>
      <c r="II655" s="77"/>
      <c r="IJ655" s="77"/>
      <c r="IK655" s="77"/>
      <c r="IL655" s="77"/>
      <c r="IM655" s="77"/>
      <c r="IN655" s="77"/>
      <c r="IO655" s="77"/>
      <c r="IP655" s="77"/>
      <c r="IQ655" s="77"/>
      <c r="IR655" s="77"/>
      <c r="IS655" s="77"/>
      <c r="IT655" s="77"/>
      <c r="IU655" s="77"/>
      <c r="IV655" s="77"/>
      <c r="IW655" s="77"/>
      <c r="IX655" s="77"/>
      <c r="IY655" s="77"/>
      <c r="IZ655" s="77"/>
      <c r="JA655" s="77"/>
      <c r="JB655" s="77"/>
      <c r="JC655" s="77"/>
      <c r="JD655" s="77"/>
      <c r="JE655" s="77"/>
      <c r="JF655" s="77"/>
      <c r="JG655" s="77"/>
      <c r="JH655" s="77"/>
      <c r="JI655" s="77"/>
      <c r="JJ655" s="77"/>
      <c r="JK655" s="77"/>
      <c r="JL655" s="77"/>
      <c r="JM655" s="77"/>
      <c r="JN655" s="77"/>
      <c r="JO655" s="77"/>
      <c r="JP655" s="77"/>
      <c r="JQ655" s="77"/>
      <c r="JR655" s="77"/>
      <c r="JS655" s="77"/>
      <c r="JT655" s="77"/>
      <c r="JU655" s="77"/>
      <c r="JV655" s="77"/>
      <c r="JW655" s="77"/>
      <c r="JX655" s="77"/>
      <c r="JY655" s="77"/>
      <c r="JZ655" s="77"/>
      <c r="KA655" s="77"/>
      <c r="KB655" s="77"/>
      <c r="KC655" s="77"/>
      <c r="KD655" s="77"/>
      <c r="KE655" s="77"/>
      <c r="KF655" s="77"/>
      <c r="KG655" s="77"/>
      <c r="KH655" s="77"/>
      <c r="KI655" s="77"/>
      <c r="KJ655" s="77"/>
      <c r="KK655" s="77"/>
      <c r="KL655" s="77"/>
      <c r="KM655" s="77"/>
      <c r="KN655" s="77"/>
      <c r="KO655" s="77"/>
      <c r="KP655" s="77"/>
      <c r="KQ655" s="77"/>
      <c r="KR655" s="77"/>
      <c r="KS655" s="77"/>
      <c r="KT655" s="77"/>
      <c r="KU655" s="77"/>
      <c r="KV655" s="77"/>
      <c r="KW655" s="77"/>
      <c r="KX655" s="77"/>
      <c r="KY655" s="77"/>
      <c r="KZ655" s="77"/>
      <c r="LA655" s="77"/>
      <c r="LB655" s="77"/>
      <c r="LC655" s="77"/>
      <c r="LD655" s="77"/>
      <c r="LE655" s="77"/>
      <c r="LF655" s="77"/>
      <c r="LG655" s="77"/>
      <c r="LH655" s="77"/>
      <c r="LI655" s="77"/>
      <c r="LJ655" s="77"/>
      <c r="LK655" s="77"/>
      <c r="LW655" s="77"/>
      <c r="LX655" s="77"/>
      <c r="LY655" s="77"/>
      <c r="LZ655" s="77"/>
      <c r="MA655" s="77"/>
      <c r="MB655" s="77"/>
      <c r="MC655" s="77"/>
      <c r="MD655" s="77"/>
      <c r="ME655" s="77"/>
      <c r="MF655" s="77"/>
      <c r="MG655" s="77"/>
      <c r="MH655" s="77"/>
      <c r="MI655" s="77"/>
      <c r="MJ655" s="77"/>
      <c r="MK655" s="77"/>
      <c r="ML655" s="77"/>
      <c r="MM655" s="77"/>
      <c r="MN655" s="77"/>
      <c r="MO655" s="77"/>
      <c r="MP655" s="77"/>
      <c r="MQ655" s="77"/>
      <c r="MR655" s="77"/>
      <c r="MT655" s="16"/>
      <c r="MU655" s="16"/>
      <c r="MV655" s="16"/>
      <c r="MW655" s="16"/>
      <c r="MX655" s="16"/>
      <c r="MY655" s="16"/>
      <c r="MZ655" s="16"/>
      <c r="NA655" s="16"/>
      <c r="NB655" s="16"/>
      <c r="NC655" s="16"/>
    </row>
    <row r="656" spans="1:368" s="21" customFormat="1" ht="18.600000000000001" customHeight="1" x14ac:dyDescent="0.25">
      <c r="A656" s="119" t="s">
        <v>254</v>
      </c>
      <c r="B656" s="27" t="s">
        <v>4448</v>
      </c>
      <c r="C656" s="27" t="s">
        <v>4449</v>
      </c>
      <c r="D656" s="30" t="str">
        <f>HYPERLINK("https://twitter.com/SaikhanbilegPM","https://twitter.com/SaikhanbilegPM")</f>
        <v>https://twitter.com/SaikhanbilegPM</v>
      </c>
      <c r="E656" s="30" t="str">
        <f>HYPERLINK("http://twiplomacy.com/info/asia/Mongolia","http://twiplomacy.com/info/asia/Mongolia")</f>
        <v>http://twiplomacy.com/info/asia/Mongolia</v>
      </c>
      <c r="F656" s="10" t="s">
        <v>154</v>
      </c>
      <c r="G656" s="10" t="s">
        <v>252</v>
      </c>
      <c r="H656" s="10" t="s">
        <v>776</v>
      </c>
      <c r="I656" s="10" t="s">
        <v>773</v>
      </c>
      <c r="J656" s="27" t="s">
        <v>789</v>
      </c>
      <c r="K656" s="15" t="s">
        <v>777</v>
      </c>
      <c r="L656" s="10"/>
      <c r="M656" s="10" t="s">
        <v>770</v>
      </c>
      <c r="N656" s="30" t="s">
        <v>1494</v>
      </c>
      <c r="O656" s="27" t="s">
        <v>6079</v>
      </c>
      <c r="P656" s="80">
        <v>11</v>
      </c>
      <c r="Q656" s="80">
        <v>0</v>
      </c>
      <c r="R656" s="27" t="s">
        <v>2995</v>
      </c>
      <c r="S656" s="12" t="s">
        <v>1495</v>
      </c>
      <c r="T656" s="10" t="s">
        <v>771</v>
      </c>
      <c r="U656" s="10" t="s">
        <v>771</v>
      </c>
      <c r="V656" s="10" t="s">
        <v>771</v>
      </c>
      <c r="W656" s="30"/>
      <c r="X656" s="27" t="s">
        <v>254</v>
      </c>
      <c r="Y656" s="27" t="s">
        <v>4448</v>
      </c>
      <c r="Z656" s="80">
        <v>121</v>
      </c>
      <c r="AA656" s="27">
        <v>4</v>
      </c>
      <c r="AB656" s="80">
        <v>1305</v>
      </c>
      <c r="AC656" s="27">
        <v>4</v>
      </c>
      <c r="AD656" s="27" t="s">
        <v>4450</v>
      </c>
      <c r="AE656" s="27">
        <v>1371451278</v>
      </c>
      <c r="AF656" s="27" t="s">
        <v>4449</v>
      </c>
      <c r="AG656" s="27" t="s">
        <v>252</v>
      </c>
      <c r="AH656" s="79">
        <v>0.10940325497287499</v>
      </c>
      <c r="AI656" s="83">
        <v>1.31460674157303</v>
      </c>
      <c r="AJ656" s="80">
        <v>3.2</v>
      </c>
      <c r="AK656" s="80">
        <v>3.4</v>
      </c>
      <c r="AL656" s="13">
        <v>0</v>
      </c>
      <c r="AM656" s="97">
        <f>SUM(AL656/Z656)</f>
        <v>0</v>
      </c>
      <c r="AN656" s="27" t="s">
        <v>254</v>
      </c>
      <c r="AO656" s="27">
        <v>1</v>
      </c>
      <c r="AP656" s="27">
        <v>2</v>
      </c>
      <c r="AQ656" s="27">
        <v>0</v>
      </c>
      <c r="AR656" s="27">
        <f>SUM(AO656:AQ656)</f>
        <v>3</v>
      </c>
      <c r="AS656" s="27" t="s">
        <v>253</v>
      </c>
      <c r="AT656" s="27" t="s">
        <v>6851</v>
      </c>
      <c r="AU656" s="84"/>
      <c r="AV656" s="77"/>
      <c r="AW656" s="77"/>
      <c r="AX656" s="77"/>
      <c r="AY656" s="77"/>
      <c r="AZ656" s="77"/>
      <c r="BA656" s="77"/>
      <c r="BB656" s="77"/>
      <c r="BC656" s="77"/>
      <c r="BD656" s="77"/>
      <c r="BE656" s="77"/>
      <c r="BF656" s="77"/>
      <c r="BG656" s="77"/>
      <c r="BH656" s="77"/>
      <c r="BI656" s="77"/>
      <c r="BJ656" s="77"/>
      <c r="BK656" s="77"/>
      <c r="BL656" s="77"/>
      <c r="BM656" s="77"/>
      <c r="BN656" s="77"/>
      <c r="BO656" s="77"/>
      <c r="BP656" s="77"/>
      <c r="BQ656" s="77"/>
      <c r="BR656" s="77"/>
      <c r="BS656" s="77"/>
      <c r="BT656" s="77"/>
      <c r="BU656" s="77"/>
      <c r="BV656" s="77"/>
      <c r="BW656" s="77"/>
      <c r="BX656" s="77"/>
      <c r="BY656" s="77"/>
      <c r="BZ656" s="77"/>
      <c r="CA656" s="77"/>
      <c r="CB656" s="77"/>
      <c r="CC656" s="77"/>
      <c r="CD656" s="77"/>
      <c r="CE656" s="77"/>
      <c r="CF656" s="77"/>
      <c r="CG656" s="77"/>
      <c r="CH656" s="77"/>
      <c r="CI656" s="77"/>
      <c r="CJ656" s="77"/>
      <c r="CK656" s="77"/>
      <c r="CL656" s="77"/>
      <c r="CM656" s="77"/>
      <c r="CN656" s="77"/>
      <c r="CO656" s="77"/>
      <c r="CP656" s="77"/>
      <c r="CQ656" s="77"/>
      <c r="CR656" s="77"/>
      <c r="CS656" s="77"/>
      <c r="CT656" s="77"/>
      <c r="CU656" s="77"/>
      <c r="CV656" s="77"/>
      <c r="CW656" s="77"/>
      <c r="CX656" s="77"/>
      <c r="CY656" s="77"/>
      <c r="CZ656" s="77"/>
      <c r="DA656" s="77"/>
      <c r="DB656" s="77"/>
      <c r="DC656" s="77"/>
      <c r="DD656" s="77"/>
      <c r="DE656" s="77"/>
      <c r="DF656" s="77"/>
      <c r="DG656" s="77"/>
      <c r="DH656" s="77"/>
      <c r="DI656" s="77"/>
      <c r="DJ656" s="77"/>
      <c r="DK656" s="77"/>
      <c r="DL656" s="77"/>
      <c r="DM656" s="77"/>
      <c r="DN656" s="77"/>
      <c r="DO656" s="77"/>
      <c r="DP656" s="77"/>
      <c r="DQ656" s="77"/>
      <c r="DR656" s="77"/>
      <c r="DS656" s="77"/>
      <c r="DT656" s="77"/>
      <c r="DU656" s="77"/>
      <c r="DV656" s="77"/>
      <c r="DW656" s="77"/>
      <c r="DX656" s="77"/>
      <c r="DY656" s="77"/>
      <c r="DZ656" s="77"/>
      <c r="EA656" s="77"/>
      <c r="EB656" s="77"/>
      <c r="EC656" s="77"/>
      <c r="ED656" s="77"/>
      <c r="EE656" s="77"/>
      <c r="EF656" s="77"/>
      <c r="EG656" s="77"/>
      <c r="EH656" s="77"/>
      <c r="EI656" s="77"/>
      <c r="EJ656" s="77"/>
      <c r="EK656" s="77"/>
      <c r="EL656" s="77"/>
      <c r="EM656" s="77"/>
      <c r="EN656" s="77"/>
      <c r="EO656" s="77"/>
      <c r="EQ656" s="77"/>
      <c r="ER656" s="77"/>
      <c r="ES656" s="77"/>
      <c r="ET656" s="77"/>
      <c r="EU656" s="77"/>
      <c r="EV656" s="77"/>
      <c r="EW656" s="77"/>
      <c r="EX656" s="77"/>
      <c r="EY656" s="77"/>
      <c r="EZ656" s="77"/>
      <c r="FA656" s="77"/>
      <c r="FB656" s="77"/>
      <c r="FC656" s="77"/>
      <c r="FD656" s="77"/>
      <c r="FE656" s="77"/>
      <c r="FF656" s="77"/>
      <c r="FG656" s="77"/>
      <c r="FH656" s="77"/>
      <c r="FI656" s="77"/>
      <c r="FJ656" s="77"/>
      <c r="FK656" s="77"/>
      <c r="FL656" s="77"/>
      <c r="FM656" s="77"/>
      <c r="FN656" s="77"/>
      <c r="FO656" s="77"/>
      <c r="FP656" s="77"/>
      <c r="FQ656" s="77"/>
      <c r="FR656" s="77"/>
      <c r="FS656" s="77"/>
      <c r="FT656" s="77"/>
      <c r="FU656" s="77"/>
      <c r="FV656" s="77"/>
      <c r="FW656" s="77"/>
      <c r="FX656" s="77"/>
      <c r="FY656" s="77"/>
      <c r="FZ656" s="77"/>
      <c r="GA656" s="77"/>
      <c r="GB656" s="77"/>
      <c r="GC656" s="77"/>
      <c r="GD656" s="77"/>
      <c r="GE656" s="77"/>
      <c r="GF656" s="77"/>
      <c r="GG656" s="77"/>
      <c r="GH656" s="77"/>
      <c r="GI656" s="77"/>
      <c r="GJ656" s="77"/>
      <c r="GK656" s="77"/>
      <c r="ID656" s="77"/>
      <c r="IE656" s="77"/>
      <c r="IF656" s="77"/>
      <c r="IG656" s="77"/>
      <c r="IH656" s="77"/>
      <c r="II656" s="77"/>
      <c r="IJ656" s="77"/>
      <c r="IK656" s="77"/>
      <c r="IL656" s="77"/>
      <c r="IM656" s="77"/>
      <c r="IN656" s="77"/>
      <c r="IO656" s="77"/>
      <c r="IP656" s="77"/>
      <c r="IQ656" s="77"/>
      <c r="IR656" s="77"/>
      <c r="IS656" s="77"/>
      <c r="IT656" s="77"/>
      <c r="IU656" s="77"/>
      <c r="IV656" s="77"/>
      <c r="IW656" s="77"/>
      <c r="IX656" s="77"/>
      <c r="IY656" s="77"/>
      <c r="IZ656" s="77"/>
      <c r="JA656" s="77"/>
      <c r="JB656" s="77"/>
      <c r="JC656" s="77"/>
      <c r="JD656" s="77"/>
      <c r="JE656" s="77"/>
      <c r="JF656" s="77"/>
      <c r="JG656" s="77"/>
      <c r="JH656" s="77"/>
      <c r="JI656" s="77"/>
      <c r="JJ656" s="77"/>
      <c r="JK656" s="77"/>
      <c r="JL656" s="77"/>
      <c r="JM656" s="77"/>
      <c r="JN656" s="77"/>
      <c r="JO656" s="77"/>
      <c r="JP656" s="77"/>
      <c r="JQ656" s="77"/>
      <c r="JR656" s="77"/>
      <c r="JS656" s="77"/>
      <c r="JT656" s="77"/>
      <c r="JU656" s="77"/>
      <c r="JV656" s="77"/>
      <c r="JW656" s="77"/>
      <c r="JX656" s="77"/>
      <c r="JY656" s="77"/>
      <c r="JZ656" s="77"/>
      <c r="KA656" s="77"/>
      <c r="KB656" s="77"/>
      <c r="KC656" s="77"/>
      <c r="KD656" s="77"/>
      <c r="KE656" s="77"/>
      <c r="KF656" s="77"/>
      <c r="KG656" s="77"/>
      <c r="KH656" s="77"/>
      <c r="KI656" s="77"/>
      <c r="KJ656" s="77"/>
      <c r="KK656" s="77"/>
      <c r="KL656" s="77"/>
      <c r="KM656" s="77"/>
      <c r="KN656" s="77"/>
      <c r="KO656" s="77"/>
      <c r="KP656" s="77"/>
      <c r="KQ656" s="77"/>
      <c r="KR656" s="77"/>
      <c r="KS656" s="77"/>
      <c r="KT656" s="77"/>
      <c r="KU656" s="77"/>
      <c r="KV656" s="77"/>
      <c r="KW656" s="77"/>
      <c r="KX656" s="77"/>
      <c r="KY656" s="77"/>
      <c r="KZ656" s="77"/>
      <c r="LA656" s="77"/>
      <c r="LB656" s="77"/>
      <c r="LC656" s="77"/>
      <c r="LD656" s="77"/>
      <c r="LE656" s="77"/>
      <c r="LF656" s="77"/>
      <c r="LG656" s="77"/>
      <c r="LH656" s="77"/>
      <c r="LI656" s="77"/>
      <c r="LJ656" s="77"/>
      <c r="LK656" s="77"/>
      <c r="LW656" s="77"/>
      <c r="LX656" s="77"/>
    </row>
    <row r="657" spans="1:421" s="21" customFormat="1" ht="18.600000000000001" customHeight="1" x14ac:dyDescent="0.25">
      <c r="A657" s="119" t="s">
        <v>461</v>
      </c>
      <c r="B657" s="27" t="s">
        <v>2065</v>
      </c>
      <c r="C657" s="27" t="s">
        <v>6434</v>
      </c>
      <c r="D657" s="30" t="str">
        <f>HYPERLINK("https://twitter.com/palaismonaco","https://twitter.com/palaismonaco")</f>
        <v>https://twitter.com/palaismonaco</v>
      </c>
      <c r="E657" s="30" t="str">
        <f>HYPERLINK("http://twiplomacy.com/info/europe/Monaco","http://twiplomacy.com/info/europe/Monaco")</f>
        <v>http://twiplomacy.com/info/europe/Monaco</v>
      </c>
      <c r="F657" s="10" t="s">
        <v>332</v>
      </c>
      <c r="G657" s="10" t="s">
        <v>460</v>
      </c>
      <c r="H657" s="10" t="s">
        <v>2032</v>
      </c>
      <c r="I657" s="10" t="s">
        <v>782</v>
      </c>
      <c r="J657" s="27" t="s">
        <v>779</v>
      </c>
      <c r="K657" s="15" t="s">
        <v>5589</v>
      </c>
      <c r="L657" s="10" t="s">
        <v>771</v>
      </c>
      <c r="M657" s="10" t="s">
        <v>771</v>
      </c>
      <c r="N657" s="30" t="str">
        <f>HYPERLINK("https://twitter.com/palaismonaco/statuses/139351973358075905","https://twitter.com/palaismonaco/statuses/139351973358075905")</f>
        <v>https://twitter.com/palaismonaco/statuses/139351973358075905</v>
      </c>
      <c r="O657" s="27" t="s">
        <v>6002</v>
      </c>
      <c r="P657" s="80">
        <v>553</v>
      </c>
      <c r="Q657" s="80">
        <v>270</v>
      </c>
      <c r="R657" s="27" t="s">
        <v>2994</v>
      </c>
      <c r="S657" s="10" t="s">
        <v>2066</v>
      </c>
      <c r="T657" s="10" t="s">
        <v>771</v>
      </c>
      <c r="U657" s="10" t="s">
        <v>771</v>
      </c>
      <c r="V657" s="10" t="s">
        <v>771</v>
      </c>
      <c r="W657" s="10"/>
      <c r="X657" s="27" t="s">
        <v>461</v>
      </c>
      <c r="Y657" s="27" t="s">
        <v>2065</v>
      </c>
      <c r="Z657" s="80">
        <v>119</v>
      </c>
      <c r="AA657" s="27">
        <v>15</v>
      </c>
      <c r="AB657" s="80">
        <v>10244</v>
      </c>
      <c r="AC657" s="27">
        <v>0</v>
      </c>
      <c r="AD657" s="27" t="s">
        <v>4229</v>
      </c>
      <c r="AE657" s="27">
        <v>377384429</v>
      </c>
      <c r="AF657" s="27" t="s">
        <v>6434</v>
      </c>
      <c r="AG657" s="27" t="s">
        <v>460</v>
      </c>
      <c r="AH657" s="79">
        <v>7.0623145400593501E-2</v>
      </c>
      <c r="AI657" s="83">
        <v>8.6044830079537199E-2</v>
      </c>
      <c r="AJ657" s="80">
        <v>15.1428571428571</v>
      </c>
      <c r="AK657" s="80">
        <v>9.7563025210084007</v>
      </c>
      <c r="AL657" s="27">
        <v>1</v>
      </c>
      <c r="AM657" s="97">
        <f>SUM(AL657/Z657)</f>
        <v>8.4033613445378148E-3</v>
      </c>
      <c r="AN657" s="27" t="s">
        <v>461</v>
      </c>
      <c r="AO657" s="27">
        <v>6</v>
      </c>
      <c r="AP657" s="27">
        <v>8</v>
      </c>
      <c r="AQ657" s="27">
        <v>1</v>
      </c>
      <c r="AR657" s="27">
        <f>SUM(AO657:AQ657)</f>
        <v>15</v>
      </c>
      <c r="AS657" s="27" t="s">
        <v>6242</v>
      </c>
      <c r="AT657" s="27" t="s">
        <v>6810</v>
      </c>
      <c r="AU657" s="84" t="s">
        <v>462</v>
      </c>
      <c r="AV657" s="77"/>
      <c r="AW657" s="77"/>
      <c r="AX657" s="77"/>
      <c r="AY657" s="77"/>
      <c r="AZ657" s="77"/>
      <c r="BA657" s="77"/>
      <c r="BB657" s="77"/>
      <c r="BC657" s="77"/>
      <c r="BD657" s="77"/>
      <c r="BE657" s="77"/>
      <c r="BF657" s="77"/>
      <c r="BG657" s="77"/>
      <c r="BH657" s="77"/>
      <c r="BI657" s="77"/>
      <c r="BJ657" s="77"/>
      <c r="BK657" s="77"/>
      <c r="BL657" s="77"/>
      <c r="BM657" s="77"/>
      <c r="BN657" s="77"/>
      <c r="BO657" s="77"/>
      <c r="BP657" s="77"/>
      <c r="BQ657" s="77"/>
      <c r="BR657" s="77"/>
      <c r="BS657" s="77"/>
      <c r="BT657" s="77"/>
      <c r="BU657" s="77"/>
      <c r="BV657" s="77"/>
      <c r="BW657" s="77"/>
      <c r="BX657" s="77"/>
      <c r="BY657" s="77"/>
      <c r="BZ657" s="77"/>
      <c r="CA657" s="77"/>
      <c r="CB657" s="77"/>
      <c r="CC657" s="77"/>
      <c r="CD657" s="77"/>
      <c r="CE657" s="77"/>
      <c r="CF657" s="77"/>
      <c r="CG657" s="77"/>
      <c r="CH657" s="77"/>
      <c r="CI657" s="77"/>
      <c r="CJ657" s="77"/>
      <c r="CK657" s="77"/>
      <c r="CL657" s="77"/>
      <c r="CM657" s="77"/>
      <c r="CN657" s="77"/>
      <c r="CO657" s="77"/>
      <c r="CP657" s="77"/>
      <c r="CQ657" s="77"/>
      <c r="CR657" s="77"/>
      <c r="CS657" s="77"/>
      <c r="CT657" s="77"/>
      <c r="CU657" s="77"/>
      <c r="CV657" s="77"/>
      <c r="CW657" s="77"/>
      <c r="CX657" s="77"/>
      <c r="CY657" s="77"/>
      <c r="CZ657" s="77"/>
      <c r="DA657" s="77"/>
      <c r="DB657" s="77"/>
      <c r="DC657" s="77"/>
      <c r="DD657" s="77"/>
      <c r="DE657" s="77"/>
      <c r="DF657" s="77"/>
      <c r="DG657" s="77"/>
      <c r="DH657" s="77"/>
      <c r="DI657" s="77"/>
      <c r="DJ657" s="77"/>
      <c r="DK657" s="77"/>
      <c r="DL657" s="77"/>
      <c r="DM657" s="77"/>
      <c r="DN657" s="77"/>
      <c r="DO657" s="77"/>
      <c r="DP657" s="77"/>
      <c r="DQ657" s="77"/>
      <c r="DR657" s="77"/>
      <c r="DS657" s="77"/>
      <c r="DT657" s="77"/>
      <c r="DU657" s="77"/>
      <c r="DV657" s="77"/>
      <c r="DW657" s="77"/>
      <c r="DX657" s="77"/>
      <c r="DY657" s="77"/>
      <c r="DZ657" s="77"/>
      <c r="EA657" s="77"/>
      <c r="EB657" s="77"/>
      <c r="EC657" s="77"/>
      <c r="ED657" s="77"/>
      <c r="EE657" s="77"/>
      <c r="EF657" s="77"/>
      <c r="EG657" s="77"/>
      <c r="EH657" s="77"/>
      <c r="EI657" s="77"/>
      <c r="EJ657" s="77"/>
      <c r="EK657" s="77"/>
      <c r="EL657" s="77"/>
      <c r="EM657" s="77"/>
      <c r="EN657" s="77"/>
      <c r="EO657" s="77"/>
      <c r="EP657" s="77"/>
      <c r="EQ657" s="77"/>
      <c r="ER657" s="77"/>
      <c r="ES657" s="77"/>
      <c r="ET657" s="77"/>
      <c r="EU657" s="77"/>
      <c r="EV657" s="77"/>
      <c r="EW657" s="77"/>
      <c r="EX657" s="77"/>
      <c r="EY657" s="77"/>
      <c r="EZ657" s="77"/>
      <c r="FA657" s="77"/>
      <c r="FB657" s="77"/>
      <c r="FC657" s="77"/>
      <c r="FD657" s="77"/>
      <c r="FE657" s="77"/>
      <c r="FF657" s="77"/>
      <c r="FG657" s="77"/>
      <c r="FH657" s="77"/>
      <c r="FI657" s="77"/>
      <c r="FJ657" s="77"/>
      <c r="FK657" s="77"/>
      <c r="FL657" s="77"/>
      <c r="FM657" s="77"/>
      <c r="FN657" s="77"/>
      <c r="FO657" s="77"/>
      <c r="FP657" s="77"/>
      <c r="FQ657" s="77"/>
      <c r="FR657" s="77"/>
      <c r="FS657" s="77"/>
      <c r="FT657" s="77"/>
      <c r="FU657" s="77"/>
      <c r="FV657" s="77"/>
      <c r="FW657" s="77"/>
      <c r="FX657" s="77"/>
      <c r="FY657" s="77"/>
      <c r="FZ657" s="77"/>
      <c r="GA657" s="77"/>
      <c r="GB657" s="77"/>
      <c r="GC657" s="77"/>
      <c r="GD657" s="77"/>
      <c r="GE657" s="77"/>
      <c r="GF657" s="77"/>
      <c r="GG657" s="77"/>
      <c r="GH657" s="77"/>
      <c r="GI657" s="77"/>
      <c r="GJ657" s="77"/>
      <c r="GK657" s="77"/>
      <c r="GL657" s="77"/>
      <c r="GM657" s="77"/>
      <c r="GN657" s="77"/>
      <c r="GO657" s="77"/>
      <c r="GP657" s="77"/>
      <c r="GQ657" s="77"/>
      <c r="GR657" s="77"/>
      <c r="GS657" s="77"/>
      <c r="GT657" s="77"/>
      <c r="GU657" s="77"/>
      <c r="GV657" s="77"/>
      <c r="GW657" s="77"/>
      <c r="GX657" s="77"/>
      <c r="GY657" s="77"/>
      <c r="GZ657" s="77"/>
      <c r="HA657" s="77"/>
      <c r="HB657" s="77"/>
      <c r="HC657" s="77"/>
      <c r="HD657" s="77"/>
      <c r="HE657" s="77"/>
      <c r="HF657" s="77"/>
      <c r="HG657" s="77"/>
      <c r="HH657" s="77"/>
      <c r="HI657" s="77"/>
      <c r="HJ657" s="77"/>
      <c r="HK657" s="77"/>
      <c r="IF657" s="77"/>
      <c r="IG657" s="77"/>
      <c r="IH657" s="77"/>
      <c r="II657" s="77"/>
      <c r="IJ657" s="77"/>
      <c r="IK657" s="77"/>
      <c r="IL657" s="77"/>
      <c r="IM657" s="77"/>
      <c r="IN657" s="77"/>
      <c r="IO657" s="77"/>
      <c r="IP657" s="77"/>
      <c r="IQ657" s="77"/>
      <c r="IR657" s="77"/>
      <c r="IS657" s="77"/>
      <c r="IT657" s="77"/>
      <c r="IU657" s="77"/>
      <c r="IV657" s="77"/>
      <c r="IW657" s="77"/>
      <c r="IX657" s="77"/>
      <c r="IY657" s="77"/>
      <c r="IZ657" s="77"/>
      <c r="JA657" s="77"/>
      <c r="JB657" s="77"/>
      <c r="JC657" s="77"/>
      <c r="JD657" s="77"/>
      <c r="JE657" s="77"/>
      <c r="JF657" s="77"/>
      <c r="JG657" s="77"/>
      <c r="JH657" s="77"/>
      <c r="JI657" s="77"/>
      <c r="JJ657" s="77"/>
      <c r="JK657" s="77"/>
      <c r="JL657" s="77"/>
      <c r="JM657" s="77"/>
      <c r="JN657" s="77"/>
      <c r="JO657" s="77"/>
      <c r="JP657" s="77"/>
      <c r="JQ657" s="77"/>
      <c r="JR657" s="77"/>
      <c r="JS657" s="77"/>
      <c r="JT657" s="77"/>
      <c r="JU657" s="77"/>
      <c r="JV657" s="77"/>
      <c r="JW657" s="77"/>
      <c r="JX657" s="77"/>
      <c r="JY657" s="77"/>
      <c r="JZ657" s="77"/>
      <c r="KA657" s="77"/>
      <c r="KB657" s="77"/>
      <c r="KC657" s="77"/>
      <c r="KD657" s="77"/>
      <c r="KE657" s="77"/>
      <c r="KF657" s="77"/>
      <c r="KG657" s="77"/>
      <c r="KH657" s="77"/>
      <c r="KI657" s="77"/>
      <c r="KJ657" s="77"/>
      <c r="KK657" s="77"/>
      <c r="KL657" s="77"/>
      <c r="LW657" s="77"/>
      <c r="LX657" s="77"/>
      <c r="LY657" s="77"/>
      <c r="LZ657" s="77"/>
      <c r="MA657" s="77"/>
      <c r="MB657" s="77"/>
      <c r="MC657" s="77"/>
      <c r="MD657" s="77"/>
      <c r="ME657" s="77"/>
      <c r="MF657" s="77"/>
      <c r="MG657" s="77"/>
      <c r="MH657" s="77"/>
      <c r="MI657" s="77"/>
      <c r="MJ657" s="77"/>
      <c r="MK657" s="77"/>
      <c r="ML657" s="77"/>
      <c r="MM657" s="77"/>
      <c r="MN657" s="77"/>
      <c r="MO657" s="77"/>
      <c r="MP657" s="77"/>
      <c r="MQ657" s="77"/>
      <c r="MR657" s="77"/>
      <c r="MS657" s="16"/>
    </row>
    <row r="658" spans="1:421" s="21" customFormat="1" ht="18.600000000000001" customHeight="1" x14ac:dyDescent="0.25">
      <c r="A658" s="119" t="s">
        <v>3307</v>
      </c>
      <c r="B658" s="27" t="s">
        <v>4473</v>
      </c>
      <c r="C658" s="27" t="s">
        <v>5581</v>
      </c>
      <c r="D658" s="30" t="s">
        <v>3303</v>
      </c>
      <c r="E658" s="30" t="str">
        <f>HYPERLINK("http://twiplomacy.com/info/europe/Iceland","http://twiplomacy.com/info/europe/Iceland")</f>
        <v>http://twiplomacy.com/info/europe/Iceland</v>
      </c>
      <c r="F658" s="10" t="s">
        <v>332</v>
      </c>
      <c r="G658" s="10" t="s">
        <v>413</v>
      </c>
      <c r="H658" s="10" t="s">
        <v>776</v>
      </c>
      <c r="I658" s="10" t="s">
        <v>773</v>
      </c>
      <c r="J658" s="27" t="s">
        <v>789</v>
      </c>
      <c r="K658" s="15" t="s">
        <v>777</v>
      </c>
      <c r="L658" s="10"/>
      <c r="M658" s="10" t="s">
        <v>770</v>
      </c>
      <c r="N658" s="30" t="s">
        <v>3304</v>
      </c>
      <c r="O658" s="27" t="s">
        <v>3306</v>
      </c>
      <c r="P658" s="80">
        <v>11</v>
      </c>
      <c r="Q658" s="80">
        <v>5</v>
      </c>
      <c r="R658" s="27" t="s">
        <v>2995</v>
      </c>
      <c r="S658" s="10" t="s">
        <v>3305</v>
      </c>
      <c r="T658" s="10" t="s">
        <v>771</v>
      </c>
      <c r="U658" s="10" t="s">
        <v>771</v>
      </c>
      <c r="V658" s="10" t="s">
        <v>771</v>
      </c>
      <c r="W658" s="10"/>
      <c r="X658" s="27" t="s">
        <v>3307</v>
      </c>
      <c r="Y658" s="27" t="s">
        <v>4473</v>
      </c>
      <c r="Z658" s="80">
        <v>118</v>
      </c>
      <c r="AA658" s="27">
        <v>122</v>
      </c>
      <c r="AB658" s="80">
        <v>641</v>
      </c>
      <c r="AC658" s="27">
        <v>8</v>
      </c>
      <c r="AD658" s="27" t="s">
        <v>4474</v>
      </c>
      <c r="AE658" s="27">
        <v>2469413906</v>
      </c>
      <c r="AF658" s="27" t="s">
        <v>5581</v>
      </c>
      <c r="AG658" s="27" t="s">
        <v>413</v>
      </c>
      <c r="AH658" s="79">
        <v>0.16076294277929201</v>
      </c>
      <c r="AI658" s="83">
        <v>0.16120218579234999</v>
      </c>
      <c r="AJ658" s="80">
        <v>1.25882352941176</v>
      </c>
      <c r="AK658" s="80">
        <v>1.02352941176471</v>
      </c>
      <c r="AL658" s="27">
        <v>2</v>
      </c>
      <c r="AM658" s="97">
        <f>SUM(AL658/Z658)</f>
        <v>1.6949152542372881E-2</v>
      </c>
      <c r="AN658" s="27" t="s">
        <v>3307</v>
      </c>
      <c r="AO658" s="27">
        <v>6</v>
      </c>
      <c r="AP658" s="27">
        <v>0</v>
      </c>
      <c r="AQ658" s="27">
        <v>2</v>
      </c>
      <c r="AR658" s="27">
        <f>SUM(AO658:AQ658)</f>
        <v>8</v>
      </c>
      <c r="AS658" s="27" t="s">
        <v>5493</v>
      </c>
      <c r="AT658" s="27"/>
      <c r="AU658" s="84" t="s">
        <v>6185</v>
      </c>
      <c r="AV658" s="77"/>
      <c r="AW658" s="77"/>
      <c r="AX658" s="77"/>
      <c r="AY658" s="77"/>
      <c r="AZ658" s="77"/>
      <c r="BA658" s="77"/>
      <c r="BB658" s="77"/>
      <c r="BC658" s="77"/>
      <c r="BD658" s="77"/>
      <c r="BE658" s="77"/>
      <c r="BF658" s="77"/>
      <c r="BG658" s="77"/>
      <c r="BH658" s="77"/>
      <c r="BI658" s="77"/>
      <c r="BJ658" s="77"/>
      <c r="BK658" s="77"/>
      <c r="BL658" s="77"/>
      <c r="BM658" s="77"/>
      <c r="BN658" s="77"/>
      <c r="BO658" s="77"/>
      <c r="BP658" s="77"/>
      <c r="BQ658" s="77"/>
      <c r="BR658" s="77"/>
      <c r="BS658" s="77"/>
      <c r="BT658" s="77"/>
      <c r="BU658" s="77"/>
      <c r="BV658" s="77"/>
      <c r="BW658" s="77"/>
      <c r="BX658" s="77"/>
      <c r="BY658" s="77"/>
      <c r="BZ658" s="77"/>
      <c r="CA658" s="77"/>
      <c r="CB658" s="77"/>
      <c r="CC658" s="77"/>
      <c r="CD658" s="77"/>
      <c r="CE658" s="77"/>
      <c r="CF658" s="77"/>
      <c r="CG658" s="77"/>
      <c r="CH658" s="77"/>
      <c r="CI658" s="77"/>
      <c r="CJ658" s="77"/>
      <c r="CK658" s="77"/>
      <c r="CL658" s="77"/>
      <c r="CM658" s="77"/>
      <c r="CN658" s="77"/>
      <c r="CO658" s="77"/>
      <c r="CP658" s="77"/>
      <c r="CQ658" s="77"/>
      <c r="CR658" s="77"/>
      <c r="CS658" s="77"/>
      <c r="CT658" s="77"/>
      <c r="CU658" s="77"/>
      <c r="CV658" s="77"/>
      <c r="CW658" s="77"/>
      <c r="EM658" s="77"/>
      <c r="EN658" s="77"/>
      <c r="EO658" s="77"/>
      <c r="EP658" s="77"/>
      <c r="EQ658" s="77"/>
      <c r="ER658" s="77"/>
      <c r="ES658" s="77"/>
      <c r="ET658" s="77"/>
      <c r="EU658" s="77"/>
      <c r="EV658" s="77"/>
      <c r="EW658" s="77"/>
      <c r="EX658" s="77"/>
      <c r="EY658" s="77"/>
      <c r="EZ658" s="77"/>
      <c r="FA658" s="77"/>
      <c r="FB658" s="77"/>
      <c r="FC658" s="77"/>
      <c r="FD658" s="77"/>
      <c r="FE658" s="77"/>
      <c r="FF658" s="77"/>
      <c r="FG658" s="77"/>
      <c r="FH658" s="77"/>
      <c r="FI658" s="77"/>
      <c r="FJ658" s="77"/>
      <c r="FK658" s="77"/>
      <c r="FL658" s="77"/>
      <c r="FM658" s="77"/>
      <c r="FN658" s="77"/>
      <c r="FO658" s="77"/>
      <c r="FP658" s="77"/>
      <c r="FQ658" s="77"/>
      <c r="FR658" s="77"/>
      <c r="FS658" s="77"/>
      <c r="FT658" s="77"/>
      <c r="FU658" s="77"/>
      <c r="FV658" s="77"/>
      <c r="FW658" s="77"/>
      <c r="FX658" s="77"/>
      <c r="FY658" s="77"/>
      <c r="FZ658" s="77"/>
      <c r="GA658" s="77"/>
      <c r="GB658" s="77"/>
      <c r="GC658" s="77"/>
      <c r="GD658" s="77"/>
      <c r="GE658" s="77"/>
      <c r="GF658" s="77"/>
      <c r="GG658" s="77"/>
      <c r="GH658" s="77"/>
      <c r="GI658" s="77"/>
      <c r="GJ658" s="77"/>
      <c r="GK658" s="77"/>
      <c r="GL658" s="77"/>
      <c r="GM658" s="77"/>
      <c r="GN658" s="77"/>
      <c r="GO658" s="77"/>
      <c r="GP658" s="77"/>
      <c r="GQ658" s="77"/>
      <c r="GR658" s="77"/>
      <c r="GS658" s="77"/>
      <c r="GT658" s="77"/>
      <c r="GU658" s="77"/>
      <c r="GV658" s="77"/>
      <c r="GW658" s="77"/>
      <c r="GX658" s="77"/>
      <c r="GY658" s="77"/>
      <c r="GZ658" s="77"/>
      <c r="HA658" s="77"/>
      <c r="HB658" s="77"/>
      <c r="HC658" s="77"/>
      <c r="HD658" s="77"/>
      <c r="HE658" s="77"/>
      <c r="HF658" s="77"/>
      <c r="HG658" s="77"/>
      <c r="HH658" s="77"/>
      <c r="HI658" s="77"/>
      <c r="HJ658" s="77"/>
      <c r="HK658" s="77"/>
      <c r="HL658" s="77"/>
      <c r="HM658" s="77"/>
      <c r="HN658" s="77"/>
      <c r="HO658" s="77"/>
      <c r="HP658" s="77"/>
      <c r="HQ658" s="77"/>
      <c r="HR658" s="77"/>
      <c r="HS658" s="77"/>
      <c r="HT658" s="77"/>
      <c r="HU658" s="77"/>
      <c r="HV658" s="77"/>
      <c r="HW658" s="77"/>
      <c r="HX658" s="77"/>
      <c r="HY658" s="77"/>
      <c r="HZ658" s="77"/>
      <c r="IA658" s="77"/>
      <c r="IB658" s="77"/>
      <c r="IC658" s="77"/>
      <c r="ID658" s="77"/>
      <c r="IE658" s="77"/>
      <c r="IF658" s="77"/>
      <c r="IG658" s="77"/>
      <c r="IH658" s="77"/>
      <c r="II658" s="77"/>
      <c r="IJ658" s="77"/>
      <c r="IK658" s="77"/>
      <c r="IL658" s="77"/>
      <c r="IM658" s="77"/>
      <c r="IN658" s="77"/>
      <c r="IO658" s="77"/>
      <c r="IP658" s="77"/>
      <c r="IQ658" s="77"/>
      <c r="IR658" s="77"/>
      <c r="IS658" s="77"/>
      <c r="IT658" s="77"/>
      <c r="IU658" s="77"/>
      <c r="IV658" s="77"/>
      <c r="IW658" s="77"/>
      <c r="IX658" s="77"/>
      <c r="IY658" s="77"/>
      <c r="IZ658" s="77"/>
      <c r="JA658" s="77"/>
      <c r="JB658" s="77"/>
      <c r="JC658" s="77"/>
      <c r="JD658" s="77"/>
      <c r="JE658" s="77"/>
      <c r="JF658" s="77"/>
      <c r="JG658" s="77"/>
      <c r="JH658" s="77"/>
      <c r="JI658" s="77"/>
      <c r="JJ658" s="77"/>
      <c r="JK658" s="77"/>
      <c r="JL658" s="77"/>
      <c r="JM658" s="77"/>
      <c r="JN658" s="77"/>
      <c r="JO658" s="77"/>
      <c r="JP658" s="77"/>
      <c r="JQ658" s="77"/>
      <c r="JR658" s="77"/>
      <c r="JS658" s="77"/>
      <c r="JT658" s="77"/>
      <c r="JU658" s="77"/>
      <c r="JV658" s="77"/>
      <c r="JW658" s="77"/>
      <c r="JX658" s="77"/>
      <c r="KM658" s="77"/>
      <c r="KN658" s="77"/>
      <c r="KO658" s="77"/>
      <c r="KP658" s="77"/>
      <c r="KQ658" s="77"/>
      <c r="KR658" s="77"/>
      <c r="KS658" s="77"/>
      <c r="KT658" s="77"/>
      <c r="KU658" s="77"/>
      <c r="KV658" s="77"/>
      <c r="KW658" s="77"/>
      <c r="KX658" s="77"/>
      <c r="KY658" s="77"/>
      <c r="KZ658" s="77"/>
      <c r="LA658" s="77"/>
      <c r="LB658" s="77"/>
      <c r="LC658" s="77"/>
      <c r="LD658" s="77"/>
      <c r="LE658" s="77"/>
      <c r="LF658" s="77"/>
      <c r="LG658" s="77"/>
      <c r="LH658" s="77"/>
      <c r="LI658" s="77"/>
      <c r="LJ658" s="77"/>
      <c r="LK658" s="77"/>
      <c r="LL658" s="77"/>
      <c r="LM658" s="77"/>
      <c r="LN658" s="77"/>
      <c r="LO658" s="77"/>
      <c r="LP658" s="77"/>
      <c r="LQ658" s="77"/>
      <c r="LR658" s="77"/>
      <c r="LS658" s="77"/>
      <c r="LT658" s="77"/>
      <c r="LU658" s="77"/>
      <c r="LV658" s="77"/>
      <c r="LW658" s="77"/>
      <c r="LX658" s="77"/>
      <c r="ND658" s="77"/>
    </row>
    <row r="659" spans="1:421" s="21" customFormat="1" ht="18.600000000000001" customHeight="1" x14ac:dyDescent="0.25">
      <c r="A659" s="119" t="s">
        <v>2956</v>
      </c>
      <c r="B659" s="27" t="s">
        <v>2957</v>
      </c>
      <c r="C659" s="27"/>
      <c r="D659" s="30" t="str">
        <f>HYPERLINK("https://twitter.com/MAE_Haiti","https://twitter.com/MAE_Haiti")</f>
        <v>https://twitter.com/MAE_Haiti</v>
      </c>
      <c r="E659" s="30" t="str">
        <f>HYPERLINK("http://twiplomacy.com/info/north-america/Haiti","http://twiplomacy.com/info/north-america/Haiti")</f>
        <v>http://twiplomacy.com/info/north-america/Haiti</v>
      </c>
      <c r="F659" s="14" t="s">
        <v>558</v>
      </c>
      <c r="G659" s="14" t="s">
        <v>599</v>
      </c>
      <c r="H659" s="10" t="s">
        <v>795</v>
      </c>
      <c r="I659" s="14" t="s">
        <v>782</v>
      </c>
      <c r="J659" s="27" t="s">
        <v>779</v>
      </c>
      <c r="K659" s="15" t="s">
        <v>2761</v>
      </c>
      <c r="L659" s="14" t="s">
        <v>771</v>
      </c>
      <c r="M659" s="14" t="s">
        <v>771</v>
      </c>
      <c r="N659" s="100" t="str">
        <f>HYPERLINK("https://twitter.com/LaurentLamothe/statuses/434621843069485056","https://twitter.com/LaurentLamothe/statuses/434621843069485056")</f>
        <v>https://twitter.com/LaurentLamothe/statuses/434621843069485056</v>
      </c>
      <c r="O659" s="27" t="s">
        <v>2958</v>
      </c>
      <c r="P659" s="80">
        <v>7</v>
      </c>
      <c r="Q659" s="80">
        <v>2</v>
      </c>
      <c r="R659" s="27" t="s">
        <v>2995</v>
      </c>
      <c r="S659" s="10" t="s">
        <v>2959</v>
      </c>
      <c r="T659" s="10">
        <v>1</v>
      </c>
      <c r="U659" s="10" t="s">
        <v>771</v>
      </c>
      <c r="V659" s="30" t="str">
        <f>HYPERLINK("https://twitter.com/MAE_Haiti/lists/foreign-affairs-of-haiti","https://twitter.com/MAE_Haiti/lists/foreign-affairs-of-haiti")</f>
        <v>https://twitter.com/MAE_Haiti/lists/foreign-affairs-of-haiti</v>
      </c>
      <c r="W659" s="14">
        <v>13</v>
      </c>
      <c r="X659" s="27" t="s">
        <v>2956</v>
      </c>
      <c r="Y659" s="27" t="s">
        <v>2957</v>
      </c>
      <c r="Z659" s="80">
        <v>117</v>
      </c>
      <c r="AA659" s="27">
        <v>186</v>
      </c>
      <c r="AB659" s="80">
        <v>441</v>
      </c>
      <c r="AC659" s="27">
        <v>0</v>
      </c>
      <c r="AD659" s="27" t="s">
        <v>3999</v>
      </c>
      <c r="AE659" s="27">
        <v>2344108578</v>
      </c>
      <c r="AF659" s="27"/>
      <c r="AG659" s="27"/>
      <c r="AH659" s="79">
        <v>0.14498141263940501</v>
      </c>
      <c r="AI659" s="83">
        <v>1.42682926829268</v>
      </c>
      <c r="AJ659" s="80">
        <v>0.229885057471264</v>
      </c>
      <c r="AK659" s="80">
        <v>0.114942528735632</v>
      </c>
      <c r="AL659" s="13">
        <v>0</v>
      </c>
      <c r="AM659" s="97">
        <f>SUM(AL659/Z659)</f>
        <v>0</v>
      </c>
      <c r="AN659" s="27" t="s">
        <v>2956</v>
      </c>
      <c r="AO659" s="27">
        <v>8</v>
      </c>
      <c r="AP659" s="27">
        <v>14</v>
      </c>
      <c r="AQ659" s="27">
        <v>1</v>
      </c>
      <c r="AR659" s="27">
        <f>SUM(AO659:AQ659)</f>
        <v>23</v>
      </c>
      <c r="AS659" s="27" t="s">
        <v>6584</v>
      </c>
      <c r="AT659" s="27" t="s">
        <v>5267</v>
      </c>
      <c r="AU659" s="84" t="s">
        <v>601</v>
      </c>
      <c r="AV659" s="77"/>
      <c r="AW659" s="77"/>
      <c r="AX659" s="77"/>
      <c r="AY659" s="77"/>
      <c r="AZ659" s="77"/>
      <c r="BA659" s="77"/>
      <c r="BB659" s="77"/>
      <c r="BC659" s="77"/>
      <c r="BD659" s="77"/>
      <c r="BE659" s="77"/>
      <c r="BF659" s="77"/>
      <c r="BG659" s="77"/>
      <c r="BH659" s="77"/>
      <c r="BI659" s="77"/>
      <c r="BJ659" s="77"/>
      <c r="BK659" s="77"/>
      <c r="BL659" s="77"/>
      <c r="BM659" s="77"/>
      <c r="BN659" s="77"/>
      <c r="BO659" s="77"/>
      <c r="BP659" s="77"/>
      <c r="BQ659" s="77"/>
      <c r="BR659" s="77"/>
      <c r="BS659" s="77"/>
      <c r="BT659" s="77"/>
      <c r="BU659" s="77"/>
      <c r="BV659" s="77"/>
      <c r="BW659" s="77"/>
      <c r="BX659" s="77"/>
      <c r="BY659" s="77"/>
      <c r="BZ659" s="77"/>
      <c r="CA659" s="77"/>
      <c r="CB659" s="77"/>
      <c r="CC659" s="77"/>
      <c r="CD659" s="77"/>
      <c r="CE659" s="77"/>
      <c r="CF659" s="77"/>
      <c r="CG659" s="77"/>
      <c r="CH659" s="77"/>
      <c r="CI659" s="77"/>
      <c r="CJ659" s="77"/>
      <c r="CK659" s="77"/>
      <c r="CL659" s="77"/>
      <c r="CM659" s="77"/>
      <c r="CN659" s="77"/>
      <c r="CO659" s="77"/>
      <c r="CP659" s="77"/>
      <c r="CQ659" s="77"/>
      <c r="CR659" s="77"/>
      <c r="CS659" s="77"/>
      <c r="CT659" s="77"/>
      <c r="CU659" s="77"/>
      <c r="CV659" s="77"/>
      <c r="CW659" s="77"/>
      <c r="CX659" s="77"/>
      <c r="CY659" s="77"/>
      <c r="CZ659" s="77"/>
      <c r="DA659" s="77"/>
      <c r="DB659" s="77"/>
      <c r="DC659" s="77"/>
      <c r="DD659" s="77"/>
      <c r="DE659" s="77"/>
      <c r="DF659" s="77"/>
      <c r="DG659" s="77"/>
      <c r="DH659" s="77"/>
      <c r="DI659" s="77"/>
      <c r="DJ659" s="77"/>
      <c r="DK659" s="77"/>
      <c r="DL659" s="77"/>
      <c r="DM659" s="77"/>
      <c r="DN659" s="77"/>
      <c r="DO659" s="77"/>
      <c r="DP659" s="77"/>
      <c r="DQ659" s="77"/>
      <c r="DR659" s="77"/>
      <c r="DS659" s="77"/>
      <c r="DT659" s="77"/>
      <c r="DU659" s="77"/>
      <c r="DV659" s="77"/>
      <c r="DW659" s="77"/>
      <c r="DX659" s="77"/>
      <c r="DY659" s="77"/>
      <c r="DZ659" s="77"/>
      <c r="EA659" s="77"/>
      <c r="EB659" s="77"/>
      <c r="EC659" s="77"/>
      <c r="ED659" s="77"/>
      <c r="EE659" s="77"/>
      <c r="EF659" s="77"/>
      <c r="EG659" s="77"/>
      <c r="EH659" s="77"/>
      <c r="EI659" s="77"/>
      <c r="EJ659" s="77"/>
      <c r="EK659" s="77"/>
      <c r="EL659" s="77"/>
      <c r="EM659" s="77"/>
      <c r="EN659" s="77"/>
      <c r="EO659" s="77"/>
      <c r="EP659" s="77"/>
      <c r="EQ659" s="77"/>
      <c r="ER659" s="77"/>
      <c r="ES659" s="77"/>
      <c r="ET659" s="77"/>
      <c r="EU659" s="77"/>
      <c r="EV659" s="77"/>
      <c r="EW659" s="77"/>
      <c r="EX659" s="77"/>
      <c r="EY659" s="77"/>
      <c r="EZ659" s="77"/>
      <c r="FA659" s="77"/>
      <c r="FB659" s="77"/>
      <c r="FC659" s="77"/>
      <c r="FD659" s="77"/>
      <c r="FE659" s="77"/>
      <c r="FF659" s="77"/>
      <c r="FG659" s="77"/>
      <c r="FH659" s="77"/>
      <c r="FI659" s="77"/>
      <c r="FJ659" s="77"/>
      <c r="FK659" s="77"/>
      <c r="FL659" s="77"/>
      <c r="FM659" s="77"/>
      <c r="FN659" s="77"/>
      <c r="FO659" s="77"/>
      <c r="FP659" s="77"/>
      <c r="FQ659" s="77"/>
      <c r="FR659" s="77"/>
      <c r="FS659" s="77"/>
      <c r="FT659" s="77"/>
      <c r="FU659" s="77"/>
      <c r="FV659" s="77"/>
      <c r="FW659" s="77"/>
      <c r="FX659" s="77"/>
      <c r="FY659" s="77"/>
      <c r="FZ659" s="77"/>
      <c r="GA659" s="77"/>
      <c r="GB659" s="77"/>
      <c r="GC659" s="77"/>
      <c r="GD659" s="77"/>
      <c r="GE659" s="77"/>
      <c r="GF659" s="77"/>
      <c r="GG659" s="77"/>
      <c r="GH659" s="77"/>
      <c r="GI659" s="77"/>
      <c r="GJ659" s="77"/>
      <c r="GK659" s="77"/>
      <c r="HL659" s="77"/>
      <c r="HM659" s="77"/>
      <c r="HN659" s="77"/>
      <c r="HO659" s="77"/>
      <c r="HP659" s="77"/>
      <c r="HQ659" s="77"/>
      <c r="HR659" s="77"/>
      <c r="HS659" s="77"/>
      <c r="HT659" s="77"/>
      <c r="HU659" s="77"/>
      <c r="HV659" s="77"/>
      <c r="HW659" s="77"/>
      <c r="HX659" s="77"/>
      <c r="HY659" s="77"/>
      <c r="HZ659" s="77"/>
      <c r="IA659" s="77"/>
      <c r="IB659" s="77"/>
      <c r="IC659" s="77"/>
      <c r="ID659" s="77"/>
      <c r="IE659" s="77"/>
      <c r="IF659" s="16"/>
      <c r="IG659" s="16"/>
      <c r="IH659" s="16"/>
      <c r="II659" s="16"/>
      <c r="IJ659" s="16"/>
      <c r="IK659" s="16"/>
      <c r="IL659" s="16"/>
      <c r="IM659" s="16"/>
      <c r="IN659" s="16"/>
      <c r="IO659" s="16"/>
      <c r="IP659" s="16"/>
      <c r="IQ659" s="16"/>
      <c r="IR659" s="16"/>
      <c r="IS659" s="16"/>
      <c r="IT659" s="16"/>
      <c r="IU659" s="16"/>
      <c r="IV659" s="16"/>
      <c r="IW659" s="16"/>
      <c r="IX659" s="16"/>
      <c r="IY659" s="16"/>
      <c r="IZ659" s="16"/>
      <c r="JA659" s="16"/>
      <c r="JB659" s="16"/>
      <c r="JC659" s="16"/>
      <c r="JD659" s="16"/>
      <c r="JE659" s="16"/>
      <c r="JF659" s="16"/>
      <c r="JG659" s="16"/>
      <c r="JH659" s="16"/>
      <c r="JI659" s="16"/>
      <c r="JJ659" s="16"/>
      <c r="JK659" s="16"/>
      <c r="JL659" s="16"/>
      <c r="JM659" s="16"/>
      <c r="JN659" s="16"/>
      <c r="JO659" s="16"/>
      <c r="JP659" s="16"/>
      <c r="JQ659" s="16"/>
      <c r="JR659" s="16"/>
      <c r="JS659" s="16"/>
      <c r="JT659" s="16"/>
      <c r="JU659" s="16"/>
      <c r="JV659" s="16"/>
      <c r="JW659" s="16"/>
      <c r="JX659" s="16"/>
      <c r="KM659" s="16"/>
      <c r="KN659" s="16"/>
      <c r="KO659" s="16"/>
      <c r="KP659" s="16"/>
      <c r="KQ659" s="16"/>
      <c r="KR659" s="16"/>
      <c r="KS659" s="16"/>
      <c r="KT659" s="16"/>
      <c r="KU659" s="16"/>
      <c r="KV659" s="16"/>
      <c r="KW659" s="16"/>
      <c r="KX659" s="16"/>
      <c r="KY659" s="16"/>
      <c r="KZ659" s="16"/>
      <c r="LA659" s="16"/>
      <c r="LB659" s="16"/>
      <c r="LC659" s="16"/>
      <c r="LD659" s="16"/>
      <c r="LE659" s="16"/>
      <c r="LF659" s="16"/>
      <c r="LG659" s="16"/>
      <c r="LH659" s="16"/>
      <c r="LI659" s="16"/>
      <c r="LJ659" s="16"/>
      <c r="LK659" s="16"/>
      <c r="LL659" s="77"/>
      <c r="LM659" s="77"/>
      <c r="LN659" s="77"/>
      <c r="LO659" s="77"/>
      <c r="LP659" s="77"/>
      <c r="LQ659" s="77"/>
      <c r="LR659" s="77"/>
      <c r="LS659" s="77"/>
      <c r="LT659" s="77"/>
      <c r="LU659" s="77"/>
      <c r="LV659" s="77"/>
      <c r="LW659" s="77"/>
      <c r="LX659" s="77"/>
      <c r="LY659" s="77"/>
      <c r="LZ659" s="77"/>
      <c r="MA659" s="77"/>
      <c r="MB659" s="77"/>
      <c r="MC659" s="77"/>
      <c r="MD659" s="77"/>
      <c r="ME659" s="77"/>
      <c r="MF659" s="77"/>
      <c r="MG659" s="77"/>
      <c r="MH659" s="77"/>
      <c r="MI659" s="77"/>
      <c r="MJ659" s="77"/>
      <c r="MK659" s="77"/>
      <c r="ML659" s="77"/>
      <c r="MM659" s="77"/>
      <c r="MN659" s="77"/>
      <c r="MO659" s="77"/>
      <c r="MP659" s="77"/>
      <c r="MQ659" s="77"/>
      <c r="MR659" s="77"/>
    </row>
    <row r="660" spans="1:421" s="21" customFormat="1" ht="18.600000000000001" customHeight="1" x14ac:dyDescent="0.25">
      <c r="A660" s="119" t="s">
        <v>886</v>
      </c>
      <c r="B660" s="27" t="s">
        <v>887</v>
      </c>
      <c r="C660" s="27" t="s">
        <v>888</v>
      </c>
      <c r="D660" s="72" t="str">
        <f>HYPERLINK("https://twitter.com/GouvGabon","https://twitter.com/GouvGabon")</f>
        <v>https://twitter.com/GouvGabon</v>
      </c>
      <c r="E660" s="72" t="str">
        <f>HYPERLINK("http://twiplomacy.com/info/africa/Gabon","http://twiplomacy.com/info/africa/Gabon")</f>
        <v>http://twiplomacy.com/info/africa/Gabon</v>
      </c>
      <c r="F660" s="10" t="s">
        <v>1</v>
      </c>
      <c r="G660" s="10" t="s">
        <v>44</v>
      </c>
      <c r="H660" s="10" t="s">
        <v>788</v>
      </c>
      <c r="I660" s="10" t="s">
        <v>782</v>
      </c>
      <c r="J660" s="27" t="s">
        <v>789</v>
      </c>
      <c r="K660" s="15" t="s">
        <v>3103</v>
      </c>
      <c r="L660" s="10" t="s">
        <v>771</v>
      </c>
      <c r="M660" s="10" t="s">
        <v>771</v>
      </c>
      <c r="N660" s="30" t="str">
        <f>HYPERLINK("https://twitter.com/GouvGabon/status/496285935739625472","https://twitter.com/GouvGabon/status/496285935739625472")</f>
        <v>https://twitter.com/GouvGabon/status/496285935739625472</v>
      </c>
      <c r="O660" s="27" t="s">
        <v>5822</v>
      </c>
      <c r="P660" s="80">
        <v>18</v>
      </c>
      <c r="Q660" s="80">
        <v>8</v>
      </c>
      <c r="R660" s="27" t="s">
        <v>2995</v>
      </c>
      <c r="S660" s="12" t="str">
        <f>HYPERLINK("https://twitter.com/GouvGabon/lists","https://twitter.com/GouvGabon/lists")</f>
        <v>https://twitter.com/GouvGabon/lists</v>
      </c>
      <c r="T660" s="10" t="s">
        <v>771</v>
      </c>
      <c r="U660" s="10" t="s">
        <v>771</v>
      </c>
      <c r="V660" s="10" t="s">
        <v>771</v>
      </c>
      <c r="W660" s="10"/>
      <c r="X660" s="27" t="s">
        <v>886</v>
      </c>
      <c r="Y660" s="27" t="s">
        <v>887</v>
      </c>
      <c r="Z660" s="80">
        <v>116</v>
      </c>
      <c r="AA660" s="27">
        <v>95</v>
      </c>
      <c r="AB660" s="80">
        <v>876</v>
      </c>
      <c r="AC660" s="27">
        <v>3</v>
      </c>
      <c r="AD660" s="27" t="s">
        <v>3743</v>
      </c>
      <c r="AE660" s="27">
        <v>2706414134</v>
      </c>
      <c r="AF660" s="27" t="s">
        <v>888</v>
      </c>
      <c r="AG660" s="27" t="s">
        <v>889</v>
      </c>
      <c r="AH660" s="79">
        <v>0.182103610675039</v>
      </c>
      <c r="AI660" s="83">
        <v>0.61052631578947403</v>
      </c>
      <c r="AJ660" s="80">
        <v>3.0198019801980198</v>
      </c>
      <c r="AK660" s="80">
        <v>1.41584158415842</v>
      </c>
      <c r="AL660" s="27">
        <v>2</v>
      </c>
      <c r="AM660" s="97">
        <f>SUM(AL660/Z660)</f>
        <v>1.7241379310344827E-2</v>
      </c>
      <c r="AN660" s="27" t="s">
        <v>886</v>
      </c>
      <c r="AO660" s="27">
        <v>59</v>
      </c>
      <c r="AP660" s="27">
        <v>2</v>
      </c>
      <c r="AQ660" s="27">
        <v>1</v>
      </c>
      <c r="AR660" s="27">
        <f>SUM(AO660:AQ660)</f>
        <v>62</v>
      </c>
      <c r="AS660" s="27" t="s">
        <v>5144</v>
      </c>
      <c r="AT660" s="27" t="s">
        <v>5005</v>
      </c>
      <c r="AU660" s="84" t="s">
        <v>1091</v>
      </c>
      <c r="AV660" s="77"/>
      <c r="AW660" s="77"/>
      <c r="AX660" s="77"/>
      <c r="AY660" s="77"/>
      <c r="AZ660" s="77"/>
      <c r="BA660" s="77"/>
      <c r="BB660" s="77"/>
      <c r="BC660" s="77"/>
      <c r="BD660" s="77"/>
      <c r="BE660" s="77"/>
      <c r="BF660" s="77"/>
      <c r="BG660" s="77"/>
      <c r="BH660" s="77"/>
      <c r="BI660" s="77"/>
      <c r="BJ660" s="77"/>
      <c r="BK660" s="77"/>
      <c r="BL660" s="77"/>
      <c r="BM660" s="77"/>
      <c r="BN660" s="77"/>
      <c r="BO660" s="77"/>
      <c r="BP660" s="77"/>
      <c r="BQ660" s="77"/>
      <c r="BR660" s="77"/>
      <c r="BS660" s="77"/>
      <c r="BT660" s="77"/>
      <c r="BU660" s="77"/>
      <c r="BV660" s="77"/>
      <c r="BW660" s="77"/>
      <c r="BX660" s="77"/>
      <c r="BY660" s="77"/>
      <c r="BZ660" s="77"/>
      <c r="CA660" s="77"/>
      <c r="CB660" s="77"/>
      <c r="CK660" s="77"/>
      <c r="CL660" s="77"/>
      <c r="CM660" s="77"/>
      <c r="CN660" s="77"/>
      <c r="CO660" s="77"/>
      <c r="CP660" s="77"/>
      <c r="CQ660" s="77"/>
      <c r="CR660" s="77"/>
      <c r="CS660" s="77"/>
      <c r="CT660" s="77"/>
      <c r="CU660" s="77"/>
      <c r="CV660" s="77"/>
      <c r="CW660" s="77"/>
      <c r="EM660" s="77"/>
      <c r="EN660" s="77"/>
      <c r="EO660" s="77"/>
      <c r="EP660" s="77"/>
      <c r="EQ660" s="77"/>
      <c r="ER660" s="77"/>
      <c r="ES660" s="77"/>
      <c r="ET660" s="77"/>
      <c r="EU660" s="77"/>
      <c r="EV660" s="77"/>
      <c r="EW660" s="77"/>
      <c r="EX660" s="77"/>
      <c r="EY660" s="77"/>
      <c r="EZ660" s="77"/>
      <c r="FA660" s="77"/>
      <c r="FB660" s="77"/>
      <c r="FC660" s="77"/>
      <c r="FD660" s="77"/>
      <c r="FE660" s="77"/>
      <c r="FF660" s="77"/>
      <c r="FG660" s="77"/>
      <c r="FH660" s="77"/>
      <c r="FI660" s="77"/>
      <c r="FJ660" s="77"/>
      <c r="FK660" s="77"/>
      <c r="FL660" s="77"/>
      <c r="FM660" s="77"/>
      <c r="FN660" s="77"/>
      <c r="FO660" s="77"/>
      <c r="FP660" s="77"/>
      <c r="FQ660" s="77"/>
      <c r="FR660" s="77"/>
      <c r="FS660" s="77"/>
      <c r="FT660" s="77"/>
      <c r="FU660" s="77"/>
      <c r="FV660" s="77"/>
      <c r="FW660" s="77"/>
      <c r="FX660" s="77"/>
      <c r="FY660" s="77"/>
      <c r="FZ660" s="77"/>
      <c r="GA660" s="77"/>
      <c r="GB660" s="77"/>
      <c r="GC660" s="77"/>
      <c r="GD660" s="77"/>
      <c r="GE660" s="77"/>
      <c r="GF660" s="77"/>
      <c r="GG660" s="77"/>
      <c r="GH660" s="77"/>
      <c r="GI660" s="77"/>
      <c r="GJ660" s="77"/>
      <c r="GK660" s="77"/>
      <c r="GL660" s="77"/>
      <c r="GM660" s="77"/>
      <c r="GN660" s="77"/>
      <c r="GO660" s="77"/>
      <c r="GP660" s="77"/>
      <c r="GQ660" s="77"/>
      <c r="GR660" s="77"/>
      <c r="GS660" s="77"/>
      <c r="GT660" s="77"/>
      <c r="GU660" s="77"/>
      <c r="GV660" s="77"/>
      <c r="GW660" s="77"/>
      <c r="GX660" s="77"/>
      <c r="GY660" s="77"/>
      <c r="GZ660" s="77"/>
      <c r="HA660" s="77"/>
      <c r="HB660" s="77"/>
      <c r="HC660" s="77"/>
      <c r="HD660" s="77"/>
      <c r="HE660" s="77"/>
      <c r="HF660" s="77"/>
      <c r="HG660" s="77"/>
      <c r="HH660" s="77"/>
      <c r="HI660" s="77"/>
      <c r="HJ660" s="77"/>
      <c r="HK660" s="77"/>
      <c r="HL660" s="77"/>
      <c r="HM660" s="77"/>
      <c r="HN660" s="77"/>
      <c r="HO660" s="77"/>
      <c r="HP660" s="77"/>
      <c r="HQ660" s="77"/>
      <c r="HR660" s="77"/>
      <c r="HS660" s="77"/>
      <c r="HT660" s="77"/>
      <c r="HU660" s="77"/>
      <c r="HV660" s="77"/>
      <c r="HW660" s="77"/>
      <c r="HX660" s="77"/>
      <c r="HY660" s="77"/>
      <c r="HZ660" s="77"/>
      <c r="IA660" s="77"/>
      <c r="IB660" s="77"/>
      <c r="IC660" s="77"/>
      <c r="ID660" s="77"/>
      <c r="IE660" s="77"/>
      <c r="IF660" s="77"/>
      <c r="IG660" s="77"/>
      <c r="IH660" s="77"/>
      <c r="II660" s="77"/>
      <c r="IJ660" s="77"/>
      <c r="IK660" s="77"/>
      <c r="IL660" s="77"/>
      <c r="IM660" s="77"/>
      <c r="IN660" s="77"/>
      <c r="IO660" s="77"/>
      <c r="IP660" s="77"/>
      <c r="IQ660" s="77"/>
      <c r="IR660" s="77"/>
      <c r="IS660" s="77"/>
      <c r="IT660" s="77"/>
      <c r="IU660" s="77"/>
      <c r="IV660" s="77"/>
      <c r="IW660" s="77"/>
      <c r="IX660" s="77"/>
      <c r="IY660" s="77"/>
      <c r="IZ660" s="77"/>
      <c r="JA660" s="77"/>
      <c r="JB660" s="77"/>
      <c r="JC660" s="77"/>
      <c r="JD660" s="77"/>
      <c r="JE660" s="77"/>
      <c r="JF660" s="77"/>
      <c r="JG660" s="77"/>
      <c r="JH660" s="77"/>
      <c r="JI660" s="77"/>
      <c r="JJ660" s="77"/>
      <c r="JK660" s="77"/>
      <c r="JL660" s="77"/>
      <c r="JM660" s="77"/>
      <c r="JN660" s="77"/>
      <c r="JO660" s="77"/>
      <c r="JP660" s="77"/>
      <c r="JQ660" s="77"/>
      <c r="JR660" s="77"/>
      <c r="JS660" s="77"/>
      <c r="JT660" s="77"/>
      <c r="JU660" s="77"/>
      <c r="JV660" s="77"/>
      <c r="JW660" s="77"/>
      <c r="JX660" s="77"/>
      <c r="JY660" s="77"/>
      <c r="JZ660" s="77"/>
      <c r="KA660" s="77"/>
      <c r="KB660" s="77"/>
      <c r="KC660" s="77"/>
      <c r="KD660" s="77"/>
      <c r="KE660" s="77"/>
      <c r="KF660" s="77"/>
      <c r="KG660" s="77"/>
      <c r="KH660" s="77"/>
      <c r="KI660" s="77"/>
      <c r="KJ660" s="77"/>
      <c r="KK660" s="77"/>
      <c r="KL660" s="77"/>
      <c r="KM660" s="77"/>
      <c r="KN660" s="77"/>
      <c r="KO660" s="77"/>
      <c r="KP660" s="77"/>
      <c r="KQ660" s="77"/>
      <c r="KR660" s="77"/>
      <c r="KS660" s="77"/>
      <c r="KT660" s="77"/>
      <c r="KU660" s="77"/>
      <c r="KV660" s="77"/>
      <c r="KW660" s="77"/>
      <c r="KX660" s="77"/>
      <c r="KY660" s="77"/>
      <c r="KZ660" s="77"/>
      <c r="LA660" s="77"/>
      <c r="LB660" s="77"/>
      <c r="LC660" s="77"/>
      <c r="LD660" s="77"/>
      <c r="LE660" s="77"/>
      <c r="LF660" s="77"/>
      <c r="LG660" s="77"/>
      <c r="LH660" s="77"/>
      <c r="LI660" s="77"/>
      <c r="LJ660" s="77"/>
      <c r="LK660" s="77"/>
      <c r="LL660" s="77"/>
      <c r="LM660" s="77"/>
      <c r="LN660" s="77"/>
      <c r="LO660" s="77"/>
      <c r="LP660" s="77"/>
      <c r="LQ660" s="77"/>
      <c r="LR660" s="77"/>
      <c r="LS660" s="77"/>
      <c r="LT660" s="77"/>
      <c r="LU660" s="77"/>
      <c r="LV660" s="77"/>
      <c r="LY660" s="77"/>
      <c r="LZ660" s="77"/>
      <c r="MA660" s="77"/>
      <c r="MB660" s="77"/>
      <c r="MC660" s="77"/>
      <c r="MD660" s="77"/>
      <c r="ME660" s="77"/>
      <c r="MF660" s="77"/>
      <c r="MG660" s="77"/>
      <c r="MH660" s="77"/>
      <c r="MI660" s="77"/>
      <c r="MJ660" s="77"/>
      <c r="MK660" s="77"/>
      <c r="ML660" s="77"/>
      <c r="MM660" s="77"/>
      <c r="MN660" s="77"/>
      <c r="MO660" s="77"/>
      <c r="MP660" s="77"/>
      <c r="MQ660" s="77"/>
      <c r="MR660" s="77"/>
    </row>
    <row r="661" spans="1:421" s="21" customFormat="1" ht="18.600000000000001" customHeight="1" x14ac:dyDescent="0.25">
      <c r="A661" s="119" t="s">
        <v>488</v>
      </c>
      <c r="B661" s="27" t="s">
        <v>3037</v>
      </c>
      <c r="C661" s="27"/>
      <c r="D661" s="100" t="s">
        <v>2123</v>
      </c>
      <c r="E661" s="30" t="str">
        <f>HYPERLINK("http://twiplomacy.com/info/europe/Portugal","http://twiplomacy.com/info/europe/Portugal")</f>
        <v>http://twiplomacy.com/info/europe/Portugal</v>
      </c>
      <c r="F661" s="85" t="s">
        <v>332</v>
      </c>
      <c r="G661" s="85" t="s">
        <v>487</v>
      </c>
      <c r="H661" s="85" t="s">
        <v>776</v>
      </c>
      <c r="I661" s="85" t="s">
        <v>773</v>
      </c>
      <c r="J661" s="27" t="s">
        <v>785</v>
      </c>
      <c r="K661" s="15" t="s">
        <v>3105</v>
      </c>
      <c r="L661" s="10"/>
      <c r="M661" s="10" t="s">
        <v>771</v>
      </c>
      <c r="N661" s="30" t="s">
        <v>3133</v>
      </c>
      <c r="O661" s="27" t="s">
        <v>3213</v>
      </c>
      <c r="P661" s="80">
        <v>64</v>
      </c>
      <c r="Q661" s="80">
        <v>106</v>
      </c>
      <c r="R661" s="27" t="s">
        <v>2995</v>
      </c>
      <c r="S661" s="12" t="s">
        <v>3146</v>
      </c>
      <c r="T661" s="10" t="s">
        <v>771</v>
      </c>
      <c r="U661" s="10" t="s">
        <v>771</v>
      </c>
      <c r="V661" s="10" t="s">
        <v>771</v>
      </c>
      <c r="W661" s="10"/>
      <c r="X661" s="27" t="s">
        <v>488</v>
      </c>
      <c r="Y661" s="27" t="s">
        <v>3037</v>
      </c>
      <c r="Z661" s="80">
        <v>106</v>
      </c>
      <c r="AA661" s="27">
        <v>353</v>
      </c>
      <c r="AB661" s="80">
        <v>2385</v>
      </c>
      <c r="AC661" s="27">
        <v>2</v>
      </c>
      <c r="AD661" s="27" t="s">
        <v>3591</v>
      </c>
      <c r="AE661" s="27">
        <v>3376281958</v>
      </c>
      <c r="AF661" s="27"/>
      <c r="AG661" s="27"/>
      <c r="AH661" s="79">
        <v>0.36301369863013699</v>
      </c>
      <c r="AI661" s="83">
        <v>1.09278350515464</v>
      </c>
      <c r="AJ661" s="80">
        <v>10.764150943396199</v>
      </c>
      <c r="AK661" s="80">
        <v>14.377358490565999</v>
      </c>
      <c r="AL661" s="27">
        <v>1</v>
      </c>
      <c r="AM661" s="97">
        <f>SUM(AL661/Z661)</f>
        <v>9.433962264150943E-3</v>
      </c>
      <c r="AN661" s="27" t="s">
        <v>488</v>
      </c>
      <c r="AO661" s="27">
        <v>8</v>
      </c>
      <c r="AP661" s="27">
        <v>1</v>
      </c>
      <c r="AQ661" s="27">
        <v>0</v>
      </c>
      <c r="AR661" s="27">
        <f>SUM(AO661:AQ661)</f>
        <v>9</v>
      </c>
      <c r="AS661" s="27" t="s">
        <v>5072</v>
      </c>
      <c r="AT661" s="27" t="s">
        <v>465</v>
      </c>
      <c r="AU661" s="84"/>
      <c r="AV661" s="77"/>
      <c r="AW661" s="77"/>
      <c r="AX661" s="77"/>
      <c r="AY661" s="77"/>
      <c r="AZ661" s="77"/>
      <c r="BA661" s="77"/>
      <c r="BB661" s="77"/>
      <c r="BC661" s="77"/>
      <c r="BD661" s="77"/>
      <c r="BE661" s="77"/>
      <c r="BF661" s="77"/>
      <c r="BG661" s="77"/>
      <c r="BH661" s="77"/>
      <c r="BI661" s="77"/>
      <c r="BJ661" s="77"/>
      <c r="BK661" s="77"/>
      <c r="BL661" s="77"/>
      <c r="BM661" s="77"/>
      <c r="BN661" s="77"/>
      <c r="BO661" s="77"/>
      <c r="BP661" s="77"/>
      <c r="BQ661" s="16"/>
      <c r="BR661" s="16"/>
      <c r="BS661" s="16"/>
      <c r="BT661" s="16"/>
      <c r="BU661" s="16"/>
      <c r="BV661" s="16"/>
      <c r="BW661" s="16"/>
      <c r="BX661" s="16"/>
      <c r="BY661" s="16"/>
      <c r="BZ661" s="16"/>
      <c r="CA661" s="16"/>
      <c r="CB661" s="16"/>
      <c r="CC661" s="77"/>
      <c r="CD661" s="77"/>
      <c r="CE661" s="77"/>
      <c r="CF661" s="77"/>
      <c r="CG661" s="77"/>
      <c r="CH661" s="77"/>
      <c r="CI661" s="77"/>
      <c r="CJ661" s="77"/>
      <c r="CK661" s="77"/>
      <c r="CL661" s="77"/>
      <c r="CM661" s="77"/>
      <c r="CN661" s="77"/>
      <c r="CO661" s="77"/>
      <c r="CP661" s="77"/>
      <c r="CQ661" s="77"/>
      <c r="CR661" s="77"/>
      <c r="CS661" s="77"/>
      <c r="CT661" s="77"/>
      <c r="CU661" s="77"/>
      <c r="CV661" s="77"/>
      <c r="CW661" s="77"/>
      <c r="CX661" s="77"/>
      <c r="CY661" s="77"/>
      <c r="CZ661" s="77"/>
      <c r="DA661" s="77"/>
      <c r="DB661" s="77"/>
      <c r="DC661" s="77"/>
      <c r="DD661" s="77"/>
      <c r="DE661" s="77"/>
      <c r="DF661" s="77"/>
      <c r="DG661" s="77"/>
      <c r="DH661" s="77"/>
      <c r="DI661" s="77"/>
      <c r="DJ661" s="77"/>
      <c r="DK661" s="77"/>
      <c r="DL661" s="77"/>
      <c r="DM661" s="77"/>
      <c r="DN661" s="77"/>
      <c r="DO661" s="77"/>
      <c r="DP661" s="77"/>
      <c r="DQ661" s="77"/>
      <c r="DR661" s="77"/>
      <c r="DS661" s="77"/>
      <c r="DT661" s="77"/>
      <c r="DU661" s="77"/>
      <c r="DV661" s="77"/>
      <c r="DW661" s="77"/>
      <c r="DX661" s="77"/>
      <c r="DY661" s="77"/>
      <c r="DZ661" s="77"/>
      <c r="EA661" s="77"/>
      <c r="EB661" s="77"/>
      <c r="EC661" s="77"/>
      <c r="ED661" s="77"/>
      <c r="EE661" s="77"/>
      <c r="EF661" s="77"/>
      <c r="EG661" s="77"/>
      <c r="EH661" s="77"/>
      <c r="EI661" s="77"/>
      <c r="EJ661" s="77"/>
      <c r="EK661" s="77"/>
      <c r="EL661" s="77"/>
      <c r="EM661" s="77"/>
      <c r="EN661" s="77"/>
      <c r="EO661" s="77"/>
      <c r="EP661" s="77"/>
      <c r="ER661" s="77"/>
      <c r="ES661" s="77"/>
      <c r="ET661" s="77"/>
      <c r="EU661" s="77"/>
      <c r="EV661" s="77"/>
      <c r="EW661" s="77"/>
      <c r="EX661" s="77"/>
      <c r="EY661" s="77"/>
      <c r="EZ661" s="77"/>
      <c r="FA661" s="77"/>
      <c r="FB661" s="77"/>
      <c r="FC661" s="77"/>
      <c r="FD661" s="77"/>
      <c r="FE661" s="77"/>
      <c r="FF661" s="77"/>
      <c r="FG661" s="77"/>
      <c r="FH661" s="77"/>
      <c r="FI661" s="77"/>
      <c r="FJ661" s="77"/>
      <c r="FK661" s="77"/>
      <c r="FL661" s="77"/>
      <c r="FM661" s="77"/>
      <c r="FN661" s="77"/>
      <c r="FO661" s="77"/>
      <c r="FP661" s="77"/>
      <c r="FQ661" s="77"/>
      <c r="FR661" s="77"/>
      <c r="FS661" s="77"/>
      <c r="FT661" s="77"/>
      <c r="FU661" s="77"/>
      <c r="FV661" s="77"/>
      <c r="FW661" s="77"/>
      <c r="FX661" s="77"/>
      <c r="FY661" s="77"/>
      <c r="FZ661" s="77"/>
      <c r="GA661" s="77"/>
      <c r="GB661" s="77"/>
      <c r="GC661" s="77"/>
      <c r="GD661" s="77"/>
      <c r="GE661" s="77"/>
      <c r="GF661" s="77"/>
      <c r="GG661" s="77"/>
      <c r="GH661" s="77"/>
      <c r="GI661" s="77"/>
      <c r="GJ661" s="77"/>
      <c r="GK661" s="77"/>
      <c r="HL661" s="77"/>
      <c r="HM661" s="77"/>
      <c r="HN661" s="77"/>
      <c r="HO661" s="77"/>
      <c r="HP661" s="77"/>
      <c r="HQ661" s="77"/>
      <c r="HR661" s="77"/>
      <c r="HS661" s="77"/>
      <c r="HT661" s="77"/>
      <c r="HU661" s="77"/>
      <c r="HV661" s="77"/>
      <c r="HW661" s="77"/>
      <c r="HX661" s="77"/>
      <c r="HY661" s="77"/>
      <c r="HZ661" s="77"/>
      <c r="IA661" s="77"/>
      <c r="IB661" s="77"/>
      <c r="IC661" s="77"/>
      <c r="ID661" s="77"/>
      <c r="IE661" s="77"/>
      <c r="JY661" s="77"/>
      <c r="JZ661" s="77"/>
      <c r="KA661" s="77"/>
      <c r="KB661" s="77"/>
      <c r="KC661" s="77"/>
      <c r="KD661" s="77"/>
      <c r="KE661" s="77"/>
      <c r="KF661" s="77"/>
      <c r="KG661" s="77"/>
      <c r="KH661" s="77"/>
      <c r="KI661" s="77"/>
      <c r="KJ661" s="77"/>
      <c r="KK661" s="77"/>
      <c r="KL661" s="77"/>
      <c r="KM661" s="77"/>
      <c r="KN661" s="77"/>
      <c r="KO661" s="77"/>
      <c r="KP661" s="77"/>
      <c r="KQ661" s="77"/>
      <c r="KR661" s="77"/>
      <c r="KS661" s="77"/>
      <c r="KT661" s="77"/>
      <c r="KU661" s="77"/>
      <c r="KV661" s="77"/>
      <c r="KW661" s="77"/>
      <c r="KX661" s="77"/>
      <c r="KY661" s="77"/>
      <c r="KZ661" s="77"/>
      <c r="LA661" s="77"/>
      <c r="LB661" s="77"/>
      <c r="LC661" s="77"/>
      <c r="LD661" s="77"/>
      <c r="LE661" s="77"/>
      <c r="LF661" s="77"/>
      <c r="LG661" s="77"/>
      <c r="LH661" s="77"/>
      <c r="LI661" s="77"/>
      <c r="LJ661" s="77"/>
      <c r="LK661" s="77"/>
      <c r="LL661" s="77"/>
      <c r="LM661" s="77"/>
      <c r="LN661" s="77"/>
      <c r="LO661" s="77"/>
      <c r="LP661" s="77"/>
      <c r="LQ661" s="77"/>
      <c r="LR661" s="77"/>
      <c r="LS661" s="77"/>
      <c r="LT661" s="77"/>
      <c r="LU661" s="77"/>
      <c r="LV661" s="77"/>
      <c r="LW661" s="77"/>
      <c r="LX661" s="77"/>
      <c r="LY661" s="77"/>
      <c r="LZ661" s="77"/>
      <c r="MA661" s="77"/>
      <c r="MB661" s="77"/>
      <c r="MC661" s="77"/>
      <c r="MD661" s="77"/>
      <c r="ME661" s="77"/>
      <c r="MF661" s="77"/>
      <c r="MG661" s="77"/>
      <c r="MH661" s="77"/>
      <c r="MI661" s="77"/>
      <c r="MJ661" s="77"/>
      <c r="MK661" s="77"/>
      <c r="ML661" s="77"/>
      <c r="MM661" s="77"/>
      <c r="MN661" s="77"/>
      <c r="MO661" s="77"/>
      <c r="MP661" s="77"/>
      <c r="MQ661" s="77"/>
      <c r="MR661" s="77"/>
      <c r="ND661" s="77"/>
    </row>
    <row r="662" spans="1:421" s="21" customFormat="1" ht="18.600000000000001" customHeight="1" x14ac:dyDescent="0.25">
      <c r="A662" s="119" t="s">
        <v>119</v>
      </c>
      <c r="B662" s="27" t="s">
        <v>1094</v>
      </c>
      <c r="C662" s="27" t="s">
        <v>1095</v>
      </c>
      <c r="D662" s="30" t="str">
        <f>HYPERLINK("https://twitter.com/SAPresident","https://twitter.com/SAPresident")</f>
        <v>https://twitter.com/SAPresident</v>
      </c>
      <c r="E662" s="30" t="str">
        <f>HYPERLINK("http://twiplomacy.com/info/africa/South-Africa","http://twiplomacy.com/info/africa/South-Africa")</f>
        <v>http://twiplomacy.com/info/africa/South-Africa</v>
      </c>
      <c r="F662" s="10" t="s">
        <v>1</v>
      </c>
      <c r="G662" s="10" t="s">
        <v>118</v>
      </c>
      <c r="H662" s="10" t="s">
        <v>772</v>
      </c>
      <c r="I662" s="10" t="s">
        <v>773</v>
      </c>
      <c r="J662" s="27" t="s">
        <v>789</v>
      </c>
      <c r="K662" s="15" t="s">
        <v>4621</v>
      </c>
      <c r="L662" s="10" t="s">
        <v>770</v>
      </c>
      <c r="M662" s="10" t="s">
        <v>771</v>
      </c>
      <c r="N662" s="30" t="str">
        <f>HYPERLINK("https://twitter.com/SAPresident/statuses/67881501634740224","https://twitter.com/SAPresident/statuses/67881501634740224")</f>
        <v>https://twitter.com/SAPresident/statuses/67881501634740224</v>
      </c>
      <c r="O662" s="27" t="s">
        <v>1096</v>
      </c>
      <c r="P662" s="80">
        <v>1158</v>
      </c>
      <c r="Q662" s="80">
        <v>206</v>
      </c>
      <c r="R662" s="27" t="s">
        <v>2994</v>
      </c>
      <c r="S662" s="10" t="s">
        <v>1097</v>
      </c>
      <c r="T662" s="10" t="s">
        <v>771</v>
      </c>
      <c r="U662" s="10" t="s">
        <v>771</v>
      </c>
      <c r="V662" s="10" t="s">
        <v>771</v>
      </c>
      <c r="W662" s="10"/>
      <c r="X662" s="27" t="s">
        <v>119</v>
      </c>
      <c r="Y662" s="27" t="s">
        <v>1094</v>
      </c>
      <c r="Z662" s="80">
        <v>100</v>
      </c>
      <c r="AA662" s="27">
        <v>5</v>
      </c>
      <c r="AB662" s="80">
        <v>403673</v>
      </c>
      <c r="AC662" s="27">
        <v>1</v>
      </c>
      <c r="AD662" s="27" t="s">
        <v>4459</v>
      </c>
      <c r="AE662" s="27">
        <v>295663598</v>
      </c>
      <c r="AF662" s="27" t="s">
        <v>1095</v>
      </c>
      <c r="AG662" s="27" t="s">
        <v>1098</v>
      </c>
      <c r="AH662" s="79">
        <v>5.4945054945054903E-2</v>
      </c>
      <c r="AI662" s="83">
        <v>7.2727272727272696E-2</v>
      </c>
      <c r="AJ662" s="80">
        <v>88.336842105263202</v>
      </c>
      <c r="AK662" s="80">
        <v>31.9789473684211</v>
      </c>
      <c r="AL662" s="27">
        <v>1</v>
      </c>
      <c r="AM662" s="97">
        <f>SUM(AL662/Z662)</f>
        <v>0.01</v>
      </c>
      <c r="AN662" s="27" t="s">
        <v>119</v>
      </c>
      <c r="AO662" s="27">
        <v>0</v>
      </c>
      <c r="AP662" s="27">
        <v>48</v>
      </c>
      <c r="AQ662" s="27">
        <v>1</v>
      </c>
      <c r="AR662" s="27">
        <f>SUM(AO662:AQ662)</f>
        <v>49</v>
      </c>
      <c r="AS662" s="27"/>
      <c r="AT662" s="27" t="s">
        <v>6855</v>
      </c>
      <c r="AU662" s="84" t="s">
        <v>120</v>
      </c>
      <c r="AV662" s="77"/>
      <c r="AW662" s="77"/>
      <c r="AX662" s="77"/>
      <c r="AY662" s="77"/>
      <c r="AZ662" s="77"/>
      <c r="BA662" s="77"/>
      <c r="BB662" s="77"/>
      <c r="BC662" s="77"/>
      <c r="BD662" s="77"/>
      <c r="BE662" s="77"/>
      <c r="BF662" s="77"/>
      <c r="BG662" s="77"/>
      <c r="BH662" s="77"/>
      <c r="BI662" s="77"/>
      <c r="BJ662" s="77"/>
      <c r="BK662" s="77"/>
      <c r="BL662" s="77"/>
      <c r="BM662" s="77"/>
      <c r="BN662" s="61"/>
      <c r="BO662" s="61"/>
      <c r="BP662" s="61"/>
      <c r="BQ662" s="77"/>
      <c r="BR662" s="77"/>
      <c r="BS662" s="77"/>
      <c r="BT662" s="77"/>
      <c r="BU662" s="77"/>
      <c r="BV662" s="77"/>
      <c r="BW662" s="77"/>
      <c r="BX662" s="77"/>
      <c r="BY662" s="77"/>
      <c r="BZ662" s="77"/>
      <c r="CA662" s="77"/>
      <c r="CB662" s="77"/>
      <c r="CC662" s="77"/>
      <c r="CD662" s="77"/>
      <c r="CE662" s="77"/>
      <c r="CF662" s="77"/>
      <c r="CG662" s="77"/>
      <c r="CH662" s="77"/>
      <c r="CI662" s="77"/>
      <c r="CJ662" s="77"/>
      <c r="CK662" s="77"/>
      <c r="CL662" s="77"/>
      <c r="CM662" s="77"/>
      <c r="CN662" s="77"/>
      <c r="CO662" s="77"/>
      <c r="CP662" s="77"/>
      <c r="CQ662" s="77"/>
      <c r="CR662" s="77"/>
      <c r="CS662" s="77"/>
      <c r="CT662" s="77"/>
      <c r="CU662" s="77"/>
      <c r="CV662" s="77"/>
      <c r="CW662" s="77"/>
      <c r="CX662" s="77"/>
      <c r="CY662" s="77"/>
      <c r="CZ662" s="77"/>
      <c r="DA662" s="77"/>
      <c r="DB662" s="77"/>
      <c r="DC662" s="77"/>
      <c r="DD662" s="77"/>
      <c r="DE662" s="77"/>
      <c r="DF662" s="77"/>
      <c r="DG662" s="77"/>
      <c r="DH662" s="77"/>
      <c r="DI662" s="77"/>
      <c r="DJ662" s="77"/>
      <c r="DK662" s="77"/>
      <c r="DL662" s="77"/>
      <c r="DM662" s="77"/>
      <c r="DN662" s="77"/>
      <c r="DO662" s="77"/>
      <c r="DP662" s="77"/>
      <c r="DQ662" s="77"/>
      <c r="DR662" s="77"/>
      <c r="DS662" s="77"/>
      <c r="DT662" s="77"/>
      <c r="DU662" s="77"/>
      <c r="DV662" s="77"/>
      <c r="DW662" s="77"/>
      <c r="DX662" s="77"/>
      <c r="DY662" s="77"/>
      <c r="DZ662" s="77"/>
      <c r="EA662" s="77"/>
      <c r="EB662" s="77"/>
      <c r="EC662" s="77"/>
      <c r="ED662" s="77"/>
      <c r="EE662" s="77"/>
      <c r="EF662" s="77"/>
      <c r="EG662" s="77"/>
      <c r="EH662" s="77"/>
      <c r="EI662" s="77"/>
      <c r="EJ662" s="77"/>
      <c r="EK662" s="77"/>
      <c r="EL662" s="77"/>
      <c r="EM662" s="77"/>
      <c r="EN662" s="77"/>
      <c r="EO662" s="77"/>
      <c r="EQ662" s="77"/>
      <c r="HL662" s="77"/>
      <c r="HM662" s="77"/>
      <c r="HN662" s="77"/>
      <c r="HO662" s="77"/>
      <c r="HP662" s="77"/>
      <c r="HQ662" s="77"/>
      <c r="HR662" s="77"/>
      <c r="HS662" s="77"/>
      <c r="HT662" s="77"/>
      <c r="HU662" s="77"/>
      <c r="HV662" s="77"/>
      <c r="HW662" s="77"/>
      <c r="HX662" s="77"/>
      <c r="HY662" s="77"/>
      <c r="HZ662" s="77"/>
      <c r="IA662" s="77"/>
      <c r="IB662" s="77"/>
      <c r="IC662" s="77"/>
      <c r="ID662" s="77"/>
      <c r="IE662" s="77"/>
      <c r="IF662" s="77"/>
      <c r="IG662" s="77"/>
      <c r="IH662" s="77"/>
      <c r="II662" s="77"/>
      <c r="IJ662" s="77"/>
      <c r="IK662" s="77"/>
      <c r="IL662" s="77"/>
      <c r="IM662" s="77"/>
      <c r="IN662" s="77"/>
      <c r="IO662" s="77"/>
      <c r="IP662" s="77"/>
      <c r="IQ662" s="77"/>
      <c r="IR662" s="77"/>
      <c r="IS662" s="77"/>
      <c r="IT662" s="77"/>
      <c r="IU662" s="77"/>
      <c r="IV662" s="77"/>
      <c r="IW662" s="77"/>
      <c r="IX662" s="77"/>
      <c r="IY662" s="77"/>
      <c r="IZ662" s="77"/>
      <c r="JA662" s="77"/>
      <c r="JB662" s="77"/>
      <c r="JC662" s="77"/>
      <c r="JD662" s="77"/>
      <c r="JE662" s="77"/>
      <c r="JF662" s="77"/>
      <c r="JG662" s="77"/>
      <c r="JH662" s="77"/>
      <c r="JI662" s="77"/>
      <c r="JJ662" s="77"/>
      <c r="JK662" s="77"/>
      <c r="JL662" s="77"/>
      <c r="JM662" s="77"/>
      <c r="JN662" s="77"/>
      <c r="JO662" s="77"/>
      <c r="JP662" s="77"/>
      <c r="JQ662" s="77"/>
      <c r="JR662" s="77"/>
      <c r="JS662" s="77"/>
      <c r="JT662" s="77"/>
      <c r="JU662" s="77"/>
      <c r="JV662" s="77"/>
      <c r="JW662" s="77"/>
      <c r="JX662" s="77"/>
      <c r="KM662" s="77"/>
      <c r="KN662" s="77"/>
      <c r="KO662" s="77"/>
      <c r="KP662" s="77"/>
      <c r="KQ662" s="77"/>
      <c r="KR662" s="77"/>
      <c r="KS662" s="77"/>
      <c r="KT662" s="77"/>
      <c r="KU662" s="77"/>
      <c r="KV662" s="77"/>
      <c r="KW662" s="77"/>
      <c r="KX662" s="77"/>
      <c r="KY662" s="77"/>
      <c r="KZ662" s="77"/>
      <c r="LA662" s="77"/>
      <c r="LB662" s="77"/>
      <c r="LC662" s="77"/>
      <c r="LD662" s="77"/>
      <c r="LE662" s="77"/>
      <c r="LF662" s="77"/>
      <c r="LG662" s="77"/>
      <c r="LH662" s="77"/>
      <c r="LI662" s="77"/>
      <c r="LJ662" s="77"/>
      <c r="LK662" s="77"/>
      <c r="LY662" s="77"/>
      <c r="LZ662" s="77"/>
      <c r="MA662" s="77"/>
      <c r="MB662" s="77"/>
      <c r="MC662" s="77"/>
      <c r="MD662" s="77"/>
      <c r="ME662" s="77"/>
      <c r="MF662" s="77"/>
      <c r="MG662" s="77"/>
      <c r="MH662" s="77"/>
      <c r="MI662" s="77"/>
      <c r="MJ662" s="77"/>
      <c r="MK662" s="77"/>
      <c r="ML662" s="77"/>
      <c r="MM662" s="77"/>
      <c r="MN662" s="77"/>
      <c r="MO662" s="77"/>
      <c r="MP662" s="77"/>
      <c r="MQ662" s="77"/>
      <c r="MR662" s="77"/>
    </row>
    <row r="663" spans="1:421" s="21" customFormat="1" ht="18.600000000000001" customHeight="1" x14ac:dyDescent="0.25">
      <c r="A663" s="119" t="s">
        <v>1249</v>
      </c>
      <c r="B663" s="27" t="s">
        <v>1250</v>
      </c>
      <c r="C663" s="27"/>
      <c r="D663" s="30" t="str">
        <f>HYPERLINK("https://twitter.com/PMOBhutan","https://twitter.com/PMOBhutan")</f>
        <v>https://twitter.com/PMOBhutan</v>
      </c>
      <c r="E663" s="30" t="s">
        <v>1243</v>
      </c>
      <c r="F663" s="10" t="s">
        <v>154</v>
      </c>
      <c r="G663" s="10" t="s">
        <v>171</v>
      </c>
      <c r="H663" s="10" t="s">
        <v>776</v>
      </c>
      <c r="I663" s="10" t="s">
        <v>782</v>
      </c>
      <c r="J663" s="27" t="s">
        <v>789</v>
      </c>
      <c r="K663" s="15" t="s">
        <v>1251</v>
      </c>
      <c r="L663" s="10" t="s">
        <v>771</v>
      </c>
      <c r="M663" s="10" t="s">
        <v>771</v>
      </c>
      <c r="N663" s="30" t="s">
        <v>1252</v>
      </c>
      <c r="O663" s="27" t="s">
        <v>6013</v>
      </c>
      <c r="P663" s="80">
        <v>3</v>
      </c>
      <c r="Q663" s="80">
        <v>0</v>
      </c>
      <c r="R663" s="27" t="s">
        <v>2995</v>
      </c>
      <c r="S663" s="30" t="str">
        <f>HYPERLINK("https://twitter.com/PMOBhutan/lists","https://twitter.com/PMOBhutan/lists")</f>
        <v>https://twitter.com/PMOBhutan/lists</v>
      </c>
      <c r="T663" s="10" t="s">
        <v>771</v>
      </c>
      <c r="U663" s="10" t="s">
        <v>771</v>
      </c>
      <c r="V663" s="10" t="s">
        <v>771</v>
      </c>
      <c r="W663" s="10"/>
      <c r="X663" s="27" t="s">
        <v>1249</v>
      </c>
      <c r="Y663" s="27" t="s">
        <v>1250</v>
      </c>
      <c r="Z663" s="80">
        <v>99</v>
      </c>
      <c r="AA663" s="27">
        <v>93</v>
      </c>
      <c r="AB663" s="80">
        <v>84</v>
      </c>
      <c r="AC663" s="27">
        <v>0</v>
      </c>
      <c r="AD663" s="27" t="s">
        <v>4264</v>
      </c>
      <c r="AE663" s="27">
        <v>1629487682</v>
      </c>
      <c r="AF663" s="27"/>
      <c r="AG663" s="27" t="s">
        <v>1253</v>
      </c>
      <c r="AH663" s="79">
        <v>9.8214285714285698E-2</v>
      </c>
      <c r="AI663" s="83">
        <v>0.28448275862069</v>
      </c>
      <c r="AJ663" s="80">
        <v>0.1</v>
      </c>
      <c r="AK663" s="80">
        <v>0.05</v>
      </c>
      <c r="AL663" s="13">
        <v>0</v>
      </c>
      <c r="AM663" s="97">
        <f>SUM(AL663/Z663)</f>
        <v>0</v>
      </c>
      <c r="AN663" s="27" t="s">
        <v>1249</v>
      </c>
      <c r="AO663" s="27">
        <v>10</v>
      </c>
      <c r="AP663" s="27">
        <v>0</v>
      </c>
      <c r="AQ663" s="27">
        <v>1</v>
      </c>
      <c r="AR663" s="27">
        <f>SUM(AO663:AQ663)</f>
        <v>11</v>
      </c>
      <c r="AS663" s="27" t="s">
        <v>6607</v>
      </c>
      <c r="AT663" s="27"/>
      <c r="AU663" s="84" t="s">
        <v>1244</v>
      </c>
      <c r="AV663" s="77"/>
      <c r="AW663" s="77"/>
      <c r="AX663" s="77"/>
      <c r="AY663" s="77"/>
      <c r="AZ663" s="77"/>
      <c r="BA663" s="77"/>
      <c r="BB663" s="77"/>
      <c r="BC663" s="77"/>
      <c r="BD663" s="77"/>
      <c r="BE663" s="77"/>
      <c r="BF663" s="77"/>
      <c r="BG663" s="77"/>
      <c r="BH663" s="77"/>
      <c r="BI663" s="77"/>
      <c r="BJ663" s="77"/>
      <c r="BK663" s="77"/>
      <c r="BL663" s="77"/>
      <c r="BM663" s="77"/>
      <c r="BN663" s="77"/>
      <c r="BO663" s="77"/>
      <c r="BP663" s="77"/>
      <c r="CC663" s="77"/>
      <c r="CD663" s="77"/>
      <c r="CE663" s="77"/>
      <c r="CF663" s="77"/>
      <c r="CG663" s="77"/>
      <c r="CH663" s="77"/>
      <c r="CI663" s="77"/>
      <c r="CJ663" s="77"/>
      <c r="CK663" s="77"/>
      <c r="CL663" s="77"/>
      <c r="CM663" s="77"/>
      <c r="CN663" s="77"/>
      <c r="CO663" s="77"/>
      <c r="CP663" s="77"/>
      <c r="CQ663" s="77"/>
      <c r="CR663" s="77"/>
      <c r="CS663" s="77"/>
      <c r="CT663" s="77"/>
      <c r="CU663" s="77"/>
      <c r="CV663" s="77"/>
      <c r="CW663" s="77"/>
      <c r="CX663" s="77"/>
      <c r="CY663" s="77"/>
      <c r="CZ663" s="77"/>
      <c r="DA663" s="77"/>
      <c r="DB663" s="77"/>
      <c r="DC663" s="77"/>
      <c r="DD663" s="77"/>
      <c r="DE663" s="77"/>
      <c r="DF663" s="77"/>
      <c r="DG663" s="77"/>
      <c r="DH663" s="77"/>
      <c r="DI663" s="77"/>
      <c r="DJ663" s="77"/>
      <c r="DK663" s="77"/>
      <c r="DL663" s="77"/>
      <c r="DM663" s="77"/>
      <c r="DN663" s="77"/>
      <c r="DO663" s="77"/>
      <c r="DP663" s="77"/>
      <c r="DQ663" s="77"/>
      <c r="DR663" s="77"/>
      <c r="DS663" s="77"/>
      <c r="DT663" s="77"/>
      <c r="DU663" s="77"/>
      <c r="DV663" s="77"/>
      <c r="DW663" s="77"/>
      <c r="DX663" s="77"/>
      <c r="DY663" s="77"/>
      <c r="DZ663" s="77"/>
      <c r="EA663" s="77"/>
      <c r="EB663" s="77"/>
      <c r="EC663" s="77"/>
      <c r="ED663" s="77"/>
      <c r="EE663" s="77"/>
      <c r="EF663" s="77"/>
      <c r="EG663" s="77"/>
      <c r="EH663" s="77"/>
      <c r="EI663" s="77"/>
      <c r="EJ663" s="77"/>
      <c r="EK663" s="77"/>
      <c r="EL663" s="77"/>
      <c r="EM663" s="77"/>
      <c r="EN663" s="77"/>
      <c r="EO663" s="77"/>
      <c r="EP663" s="77"/>
      <c r="EQ663" s="77"/>
      <c r="ER663" s="77"/>
      <c r="ES663" s="77"/>
      <c r="ET663" s="77"/>
      <c r="EU663" s="77"/>
      <c r="EV663" s="77"/>
      <c r="EW663" s="77"/>
      <c r="EX663" s="77"/>
      <c r="EY663" s="77"/>
      <c r="EZ663" s="77"/>
      <c r="FA663" s="77"/>
      <c r="FB663" s="77"/>
      <c r="FC663" s="77"/>
      <c r="FD663" s="77"/>
      <c r="FE663" s="77"/>
      <c r="FF663" s="77"/>
      <c r="FG663" s="77"/>
      <c r="FH663" s="77"/>
      <c r="FI663" s="77"/>
      <c r="FJ663" s="77"/>
      <c r="FK663" s="77"/>
      <c r="FL663" s="77"/>
      <c r="FM663" s="77"/>
      <c r="FN663" s="77"/>
      <c r="FO663" s="77"/>
      <c r="FP663" s="77"/>
      <c r="FQ663" s="77"/>
      <c r="FR663" s="77"/>
      <c r="FS663" s="77"/>
      <c r="FT663" s="77"/>
      <c r="FU663" s="77"/>
      <c r="FV663" s="77"/>
      <c r="FW663" s="77"/>
      <c r="FX663" s="77"/>
      <c r="FY663" s="77"/>
      <c r="FZ663" s="77"/>
      <c r="GA663" s="77"/>
      <c r="GB663" s="77"/>
      <c r="GC663" s="77"/>
      <c r="GD663" s="77"/>
      <c r="GE663" s="77"/>
      <c r="GF663" s="77"/>
      <c r="GG663" s="77"/>
      <c r="GH663" s="77"/>
      <c r="GI663" s="77"/>
      <c r="GJ663" s="77"/>
      <c r="GK663" s="77"/>
      <c r="ID663" s="77"/>
      <c r="IE663" s="77"/>
      <c r="IF663" s="77"/>
      <c r="IG663" s="77"/>
      <c r="IH663" s="77"/>
      <c r="II663" s="77"/>
      <c r="IJ663" s="77"/>
      <c r="IK663" s="77"/>
      <c r="IL663" s="77"/>
      <c r="IM663" s="77"/>
      <c r="IN663" s="77"/>
      <c r="IO663" s="77"/>
      <c r="IP663" s="77"/>
      <c r="IQ663" s="77"/>
      <c r="IR663" s="77"/>
      <c r="IS663" s="77"/>
      <c r="IT663" s="77"/>
      <c r="IU663" s="77"/>
      <c r="IV663" s="77"/>
      <c r="IW663" s="77"/>
      <c r="IX663" s="77"/>
      <c r="IY663" s="77"/>
      <c r="IZ663" s="77"/>
      <c r="JA663" s="77"/>
      <c r="JB663" s="77"/>
      <c r="JC663" s="77"/>
      <c r="JD663" s="77"/>
      <c r="JE663" s="77"/>
      <c r="JF663" s="77"/>
      <c r="JG663" s="77"/>
      <c r="JH663" s="77"/>
      <c r="JI663" s="77"/>
      <c r="JJ663" s="77"/>
      <c r="JK663" s="77"/>
      <c r="JL663" s="77"/>
      <c r="JM663" s="77"/>
      <c r="JN663" s="77"/>
      <c r="JO663" s="77"/>
      <c r="JP663" s="77"/>
      <c r="JQ663" s="77"/>
      <c r="JR663" s="77"/>
      <c r="JS663" s="77"/>
      <c r="JT663" s="77"/>
      <c r="JU663" s="77"/>
      <c r="JV663" s="77"/>
      <c r="JW663" s="77"/>
      <c r="JX663" s="77"/>
      <c r="JY663" s="77"/>
      <c r="JZ663" s="77"/>
      <c r="KA663" s="77"/>
      <c r="KB663" s="77"/>
      <c r="KC663" s="77"/>
      <c r="KD663" s="77"/>
      <c r="KE663" s="77"/>
      <c r="KF663" s="77"/>
      <c r="KG663" s="77"/>
      <c r="KH663" s="77"/>
      <c r="KI663" s="77"/>
      <c r="KJ663" s="77"/>
      <c r="KK663" s="77"/>
      <c r="KL663" s="77"/>
      <c r="KM663" s="77"/>
      <c r="KN663" s="77"/>
      <c r="KO663" s="77"/>
      <c r="KP663" s="77"/>
      <c r="KQ663" s="77"/>
      <c r="KR663" s="77"/>
      <c r="KS663" s="77"/>
      <c r="KT663" s="77"/>
      <c r="KU663" s="77"/>
      <c r="KV663" s="77"/>
      <c r="KW663" s="77"/>
      <c r="KX663" s="77"/>
      <c r="KY663" s="77"/>
      <c r="KZ663" s="77"/>
      <c r="LA663" s="77"/>
      <c r="LB663" s="77"/>
      <c r="LC663" s="77"/>
      <c r="LD663" s="77"/>
      <c r="LE663" s="77"/>
      <c r="LF663" s="77"/>
      <c r="LG663" s="77"/>
      <c r="LH663" s="77"/>
      <c r="LI663" s="77"/>
      <c r="LJ663" s="77"/>
      <c r="LK663" s="77"/>
      <c r="LL663" s="77"/>
      <c r="LM663" s="77"/>
      <c r="LN663" s="77"/>
      <c r="LO663" s="77"/>
      <c r="LP663" s="77"/>
      <c r="LQ663" s="77"/>
      <c r="LR663" s="77"/>
      <c r="LS663" s="77"/>
      <c r="LT663" s="77"/>
      <c r="LU663" s="77"/>
      <c r="LV663" s="77"/>
      <c r="LW663" s="77"/>
      <c r="LX663" s="77"/>
      <c r="MS663" s="16"/>
    </row>
    <row r="664" spans="1:421" s="21" customFormat="1" ht="18.600000000000001" customHeight="1" x14ac:dyDescent="0.25">
      <c r="A664" s="119" t="s">
        <v>86</v>
      </c>
      <c r="B664" s="27" t="s">
        <v>997</v>
      </c>
      <c r="C664" s="27" t="s">
        <v>998</v>
      </c>
      <c r="D664" s="30" t="str">
        <f>HYPERLINK("https://twitter.com/ChefGov_ma","https://twitter.com/ChefGov_ma")</f>
        <v>https://twitter.com/ChefGov_ma</v>
      </c>
      <c r="E664" s="30" t="str">
        <f>HYPERLINK("http://twiplomacy.com/info/africa/Morocco","http://twiplomacy.com/info/africa/Morocco")</f>
        <v>http://twiplomacy.com/info/africa/Morocco</v>
      </c>
      <c r="F664" s="10" t="s">
        <v>1</v>
      </c>
      <c r="G664" s="10" t="s">
        <v>85</v>
      </c>
      <c r="H664" s="85" t="s">
        <v>788</v>
      </c>
      <c r="I664" s="85" t="s">
        <v>782</v>
      </c>
      <c r="J664" s="27" t="s">
        <v>789</v>
      </c>
      <c r="K664" s="15" t="s">
        <v>4622</v>
      </c>
      <c r="L664" s="10" t="s">
        <v>771</v>
      </c>
      <c r="M664" s="10" t="s">
        <v>770</v>
      </c>
      <c r="N664" s="30" t="str">
        <f>HYPERLINK("https://twitter.com/ChefGov_ma/statuses/236675438926237697","https://twitter.com/ChefGov_ma/statuses/236675438926237697")</f>
        <v>https://twitter.com/ChefGov_ma/statuses/236675438926237697</v>
      </c>
      <c r="O664" s="27" t="s">
        <v>5782</v>
      </c>
      <c r="P664" s="80">
        <v>14</v>
      </c>
      <c r="Q664" s="80">
        <v>42</v>
      </c>
      <c r="R664" s="27" t="s">
        <v>2995</v>
      </c>
      <c r="S664" s="10" t="s">
        <v>999</v>
      </c>
      <c r="T664" s="10" t="s">
        <v>771</v>
      </c>
      <c r="U664" s="10" t="s">
        <v>771</v>
      </c>
      <c r="V664" s="10" t="s">
        <v>771</v>
      </c>
      <c r="W664" s="10"/>
      <c r="X664" s="27" t="s">
        <v>86</v>
      </c>
      <c r="Y664" s="27" t="s">
        <v>997</v>
      </c>
      <c r="Z664" s="80">
        <v>96</v>
      </c>
      <c r="AA664" s="27">
        <v>0</v>
      </c>
      <c r="AB664" s="80">
        <v>22862</v>
      </c>
      <c r="AC664" s="27">
        <v>0</v>
      </c>
      <c r="AD664" s="27" t="s">
        <v>3580</v>
      </c>
      <c r="AE664" s="27">
        <v>748291920</v>
      </c>
      <c r="AF664" s="27" t="s">
        <v>998</v>
      </c>
      <c r="AG664" s="27"/>
      <c r="AH664" s="79">
        <v>7.0536370315944202E-2</v>
      </c>
      <c r="AI664" s="83">
        <v>0.104008667388949</v>
      </c>
      <c r="AJ664" s="80">
        <v>2.875</v>
      </c>
      <c r="AK664" s="80">
        <v>3.5104166666666701</v>
      </c>
      <c r="AL664" s="13">
        <v>0</v>
      </c>
      <c r="AM664" s="97">
        <f>SUM(AL664/Z664)</f>
        <v>0</v>
      </c>
      <c r="AN664" s="27" t="s">
        <v>86</v>
      </c>
      <c r="AO664" s="27">
        <v>0</v>
      </c>
      <c r="AP664" s="27">
        <v>5</v>
      </c>
      <c r="AQ664" s="27">
        <v>0</v>
      </c>
      <c r="AR664" s="27">
        <f>SUM(AO664:AQ664)</f>
        <v>5</v>
      </c>
      <c r="AS664" s="27"/>
      <c r="AT664" s="27" t="s">
        <v>5068</v>
      </c>
      <c r="AU664" s="84"/>
      <c r="AV664" s="77"/>
      <c r="AW664" s="77"/>
      <c r="AX664" s="77"/>
      <c r="AY664" s="77"/>
      <c r="AZ664" s="77"/>
      <c r="BA664" s="77"/>
      <c r="BB664" s="77"/>
      <c r="BC664" s="77"/>
      <c r="BD664" s="77"/>
      <c r="BE664" s="77"/>
      <c r="BF664" s="77"/>
      <c r="BG664" s="77"/>
      <c r="BH664" s="77"/>
      <c r="BI664" s="77"/>
      <c r="BJ664" s="77"/>
      <c r="BK664" s="77"/>
      <c r="BL664" s="77"/>
      <c r="BM664" s="77"/>
      <c r="BN664" s="77"/>
      <c r="BO664" s="77"/>
      <c r="BP664" s="77"/>
      <c r="BQ664" s="77"/>
      <c r="BR664" s="77"/>
      <c r="BS664" s="77"/>
      <c r="BT664" s="77"/>
      <c r="BU664" s="77"/>
      <c r="BV664" s="77"/>
      <c r="BW664" s="77"/>
      <c r="BX664" s="77"/>
      <c r="BY664" s="77"/>
      <c r="BZ664" s="77"/>
      <c r="CA664" s="77"/>
      <c r="CB664" s="77"/>
      <c r="CC664" s="77"/>
      <c r="CD664" s="77"/>
      <c r="CE664" s="77"/>
      <c r="CF664" s="77"/>
      <c r="CG664" s="77"/>
      <c r="CH664" s="77"/>
      <c r="CI664" s="77"/>
      <c r="CJ664" s="77"/>
      <c r="CK664" s="77"/>
      <c r="CL664" s="77"/>
      <c r="CM664" s="77"/>
      <c r="CN664" s="77"/>
      <c r="CO664" s="77"/>
      <c r="CP664" s="77"/>
      <c r="CQ664" s="77"/>
      <c r="CR664" s="77"/>
      <c r="CS664" s="77"/>
      <c r="CT664" s="77"/>
      <c r="CU664" s="77"/>
      <c r="CV664" s="77"/>
      <c r="CW664" s="77"/>
      <c r="CX664" s="77"/>
      <c r="CY664" s="77"/>
      <c r="CZ664" s="77"/>
      <c r="DA664" s="77"/>
      <c r="DB664" s="77"/>
      <c r="DC664" s="77"/>
      <c r="DD664" s="77"/>
      <c r="DE664" s="77"/>
      <c r="DF664" s="77"/>
      <c r="DG664" s="77"/>
      <c r="DH664" s="77"/>
      <c r="DI664" s="77"/>
      <c r="DJ664" s="77"/>
      <c r="DK664" s="77"/>
      <c r="DL664" s="77"/>
      <c r="DM664" s="77"/>
      <c r="DN664" s="77"/>
      <c r="DO664" s="77"/>
      <c r="DP664" s="77"/>
      <c r="DQ664" s="77"/>
      <c r="DR664" s="77"/>
      <c r="DS664" s="77"/>
      <c r="DT664" s="77"/>
      <c r="DU664" s="77"/>
      <c r="DV664" s="77"/>
      <c r="DW664" s="77"/>
      <c r="DX664" s="77"/>
      <c r="DY664" s="77"/>
      <c r="DZ664" s="77"/>
      <c r="EA664" s="77"/>
      <c r="EB664" s="77"/>
      <c r="EC664" s="77"/>
      <c r="ED664" s="77"/>
      <c r="EE664" s="77"/>
      <c r="EF664" s="77"/>
      <c r="EG664" s="77"/>
      <c r="EH664" s="77"/>
      <c r="EI664" s="77"/>
      <c r="EJ664" s="77"/>
      <c r="EK664" s="77"/>
      <c r="EL664" s="77"/>
      <c r="EM664" s="77"/>
      <c r="EN664" s="77"/>
      <c r="EO664" s="77"/>
      <c r="EP664" s="77"/>
      <c r="EQ664" s="77"/>
      <c r="ER664" s="77"/>
      <c r="ES664" s="77"/>
      <c r="ET664" s="77"/>
      <c r="EU664" s="77"/>
      <c r="EV664" s="77"/>
      <c r="EW664" s="77"/>
      <c r="EX664" s="77"/>
      <c r="EY664" s="77"/>
      <c r="EZ664" s="77"/>
      <c r="FA664" s="77"/>
      <c r="FB664" s="77"/>
      <c r="FC664" s="77"/>
      <c r="FD664" s="77"/>
      <c r="FE664" s="77"/>
      <c r="FF664" s="77"/>
      <c r="FG664" s="77"/>
      <c r="FH664" s="77"/>
      <c r="FI664" s="77"/>
      <c r="FJ664" s="77"/>
      <c r="FK664" s="77"/>
      <c r="FL664" s="77"/>
      <c r="FM664" s="77"/>
      <c r="FN664" s="77"/>
      <c r="FO664" s="77"/>
      <c r="FP664" s="77"/>
      <c r="FQ664" s="77"/>
      <c r="FR664" s="77"/>
      <c r="FS664" s="77"/>
      <c r="FT664" s="77"/>
      <c r="FU664" s="77"/>
      <c r="FV664" s="77"/>
      <c r="FW664" s="77"/>
      <c r="FX664" s="77"/>
      <c r="FY664" s="77"/>
      <c r="FZ664" s="77"/>
      <c r="GA664" s="77"/>
      <c r="GB664" s="77"/>
      <c r="GC664" s="77"/>
      <c r="GD664" s="77"/>
      <c r="GE664" s="77"/>
      <c r="GF664" s="77"/>
      <c r="GG664" s="77"/>
      <c r="GH664" s="77"/>
      <c r="GI664" s="77"/>
      <c r="GJ664" s="77"/>
      <c r="GK664" s="77"/>
      <c r="GL664" s="77"/>
      <c r="GM664" s="77"/>
      <c r="GN664" s="77"/>
      <c r="GO664" s="77"/>
      <c r="GP664" s="77"/>
      <c r="GQ664" s="77"/>
      <c r="GR664" s="77"/>
      <c r="GS664" s="77"/>
      <c r="GT664" s="77"/>
      <c r="GU664" s="77"/>
      <c r="GV664" s="77"/>
      <c r="GW664" s="77"/>
      <c r="GX664" s="77"/>
      <c r="GY664" s="77"/>
      <c r="GZ664" s="77"/>
      <c r="HA664" s="77"/>
      <c r="HB664" s="77"/>
      <c r="HC664" s="77"/>
      <c r="HD664" s="77"/>
      <c r="HE664" s="77"/>
      <c r="HF664" s="77"/>
      <c r="HG664" s="77"/>
      <c r="HH664" s="77"/>
      <c r="HI664" s="77"/>
      <c r="HJ664" s="77"/>
      <c r="HK664" s="77"/>
      <c r="ID664" s="77"/>
      <c r="IE664" s="77"/>
      <c r="IF664" s="77"/>
      <c r="IG664" s="77"/>
      <c r="IH664" s="77"/>
      <c r="II664" s="77"/>
      <c r="IJ664" s="77"/>
      <c r="IK664" s="77"/>
      <c r="IL664" s="77"/>
      <c r="IM664" s="77"/>
      <c r="IN664" s="77"/>
      <c r="IO664" s="77"/>
      <c r="IP664" s="77"/>
      <c r="IQ664" s="77"/>
      <c r="IR664" s="77"/>
      <c r="IS664" s="77"/>
      <c r="IT664" s="77"/>
      <c r="IU664" s="77"/>
      <c r="IV664" s="77"/>
      <c r="IW664" s="77"/>
      <c r="IX664" s="77"/>
      <c r="IY664" s="77"/>
      <c r="IZ664" s="77"/>
      <c r="JA664" s="77"/>
      <c r="JB664" s="77"/>
      <c r="JC664" s="77"/>
      <c r="JD664" s="77"/>
      <c r="JE664" s="77"/>
      <c r="JF664" s="77"/>
      <c r="JG664" s="77"/>
      <c r="JH664" s="77"/>
      <c r="JI664" s="77"/>
      <c r="JJ664" s="77"/>
      <c r="JK664" s="77"/>
      <c r="JL664" s="77"/>
      <c r="JM664" s="77"/>
      <c r="JN664" s="77"/>
      <c r="JO664" s="77"/>
      <c r="JP664" s="77"/>
      <c r="JQ664" s="77"/>
      <c r="JR664" s="77"/>
      <c r="JS664" s="77"/>
      <c r="JT664" s="77"/>
      <c r="JU664" s="77"/>
      <c r="JV664" s="77"/>
      <c r="JW664" s="77"/>
      <c r="JX664" s="77"/>
      <c r="KM664" s="77"/>
      <c r="KN664" s="77"/>
      <c r="KO664" s="77"/>
      <c r="KP664" s="77"/>
      <c r="KQ664" s="77"/>
      <c r="KR664" s="77"/>
      <c r="KS664" s="77"/>
      <c r="KT664" s="77"/>
      <c r="KU664" s="77"/>
      <c r="KV664" s="77"/>
      <c r="KW664" s="77"/>
      <c r="KX664" s="77"/>
      <c r="KY664" s="77"/>
      <c r="KZ664" s="77"/>
      <c r="LA664" s="77"/>
      <c r="LB664" s="77"/>
      <c r="LC664" s="77"/>
      <c r="LD664" s="77"/>
      <c r="LE664" s="77"/>
      <c r="LF664" s="77"/>
      <c r="LG664" s="77"/>
      <c r="LH664" s="77"/>
      <c r="LI664" s="77"/>
      <c r="LJ664" s="77"/>
      <c r="LK664" s="77"/>
      <c r="LW664" s="16"/>
      <c r="LX664" s="16"/>
      <c r="ND664" s="16"/>
    </row>
    <row r="665" spans="1:421" s="21" customFormat="1" ht="18.600000000000001" customHeight="1" x14ac:dyDescent="0.25">
      <c r="A665" s="119" t="s">
        <v>648</v>
      </c>
      <c r="B665" s="27" t="s">
        <v>3710</v>
      </c>
      <c r="C665" s="27"/>
      <c r="D665" s="51" t="s">
        <v>3349</v>
      </c>
      <c r="E665" s="30" t="str">
        <f>HYPERLINK("http://twiplomacy.com/info/oceania/Fiji","http://twiplomacy.com/info/oceania/Fiji")</f>
        <v>http://twiplomacy.com/info/oceania/Fiji</v>
      </c>
      <c r="F665" s="10" t="s">
        <v>643</v>
      </c>
      <c r="G665" s="10" t="s">
        <v>647</v>
      </c>
      <c r="H665" s="10" t="s">
        <v>776</v>
      </c>
      <c r="I665" s="10" t="s">
        <v>773</v>
      </c>
      <c r="J665" s="27" t="s">
        <v>789</v>
      </c>
      <c r="K665" s="38" t="s">
        <v>777</v>
      </c>
      <c r="L665" s="10"/>
      <c r="M665" s="10"/>
      <c r="N665" s="30" t="s">
        <v>3394</v>
      </c>
      <c r="O665" s="27" t="s">
        <v>3406</v>
      </c>
      <c r="P665" s="80">
        <v>8</v>
      </c>
      <c r="Q665" s="80">
        <v>5</v>
      </c>
      <c r="R665" s="27" t="s">
        <v>2995</v>
      </c>
      <c r="S665" s="12" t="s">
        <v>3376</v>
      </c>
      <c r="T665" s="10" t="s">
        <v>771</v>
      </c>
      <c r="U665" s="10" t="s">
        <v>771</v>
      </c>
      <c r="V665" s="10" t="s">
        <v>771</v>
      </c>
      <c r="W665" s="10"/>
      <c r="X665" s="27" t="s">
        <v>648</v>
      </c>
      <c r="Y665" s="27" t="s">
        <v>3710</v>
      </c>
      <c r="Z665" s="80">
        <v>96</v>
      </c>
      <c r="AA665" s="27">
        <v>18</v>
      </c>
      <c r="AB665" s="80">
        <v>334</v>
      </c>
      <c r="AC665" s="27">
        <v>2</v>
      </c>
      <c r="AD665" s="27" t="s">
        <v>3711</v>
      </c>
      <c r="AE665" s="27">
        <v>2577888917</v>
      </c>
      <c r="AF665" s="27"/>
      <c r="AG665" s="27"/>
      <c r="AH665" s="79">
        <v>0.13714285714285701</v>
      </c>
      <c r="AI665" s="83">
        <v>0.16026711185308801</v>
      </c>
      <c r="AJ665" s="80">
        <v>0.77083333333333304</v>
      </c>
      <c r="AK665" s="80">
        <v>2.1770833333333299</v>
      </c>
      <c r="AL665" s="27">
        <v>4</v>
      </c>
      <c r="AM665" s="97">
        <f>SUM(AL665/Z665)</f>
        <v>4.1666666666666664E-2</v>
      </c>
      <c r="AN665" s="27" t="s">
        <v>648</v>
      </c>
      <c r="AO665" s="27">
        <v>1</v>
      </c>
      <c r="AP665" s="27">
        <v>0</v>
      </c>
      <c r="AQ665" s="27">
        <v>1</v>
      </c>
      <c r="AR665" s="27">
        <f>SUM(AO665:AQ665)</f>
        <v>2</v>
      </c>
      <c r="AS665" s="27" t="s">
        <v>651</v>
      </c>
      <c r="AT665" s="27"/>
      <c r="AU665" s="84" t="s">
        <v>649</v>
      </c>
      <c r="AV665" s="77"/>
      <c r="AW665" s="77"/>
      <c r="AX665" s="77"/>
      <c r="AY665" s="77"/>
      <c r="AZ665" s="77"/>
      <c r="BA665" s="77"/>
      <c r="BB665" s="77"/>
      <c r="BC665" s="77"/>
      <c r="BD665" s="77"/>
      <c r="BE665" s="77"/>
      <c r="BF665" s="77"/>
      <c r="BG665" s="77"/>
      <c r="BH665" s="77"/>
      <c r="BI665" s="77"/>
      <c r="BJ665" s="77"/>
      <c r="BK665" s="77"/>
      <c r="BL665" s="77"/>
      <c r="BM665" s="77"/>
      <c r="BN665" s="77"/>
      <c r="BO665" s="77"/>
      <c r="BP665" s="77"/>
      <c r="BQ665" s="77"/>
      <c r="BR665" s="77"/>
      <c r="BS665" s="77"/>
      <c r="BT665" s="77"/>
      <c r="BU665" s="77"/>
      <c r="BV665" s="77"/>
      <c r="BW665" s="77"/>
      <c r="BX665" s="77"/>
      <c r="BY665" s="77"/>
      <c r="BZ665" s="77"/>
      <c r="CA665" s="77"/>
      <c r="CB665" s="77"/>
      <c r="CC665" s="77"/>
      <c r="CD665" s="77"/>
      <c r="CE665" s="77"/>
      <c r="CF665" s="77"/>
      <c r="CG665" s="77"/>
      <c r="CH665" s="77"/>
      <c r="CI665" s="77"/>
      <c r="CJ665" s="77"/>
      <c r="CK665" s="77"/>
      <c r="CL665" s="77"/>
      <c r="CM665" s="77"/>
      <c r="CN665" s="77"/>
      <c r="CO665" s="77"/>
      <c r="CP665" s="77"/>
      <c r="CQ665" s="77"/>
      <c r="CR665" s="77"/>
      <c r="CS665" s="77"/>
      <c r="CT665" s="77"/>
      <c r="CU665" s="77"/>
      <c r="CV665" s="77"/>
      <c r="CW665" s="77"/>
      <c r="CX665" s="77"/>
      <c r="CY665" s="77"/>
      <c r="CZ665" s="77"/>
      <c r="DA665" s="77"/>
      <c r="DB665" s="77"/>
      <c r="DC665" s="77"/>
      <c r="DD665" s="77"/>
      <c r="DE665" s="77"/>
      <c r="DF665" s="77"/>
      <c r="DG665" s="77"/>
      <c r="DH665" s="77"/>
      <c r="DI665" s="77"/>
      <c r="DJ665" s="77"/>
      <c r="DK665" s="77"/>
      <c r="DL665" s="77"/>
      <c r="DM665" s="77"/>
      <c r="DN665" s="77"/>
      <c r="DO665" s="77"/>
      <c r="DP665" s="77"/>
      <c r="DQ665" s="77"/>
      <c r="DR665" s="77"/>
      <c r="DS665" s="77"/>
      <c r="DT665" s="77"/>
      <c r="DU665" s="77"/>
      <c r="DV665" s="77"/>
      <c r="DW665" s="77"/>
      <c r="DX665" s="77"/>
      <c r="DY665" s="77"/>
      <c r="DZ665" s="77"/>
      <c r="EA665" s="77"/>
      <c r="EB665" s="77"/>
      <c r="EC665" s="77"/>
      <c r="ED665" s="77"/>
      <c r="EE665" s="77"/>
      <c r="EF665" s="77"/>
      <c r="EG665" s="77"/>
      <c r="EH665" s="77"/>
      <c r="EI665" s="77"/>
      <c r="EJ665" s="77"/>
      <c r="EK665" s="77"/>
      <c r="EL665" s="77"/>
      <c r="EM665" s="77"/>
      <c r="EN665" s="77"/>
      <c r="EO665" s="77"/>
      <c r="EP665" s="77"/>
      <c r="ER665" s="77"/>
      <c r="ES665" s="77"/>
      <c r="ET665" s="77"/>
      <c r="EU665" s="77"/>
      <c r="EV665" s="77"/>
      <c r="EW665" s="77"/>
      <c r="EX665" s="77"/>
      <c r="EY665" s="77"/>
      <c r="EZ665" s="77"/>
      <c r="FA665" s="77"/>
      <c r="FB665" s="77"/>
      <c r="FC665" s="77"/>
      <c r="FD665" s="77"/>
      <c r="FE665" s="77"/>
      <c r="FF665" s="77"/>
      <c r="FG665" s="77"/>
      <c r="FH665" s="77"/>
      <c r="FI665" s="77"/>
      <c r="FJ665" s="77"/>
      <c r="FK665" s="77"/>
      <c r="FL665" s="77"/>
      <c r="FM665" s="77"/>
      <c r="FN665" s="77"/>
      <c r="FO665" s="77"/>
      <c r="FP665" s="77"/>
      <c r="FQ665" s="77"/>
      <c r="FR665" s="77"/>
      <c r="FS665" s="77"/>
      <c r="FT665" s="77"/>
      <c r="FU665" s="77"/>
      <c r="FV665" s="77"/>
      <c r="FW665" s="77"/>
      <c r="FX665" s="77"/>
      <c r="FY665" s="77"/>
      <c r="FZ665" s="77"/>
      <c r="GA665" s="77"/>
      <c r="GB665" s="77"/>
      <c r="GC665" s="77"/>
      <c r="GD665" s="77"/>
      <c r="GE665" s="77"/>
      <c r="GF665" s="77"/>
      <c r="GG665" s="77"/>
      <c r="GH665" s="77"/>
      <c r="GI665" s="77"/>
      <c r="GJ665" s="77"/>
      <c r="GK665" s="77"/>
      <c r="ID665" s="16"/>
      <c r="IE665" s="16"/>
      <c r="IF665" s="77"/>
      <c r="IG665" s="77"/>
      <c r="IH665" s="77"/>
      <c r="II665" s="77"/>
      <c r="IJ665" s="77"/>
      <c r="IK665" s="77"/>
      <c r="IL665" s="77"/>
      <c r="IM665" s="77"/>
      <c r="IN665" s="77"/>
      <c r="IO665" s="77"/>
      <c r="IP665" s="77"/>
      <c r="IQ665" s="77"/>
      <c r="IR665" s="77"/>
      <c r="IS665" s="77"/>
      <c r="IT665" s="77"/>
      <c r="IU665" s="77"/>
      <c r="IV665" s="77"/>
      <c r="IW665" s="77"/>
      <c r="IX665" s="77"/>
      <c r="IY665" s="77"/>
      <c r="IZ665" s="77"/>
      <c r="JA665" s="77"/>
      <c r="JB665" s="77"/>
      <c r="JC665" s="77"/>
      <c r="JD665" s="77"/>
      <c r="JE665" s="77"/>
      <c r="JF665" s="77"/>
      <c r="JG665" s="77"/>
      <c r="JH665" s="77"/>
      <c r="JI665" s="77"/>
      <c r="JJ665" s="77"/>
      <c r="JK665" s="77"/>
      <c r="JL665" s="77"/>
      <c r="JM665" s="77"/>
      <c r="JN665" s="77"/>
      <c r="JO665" s="77"/>
      <c r="JP665" s="77"/>
      <c r="JQ665" s="77"/>
      <c r="JR665" s="77"/>
      <c r="JS665" s="77"/>
      <c r="JT665" s="77"/>
      <c r="JU665" s="77"/>
      <c r="JV665" s="77"/>
      <c r="JW665" s="77"/>
      <c r="JX665" s="77"/>
      <c r="JY665" s="77"/>
      <c r="JZ665" s="77"/>
      <c r="KA665" s="77"/>
      <c r="KB665" s="77"/>
      <c r="KC665" s="77"/>
      <c r="KD665" s="77"/>
      <c r="KE665" s="77"/>
      <c r="KF665" s="77"/>
      <c r="KG665" s="77"/>
      <c r="KH665" s="77"/>
      <c r="KI665" s="77"/>
      <c r="KJ665" s="77"/>
      <c r="KK665" s="77"/>
      <c r="KL665" s="77"/>
      <c r="KM665" s="77"/>
      <c r="KN665" s="77"/>
      <c r="KO665" s="77"/>
      <c r="KP665" s="77"/>
      <c r="KQ665" s="77"/>
      <c r="KR665" s="77"/>
      <c r="KS665" s="77"/>
      <c r="KT665" s="77"/>
      <c r="KU665" s="77"/>
      <c r="KV665" s="77"/>
      <c r="KW665" s="77"/>
      <c r="KX665" s="77"/>
      <c r="KY665" s="77"/>
      <c r="KZ665" s="77"/>
      <c r="LA665" s="77"/>
      <c r="LB665" s="77"/>
      <c r="LC665" s="77"/>
      <c r="LD665" s="77"/>
      <c r="LE665" s="77"/>
      <c r="LF665" s="77"/>
      <c r="LG665" s="77"/>
      <c r="LH665" s="77"/>
      <c r="LI665" s="77"/>
      <c r="LJ665" s="77"/>
      <c r="LK665" s="77"/>
      <c r="LL665" s="77"/>
      <c r="LM665" s="77"/>
      <c r="LN665" s="77"/>
      <c r="LO665" s="77"/>
      <c r="LP665" s="77"/>
      <c r="LQ665" s="77"/>
      <c r="LR665" s="77"/>
      <c r="LS665" s="77"/>
      <c r="LT665" s="77"/>
      <c r="LU665" s="77"/>
      <c r="LV665" s="77"/>
      <c r="LW665" s="16"/>
      <c r="LX665" s="16"/>
      <c r="NE665" s="16"/>
      <c r="NF665" s="16"/>
      <c r="NG665" s="16"/>
      <c r="NH665" s="16"/>
      <c r="NI665" s="16"/>
      <c r="NJ665" s="16"/>
      <c r="NK665" s="16"/>
      <c r="NL665" s="16"/>
      <c r="NM665" s="16"/>
      <c r="NN665" s="16"/>
      <c r="NO665" s="16"/>
      <c r="NP665" s="16"/>
      <c r="NQ665" s="16"/>
      <c r="NR665" s="16"/>
      <c r="NS665" s="16"/>
      <c r="NT665" s="16"/>
      <c r="NU665" s="16"/>
      <c r="NV665" s="16"/>
      <c r="NW665" s="16"/>
      <c r="NX665" s="16"/>
      <c r="NY665" s="16"/>
      <c r="NZ665" s="16"/>
      <c r="OA665" s="16"/>
      <c r="OB665" s="16"/>
      <c r="OC665" s="16"/>
      <c r="OD665" s="16"/>
      <c r="OE665" s="16"/>
      <c r="OF665" s="16"/>
      <c r="OG665" s="16"/>
      <c r="OH665" s="16"/>
      <c r="OI665" s="16"/>
      <c r="OJ665" s="16"/>
      <c r="OK665" s="16"/>
      <c r="OL665" s="16"/>
      <c r="OM665" s="16"/>
      <c r="ON665" s="16"/>
      <c r="OO665" s="16"/>
      <c r="OP665" s="16"/>
      <c r="OQ665" s="16"/>
      <c r="OR665" s="16"/>
      <c r="OS665" s="16"/>
      <c r="OT665" s="16"/>
      <c r="OU665" s="16"/>
      <c r="OV665" s="16"/>
      <c r="OW665" s="16"/>
      <c r="OX665" s="16"/>
      <c r="OY665" s="16"/>
      <c r="OZ665" s="16"/>
      <c r="PA665" s="16"/>
      <c r="PB665" s="16"/>
      <c r="PC665" s="16"/>
      <c r="PD665" s="16"/>
      <c r="PE665" s="16"/>
    </row>
    <row r="666" spans="1:421" s="21" customFormat="1" ht="18.600000000000001" customHeight="1" x14ac:dyDescent="0.25">
      <c r="A666" s="119" t="s">
        <v>16</v>
      </c>
      <c r="B666" s="27" t="s">
        <v>806</v>
      </c>
      <c r="C666" s="27" t="s">
        <v>6373</v>
      </c>
      <c r="D666" s="72" t="str">
        <f>HYPERLINK("https://twitter.com/BurundiGov","https://twitter.com/BurundiForeign")</f>
        <v>https://twitter.com/BurundiForeign</v>
      </c>
      <c r="E666" s="72" t="str">
        <f>HYPERLINK("http://twiplomacy.com/info/africa/Burundi","http://twiplomacy.com/info/africa/Burundi")</f>
        <v>http://twiplomacy.com/info/africa/Burundi</v>
      </c>
      <c r="F666" s="10" t="s">
        <v>1</v>
      </c>
      <c r="G666" s="10" t="s">
        <v>13</v>
      </c>
      <c r="H666" s="10" t="s">
        <v>795</v>
      </c>
      <c r="I666" s="10" t="s">
        <v>782</v>
      </c>
      <c r="J666" s="27" t="s">
        <v>789</v>
      </c>
      <c r="K666" s="15" t="s">
        <v>807</v>
      </c>
      <c r="L666" s="10" t="s">
        <v>771</v>
      </c>
      <c r="M666" s="10" t="s">
        <v>770</v>
      </c>
      <c r="N666" s="30" t="s">
        <v>808</v>
      </c>
      <c r="O666" s="27" t="s">
        <v>5719</v>
      </c>
      <c r="P666" s="80">
        <v>1</v>
      </c>
      <c r="Q666" s="80">
        <v>0</v>
      </c>
      <c r="R666" s="27" t="s">
        <v>2995</v>
      </c>
      <c r="S666" s="30" t="str">
        <f>HYPERLINK("https://twitter.com/BurundiForeign/lists","https://twitter.com/BurundiForeign/lists")</f>
        <v>https://twitter.com/BurundiForeign/lists</v>
      </c>
      <c r="T666" s="10" t="s">
        <v>771</v>
      </c>
      <c r="U666" s="10" t="s">
        <v>771</v>
      </c>
      <c r="V666" s="10" t="s">
        <v>771</v>
      </c>
      <c r="W666" s="10"/>
      <c r="X666" s="27" t="s">
        <v>16</v>
      </c>
      <c r="Y666" s="27" t="s">
        <v>806</v>
      </c>
      <c r="Z666" s="80">
        <v>95</v>
      </c>
      <c r="AA666" s="27">
        <v>64</v>
      </c>
      <c r="AB666" s="80">
        <v>156</v>
      </c>
      <c r="AC666" s="27">
        <v>0</v>
      </c>
      <c r="AD666" s="27" t="s">
        <v>3531</v>
      </c>
      <c r="AE666" s="27">
        <v>2813237623</v>
      </c>
      <c r="AF666" s="27" t="s">
        <v>6373</v>
      </c>
      <c r="AG666" s="27" t="s">
        <v>809</v>
      </c>
      <c r="AH666" s="79">
        <v>0.15993265993266001</v>
      </c>
      <c r="AI666" s="83">
        <v>1.8627450980392199</v>
      </c>
      <c r="AJ666" s="80">
        <v>0.168421052631579</v>
      </c>
      <c r="AK666" s="80">
        <v>2.1052631578947399E-2</v>
      </c>
      <c r="AL666" s="13">
        <v>0</v>
      </c>
      <c r="AM666" s="97">
        <f>SUM(AL666/Z666)</f>
        <v>0</v>
      </c>
      <c r="AN666" s="27" t="s">
        <v>16</v>
      </c>
      <c r="AO666" s="27">
        <v>9</v>
      </c>
      <c r="AP666" s="27">
        <v>9</v>
      </c>
      <c r="AQ666" s="27">
        <v>0</v>
      </c>
      <c r="AR666" s="27">
        <f>SUM(AO666:AQ666)</f>
        <v>18</v>
      </c>
      <c r="AS666" s="27" t="s">
        <v>5048</v>
      </c>
      <c r="AT666" s="27" t="s">
        <v>6276</v>
      </c>
      <c r="AU666" s="84"/>
      <c r="AV666" s="77"/>
      <c r="AW666" s="77"/>
      <c r="AX666" s="77"/>
      <c r="AY666" s="77"/>
      <c r="AZ666" s="77"/>
      <c r="BA666" s="77"/>
      <c r="BB666" s="77"/>
      <c r="BC666" s="77"/>
      <c r="BD666" s="77"/>
      <c r="BE666" s="77"/>
      <c r="BF666" s="77"/>
      <c r="BG666" s="77"/>
      <c r="BH666" s="77"/>
      <c r="BI666" s="77"/>
      <c r="BJ666" s="77"/>
      <c r="BK666" s="77"/>
      <c r="BL666" s="77"/>
      <c r="BM666" s="77"/>
      <c r="BN666" s="77"/>
      <c r="BO666" s="77"/>
      <c r="BP666" s="77"/>
      <c r="BQ666" s="77"/>
      <c r="BR666" s="77"/>
      <c r="BS666" s="77"/>
      <c r="BT666" s="77"/>
      <c r="BU666" s="77"/>
      <c r="BV666" s="77"/>
      <c r="BW666" s="77"/>
      <c r="BX666" s="77"/>
      <c r="BY666" s="77"/>
      <c r="BZ666" s="77"/>
      <c r="CA666" s="77"/>
      <c r="CB666" s="77"/>
      <c r="CX666" s="77"/>
      <c r="CY666" s="77"/>
      <c r="CZ666" s="77"/>
      <c r="DA666" s="77"/>
      <c r="DB666" s="77"/>
      <c r="DC666" s="77"/>
      <c r="DD666" s="77"/>
      <c r="DE666" s="77"/>
      <c r="DF666" s="77"/>
      <c r="DG666" s="77"/>
      <c r="DH666" s="77"/>
      <c r="DI666" s="77"/>
      <c r="DJ666" s="77"/>
      <c r="DK666" s="77"/>
      <c r="DL666" s="77"/>
      <c r="DM666" s="77"/>
      <c r="DN666" s="77"/>
      <c r="DO666" s="77"/>
      <c r="DP666" s="77"/>
      <c r="DQ666" s="77"/>
      <c r="DR666" s="77"/>
      <c r="DS666" s="77"/>
      <c r="DT666" s="77"/>
      <c r="DU666" s="77"/>
      <c r="DV666" s="77"/>
      <c r="DW666" s="77"/>
      <c r="DX666" s="77"/>
      <c r="DY666" s="77"/>
      <c r="DZ666" s="77"/>
      <c r="EA666" s="77"/>
      <c r="EB666" s="77"/>
      <c r="EC666" s="77"/>
      <c r="ED666" s="77"/>
      <c r="EE666" s="77"/>
      <c r="EF666" s="77"/>
      <c r="EG666" s="77"/>
      <c r="EH666" s="77"/>
      <c r="EI666" s="77"/>
      <c r="EJ666" s="77"/>
      <c r="EK666" s="77"/>
      <c r="EL666" s="77"/>
      <c r="EM666" s="77"/>
      <c r="EN666" s="77"/>
      <c r="EO666" s="77"/>
      <c r="EP666" s="77"/>
      <c r="EQ666" s="77"/>
      <c r="GL666" s="16"/>
      <c r="GM666" s="16"/>
      <c r="GN666" s="16"/>
      <c r="GO666" s="16"/>
      <c r="GP666" s="16"/>
      <c r="GQ666" s="16"/>
      <c r="GR666" s="16"/>
      <c r="GS666" s="16"/>
      <c r="GT666" s="16"/>
      <c r="GU666" s="16"/>
      <c r="GV666" s="16"/>
      <c r="GW666" s="16"/>
      <c r="GX666" s="16"/>
      <c r="GY666" s="16"/>
      <c r="GZ666" s="16"/>
      <c r="HA666" s="16"/>
      <c r="HB666" s="16"/>
      <c r="HC666" s="16"/>
      <c r="HD666" s="16"/>
      <c r="HE666" s="16"/>
      <c r="HF666" s="16"/>
      <c r="HG666" s="16"/>
      <c r="HH666" s="16"/>
      <c r="HI666" s="16"/>
      <c r="HJ666" s="16"/>
      <c r="HK666" s="16"/>
      <c r="IF666" s="77"/>
      <c r="IG666" s="77"/>
      <c r="IH666" s="77"/>
      <c r="II666" s="77"/>
      <c r="IJ666" s="77"/>
      <c r="IK666" s="77"/>
      <c r="IL666" s="77"/>
      <c r="IM666" s="77"/>
      <c r="IN666" s="77"/>
      <c r="IO666" s="77"/>
      <c r="IP666" s="77"/>
      <c r="IQ666" s="77"/>
      <c r="IR666" s="77"/>
      <c r="IS666" s="77"/>
      <c r="IT666" s="77"/>
      <c r="IU666" s="77"/>
      <c r="IV666" s="77"/>
      <c r="IW666" s="77"/>
      <c r="IX666" s="77"/>
      <c r="IY666" s="77"/>
      <c r="IZ666" s="77"/>
      <c r="JA666" s="77"/>
      <c r="JB666" s="77"/>
      <c r="JC666" s="77"/>
      <c r="JD666" s="77"/>
      <c r="JE666" s="77"/>
      <c r="JF666" s="77"/>
      <c r="JG666" s="77"/>
      <c r="JH666" s="77"/>
      <c r="JI666" s="77"/>
      <c r="JJ666" s="77"/>
      <c r="JK666" s="77"/>
      <c r="JL666" s="77"/>
      <c r="JM666" s="77"/>
      <c r="JN666" s="77"/>
      <c r="JO666" s="77"/>
      <c r="JP666" s="77"/>
      <c r="JQ666" s="77"/>
      <c r="JR666" s="77"/>
      <c r="JS666" s="77"/>
      <c r="JT666" s="77"/>
      <c r="JU666" s="77"/>
      <c r="JV666" s="77"/>
      <c r="JW666" s="77"/>
      <c r="JX666" s="77"/>
      <c r="JY666" s="77"/>
      <c r="JZ666" s="77"/>
      <c r="KA666" s="77"/>
      <c r="KB666" s="77"/>
      <c r="KC666" s="77"/>
      <c r="KD666" s="77"/>
      <c r="KE666" s="77"/>
      <c r="KF666" s="77"/>
      <c r="KG666" s="77"/>
      <c r="KH666" s="77"/>
      <c r="KI666" s="77"/>
      <c r="KJ666" s="77"/>
      <c r="KK666" s="77"/>
      <c r="KL666" s="77"/>
      <c r="KM666" s="77"/>
      <c r="KN666" s="77"/>
      <c r="KO666" s="77"/>
      <c r="KP666" s="77"/>
      <c r="KQ666" s="77"/>
      <c r="KR666" s="77"/>
      <c r="KS666" s="77"/>
      <c r="KT666" s="77"/>
      <c r="KU666" s="77"/>
      <c r="KV666" s="77"/>
      <c r="KW666" s="77"/>
      <c r="KX666" s="77"/>
      <c r="KY666" s="77"/>
      <c r="KZ666" s="77"/>
      <c r="LA666" s="77"/>
      <c r="LB666" s="77"/>
      <c r="LC666" s="77"/>
      <c r="LD666" s="77"/>
      <c r="LE666" s="77"/>
      <c r="LF666" s="77"/>
      <c r="LG666" s="77"/>
      <c r="LH666" s="77"/>
      <c r="LI666" s="77"/>
      <c r="LJ666" s="77"/>
      <c r="LK666" s="77"/>
      <c r="LW666" s="77"/>
      <c r="LX666" s="77"/>
      <c r="LY666" s="77"/>
      <c r="LZ666" s="77"/>
      <c r="MA666" s="77"/>
      <c r="MB666" s="77"/>
      <c r="MC666" s="77"/>
      <c r="MD666" s="77"/>
      <c r="ME666" s="77"/>
      <c r="MF666" s="77"/>
      <c r="MG666" s="77"/>
      <c r="MH666" s="77"/>
      <c r="MI666" s="77"/>
      <c r="MJ666" s="77"/>
      <c r="MK666" s="77"/>
      <c r="ML666" s="77"/>
      <c r="MM666" s="77"/>
      <c r="MN666" s="77"/>
      <c r="MO666" s="77"/>
      <c r="MP666" s="77"/>
      <c r="MQ666" s="77"/>
      <c r="MR666" s="77"/>
      <c r="NE666" s="16"/>
      <c r="NF666" s="16"/>
      <c r="NG666" s="16"/>
      <c r="NH666" s="16"/>
      <c r="NI666" s="16"/>
      <c r="NJ666" s="16"/>
      <c r="NK666" s="16"/>
      <c r="NL666" s="16"/>
      <c r="NM666" s="16"/>
      <c r="NN666" s="16"/>
      <c r="NO666" s="16"/>
      <c r="NP666" s="16"/>
      <c r="NQ666" s="16"/>
      <c r="NR666" s="16"/>
      <c r="NS666" s="16"/>
      <c r="NT666" s="16"/>
      <c r="NU666" s="16"/>
      <c r="NV666" s="16"/>
      <c r="NW666" s="16"/>
      <c r="NX666" s="16"/>
      <c r="NY666" s="16"/>
      <c r="NZ666" s="16"/>
      <c r="OA666" s="16"/>
      <c r="OB666" s="16"/>
      <c r="OC666" s="16"/>
      <c r="OD666" s="16"/>
      <c r="OE666" s="16"/>
      <c r="OF666" s="16"/>
      <c r="OG666" s="16"/>
      <c r="OH666" s="16"/>
      <c r="OI666" s="16"/>
      <c r="OJ666" s="16"/>
      <c r="OK666" s="16"/>
      <c r="OL666" s="16"/>
      <c r="OM666" s="16"/>
      <c r="ON666" s="16"/>
      <c r="OO666" s="16"/>
      <c r="OP666" s="16"/>
      <c r="OQ666" s="16"/>
      <c r="OR666" s="16"/>
      <c r="OS666" s="16"/>
      <c r="OT666" s="16"/>
      <c r="OU666" s="16"/>
      <c r="OV666" s="16"/>
      <c r="OW666" s="16"/>
      <c r="OX666" s="16"/>
      <c r="OY666" s="16"/>
      <c r="OZ666" s="16"/>
      <c r="PA666" s="16"/>
      <c r="PB666" s="16"/>
      <c r="PC666" s="16"/>
      <c r="PD666" s="16"/>
      <c r="PE666" s="16"/>
    </row>
    <row r="667" spans="1:421" s="21" customFormat="1" ht="18.600000000000001" customHeight="1" x14ac:dyDescent="0.25">
      <c r="A667" s="119" t="s">
        <v>71</v>
      </c>
      <c r="B667" s="27" t="s">
        <v>2868</v>
      </c>
      <c r="C667" s="27" t="s">
        <v>2869</v>
      </c>
      <c r="D667" s="30" t="str">
        <f>HYPERLINK("https://twitter.com/mfapresskenya","https://twitter.com/mfapresskenya")</f>
        <v>https://twitter.com/mfapresskenya</v>
      </c>
      <c r="E667" s="30" t="str">
        <f>HYPERLINK("http://twiplomacy.com/info/africa/Kenya","http://twiplomacy.com/info/africa/Kenya")</f>
        <v>http://twiplomacy.com/info/africa/Kenya</v>
      </c>
      <c r="F667" s="10" t="s">
        <v>1</v>
      </c>
      <c r="G667" s="10" t="s">
        <v>65</v>
      </c>
      <c r="H667" s="10" t="s">
        <v>795</v>
      </c>
      <c r="I667" s="10" t="s">
        <v>782</v>
      </c>
      <c r="J667" s="27" t="s">
        <v>789</v>
      </c>
      <c r="K667" s="14" t="s">
        <v>766</v>
      </c>
      <c r="L667" s="14" t="s">
        <v>771</v>
      </c>
      <c r="M667" s="14" t="s">
        <v>771</v>
      </c>
      <c r="N667" s="14"/>
      <c r="O667" s="13"/>
      <c r="P667" s="81"/>
      <c r="Q667" s="81"/>
      <c r="R667" s="27" t="s">
        <v>2995</v>
      </c>
      <c r="S667" s="10" t="s">
        <v>2870</v>
      </c>
      <c r="T667" s="10" t="s">
        <v>771</v>
      </c>
      <c r="U667" s="10" t="s">
        <v>771</v>
      </c>
      <c r="V667" s="10" t="s">
        <v>771</v>
      </c>
      <c r="W667" s="14"/>
      <c r="X667" s="27" t="s">
        <v>71</v>
      </c>
      <c r="Y667" s="27" t="s">
        <v>2868</v>
      </c>
      <c r="Z667" s="80">
        <v>95</v>
      </c>
      <c r="AA667" s="27">
        <v>244</v>
      </c>
      <c r="AB667" s="80">
        <v>55</v>
      </c>
      <c r="AC667" s="27">
        <v>2</v>
      </c>
      <c r="AD667" s="27" t="s">
        <v>4090</v>
      </c>
      <c r="AE667" s="27">
        <v>401906405</v>
      </c>
      <c r="AF667" s="27" t="s">
        <v>2869</v>
      </c>
      <c r="AG667" s="27" t="s">
        <v>946</v>
      </c>
      <c r="AH667" s="79"/>
      <c r="AI667" s="79"/>
      <c r="AJ667" s="79"/>
      <c r="AK667" s="79"/>
      <c r="AL667" s="13">
        <v>0</v>
      </c>
      <c r="AM667" s="99">
        <f>SUM(AL667/Z667)</f>
        <v>0</v>
      </c>
      <c r="AN667" s="27" t="s">
        <v>71</v>
      </c>
      <c r="AO667" s="27">
        <v>0</v>
      </c>
      <c r="AP667" s="27">
        <v>1</v>
      </c>
      <c r="AQ667" s="27">
        <v>0</v>
      </c>
      <c r="AR667" s="27">
        <f>SUM(AO667:AQ667)</f>
        <v>1</v>
      </c>
      <c r="AS667" s="27"/>
      <c r="AT667" s="27" t="s">
        <v>211</v>
      </c>
      <c r="AU667" s="84"/>
      <c r="AV667" s="77"/>
      <c r="AW667" s="77"/>
      <c r="AX667" s="77"/>
      <c r="AY667" s="77"/>
      <c r="AZ667" s="77"/>
      <c r="BA667" s="77"/>
      <c r="BB667" s="77"/>
      <c r="BC667" s="77"/>
      <c r="BD667" s="77"/>
      <c r="BE667" s="77"/>
      <c r="BF667" s="77"/>
      <c r="BG667" s="77"/>
      <c r="BH667" s="77"/>
      <c r="BI667" s="77"/>
      <c r="BJ667" s="77"/>
      <c r="BK667" s="77"/>
      <c r="BL667" s="77"/>
      <c r="BM667" s="77"/>
      <c r="BN667" s="77"/>
      <c r="BO667" s="77"/>
      <c r="BP667" s="77"/>
      <c r="BQ667" s="77"/>
      <c r="BR667" s="77"/>
      <c r="BS667" s="77"/>
      <c r="BT667" s="77"/>
      <c r="BU667" s="77"/>
      <c r="BV667" s="77"/>
      <c r="BW667" s="77"/>
      <c r="BX667" s="77"/>
      <c r="BY667" s="77"/>
      <c r="BZ667" s="77"/>
      <c r="CA667" s="77"/>
      <c r="CB667" s="77"/>
      <c r="CC667" s="77"/>
      <c r="CD667" s="77"/>
      <c r="CE667" s="77"/>
      <c r="CF667" s="77"/>
      <c r="CG667" s="77"/>
      <c r="CH667" s="77"/>
      <c r="CI667" s="77"/>
      <c r="CJ667" s="77"/>
      <c r="CK667" s="77"/>
      <c r="CL667" s="77"/>
      <c r="CM667" s="77"/>
      <c r="CN667" s="77"/>
      <c r="CO667" s="77"/>
      <c r="CP667" s="77"/>
      <c r="CQ667" s="77"/>
      <c r="CR667" s="77"/>
      <c r="CS667" s="77"/>
      <c r="CT667" s="77"/>
      <c r="CU667" s="77"/>
      <c r="CV667" s="77"/>
      <c r="CW667" s="77"/>
      <c r="CX667" s="77"/>
      <c r="CY667" s="77"/>
      <c r="CZ667" s="77"/>
      <c r="DA667" s="77"/>
      <c r="DB667" s="77"/>
      <c r="DC667" s="77"/>
      <c r="DD667" s="77"/>
      <c r="DE667" s="77"/>
      <c r="DF667" s="77"/>
      <c r="DG667" s="77"/>
      <c r="DH667" s="77"/>
      <c r="DI667" s="77"/>
      <c r="DJ667" s="77"/>
      <c r="DK667" s="77"/>
      <c r="DL667" s="77"/>
      <c r="DM667" s="77"/>
      <c r="DN667" s="77"/>
      <c r="DO667" s="77"/>
      <c r="DP667" s="77"/>
      <c r="DQ667" s="77"/>
      <c r="DR667" s="77"/>
      <c r="DS667" s="77"/>
      <c r="DT667" s="77"/>
      <c r="DU667" s="77"/>
      <c r="DV667" s="77"/>
      <c r="DW667" s="77"/>
      <c r="DX667" s="77"/>
      <c r="DY667" s="77"/>
      <c r="DZ667" s="77"/>
      <c r="EA667" s="77"/>
      <c r="EB667" s="77"/>
      <c r="EC667" s="77"/>
      <c r="ED667" s="77"/>
      <c r="EE667" s="77"/>
      <c r="EF667" s="77"/>
      <c r="EG667" s="77"/>
      <c r="EH667" s="77"/>
      <c r="EI667" s="77"/>
      <c r="EJ667" s="77"/>
      <c r="EK667" s="77"/>
      <c r="EL667" s="77"/>
      <c r="EM667" s="77"/>
      <c r="EN667" s="77"/>
      <c r="EO667" s="77"/>
      <c r="EQ667" s="77"/>
      <c r="GL667" s="77"/>
      <c r="GM667" s="77"/>
      <c r="GN667" s="77"/>
      <c r="GO667" s="77"/>
      <c r="GP667" s="77"/>
      <c r="GQ667" s="77"/>
      <c r="GR667" s="77"/>
      <c r="GS667" s="77"/>
      <c r="GT667" s="77"/>
      <c r="GU667" s="77"/>
      <c r="GV667" s="77"/>
      <c r="GW667" s="77"/>
      <c r="GX667" s="77"/>
      <c r="GY667" s="77"/>
      <c r="GZ667" s="77"/>
      <c r="HA667" s="77"/>
      <c r="HB667" s="77"/>
      <c r="HC667" s="77"/>
      <c r="HD667" s="77"/>
      <c r="HE667" s="77"/>
      <c r="HF667" s="77"/>
      <c r="HG667" s="77"/>
      <c r="HH667" s="77"/>
      <c r="HI667" s="77"/>
      <c r="HJ667" s="77"/>
      <c r="HK667" s="77"/>
      <c r="ID667" s="77"/>
      <c r="IE667" s="77"/>
      <c r="IF667" s="77"/>
      <c r="IG667" s="77"/>
      <c r="IH667" s="77"/>
      <c r="II667" s="77"/>
      <c r="IJ667" s="77"/>
      <c r="IK667" s="77"/>
      <c r="IL667" s="77"/>
      <c r="IM667" s="77"/>
      <c r="IN667" s="77"/>
      <c r="IO667" s="77"/>
      <c r="IP667" s="77"/>
      <c r="IQ667" s="77"/>
      <c r="IR667" s="77"/>
      <c r="IS667" s="77"/>
      <c r="IT667" s="77"/>
      <c r="IU667" s="77"/>
      <c r="IV667" s="77"/>
      <c r="IW667" s="77"/>
      <c r="IX667" s="77"/>
      <c r="IY667" s="77"/>
      <c r="IZ667" s="77"/>
      <c r="JA667" s="77"/>
      <c r="JB667" s="77"/>
      <c r="JC667" s="77"/>
      <c r="JD667" s="77"/>
      <c r="JE667" s="77"/>
      <c r="JF667" s="77"/>
      <c r="JG667" s="77"/>
      <c r="JH667" s="77"/>
      <c r="JI667" s="77"/>
      <c r="JJ667" s="77"/>
      <c r="JK667" s="77"/>
      <c r="JL667" s="77"/>
      <c r="JM667" s="77"/>
      <c r="JN667" s="77"/>
      <c r="JO667" s="77"/>
      <c r="JP667" s="77"/>
      <c r="JQ667" s="77"/>
      <c r="JR667" s="77"/>
      <c r="JS667" s="77"/>
      <c r="JT667" s="77"/>
      <c r="JU667" s="77"/>
      <c r="JV667" s="77"/>
      <c r="JW667" s="77"/>
      <c r="JX667" s="77"/>
      <c r="JY667" s="77"/>
      <c r="JZ667" s="77"/>
      <c r="KA667" s="77"/>
      <c r="KB667" s="77"/>
      <c r="KC667" s="77"/>
      <c r="KD667" s="77"/>
      <c r="KE667" s="77"/>
      <c r="KF667" s="77"/>
      <c r="KG667" s="77"/>
      <c r="KH667" s="77"/>
      <c r="KI667" s="77"/>
      <c r="KJ667" s="77"/>
      <c r="KK667" s="77"/>
      <c r="KL667" s="77"/>
      <c r="LL667" s="77"/>
      <c r="LM667" s="77"/>
      <c r="LN667" s="77"/>
      <c r="LO667" s="77"/>
      <c r="LP667" s="77"/>
      <c r="LQ667" s="77"/>
      <c r="LR667" s="77"/>
      <c r="LS667" s="77"/>
      <c r="LT667" s="77"/>
      <c r="LU667" s="77"/>
      <c r="LV667" s="77"/>
      <c r="LY667" s="77"/>
      <c r="LZ667" s="77"/>
      <c r="MA667" s="77"/>
      <c r="MB667" s="77"/>
      <c r="MC667" s="77"/>
      <c r="MD667" s="77"/>
      <c r="ME667" s="77"/>
      <c r="MF667" s="77"/>
      <c r="MG667" s="77"/>
      <c r="MH667" s="77"/>
      <c r="MI667" s="77"/>
      <c r="MJ667" s="77"/>
      <c r="MK667" s="77"/>
      <c r="ML667" s="77"/>
      <c r="MM667" s="77"/>
      <c r="MN667" s="77"/>
      <c r="MO667" s="77"/>
      <c r="MP667" s="77"/>
      <c r="MQ667" s="77"/>
      <c r="MR667" s="77"/>
      <c r="ND667" s="77"/>
    </row>
    <row r="668" spans="1:421" s="21" customFormat="1" ht="18.600000000000001" customHeight="1" x14ac:dyDescent="0.25">
      <c r="A668" s="119" t="s">
        <v>245</v>
      </c>
      <c r="B668" s="27" t="s">
        <v>1479</v>
      </c>
      <c r="C668" s="27" t="s">
        <v>4368</v>
      </c>
      <c r="D668" s="30" t="str">
        <f>HYPERLINK("https://twitter.com/PresidentYameen","https://twitter.com/PresidentYameen")</f>
        <v>https://twitter.com/PresidentYameen</v>
      </c>
      <c r="E668" s="30" t="str">
        <f>HYPERLINK("http://twiplomacy.com/info/asia/Maldives","http://twiplomacy.com/info/asia/Maldives")</f>
        <v>http://twiplomacy.com/info/asia/Maldives</v>
      </c>
      <c r="F668" s="10" t="s">
        <v>154</v>
      </c>
      <c r="G668" s="10" t="s">
        <v>244</v>
      </c>
      <c r="H668" s="10" t="s">
        <v>772</v>
      </c>
      <c r="I668" s="10" t="s">
        <v>773</v>
      </c>
      <c r="J668" s="27" t="s">
        <v>789</v>
      </c>
      <c r="K668" s="15" t="s">
        <v>777</v>
      </c>
      <c r="L668" s="10"/>
      <c r="M668" s="10" t="s">
        <v>770</v>
      </c>
      <c r="N668" s="30" t="s">
        <v>3125</v>
      </c>
      <c r="O668" s="27" t="s">
        <v>3183</v>
      </c>
      <c r="P668" s="80">
        <v>103</v>
      </c>
      <c r="Q668" s="80">
        <v>55</v>
      </c>
      <c r="R668" s="27" t="s">
        <v>2995</v>
      </c>
      <c r="S668" s="10" t="s">
        <v>1480</v>
      </c>
      <c r="T668" s="10" t="s">
        <v>771</v>
      </c>
      <c r="U668" s="10" t="s">
        <v>771</v>
      </c>
      <c r="V668" s="10" t="s">
        <v>771</v>
      </c>
      <c r="W668" s="10"/>
      <c r="X668" s="27" t="s">
        <v>245</v>
      </c>
      <c r="Y668" s="27" t="s">
        <v>1479</v>
      </c>
      <c r="Z668" s="80">
        <v>94</v>
      </c>
      <c r="AA668" s="27">
        <v>32</v>
      </c>
      <c r="AB668" s="80">
        <v>5019</v>
      </c>
      <c r="AC668" s="27">
        <v>11</v>
      </c>
      <c r="AD668" s="27" t="s">
        <v>4369</v>
      </c>
      <c r="AE668" s="27">
        <v>2199759421</v>
      </c>
      <c r="AF668" s="27" t="s">
        <v>4368</v>
      </c>
      <c r="AG668" s="27" t="s">
        <v>244</v>
      </c>
      <c r="AH668" s="79">
        <v>0.10479375696767</v>
      </c>
      <c r="AI668" s="83">
        <v>0.107428571428571</v>
      </c>
      <c r="AJ668" s="80">
        <v>22.351063829787201</v>
      </c>
      <c r="AK668" s="80">
        <v>16.659574468085101</v>
      </c>
      <c r="AL668" s="13">
        <v>0</v>
      </c>
      <c r="AM668" s="97">
        <f>SUM(AL668/Z668)</f>
        <v>0</v>
      </c>
      <c r="AN668" s="27" t="s">
        <v>245</v>
      </c>
      <c r="AO668" s="27">
        <v>10</v>
      </c>
      <c r="AP668" s="27">
        <v>1</v>
      </c>
      <c r="AQ668" s="27">
        <v>0</v>
      </c>
      <c r="AR668" s="27">
        <f>SUM(AO668:AQ668)</f>
        <v>11</v>
      </c>
      <c r="AS668" s="27" t="s">
        <v>6250</v>
      </c>
      <c r="AT668" s="27" t="s">
        <v>705</v>
      </c>
      <c r="AU668" s="84"/>
      <c r="BN668" s="77"/>
      <c r="BO668" s="77"/>
      <c r="BP668" s="77"/>
      <c r="BQ668" s="77"/>
      <c r="BR668" s="77"/>
      <c r="BS668" s="77"/>
      <c r="BT668" s="77"/>
      <c r="BU668" s="77"/>
      <c r="BV668" s="77"/>
      <c r="BW668" s="77"/>
      <c r="BX668" s="77"/>
      <c r="BY668" s="77"/>
      <c r="BZ668" s="77"/>
      <c r="CA668" s="77"/>
      <c r="CB668" s="77"/>
      <c r="CC668" s="77"/>
      <c r="CD668" s="77"/>
      <c r="CE668" s="77"/>
      <c r="CF668" s="77"/>
      <c r="CG668" s="77"/>
      <c r="CH668" s="77"/>
      <c r="CI668" s="77"/>
      <c r="CJ668" s="77"/>
      <c r="CK668" s="77"/>
      <c r="CL668" s="77"/>
      <c r="CM668" s="77"/>
      <c r="CN668" s="77"/>
      <c r="CO668" s="77"/>
      <c r="CP668" s="77"/>
      <c r="CQ668" s="77"/>
      <c r="CR668" s="77"/>
      <c r="CS668" s="77"/>
      <c r="CT668" s="77"/>
      <c r="CU668" s="77"/>
      <c r="CV668" s="77"/>
      <c r="CW668" s="77"/>
      <c r="CX668" s="77"/>
      <c r="CY668" s="77"/>
      <c r="CZ668" s="77"/>
      <c r="DA668" s="77"/>
      <c r="DB668" s="77"/>
      <c r="DC668" s="77"/>
      <c r="DD668" s="77"/>
      <c r="DE668" s="77"/>
      <c r="DF668" s="77"/>
      <c r="DG668" s="77"/>
      <c r="DH668" s="77"/>
      <c r="DI668" s="77"/>
      <c r="DJ668" s="77"/>
      <c r="DK668" s="77"/>
      <c r="DL668" s="77"/>
      <c r="DM668" s="77"/>
      <c r="DN668" s="77"/>
      <c r="DO668" s="77"/>
      <c r="DP668" s="77"/>
      <c r="DQ668" s="77"/>
      <c r="DR668" s="77"/>
      <c r="DS668" s="77"/>
      <c r="DT668" s="77"/>
      <c r="DU668" s="77"/>
      <c r="DV668" s="77"/>
      <c r="DW668" s="77"/>
      <c r="DX668" s="77"/>
      <c r="DY668" s="77"/>
      <c r="DZ668" s="77"/>
      <c r="EA668" s="77"/>
      <c r="EB668" s="77"/>
      <c r="EC668" s="77"/>
      <c r="ED668" s="77"/>
      <c r="EE668" s="77"/>
      <c r="EF668" s="77"/>
      <c r="EG668" s="77"/>
      <c r="EH668" s="77"/>
      <c r="EI668" s="77"/>
      <c r="EJ668" s="77"/>
      <c r="EK668" s="77"/>
      <c r="EL668" s="77"/>
      <c r="EM668" s="77"/>
      <c r="EN668" s="77"/>
      <c r="EO668" s="77"/>
      <c r="EP668" s="77"/>
      <c r="EQ668" s="77"/>
      <c r="ER668" s="77"/>
      <c r="ES668" s="77"/>
      <c r="ET668" s="77"/>
      <c r="EU668" s="77"/>
      <c r="EV668" s="77"/>
      <c r="EW668" s="77"/>
      <c r="EX668" s="77"/>
      <c r="EY668" s="77"/>
      <c r="EZ668" s="77"/>
      <c r="FA668" s="77"/>
      <c r="FB668" s="77"/>
      <c r="FC668" s="77"/>
      <c r="FD668" s="77"/>
      <c r="FE668" s="77"/>
      <c r="FF668" s="77"/>
      <c r="FG668" s="77"/>
      <c r="FH668" s="77"/>
      <c r="FI668" s="77"/>
      <c r="FJ668" s="77"/>
      <c r="FK668" s="77"/>
      <c r="FL668" s="77"/>
      <c r="FM668" s="77"/>
      <c r="FN668" s="77"/>
      <c r="FO668" s="77"/>
      <c r="FP668" s="77"/>
      <c r="FQ668" s="77"/>
      <c r="FR668" s="77"/>
      <c r="FS668" s="77"/>
      <c r="FT668" s="77"/>
      <c r="FU668" s="77"/>
      <c r="FV668" s="77"/>
      <c r="FW668" s="77"/>
      <c r="FX668" s="77"/>
      <c r="FY668" s="77"/>
      <c r="FZ668" s="77"/>
      <c r="GA668" s="77"/>
      <c r="GB668" s="77"/>
      <c r="GC668" s="77"/>
      <c r="GD668" s="77"/>
      <c r="GE668" s="77"/>
      <c r="GF668" s="77"/>
      <c r="GG668" s="77"/>
      <c r="GH668" s="77"/>
      <c r="GI668" s="77"/>
      <c r="GJ668" s="77"/>
      <c r="GK668" s="77"/>
      <c r="ID668" s="77"/>
      <c r="IE668" s="77"/>
      <c r="JY668" s="77"/>
      <c r="JZ668" s="77"/>
      <c r="KA668" s="77"/>
      <c r="KB668" s="77"/>
      <c r="KC668" s="77"/>
      <c r="KD668" s="77"/>
      <c r="KE668" s="77"/>
      <c r="KF668" s="77"/>
      <c r="KG668" s="77"/>
      <c r="KH668" s="77"/>
      <c r="KI668" s="77"/>
      <c r="KJ668" s="77"/>
      <c r="KK668" s="77"/>
      <c r="KL668" s="77"/>
      <c r="LL668" s="77"/>
      <c r="LM668" s="77"/>
      <c r="LN668" s="77"/>
      <c r="LO668" s="77"/>
      <c r="LP668" s="77"/>
      <c r="LQ668" s="77"/>
      <c r="LR668" s="77"/>
      <c r="LS668" s="77"/>
      <c r="LT668" s="77"/>
      <c r="LU668" s="77"/>
      <c r="LV668" s="77"/>
      <c r="LW668" s="77"/>
      <c r="LX668" s="77"/>
    </row>
    <row r="669" spans="1:421" s="21" customFormat="1" ht="18.600000000000001" customHeight="1" x14ac:dyDescent="0.25">
      <c r="A669" s="119" t="s">
        <v>3343</v>
      </c>
      <c r="B669" s="27" t="s">
        <v>4016</v>
      </c>
      <c r="C669" s="27" t="s">
        <v>4017</v>
      </c>
      <c r="D669" s="19" t="s">
        <v>3344</v>
      </c>
      <c r="E669" s="30" t="s">
        <v>2043</v>
      </c>
      <c r="F669" s="20" t="s">
        <v>332</v>
      </c>
      <c r="G669" s="10" t="s">
        <v>448</v>
      </c>
      <c r="H669" s="10" t="s">
        <v>788</v>
      </c>
      <c r="I669" s="10" t="s">
        <v>782</v>
      </c>
      <c r="J669" s="27" t="s">
        <v>789</v>
      </c>
      <c r="K669" s="15" t="s">
        <v>777</v>
      </c>
      <c r="L669" s="10"/>
      <c r="M669" s="42"/>
      <c r="N669" s="34" t="s">
        <v>3041</v>
      </c>
      <c r="O669" s="27" t="s">
        <v>5919</v>
      </c>
      <c r="P669" s="80">
        <v>26</v>
      </c>
      <c r="Q669" s="80">
        <v>0</v>
      </c>
      <c r="R669" s="27" t="s">
        <v>2994</v>
      </c>
      <c r="S669" s="12" t="s">
        <v>3408</v>
      </c>
      <c r="T669" s="10" t="s">
        <v>771</v>
      </c>
      <c r="U669" s="10" t="s">
        <v>771</v>
      </c>
      <c r="V669" s="10" t="s">
        <v>771</v>
      </c>
      <c r="W669" s="42"/>
      <c r="X669" s="27" t="s">
        <v>3343</v>
      </c>
      <c r="Y669" s="27" t="s">
        <v>4016</v>
      </c>
      <c r="Z669" s="80">
        <v>93</v>
      </c>
      <c r="AA669" s="27">
        <v>33</v>
      </c>
      <c r="AB669" s="80">
        <v>836</v>
      </c>
      <c r="AC669" s="27">
        <v>0</v>
      </c>
      <c r="AD669" s="27" t="s">
        <v>4018</v>
      </c>
      <c r="AE669" s="27">
        <v>3919666337</v>
      </c>
      <c r="AF669" s="27" t="s">
        <v>4017</v>
      </c>
      <c r="AG669" s="27" t="s">
        <v>2050</v>
      </c>
      <c r="AH669" s="79">
        <v>0.45365853658536598</v>
      </c>
      <c r="AI669" s="83">
        <v>0.46500000000000002</v>
      </c>
      <c r="AJ669" s="80">
        <v>5.2840909090909101</v>
      </c>
      <c r="AK669" s="80">
        <v>2.3295454545454501</v>
      </c>
      <c r="AL669" s="13">
        <v>0</v>
      </c>
      <c r="AM669" s="97">
        <f>SUM(AL669/Z669)</f>
        <v>0</v>
      </c>
      <c r="AN669" s="27" t="s">
        <v>3343</v>
      </c>
      <c r="AO669" s="27">
        <v>0</v>
      </c>
      <c r="AP669" s="27">
        <v>4</v>
      </c>
      <c r="AQ669" s="27">
        <v>1</v>
      </c>
      <c r="AR669" s="27">
        <f>SUM(AO669:AQ669)</f>
        <v>5</v>
      </c>
      <c r="AS669" s="27"/>
      <c r="AT669" s="27" t="s">
        <v>6312</v>
      </c>
      <c r="AU669" s="84" t="s">
        <v>450</v>
      </c>
      <c r="AV669" s="77"/>
      <c r="AW669" s="77"/>
      <c r="AX669" s="77"/>
      <c r="AY669" s="77"/>
      <c r="AZ669" s="77"/>
      <c r="BA669" s="77"/>
      <c r="BB669" s="77"/>
      <c r="BC669" s="77"/>
      <c r="BD669" s="77"/>
      <c r="BE669" s="77"/>
      <c r="BF669" s="77"/>
      <c r="BG669" s="77"/>
      <c r="BH669" s="77"/>
      <c r="BI669" s="77"/>
      <c r="BJ669" s="77"/>
      <c r="BK669" s="77"/>
      <c r="BL669" s="77"/>
      <c r="BM669" s="77"/>
      <c r="BN669" s="77"/>
      <c r="BO669" s="77"/>
      <c r="BP669" s="77"/>
      <c r="BQ669" s="77"/>
      <c r="BR669" s="77"/>
      <c r="BS669" s="77"/>
      <c r="BT669" s="77"/>
      <c r="BU669" s="77"/>
      <c r="BV669" s="77"/>
      <c r="BW669" s="77"/>
      <c r="BX669" s="77"/>
      <c r="BY669" s="77"/>
      <c r="BZ669" s="77"/>
      <c r="CA669" s="77"/>
      <c r="CB669" s="77"/>
      <c r="CC669" s="77"/>
      <c r="CD669" s="77"/>
      <c r="CE669" s="77"/>
      <c r="CF669" s="77"/>
      <c r="CG669" s="77"/>
      <c r="CH669" s="77"/>
      <c r="CI669" s="77"/>
      <c r="CJ669" s="77"/>
      <c r="CK669" s="77"/>
      <c r="CL669" s="77"/>
      <c r="CM669" s="77"/>
      <c r="CN669" s="77"/>
      <c r="CO669" s="77"/>
      <c r="CP669" s="77"/>
      <c r="CQ669" s="77"/>
      <c r="CR669" s="77"/>
      <c r="CS669" s="77"/>
      <c r="CT669" s="77"/>
      <c r="CU669" s="77"/>
      <c r="CV669" s="77"/>
      <c r="CW669" s="77"/>
      <c r="CX669" s="77"/>
      <c r="CY669" s="77"/>
      <c r="CZ669" s="77"/>
      <c r="DA669" s="77"/>
      <c r="DB669" s="77"/>
      <c r="DC669" s="77"/>
      <c r="DD669" s="77"/>
      <c r="DE669" s="77"/>
      <c r="DF669" s="77"/>
      <c r="DG669" s="77"/>
      <c r="DH669" s="77"/>
      <c r="DI669" s="77"/>
      <c r="DJ669" s="77"/>
      <c r="DK669" s="77"/>
      <c r="DL669" s="77"/>
      <c r="DM669" s="77"/>
      <c r="DN669" s="77"/>
      <c r="DO669" s="77"/>
      <c r="DP669" s="77"/>
      <c r="DQ669" s="77"/>
      <c r="DR669" s="77"/>
      <c r="DS669" s="77"/>
      <c r="DT669" s="77"/>
      <c r="DU669" s="77"/>
      <c r="DV669" s="77"/>
      <c r="DW669" s="77"/>
      <c r="DX669" s="77"/>
      <c r="DY669" s="77"/>
      <c r="DZ669" s="77"/>
      <c r="EA669" s="77"/>
      <c r="EB669" s="77"/>
      <c r="EC669" s="77"/>
      <c r="ED669" s="77"/>
      <c r="EE669" s="77"/>
      <c r="EF669" s="77"/>
      <c r="EG669" s="77"/>
      <c r="EH669" s="77"/>
      <c r="EI669" s="77"/>
      <c r="EJ669" s="77"/>
      <c r="EK669" s="77"/>
      <c r="EL669" s="77"/>
      <c r="EM669" s="77"/>
      <c r="EN669" s="77"/>
      <c r="EO669" s="77"/>
      <c r="ER669" s="77"/>
      <c r="ES669" s="77"/>
      <c r="ET669" s="77"/>
      <c r="EU669" s="77"/>
      <c r="EV669" s="77"/>
      <c r="EW669" s="77"/>
      <c r="EX669" s="77"/>
      <c r="EY669" s="77"/>
      <c r="EZ669" s="77"/>
      <c r="FA669" s="77"/>
      <c r="FB669" s="77"/>
      <c r="FC669" s="77"/>
      <c r="FD669" s="77"/>
      <c r="FE669" s="77"/>
      <c r="FF669" s="77"/>
      <c r="FG669" s="77"/>
      <c r="FH669" s="77"/>
      <c r="FI669" s="77"/>
      <c r="FJ669" s="77"/>
      <c r="FK669" s="77"/>
      <c r="FL669" s="77"/>
      <c r="FM669" s="77"/>
      <c r="FN669" s="77"/>
      <c r="FO669" s="77"/>
      <c r="FP669" s="77"/>
      <c r="FQ669" s="77"/>
      <c r="FR669" s="77"/>
      <c r="FS669" s="77"/>
      <c r="FT669" s="77"/>
      <c r="FU669" s="77"/>
      <c r="FV669" s="77"/>
      <c r="FW669" s="77"/>
      <c r="FX669" s="77"/>
      <c r="FY669" s="77"/>
      <c r="FZ669" s="77"/>
      <c r="GA669" s="77"/>
      <c r="GB669" s="77"/>
      <c r="GC669" s="77"/>
      <c r="GD669" s="77"/>
      <c r="GE669" s="77"/>
      <c r="GF669" s="77"/>
      <c r="GG669" s="77"/>
      <c r="GH669" s="77"/>
      <c r="GI669" s="77"/>
      <c r="GJ669" s="77"/>
      <c r="GK669" s="77"/>
      <c r="GL669" s="77"/>
      <c r="GM669" s="77"/>
      <c r="GN669" s="77"/>
      <c r="GO669" s="77"/>
      <c r="GP669" s="77"/>
      <c r="GQ669" s="77"/>
      <c r="GR669" s="77"/>
      <c r="GS669" s="77"/>
      <c r="GT669" s="77"/>
      <c r="GU669" s="77"/>
      <c r="GV669" s="77"/>
      <c r="GW669" s="77"/>
      <c r="GX669" s="77"/>
      <c r="GY669" s="77"/>
      <c r="GZ669" s="77"/>
      <c r="HA669" s="77"/>
      <c r="HB669" s="77"/>
      <c r="HC669" s="77"/>
      <c r="HD669" s="77"/>
      <c r="HE669" s="77"/>
      <c r="HF669" s="77"/>
      <c r="HG669" s="77"/>
      <c r="HH669" s="77"/>
      <c r="HI669" s="77"/>
      <c r="HJ669" s="77"/>
      <c r="HK669" s="77"/>
      <c r="HL669" s="77"/>
      <c r="HM669" s="77"/>
      <c r="HN669" s="77"/>
      <c r="HO669" s="77"/>
      <c r="HP669" s="77"/>
      <c r="HQ669" s="77"/>
      <c r="HR669" s="77"/>
      <c r="HS669" s="77"/>
      <c r="HT669" s="77"/>
      <c r="HU669" s="77"/>
      <c r="HV669" s="77"/>
      <c r="HW669" s="77"/>
      <c r="HX669" s="77"/>
      <c r="HY669" s="77"/>
      <c r="HZ669" s="77"/>
      <c r="IA669" s="77"/>
      <c r="IB669" s="77"/>
      <c r="IC669" s="77"/>
      <c r="JY669" s="77"/>
      <c r="JZ669" s="77"/>
      <c r="KA669" s="77"/>
      <c r="KB669" s="77"/>
      <c r="KC669" s="77"/>
      <c r="KD669" s="77"/>
      <c r="KE669" s="77"/>
      <c r="KF669" s="77"/>
      <c r="KG669" s="77"/>
      <c r="KH669" s="77"/>
      <c r="KI669" s="77"/>
      <c r="KJ669" s="77"/>
      <c r="KK669" s="77"/>
      <c r="KL669" s="77"/>
      <c r="KM669" s="77"/>
      <c r="KN669" s="77"/>
      <c r="KO669" s="77"/>
      <c r="KP669" s="77"/>
      <c r="KQ669" s="77"/>
      <c r="KR669" s="77"/>
      <c r="KS669" s="77"/>
      <c r="KT669" s="77"/>
      <c r="KU669" s="77"/>
      <c r="KV669" s="77"/>
      <c r="KW669" s="77"/>
      <c r="KX669" s="77"/>
      <c r="KY669" s="77"/>
      <c r="KZ669" s="77"/>
      <c r="LA669" s="77"/>
      <c r="LB669" s="77"/>
      <c r="LC669" s="77"/>
      <c r="LD669" s="77"/>
      <c r="LE669" s="77"/>
      <c r="LF669" s="77"/>
      <c r="LG669" s="77"/>
      <c r="LH669" s="77"/>
      <c r="LI669" s="77"/>
      <c r="LJ669" s="77"/>
      <c r="LK669" s="77"/>
      <c r="LW669" s="77"/>
      <c r="LX669" s="77"/>
      <c r="LY669" s="16"/>
      <c r="LZ669" s="16"/>
      <c r="MA669" s="16"/>
      <c r="MB669" s="16"/>
      <c r="MC669" s="16"/>
      <c r="MD669" s="16"/>
      <c r="ME669" s="16"/>
      <c r="MF669" s="16"/>
      <c r="MG669" s="16"/>
      <c r="MH669" s="16"/>
      <c r="MI669" s="16"/>
      <c r="MJ669" s="16"/>
      <c r="MK669" s="16"/>
      <c r="ML669" s="16"/>
      <c r="MM669" s="16"/>
      <c r="MN669" s="16"/>
      <c r="MO669" s="16"/>
      <c r="MP669" s="16"/>
      <c r="MQ669" s="16"/>
      <c r="MR669" s="16"/>
    </row>
    <row r="670" spans="1:421" s="21" customFormat="1" ht="18.600000000000001" customHeight="1" x14ac:dyDescent="0.25">
      <c r="A670" s="119" t="s">
        <v>508</v>
      </c>
      <c r="B670" s="27" t="s">
        <v>2176</v>
      </c>
      <c r="C670" s="27" t="s">
        <v>2177</v>
      </c>
      <c r="D670" s="30" t="str">
        <f>HYPERLINK("https://twitter.com/PresidencySrb","https://twitter.com/PresidencySrb")</f>
        <v>https://twitter.com/PresidencySrb</v>
      </c>
      <c r="E670" s="30" t="str">
        <f>HYPERLINK("http://twiplomacy.com/info/europe/Serbia","http://twiplomacy.com/info/europe/Serbia")</f>
        <v>http://twiplomacy.com/info/europe/Serbia</v>
      </c>
      <c r="F670" s="10" t="s">
        <v>332</v>
      </c>
      <c r="G670" s="10" t="s">
        <v>506</v>
      </c>
      <c r="H670" s="10" t="s">
        <v>781</v>
      </c>
      <c r="I670" s="10" t="s">
        <v>782</v>
      </c>
      <c r="J670" s="27" t="s">
        <v>789</v>
      </c>
      <c r="K670" s="15" t="s">
        <v>777</v>
      </c>
      <c r="L670" s="10" t="s">
        <v>771</v>
      </c>
      <c r="M670" s="10" t="s">
        <v>770</v>
      </c>
      <c r="N670" s="30" t="str">
        <f>HYPERLINK("https://twitter.com/PresidencySrb/statuses/455249670626103296","https://twitter.com/PresidencySrb/statuses/455249670626103296")</f>
        <v>https://twitter.com/PresidencySrb/statuses/455249670626103296</v>
      </c>
      <c r="O670" s="27" t="s">
        <v>6045</v>
      </c>
      <c r="P670" s="80">
        <v>16</v>
      </c>
      <c r="Q670" s="80">
        <v>16</v>
      </c>
      <c r="R670" s="27" t="s">
        <v>2995</v>
      </c>
      <c r="S670" s="10" t="s">
        <v>2178</v>
      </c>
      <c r="T670" s="10" t="s">
        <v>771</v>
      </c>
      <c r="U670" s="10" t="s">
        <v>771</v>
      </c>
      <c r="V670" s="10" t="s">
        <v>771</v>
      </c>
      <c r="W670" s="10"/>
      <c r="X670" s="27" t="s">
        <v>508</v>
      </c>
      <c r="Y670" s="27" t="s">
        <v>2176</v>
      </c>
      <c r="Z670" s="80">
        <v>93</v>
      </c>
      <c r="AA670" s="27">
        <v>76</v>
      </c>
      <c r="AB670" s="80">
        <v>567</v>
      </c>
      <c r="AC670" s="27">
        <v>0</v>
      </c>
      <c r="AD670" s="27" t="s">
        <v>4346</v>
      </c>
      <c r="AE670" s="27">
        <v>2440554602</v>
      </c>
      <c r="AF670" s="27" t="s">
        <v>2177</v>
      </c>
      <c r="AG670" s="27" t="s">
        <v>506</v>
      </c>
      <c r="AH670" s="79">
        <v>0.124</v>
      </c>
      <c r="AI670" s="83">
        <v>0.13210227272727301</v>
      </c>
      <c r="AJ670" s="80">
        <v>0.86956521739130399</v>
      </c>
      <c r="AK670" s="80">
        <v>1.2934782608695701</v>
      </c>
      <c r="AL670" s="13">
        <v>0</v>
      </c>
      <c r="AM670" s="97">
        <f>SUM(AL670/Z670)</f>
        <v>0</v>
      </c>
      <c r="AN670" s="27" t="s">
        <v>508</v>
      </c>
      <c r="AO670" s="27">
        <v>41</v>
      </c>
      <c r="AP670" s="27">
        <v>3</v>
      </c>
      <c r="AQ670" s="27">
        <v>7</v>
      </c>
      <c r="AR670" s="27">
        <f>SUM(AO670:AQ670)</f>
        <v>51</v>
      </c>
      <c r="AS670" s="27" t="s">
        <v>6248</v>
      </c>
      <c r="AT670" s="27" t="s">
        <v>6839</v>
      </c>
      <c r="AU670" s="84" t="s">
        <v>4917</v>
      </c>
      <c r="AV670" s="77"/>
      <c r="AW670" s="77"/>
      <c r="AX670" s="77"/>
      <c r="AY670" s="77"/>
      <c r="AZ670" s="77"/>
      <c r="BA670" s="77"/>
      <c r="BB670" s="77"/>
      <c r="BC670" s="77"/>
      <c r="BD670" s="77"/>
      <c r="BE670" s="77"/>
      <c r="BF670" s="77"/>
      <c r="BG670" s="77"/>
      <c r="BH670" s="77"/>
      <c r="BI670" s="77"/>
      <c r="BJ670" s="77"/>
      <c r="BK670" s="77"/>
      <c r="BL670" s="77"/>
      <c r="BM670" s="77"/>
      <c r="BN670" s="77"/>
      <c r="BO670" s="77"/>
      <c r="BP670" s="77"/>
      <c r="CC670" s="77"/>
      <c r="CD670" s="77"/>
      <c r="CE670" s="77"/>
      <c r="CF670" s="77"/>
      <c r="CG670" s="77"/>
      <c r="CH670" s="77"/>
      <c r="CI670" s="77"/>
      <c r="CJ670" s="77"/>
      <c r="CK670" s="77"/>
      <c r="CL670" s="77"/>
      <c r="CM670" s="77"/>
      <c r="CN670" s="77"/>
      <c r="CO670" s="77"/>
      <c r="CP670" s="77"/>
      <c r="CQ670" s="77"/>
      <c r="CR670" s="77"/>
      <c r="CS670" s="77"/>
      <c r="CT670" s="77"/>
      <c r="CU670" s="77"/>
      <c r="CV670" s="77"/>
      <c r="CW670" s="77"/>
      <c r="EM670" s="77"/>
      <c r="EN670" s="77"/>
      <c r="EO670" s="77"/>
      <c r="GL670" s="77"/>
      <c r="GM670" s="77"/>
      <c r="GN670" s="77"/>
      <c r="GO670" s="77"/>
      <c r="GP670" s="77"/>
      <c r="GQ670" s="77"/>
      <c r="GR670" s="77"/>
      <c r="GS670" s="77"/>
      <c r="GT670" s="77"/>
      <c r="GU670" s="77"/>
      <c r="GV670" s="77"/>
      <c r="GW670" s="77"/>
      <c r="GX670" s="77"/>
      <c r="GY670" s="77"/>
      <c r="GZ670" s="77"/>
      <c r="HA670" s="77"/>
      <c r="HB670" s="77"/>
      <c r="HC670" s="77"/>
      <c r="HD670" s="77"/>
      <c r="HE670" s="77"/>
      <c r="HF670" s="77"/>
      <c r="HG670" s="77"/>
      <c r="HH670" s="77"/>
      <c r="HI670" s="77"/>
      <c r="HJ670" s="77"/>
      <c r="HK670" s="77"/>
      <c r="HL670" s="77"/>
      <c r="HM670" s="77"/>
      <c r="HN670" s="77"/>
      <c r="HO670" s="77"/>
      <c r="HP670" s="77"/>
      <c r="HQ670" s="77"/>
      <c r="HR670" s="77"/>
      <c r="HS670" s="77"/>
      <c r="HT670" s="77"/>
      <c r="HU670" s="77"/>
      <c r="HV670" s="77"/>
      <c r="HW670" s="77"/>
      <c r="HX670" s="77"/>
      <c r="HY670" s="77"/>
      <c r="HZ670" s="77"/>
      <c r="IA670" s="77"/>
      <c r="IB670" s="77"/>
      <c r="IC670" s="77"/>
      <c r="ID670" s="77"/>
      <c r="IE670" s="77"/>
      <c r="IF670" s="77"/>
      <c r="IG670" s="77"/>
      <c r="IH670" s="77"/>
      <c r="II670" s="77"/>
      <c r="IJ670" s="77"/>
      <c r="IK670" s="77"/>
      <c r="IL670" s="77"/>
      <c r="IM670" s="77"/>
      <c r="IN670" s="77"/>
      <c r="IO670" s="77"/>
      <c r="IP670" s="77"/>
      <c r="IQ670" s="77"/>
      <c r="IR670" s="77"/>
      <c r="IS670" s="77"/>
      <c r="IT670" s="77"/>
      <c r="IU670" s="77"/>
      <c r="IV670" s="77"/>
      <c r="IW670" s="77"/>
      <c r="IX670" s="77"/>
      <c r="IY670" s="77"/>
      <c r="IZ670" s="77"/>
      <c r="JA670" s="77"/>
      <c r="JB670" s="77"/>
      <c r="JC670" s="77"/>
      <c r="JD670" s="77"/>
      <c r="JE670" s="77"/>
      <c r="JF670" s="77"/>
      <c r="JG670" s="77"/>
      <c r="JH670" s="77"/>
      <c r="JI670" s="77"/>
      <c r="JJ670" s="77"/>
      <c r="JK670" s="77"/>
      <c r="JL670" s="77"/>
      <c r="JM670" s="77"/>
      <c r="JN670" s="77"/>
      <c r="JO670" s="77"/>
      <c r="JP670" s="77"/>
      <c r="JQ670" s="77"/>
      <c r="JR670" s="77"/>
      <c r="JS670" s="77"/>
      <c r="JT670" s="77"/>
      <c r="JU670" s="77"/>
      <c r="JV670" s="77"/>
      <c r="JW670" s="77"/>
      <c r="JX670" s="77"/>
      <c r="JY670" s="77"/>
      <c r="JZ670" s="77"/>
      <c r="KA670" s="77"/>
      <c r="KB670" s="77"/>
      <c r="KC670" s="77"/>
      <c r="KD670" s="77"/>
      <c r="KE670" s="77"/>
      <c r="KF670" s="77"/>
      <c r="KG670" s="77"/>
      <c r="KH670" s="77"/>
      <c r="KI670" s="77"/>
      <c r="KJ670" s="77"/>
      <c r="KK670" s="77"/>
      <c r="KL670" s="77"/>
      <c r="KM670" s="77"/>
      <c r="KN670" s="77"/>
      <c r="KO670" s="77"/>
      <c r="KP670" s="77"/>
      <c r="KQ670" s="77"/>
      <c r="KR670" s="77"/>
      <c r="KS670" s="77"/>
      <c r="KT670" s="77"/>
      <c r="KU670" s="77"/>
      <c r="KV670" s="77"/>
      <c r="KW670" s="77"/>
      <c r="KX670" s="77"/>
      <c r="KY670" s="77"/>
      <c r="KZ670" s="77"/>
      <c r="LA670" s="77"/>
      <c r="LB670" s="77"/>
      <c r="LC670" s="77"/>
      <c r="LD670" s="77"/>
      <c r="LE670" s="77"/>
      <c r="LF670" s="77"/>
      <c r="LG670" s="77"/>
      <c r="LH670" s="77"/>
      <c r="LI670" s="77"/>
      <c r="LJ670" s="77"/>
      <c r="LK670" s="77"/>
      <c r="LL670" s="16"/>
      <c r="LM670" s="16"/>
      <c r="LN670" s="16"/>
      <c r="LO670" s="16"/>
      <c r="LP670" s="16"/>
      <c r="LQ670" s="16"/>
      <c r="LR670" s="16"/>
      <c r="LS670" s="16"/>
      <c r="LT670" s="16"/>
      <c r="LU670" s="16"/>
      <c r="LV670" s="16"/>
      <c r="LW670" s="77"/>
      <c r="LX670" s="77"/>
      <c r="MS670" s="77"/>
      <c r="MT670" s="77"/>
      <c r="MU670" s="77"/>
      <c r="MV670" s="77"/>
      <c r="MW670" s="77"/>
      <c r="MX670" s="77"/>
      <c r="MY670" s="77"/>
      <c r="MZ670" s="77"/>
      <c r="NA670" s="77"/>
      <c r="NB670" s="77"/>
      <c r="NC670" s="77"/>
    </row>
    <row r="671" spans="1:421" s="21" customFormat="1" ht="18.600000000000001" customHeight="1" x14ac:dyDescent="0.25">
      <c r="A671" s="119" t="s">
        <v>3243</v>
      </c>
      <c r="B671" s="27" t="s">
        <v>4325</v>
      </c>
      <c r="C671" s="27"/>
      <c r="D671" s="30" t="s">
        <v>3242</v>
      </c>
      <c r="E671" s="30" t="str">
        <f>HYPERLINK("http://twiplomacy.com/info/africa/Togo","http://twiplomacy.com/info/africa/Togo")</f>
        <v>http://twiplomacy.com/info/africa/Togo</v>
      </c>
      <c r="F671" s="20" t="s">
        <v>1</v>
      </c>
      <c r="G671" s="10" t="s">
        <v>129</v>
      </c>
      <c r="H671" s="10" t="s">
        <v>781</v>
      </c>
      <c r="I671" s="10" t="s">
        <v>782</v>
      </c>
      <c r="J671" s="27" t="s">
        <v>779</v>
      </c>
      <c r="K671" s="10" t="s">
        <v>777</v>
      </c>
      <c r="L671" s="10" t="s">
        <v>771</v>
      </c>
      <c r="M671" s="10" t="s">
        <v>771</v>
      </c>
      <c r="N671" s="30" t="s">
        <v>3244</v>
      </c>
      <c r="O671" s="27" t="s">
        <v>6036</v>
      </c>
      <c r="P671" s="80">
        <v>9</v>
      </c>
      <c r="Q671" s="80">
        <v>9</v>
      </c>
      <c r="R671" s="27" t="s">
        <v>2995</v>
      </c>
      <c r="S671" s="12" t="s">
        <v>3245</v>
      </c>
      <c r="T671" s="10" t="s">
        <v>771</v>
      </c>
      <c r="U671" s="10" t="s">
        <v>771</v>
      </c>
      <c r="V671" s="10" t="s">
        <v>771</v>
      </c>
      <c r="W671" s="10"/>
      <c r="X671" s="27" t="s">
        <v>3243</v>
      </c>
      <c r="Y671" s="27" t="s">
        <v>4325</v>
      </c>
      <c r="Z671" s="80">
        <v>89</v>
      </c>
      <c r="AA671" s="27">
        <v>6</v>
      </c>
      <c r="AB671" s="80">
        <v>188</v>
      </c>
      <c r="AC671" s="27">
        <v>10</v>
      </c>
      <c r="AD671" s="27" t="s">
        <v>4326</v>
      </c>
      <c r="AE671" s="27">
        <v>2886806674</v>
      </c>
      <c r="AF671" s="27"/>
      <c r="AG671" s="27"/>
      <c r="AH671" s="79">
        <v>0.16856060606060599</v>
      </c>
      <c r="AI671" s="83">
        <v>1.34848484848485</v>
      </c>
      <c r="AJ671" s="80">
        <v>0.85135135135135098</v>
      </c>
      <c r="AK671" s="80">
        <v>0.78378378378378399</v>
      </c>
      <c r="AL671" s="27">
        <v>4</v>
      </c>
      <c r="AM671" s="97">
        <f>SUM(AL671/Z671)</f>
        <v>4.49438202247191E-2</v>
      </c>
      <c r="AN671" s="27" t="s">
        <v>3243</v>
      </c>
      <c r="AO671" s="27">
        <v>1</v>
      </c>
      <c r="AP671" s="27">
        <v>2</v>
      </c>
      <c r="AQ671" s="27">
        <v>2</v>
      </c>
      <c r="AR671" s="27">
        <f>SUM(AO671:AQ671)</f>
        <v>5</v>
      </c>
      <c r="AS671" s="27" t="s">
        <v>61</v>
      </c>
      <c r="AT671" s="27" t="s">
        <v>6832</v>
      </c>
      <c r="AU671" s="84" t="s">
        <v>4910</v>
      </c>
      <c r="AV671" s="77"/>
      <c r="AW671" s="77"/>
      <c r="AX671" s="77"/>
      <c r="AY671" s="77"/>
      <c r="AZ671" s="77"/>
      <c r="BA671" s="77"/>
      <c r="BB671" s="77"/>
      <c r="BC671" s="77"/>
      <c r="BD671" s="77"/>
      <c r="BE671" s="77"/>
      <c r="BF671" s="77"/>
      <c r="BG671" s="77"/>
      <c r="BH671" s="77"/>
      <c r="BI671" s="77"/>
      <c r="BJ671" s="77"/>
      <c r="BK671" s="77"/>
      <c r="BL671" s="77"/>
      <c r="BM671" s="77"/>
      <c r="BN671" s="71"/>
      <c r="BO671" s="71"/>
      <c r="BP671" s="71"/>
      <c r="CC671" s="77"/>
      <c r="CD671" s="77"/>
      <c r="CE671" s="77"/>
      <c r="CF671" s="77"/>
      <c r="CG671" s="77"/>
      <c r="CH671" s="77"/>
      <c r="CI671" s="77"/>
      <c r="CJ671" s="77"/>
      <c r="CK671" s="77"/>
      <c r="CL671" s="77"/>
      <c r="CM671" s="77"/>
      <c r="CN671" s="77"/>
      <c r="CO671" s="77"/>
      <c r="CP671" s="77"/>
      <c r="CQ671" s="77"/>
      <c r="CR671" s="77"/>
      <c r="CS671" s="77"/>
      <c r="CT671" s="77"/>
      <c r="CU671" s="77"/>
      <c r="CV671" s="77"/>
      <c r="CW671" s="77"/>
      <c r="CX671" s="77"/>
      <c r="CY671" s="77"/>
      <c r="CZ671" s="77"/>
      <c r="DA671" s="77"/>
      <c r="DB671" s="77"/>
      <c r="DC671" s="77"/>
      <c r="DD671" s="77"/>
      <c r="DE671" s="77"/>
      <c r="DF671" s="77"/>
      <c r="DG671" s="77"/>
      <c r="DH671" s="77"/>
      <c r="DI671" s="77"/>
      <c r="DJ671" s="77"/>
      <c r="DK671" s="77"/>
      <c r="DL671" s="77"/>
      <c r="DM671" s="77"/>
      <c r="DN671" s="77"/>
      <c r="DO671" s="77"/>
      <c r="DP671" s="77"/>
      <c r="DQ671" s="77"/>
      <c r="DR671" s="77"/>
      <c r="DS671" s="77"/>
      <c r="DT671" s="77"/>
      <c r="DU671" s="77"/>
      <c r="DV671" s="77"/>
      <c r="DW671" s="77"/>
      <c r="DX671" s="77"/>
      <c r="DY671" s="77"/>
      <c r="DZ671" s="77"/>
      <c r="EA671" s="77"/>
      <c r="EB671" s="77"/>
      <c r="EC671" s="77"/>
      <c r="ED671" s="77"/>
      <c r="EE671" s="77"/>
      <c r="EF671" s="77"/>
      <c r="EG671" s="77"/>
      <c r="EH671" s="77"/>
      <c r="EI671" s="77"/>
      <c r="EJ671" s="77"/>
      <c r="EK671" s="77"/>
      <c r="EL671" s="77"/>
      <c r="EM671" s="16"/>
      <c r="EN671" s="16"/>
      <c r="EO671" s="16"/>
      <c r="EP671" s="77"/>
      <c r="EQ671" s="77"/>
      <c r="ER671" s="77"/>
      <c r="ES671" s="77"/>
      <c r="ET671" s="77"/>
      <c r="EU671" s="77"/>
      <c r="EV671" s="77"/>
      <c r="EW671" s="77"/>
      <c r="EX671" s="77"/>
      <c r="EY671" s="77"/>
      <c r="EZ671" s="77"/>
      <c r="FA671" s="77"/>
      <c r="FB671" s="77"/>
      <c r="FC671" s="77"/>
      <c r="FD671" s="77"/>
      <c r="FE671" s="77"/>
      <c r="FF671" s="77"/>
      <c r="FG671" s="77"/>
      <c r="FH671" s="77"/>
      <c r="FI671" s="77"/>
      <c r="FJ671" s="77"/>
      <c r="FK671" s="77"/>
      <c r="FL671" s="77"/>
      <c r="FM671" s="77"/>
      <c r="FN671" s="77"/>
      <c r="FO671" s="77"/>
      <c r="FP671" s="77"/>
      <c r="FQ671" s="77"/>
      <c r="FR671" s="77"/>
      <c r="FS671" s="77"/>
      <c r="FT671" s="77"/>
      <c r="FU671" s="77"/>
      <c r="FV671" s="77"/>
      <c r="FW671" s="77"/>
      <c r="FX671" s="77"/>
      <c r="FY671" s="77"/>
      <c r="FZ671" s="77"/>
      <c r="GA671" s="77"/>
      <c r="GB671" s="77"/>
      <c r="GC671" s="77"/>
      <c r="GD671" s="77"/>
      <c r="GE671" s="77"/>
      <c r="GF671" s="77"/>
      <c r="GG671" s="77"/>
      <c r="GH671" s="77"/>
      <c r="GI671" s="77"/>
      <c r="GJ671" s="77"/>
      <c r="GK671" s="77"/>
      <c r="HL671" s="77"/>
      <c r="HM671" s="77"/>
      <c r="HN671" s="77"/>
      <c r="HO671" s="77"/>
      <c r="HP671" s="77"/>
      <c r="HQ671" s="77"/>
      <c r="HR671" s="77"/>
      <c r="HS671" s="77"/>
      <c r="HT671" s="77"/>
      <c r="HU671" s="77"/>
      <c r="HV671" s="77"/>
      <c r="HW671" s="77"/>
      <c r="HX671" s="77"/>
      <c r="HY671" s="77"/>
      <c r="HZ671" s="77"/>
      <c r="IA671" s="77"/>
      <c r="IB671" s="77"/>
      <c r="IC671" s="77"/>
      <c r="IF671" s="77"/>
      <c r="IG671" s="77"/>
      <c r="IH671" s="77"/>
      <c r="II671" s="77"/>
      <c r="IJ671" s="77"/>
      <c r="IK671" s="77"/>
      <c r="IL671" s="77"/>
      <c r="IM671" s="77"/>
      <c r="IN671" s="77"/>
      <c r="IO671" s="77"/>
      <c r="IP671" s="77"/>
      <c r="IQ671" s="77"/>
      <c r="IR671" s="77"/>
      <c r="IS671" s="77"/>
      <c r="IT671" s="77"/>
      <c r="IU671" s="77"/>
      <c r="IV671" s="77"/>
      <c r="IW671" s="77"/>
      <c r="IX671" s="77"/>
      <c r="IY671" s="77"/>
      <c r="IZ671" s="77"/>
      <c r="JA671" s="77"/>
      <c r="JB671" s="77"/>
      <c r="JC671" s="77"/>
      <c r="JD671" s="77"/>
      <c r="JE671" s="77"/>
      <c r="JF671" s="77"/>
      <c r="JG671" s="77"/>
      <c r="JH671" s="77"/>
      <c r="JI671" s="77"/>
      <c r="JJ671" s="77"/>
      <c r="JK671" s="77"/>
      <c r="JL671" s="77"/>
      <c r="JM671" s="77"/>
      <c r="JN671" s="77"/>
      <c r="JO671" s="77"/>
      <c r="JP671" s="77"/>
      <c r="JQ671" s="77"/>
      <c r="JR671" s="77"/>
      <c r="JS671" s="77"/>
      <c r="JT671" s="77"/>
      <c r="JU671" s="77"/>
      <c r="JV671" s="77"/>
      <c r="JW671" s="77"/>
      <c r="JX671" s="77"/>
      <c r="JY671" s="77"/>
      <c r="JZ671" s="77"/>
      <c r="KA671" s="77"/>
      <c r="KB671" s="77"/>
      <c r="KC671" s="77"/>
      <c r="KD671" s="77"/>
      <c r="KE671" s="77"/>
      <c r="KF671" s="77"/>
      <c r="KG671" s="77"/>
      <c r="KH671" s="77"/>
      <c r="KI671" s="77"/>
      <c r="KJ671" s="77"/>
      <c r="KK671" s="77"/>
      <c r="KL671" s="77"/>
      <c r="KM671" s="77"/>
      <c r="KN671" s="77"/>
      <c r="KO671" s="77"/>
      <c r="KP671" s="77"/>
      <c r="KQ671" s="77"/>
      <c r="KR671" s="77"/>
      <c r="KS671" s="77"/>
      <c r="KT671" s="77"/>
      <c r="KU671" s="77"/>
      <c r="KV671" s="77"/>
      <c r="KW671" s="77"/>
      <c r="KX671" s="77"/>
      <c r="KY671" s="77"/>
      <c r="KZ671" s="77"/>
      <c r="LA671" s="77"/>
      <c r="LB671" s="77"/>
      <c r="LC671" s="77"/>
      <c r="LD671" s="77"/>
      <c r="LE671" s="77"/>
      <c r="LF671" s="77"/>
      <c r="LG671" s="77"/>
      <c r="LH671" s="77"/>
      <c r="LI671" s="77"/>
      <c r="LJ671" s="77"/>
      <c r="LK671" s="77"/>
      <c r="LL671" s="77"/>
      <c r="LM671" s="77"/>
      <c r="LN671" s="77"/>
      <c r="LO671" s="77"/>
      <c r="LP671" s="77"/>
      <c r="LQ671" s="77"/>
      <c r="LR671" s="77"/>
      <c r="LS671" s="77"/>
      <c r="LT671" s="77"/>
      <c r="LU671" s="77"/>
      <c r="LV671" s="77"/>
      <c r="LW671" s="77"/>
      <c r="LX671" s="77"/>
      <c r="LY671" s="77"/>
      <c r="LZ671" s="77"/>
      <c r="MA671" s="77"/>
      <c r="MB671" s="77"/>
      <c r="MC671" s="77"/>
      <c r="MD671" s="77"/>
      <c r="ME671" s="77"/>
      <c r="MF671" s="77"/>
      <c r="MG671" s="77"/>
      <c r="MH671" s="77"/>
      <c r="MI671" s="77"/>
      <c r="MJ671" s="77"/>
      <c r="MK671" s="77"/>
      <c r="ML671" s="77"/>
      <c r="MM671" s="77"/>
      <c r="MN671" s="77"/>
      <c r="MO671" s="77"/>
      <c r="MP671" s="77"/>
      <c r="MQ671" s="77"/>
      <c r="MR671" s="77"/>
      <c r="MS671" s="77"/>
      <c r="ND671" s="77"/>
    </row>
    <row r="672" spans="1:421" s="21" customFormat="1" ht="18.600000000000001" customHeight="1" x14ac:dyDescent="0.25">
      <c r="A672" s="119" t="s">
        <v>1745</v>
      </c>
      <c r="B672" s="27" t="s">
        <v>1746</v>
      </c>
      <c r="C672" s="27" t="s">
        <v>1747</v>
      </c>
      <c r="D672" s="30" t="str">
        <f>HYPERLINK("https://twitter.com/rplevneliev","https://twitter.com/rplevneliev")</f>
        <v>https://twitter.com/rplevneliev</v>
      </c>
      <c r="E672" s="30" t="str">
        <f>HYPERLINK("http://twiplomacy.com/info/europe/Bulgaria","http://twiplomacy.com/info/europe/Bulgaria")</f>
        <v>http://twiplomacy.com/info/europe/Bulgaria</v>
      </c>
      <c r="F672" s="10" t="s">
        <v>332</v>
      </c>
      <c r="G672" s="10" t="s">
        <v>353</v>
      </c>
      <c r="H672" s="10" t="s">
        <v>772</v>
      </c>
      <c r="I672" s="10" t="s">
        <v>773</v>
      </c>
      <c r="J672" s="27" t="s">
        <v>789</v>
      </c>
      <c r="K672" s="15" t="s">
        <v>1748</v>
      </c>
      <c r="L672" s="10" t="s">
        <v>771</v>
      </c>
      <c r="M672" s="10" t="s">
        <v>771</v>
      </c>
      <c r="N672" s="30" t="str">
        <f>HYPERLINK("https://twitter.com/rplevneliev/statuses/118686974793093120","https://twitter.com/rplevneliev/statuses/118686974793093120")</f>
        <v>https://twitter.com/rplevneliev/statuses/118686974793093120</v>
      </c>
      <c r="O672" s="27" t="s">
        <v>6073</v>
      </c>
      <c r="P672" s="80">
        <v>3</v>
      </c>
      <c r="Q672" s="80">
        <v>1</v>
      </c>
      <c r="R672" s="27" t="s">
        <v>2995</v>
      </c>
      <c r="S672" s="10" t="s">
        <v>1749</v>
      </c>
      <c r="T672" s="10" t="s">
        <v>771</v>
      </c>
      <c r="U672" s="10" t="s">
        <v>771</v>
      </c>
      <c r="V672" s="10" t="s">
        <v>771</v>
      </c>
      <c r="W672" s="10"/>
      <c r="X672" s="27" t="s">
        <v>1745</v>
      </c>
      <c r="Y672" s="27" t="s">
        <v>1746</v>
      </c>
      <c r="Z672" s="80">
        <v>88</v>
      </c>
      <c r="AA672" s="27">
        <v>212</v>
      </c>
      <c r="AB672" s="80">
        <v>1916</v>
      </c>
      <c r="AC672" s="27">
        <v>10</v>
      </c>
      <c r="AD672" s="27" t="s">
        <v>4429</v>
      </c>
      <c r="AE672" s="27">
        <v>377940978</v>
      </c>
      <c r="AF672" s="27" t="s">
        <v>1747</v>
      </c>
      <c r="AG672" s="27" t="s">
        <v>353</v>
      </c>
      <c r="AH672" s="79">
        <v>5.22565320665083E-2</v>
      </c>
      <c r="AI672" s="83">
        <v>2.5882352941176499</v>
      </c>
      <c r="AJ672" s="80">
        <v>0.44776119402985098</v>
      </c>
      <c r="AK672" s="80">
        <v>0.50746268656716398</v>
      </c>
      <c r="AL672" s="27">
        <v>5</v>
      </c>
      <c r="AM672" s="97">
        <f>SUM(AL672/Z672)</f>
        <v>5.6818181818181816E-2</v>
      </c>
      <c r="AN672" s="27" t="s">
        <v>1745</v>
      </c>
      <c r="AO672" s="27">
        <v>0</v>
      </c>
      <c r="AP672" s="27">
        <v>5</v>
      </c>
      <c r="AQ672" s="27">
        <v>0</v>
      </c>
      <c r="AR672" s="27">
        <f>SUM(AO672:AQ672)</f>
        <v>5</v>
      </c>
      <c r="AS672" s="27"/>
      <c r="AT672" s="27" t="s">
        <v>5474</v>
      </c>
      <c r="AU672" s="84"/>
      <c r="AV672" s="77"/>
      <c r="AW672" s="77"/>
      <c r="AX672" s="77"/>
      <c r="AY672" s="77"/>
      <c r="AZ672" s="77"/>
      <c r="BA672" s="77"/>
      <c r="BB672" s="77"/>
      <c r="BC672" s="77"/>
      <c r="BD672" s="77"/>
      <c r="BE672" s="77"/>
      <c r="BF672" s="77"/>
      <c r="BG672" s="77"/>
      <c r="BH672" s="77"/>
      <c r="BI672" s="77"/>
      <c r="BJ672" s="77"/>
      <c r="BK672" s="77"/>
      <c r="BL672" s="77"/>
      <c r="BM672" s="77"/>
      <c r="BN672" s="77"/>
      <c r="BO672" s="77"/>
      <c r="BP672" s="77"/>
      <c r="BQ672" s="77"/>
      <c r="BR672" s="77"/>
      <c r="BS672" s="77"/>
      <c r="BT672" s="77"/>
      <c r="BU672" s="77"/>
      <c r="BV672" s="77"/>
      <c r="BW672" s="77"/>
      <c r="BX672" s="77"/>
      <c r="BY672" s="77"/>
      <c r="BZ672" s="77"/>
      <c r="CA672" s="77"/>
      <c r="CB672" s="77"/>
      <c r="CK672" s="77"/>
      <c r="CL672" s="77"/>
      <c r="CM672" s="77"/>
      <c r="CN672" s="77"/>
      <c r="CO672" s="77"/>
      <c r="CP672" s="77"/>
      <c r="CQ672" s="77"/>
      <c r="CR672" s="77"/>
      <c r="CS672" s="77"/>
      <c r="CT672" s="77"/>
      <c r="CU672" s="77"/>
      <c r="CV672" s="77"/>
      <c r="CW672" s="77"/>
      <c r="CX672" s="77"/>
      <c r="CY672" s="77"/>
      <c r="CZ672" s="77"/>
      <c r="DA672" s="77"/>
      <c r="DB672" s="77"/>
      <c r="DC672" s="77"/>
      <c r="DD672" s="77"/>
      <c r="DE672" s="77"/>
      <c r="DF672" s="77"/>
      <c r="DG672" s="77"/>
      <c r="DH672" s="77"/>
      <c r="DI672" s="77"/>
      <c r="DJ672" s="77"/>
      <c r="DK672" s="77"/>
      <c r="DL672" s="77"/>
      <c r="DM672" s="77"/>
      <c r="DN672" s="77"/>
      <c r="DO672" s="77"/>
      <c r="DP672" s="77"/>
      <c r="DQ672" s="77"/>
      <c r="DR672" s="77"/>
      <c r="DS672" s="77"/>
      <c r="DT672" s="77"/>
      <c r="DU672" s="77"/>
      <c r="DV672" s="77"/>
      <c r="DW672" s="77"/>
      <c r="DX672" s="77"/>
      <c r="DY672" s="77"/>
      <c r="DZ672" s="77"/>
      <c r="EA672" s="77"/>
      <c r="EB672" s="77"/>
      <c r="EC672" s="77"/>
      <c r="ED672" s="77"/>
      <c r="EE672" s="77"/>
      <c r="EF672" s="77"/>
      <c r="EG672" s="77"/>
      <c r="EH672" s="77"/>
      <c r="EI672" s="77"/>
      <c r="EJ672" s="77"/>
      <c r="EK672" s="77"/>
      <c r="EL672" s="77"/>
      <c r="EM672" s="77"/>
      <c r="EN672" s="77"/>
      <c r="EO672" s="77"/>
      <c r="EP672" s="77"/>
      <c r="EQ672" s="77"/>
      <c r="ER672" s="77"/>
      <c r="ES672" s="77"/>
      <c r="ET672" s="77"/>
      <c r="EU672" s="77"/>
      <c r="EV672" s="77"/>
      <c r="EW672" s="77"/>
      <c r="EX672" s="77"/>
      <c r="EY672" s="77"/>
      <c r="EZ672" s="77"/>
      <c r="FA672" s="77"/>
      <c r="FB672" s="77"/>
      <c r="FC672" s="77"/>
      <c r="FD672" s="77"/>
      <c r="FE672" s="77"/>
      <c r="FF672" s="77"/>
      <c r="FG672" s="77"/>
      <c r="FH672" s="77"/>
      <c r="FI672" s="77"/>
      <c r="FJ672" s="77"/>
      <c r="FK672" s="77"/>
      <c r="FL672" s="77"/>
      <c r="FM672" s="77"/>
      <c r="FN672" s="77"/>
      <c r="FO672" s="77"/>
      <c r="FP672" s="77"/>
      <c r="FQ672" s="77"/>
      <c r="FR672" s="77"/>
      <c r="FS672" s="77"/>
      <c r="FT672" s="77"/>
      <c r="FU672" s="77"/>
      <c r="FV672" s="77"/>
      <c r="FW672" s="77"/>
      <c r="FX672" s="77"/>
      <c r="FY672" s="77"/>
      <c r="FZ672" s="77"/>
      <c r="GA672" s="77"/>
      <c r="GB672" s="77"/>
      <c r="GC672" s="77"/>
      <c r="GD672" s="77"/>
      <c r="GE672" s="77"/>
      <c r="GF672" s="77"/>
      <c r="GG672" s="77"/>
      <c r="GH672" s="77"/>
      <c r="GI672" s="77"/>
      <c r="GJ672" s="77"/>
      <c r="GK672" s="77"/>
      <c r="HL672" s="77"/>
      <c r="HM672" s="77"/>
      <c r="HN672" s="77"/>
      <c r="HO672" s="77"/>
      <c r="HP672" s="77"/>
      <c r="HQ672" s="77"/>
      <c r="HR672" s="77"/>
      <c r="HS672" s="77"/>
      <c r="HT672" s="77"/>
      <c r="HU672" s="77"/>
      <c r="HV672" s="77"/>
      <c r="HW672" s="77"/>
      <c r="HX672" s="77"/>
      <c r="HY672" s="77"/>
      <c r="HZ672" s="77"/>
      <c r="IA672" s="77"/>
      <c r="IB672" s="77"/>
      <c r="IC672" s="77"/>
      <c r="IF672" s="16"/>
      <c r="IG672" s="16"/>
      <c r="IH672" s="16"/>
      <c r="II672" s="16"/>
      <c r="IJ672" s="16"/>
      <c r="IK672" s="16"/>
      <c r="IL672" s="16"/>
      <c r="IM672" s="16"/>
      <c r="IN672" s="16"/>
      <c r="IO672" s="16"/>
      <c r="IP672" s="16"/>
      <c r="IQ672" s="16"/>
      <c r="IR672" s="16"/>
      <c r="IS672" s="16"/>
      <c r="IT672" s="16"/>
      <c r="IU672" s="16"/>
      <c r="IV672" s="16"/>
      <c r="IW672" s="16"/>
      <c r="IX672" s="16"/>
      <c r="IY672" s="16"/>
      <c r="IZ672" s="16"/>
      <c r="JA672" s="16"/>
      <c r="JB672" s="16"/>
      <c r="JC672" s="16"/>
      <c r="JD672" s="16"/>
      <c r="JE672" s="16"/>
      <c r="JF672" s="16"/>
      <c r="JG672" s="16"/>
      <c r="JH672" s="16"/>
      <c r="JI672" s="16"/>
      <c r="JJ672" s="16"/>
      <c r="JK672" s="16"/>
      <c r="JL672" s="16"/>
      <c r="JM672" s="16"/>
      <c r="JN672" s="16"/>
      <c r="JO672" s="16"/>
      <c r="JP672" s="16"/>
      <c r="JQ672" s="16"/>
      <c r="JR672" s="16"/>
      <c r="JS672" s="16"/>
      <c r="JT672" s="16"/>
      <c r="JU672" s="16"/>
      <c r="JV672" s="16"/>
      <c r="JW672" s="16"/>
      <c r="JX672" s="16"/>
      <c r="JY672" s="77"/>
      <c r="JZ672" s="77"/>
      <c r="KA672" s="77"/>
      <c r="KB672" s="77"/>
      <c r="KC672" s="77"/>
      <c r="KD672" s="77"/>
      <c r="KE672" s="77"/>
      <c r="KF672" s="77"/>
      <c r="KG672" s="77"/>
      <c r="KH672" s="77"/>
      <c r="KI672" s="77"/>
      <c r="KJ672" s="77"/>
      <c r="KK672" s="77"/>
      <c r="KL672" s="77"/>
      <c r="KM672" s="77"/>
      <c r="KN672" s="77"/>
      <c r="KO672" s="77"/>
      <c r="KP672" s="77"/>
      <c r="KQ672" s="77"/>
      <c r="KR672" s="77"/>
      <c r="KS672" s="77"/>
      <c r="KT672" s="77"/>
      <c r="KU672" s="77"/>
      <c r="KV672" s="77"/>
      <c r="KW672" s="77"/>
      <c r="KX672" s="77"/>
      <c r="KY672" s="77"/>
      <c r="KZ672" s="77"/>
      <c r="LA672" s="77"/>
      <c r="LB672" s="77"/>
      <c r="LC672" s="77"/>
      <c r="LD672" s="77"/>
      <c r="LE672" s="77"/>
      <c r="LF672" s="77"/>
      <c r="LG672" s="77"/>
      <c r="LH672" s="77"/>
      <c r="LI672" s="77"/>
      <c r="LJ672" s="77"/>
      <c r="LK672" s="77"/>
      <c r="LL672" s="77"/>
      <c r="LM672" s="77"/>
      <c r="LN672" s="77"/>
      <c r="LO672" s="77"/>
      <c r="LP672" s="77"/>
      <c r="LQ672" s="77"/>
      <c r="LR672" s="77"/>
      <c r="LS672" s="77"/>
      <c r="LT672" s="77"/>
      <c r="LU672" s="77"/>
      <c r="LV672" s="77"/>
      <c r="LW672" s="77"/>
      <c r="LX672" s="77"/>
      <c r="MS672" s="77"/>
    </row>
    <row r="673" spans="1:368" s="21" customFormat="1" ht="18.600000000000001" customHeight="1" x14ac:dyDescent="0.25">
      <c r="A673" s="119" t="s">
        <v>493</v>
      </c>
      <c r="B673" s="27" t="s">
        <v>3585</v>
      </c>
      <c r="C673" s="27" t="s">
        <v>790</v>
      </c>
      <c r="D673" s="33" t="s">
        <v>3026</v>
      </c>
      <c r="E673" s="34" t="s">
        <v>2129</v>
      </c>
      <c r="F673" s="20" t="s">
        <v>332</v>
      </c>
      <c r="G673" s="20" t="s">
        <v>491</v>
      </c>
      <c r="H673" s="20" t="s">
        <v>776</v>
      </c>
      <c r="I673" s="20" t="s">
        <v>773</v>
      </c>
      <c r="J673" s="27" t="s">
        <v>2059</v>
      </c>
      <c r="K673" s="14" t="s">
        <v>777</v>
      </c>
      <c r="L673" s="10"/>
      <c r="M673" s="42" t="s">
        <v>770</v>
      </c>
      <c r="N673" s="34" t="s">
        <v>2130</v>
      </c>
      <c r="O673" s="27" t="s">
        <v>3194</v>
      </c>
      <c r="P673" s="80">
        <v>11</v>
      </c>
      <c r="Q673" s="80">
        <v>9</v>
      </c>
      <c r="R673" s="27" t="s">
        <v>2995</v>
      </c>
      <c r="S673" s="101" t="s">
        <v>2131</v>
      </c>
      <c r="T673" s="14" t="s">
        <v>771</v>
      </c>
      <c r="U673" s="14" t="s">
        <v>771</v>
      </c>
      <c r="V673" s="14" t="s">
        <v>771</v>
      </c>
      <c r="W673" s="42"/>
      <c r="X673" s="27" t="s">
        <v>493</v>
      </c>
      <c r="Y673" s="27" t="s">
        <v>3585</v>
      </c>
      <c r="Z673" s="80">
        <v>88</v>
      </c>
      <c r="AA673" s="27">
        <v>158</v>
      </c>
      <c r="AB673" s="80">
        <v>1274</v>
      </c>
      <c r="AC673" s="27">
        <v>14</v>
      </c>
      <c r="AD673" s="27" t="s">
        <v>3586</v>
      </c>
      <c r="AE673" s="27">
        <v>4171877789</v>
      </c>
      <c r="AF673" s="27" t="s">
        <v>790</v>
      </c>
      <c r="AG673" s="27" t="s">
        <v>6378</v>
      </c>
      <c r="AH673" s="79">
        <v>0.51162790697674398</v>
      </c>
      <c r="AI673" s="83">
        <v>0.530120481927711</v>
      </c>
      <c r="AJ673" s="80">
        <v>2.2976190476190501</v>
      </c>
      <c r="AK673" s="80">
        <v>8.3095238095238102</v>
      </c>
      <c r="AL673" s="13">
        <v>0</v>
      </c>
      <c r="AM673" s="97">
        <f>SUM(AL673/Z673)</f>
        <v>0</v>
      </c>
      <c r="AN673" s="27" t="s">
        <v>493</v>
      </c>
      <c r="AO673" s="27">
        <v>20</v>
      </c>
      <c r="AP673" s="27">
        <v>2</v>
      </c>
      <c r="AQ673" s="27">
        <v>3</v>
      </c>
      <c r="AR673" s="27">
        <f>SUM(AO673:AQ673)</f>
        <v>25</v>
      </c>
      <c r="AS673" s="27" t="s">
        <v>6555</v>
      </c>
      <c r="AT673" s="27" t="s">
        <v>6690</v>
      </c>
      <c r="AU673" s="84" t="s">
        <v>4682</v>
      </c>
      <c r="AV673" s="77"/>
      <c r="AW673" s="77"/>
      <c r="AX673" s="77"/>
      <c r="AY673" s="77"/>
      <c r="AZ673" s="77"/>
      <c r="BA673" s="77"/>
      <c r="BB673" s="77"/>
      <c r="BC673" s="77"/>
      <c r="BD673" s="77"/>
      <c r="BE673" s="77"/>
      <c r="BF673" s="77"/>
      <c r="BG673" s="77"/>
      <c r="BH673" s="77"/>
      <c r="BI673" s="77"/>
      <c r="BJ673" s="77"/>
      <c r="BK673" s="77"/>
      <c r="BL673" s="77"/>
      <c r="BM673" s="77"/>
      <c r="BN673" s="77"/>
      <c r="BO673" s="77"/>
      <c r="BP673" s="77"/>
      <c r="BQ673" s="77"/>
      <c r="BR673" s="77"/>
      <c r="BS673" s="77"/>
      <c r="BT673" s="77"/>
      <c r="BU673" s="77"/>
      <c r="BV673" s="77"/>
      <c r="BW673" s="77"/>
      <c r="BX673" s="77"/>
      <c r="BY673" s="77"/>
      <c r="BZ673" s="77"/>
      <c r="CA673" s="77"/>
      <c r="CB673" s="77"/>
      <c r="CC673" s="77"/>
      <c r="CD673" s="77"/>
      <c r="CE673" s="77"/>
      <c r="CF673" s="77"/>
      <c r="CG673" s="77"/>
      <c r="CH673" s="77"/>
      <c r="CI673" s="77"/>
      <c r="CJ673" s="77"/>
      <c r="CX673" s="77"/>
      <c r="CY673" s="77"/>
      <c r="CZ673" s="77"/>
      <c r="DA673" s="77"/>
      <c r="DB673" s="77"/>
      <c r="DC673" s="77"/>
      <c r="DD673" s="77"/>
      <c r="DE673" s="77"/>
      <c r="DF673" s="77"/>
      <c r="DG673" s="77"/>
      <c r="DH673" s="77"/>
      <c r="DI673" s="77"/>
      <c r="DJ673" s="77"/>
      <c r="DK673" s="77"/>
      <c r="DL673" s="77"/>
      <c r="DM673" s="77"/>
      <c r="DN673" s="77"/>
      <c r="DO673" s="77"/>
      <c r="DP673" s="77"/>
      <c r="DQ673" s="77"/>
      <c r="DR673" s="77"/>
      <c r="DS673" s="77"/>
      <c r="DT673" s="77"/>
      <c r="DU673" s="77"/>
      <c r="DV673" s="77"/>
      <c r="DW673" s="77"/>
      <c r="DX673" s="77"/>
      <c r="DY673" s="77"/>
      <c r="DZ673" s="77"/>
      <c r="EA673" s="77"/>
      <c r="EB673" s="77"/>
      <c r="EC673" s="77"/>
      <c r="ED673" s="77"/>
      <c r="EE673" s="77"/>
      <c r="EF673" s="77"/>
      <c r="EG673" s="77"/>
      <c r="EH673" s="77"/>
      <c r="EI673" s="77"/>
      <c r="EJ673" s="77"/>
      <c r="EK673" s="77"/>
      <c r="EL673" s="77"/>
      <c r="EM673" s="77"/>
      <c r="EN673" s="77"/>
      <c r="EO673" s="77"/>
      <c r="EP673" s="77"/>
      <c r="EQ673" s="77"/>
      <c r="ER673" s="77"/>
      <c r="ES673" s="77"/>
      <c r="ET673" s="77"/>
      <c r="EU673" s="77"/>
      <c r="EV673" s="77"/>
      <c r="EW673" s="77"/>
      <c r="EX673" s="77"/>
      <c r="EY673" s="77"/>
      <c r="EZ673" s="77"/>
      <c r="FA673" s="77"/>
      <c r="FB673" s="77"/>
      <c r="FC673" s="77"/>
      <c r="FD673" s="77"/>
      <c r="FE673" s="77"/>
      <c r="FF673" s="77"/>
      <c r="FG673" s="77"/>
      <c r="FH673" s="77"/>
      <c r="FI673" s="77"/>
      <c r="FJ673" s="77"/>
      <c r="FK673" s="77"/>
      <c r="FL673" s="77"/>
      <c r="FM673" s="77"/>
      <c r="FN673" s="77"/>
      <c r="FO673" s="77"/>
      <c r="FP673" s="77"/>
      <c r="FQ673" s="77"/>
      <c r="FR673" s="77"/>
      <c r="FS673" s="77"/>
      <c r="FT673" s="77"/>
      <c r="FU673" s="77"/>
      <c r="FV673" s="77"/>
      <c r="FW673" s="77"/>
      <c r="FX673" s="77"/>
      <c r="FY673" s="77"/>
      <c r="FZ673" s="77"/>
      <c r="GA673" s="77"/>
      <c r="GB673" s="77"/>
      <c r="GC673" s="77"/>
      <c r="GD673" s="77"/>
      <c r="GE673" s="77"/>
      <c r="GF673" s="77"/>
      <c r="GG673" s="77"/>
      <c r="GH673" s="77"/>
      <c r="GI673" s="77"/>
      <c r="GJ673" s="77"/>
      <c r="GK673" s="77"/>
      <c r="HL673" s="77"/>
      <c r="HM673" s="77"/>
      <c r="HN673" s="77"/>
      <c r="HO673" s="77"/>
      <c r="HP673" s="77"/>
      <c r="HQ673" s="77"/>
      <c r="HR673" s="77"/>
      <c r="HS673" s="77"/>
      <c r="HT673" s="77"/>
      <c r="HU673" s="77"/>
      <c r="HV673" s="77"/>
      <c r="HW673" s="77"/>
      <c r="HX673" s="77"/>
      <c r="HY673" s="77"/>
      <c r="HZ673" s="77"/>
      <c r="IA673" s="77"/>
      <c r="IB673" s="77"/>
      <c r="IC673" s="77"/>
      <c r="ID673" s="16"/>
      <c r="IE673" s="16"/>
      <c r="IF673" s="77"/>
      <c r="IG673" s="77"/>
      <c r="IH673" s="77"/>
      <c r="II673" s="77"/>
      <c r="IJ673" s="77"/>
      <c r="IK673" s="77"/>
      <c r="IL673" s="77"/>
      <c r="IM673" s="77"/>
      <c r="IN673" s="77"/>
      <c r="IO673" s="77"/>
      <c r="IP673" s="77"/>
      <c r="IQ673" s="77"/>
      <c r="IR673" s="77"/>
      <c r="IS673" s="77"/>
      <c r="IT673" s="77"/>
      <c r="IU673" s="77"/>
      <c r="IV673" s="77"/>
      <c r="IW673" s="77"/>
      <c r="IX673" s="77"/>
      <c r="IY673" s="77"/>
      <c r="IZ673" s="77"/>
      <c r="JA673" s="77"/>
      <c r="JB673" s="77"/>
      <c r="JC673" s="77"/>
      <c r="JD673" s="77"/>
      <c r="JE673" s="77"/>
      <c r="JF673" s="77"/>
      <c r="JG673" s="77"/>
      <c r="JH673" s="77"/>
      <c r="JI673" s="77"/>
      <c r="JJ673" s="77"/>
      <c r="JK673" s="77"/>
      <c r="JL673" s="77"/>
      <c r="JM673" s="77"/>
      <c r="JN673" s="77"/>
      <c r="JO673" s="77"/>
      <c r="JP673" s="77"/>
      <c r="JQ673" s="77"/>
      <c r="JR673" s="77"/>
      <c r="JS673" s="77"/>
      <c r="JT673" s="77"/>
      <c r="JU673" s="77"/>
      <c r="JV673" s="77"/>
      <c r="JW673" s="77"/>
      <c r="JX673" s="77"/>
      <c r="LW673" s="77"/>
      <c r="LX673" s="77"/>
      <c r="MT673" s="16"/>
      <c r="MU673" s="16"/>
      <c r="MV673" s="16"/>
      <c r="MW673" s="16"/>
      <c r="MX673" s="16"/>
      <c r="MY673" s="16"/>
      <c r="MZ673" s="16"/>
      <c r="NA673" s="16"/>
      <c r="NB673" s="16"/>
      <c r="NC673" s="16"/>
    </row>
    <row r="674" spans="1:368" s="21" customFormat="1" ht="18.600000000000001" customHeight="1" x14ac:dyDescent="0.25">
      <c r="A674" s="119" t="s">
        <v>2924</v>
      </c>
      <c r="B674" s="27" t="s">
        <v>2924</v>
      </c>
      <c r="C674" s="27"/>
      <c r="D674" s="30" t="str">
        <f>HYPERLINK("https://twitter.com/MFAThai_Pol","https://twitter.com/MFAThai_Pol")</f>
        <v>https://twitter.com/MFAThai_Pol</v>
      </c>
      <c r="E674" s="30" t="str">
        <f>HYPERLINK("http://twiplomacy.com/info/asia/Thailand","http://twiplomacy.com/info/asia/Thailand")</f>
        <v>http://twiplomacy.com/info/asia/Thailand</v>
      </c>
      <c r="F674" s="14" t="s">
        <v>154</v>
      </c>
      <c r="G674" s="10" t="s">
        <v>313</v>
      </c>
      <c r="H674" s="10" t="s">
        <v>795</v>
      </c>
      <c r="I674" s="10" t="s">
        <v>782</v>
      </c>
      <c r="J674" s="27" t="s">
        <v>789</v>
      </c>
      <c r="K674" s="15" t="s">
        <v>2925</v>
      </c>
      <c r="L674" s="14" t="s">
        <v>771</v>
      </c>
      <c r="M674" s="14" t="s">
        <v>771</v>
      </c>
      <c r="N674" s="100" t="str">
        <f>HYPERLINK("https://twitter.com/MFAThai_Pol/statuses/12984719720","https://twitter.com/MFAThai_Pol/statuses/12984719720")</f>
        <v>https://twitter.com/MFAThai_Pol/statuses/12984719720</v>
      </c>
      <c r="O674" s="27" t="s">
        <v>5951</v>
      </c>
      <c r="P674" s="80">
        <v>5</v>
      </c>
      <c r="Q674" s="80">
        <v>0</v>
      </c>
      <c r="R674" s="27" t="s">
        <v>2995</v>
      </c>
      <c r="S674" s="10" t="s">
        <v>2926</v>
      </c>
      <c r="T674" s="10" t="s">
        <v>771</v>
      </c>
      <c r="U674" s="10" t="s">
        <v>771</v>
      </c>
      <c r="V674" s="10" t="s">
        <v>771</v>
      </c>
      <c r="W674" s="10"/>
      <c r="X674" s="27" t="s">
        <v>2924</v>
      </c>
      <c r="Y674" s="27" t="s">
        <v>2924</v>
      </c>
      <c r="Z674" s="80">
        <v>80</v>
      </c>
      <c r="AA674" s="27">
        <v>4</v>
      </c>
      <c r="AB674" s="80">
        <v>403</v>
      </c>
      <c r="AC674" s="27">
        <v>0</v>
      </c>
      <c r="AD674" s="27" t="s">
        <v>4099</v>
      </c>
      <c r="AE674" s="27">
        <v>137617139</v>
      </c>
      <c r="AF674" s="27"/>
      <c r="AG674" s="27" t="s">
        <v>1655</v>
      </c>
      <c r="AH674" s="79">
        <v>3.6413290851160698E-2</v>
      </c>
      <c r="AI674" s="83">
        <v>0.10540184453227899</v>
      </c>
      <c r="AJ674" s="80">
        <v>0.405063291139241</v>
      </c>
      <c r="AK674" s="80">
        <v>1.26582278481013E-2</v>
      </c>
      <c r="AL674" s="13">
        <v>0</v>
      </c>
      <c r="AM674" s="97">
        <f>SUM(AL674/Z674)</f>
        <v>0</v>
      </c>
      <c r="AN674" s="27" t="s">
        <v>2924</v>
      </c>
      <c r="AO674" s="27">
        <v>2</v>
      </c>
      <c r="AP674" s="27">
        <v>9</v>
      </c>
      <c r="AQ674" s="27">
        <v>0</v>
      </c>
      <c r="AR674" s="27">
        <f>SUM(AO674:AQ674)</f>
        <v>11</v>
      </c>
      <c r="AS674" s="27" t="s">
        <v>5314</v>
      </c>
      <c r="AT674" s="27" t="s">
        <v>5315</v>
      </c>
      <c r="AU674" s="84"/>
      <c r="AV674" s="77"/>
      <c r="AW674" s="77"/>
      <c r="AX674" s="77"/>
      <c r="AY674" s="77"/>
      <c r="AZ674" s="77"/>
      <c r="BA674" s="77"/>
      <c r="BB674" s="77"/>
      <c r="BC674" s="77"/>
      <c r="BD674" s="77"/>
      <c r="BE674" s="77"/>
      <c r="BF674" s="77"/>
      <c r="BG674" s="77"/>
      <c r="BH674" s="77"/>
      <c r="BI674" s="77"/>
      <c r="BJ674" s="77"/>
      <c r="BK674" s="77"/>
      <c r="BL674" s="77"/>
      <c r="BM674" s="77"/>
      <c r="BN674" s="77"/>
      <c r="BO674" s="77"/>
      <c r="BP674" s="77"/>
      <c r="CK674" s="77"/>
      <c r="CL674" s="77"/>
      <c r="CM674" s="77"/>
      <c r="CN674" s="77"/>
      <c r="CO674" s="77"/>
      <c r="CP674" s="77"/>
      <c r="CQ674" s="77"/>
      <c r="CR674" s="77"/>
      <c r="CS674" s="77"/>
      <c r="CT674" s="77"/>
      <c r="CU674" s="77"/>
      <c r="CV674" s="77"/>
      <c r="CW674" s="77"/>
      <c r="EM674" s="77"/>
      <c r="EN674" s="77"/>
      <c r="EO674" s="77"/>
      <c r="EP674" s="77"/>
      <c r="EQ674" s="77"/>
      <c r="ER674" s="77"/>
      <c r="ES674" s="77"/>
      <c r="ET674" s="77"/>
      <c r="EU674" s="77"/>
      <c r="EV674" s="77"/>
      <c r="EW674" s="77"/>
      <c r="EX674" s="77"/>
      <c r="EY674" s="77"/>
      <c r="EZ674" s="77"/>
      <c r="FA674" s="77"/>
      <c r="FB674" s="77"/>
      <c r="FC674" s="77"/>
      <c r="FD674" s="77"/>
      <c r="FE674" s="77"/>
      <c r="FF674" s="77"/>
      <c r="FG674" s="77"/>
      <c r="FH674" s="77"/>
      <c r="FI674" s="77"/>
      <c r="FJ674" s="77"/>
      <c r="FK674" s="77"/>
      <c r="FL674" s="77"/>
      <c r="FM674" s="77"/>
      <c r="FN674" s="77"/>
      <c r="FO674" s="77"/>
      <c r="FP674" s="77"/>
      <c r="FQ674" s="77"/>
      <c r="FR674" s="77"/>
      <c r="FS674" s="77"/>
      <c r="FT674" s="77"/>
      <c r="FU674" s="77"/>
      <c r="FV674" s="77"/>
      <c r="FW674" s="77"/>
      <c r="FX674" s="77"/>
      <c r="FY674" s="77"/>
      <c r="FZ674" s="77"/>
      <c r="GA674" s="77"/>
      <c r="GB674" s="77"/>
      <c r="GC674" s="77"/>
      <c r="GD674" s="77"/>
      <c r="GE674" s="77"/>
      <c r="GF674" s="77"/>
      <c r="GG674" s="77"/>
      <c r="GH674" s="77"/>
      <c r="GI674" s="77"/>
      <c r="GJ674" s="77"/>
      <c r="GK674" s="77"/>
      <c r="GL674" s="77"/>
      <c r="GM674" s="77"/>
      <c r="GN674" s="77"/>
      <c r="GO674" s="77"/>
      <c r="GP674" s="77"/>
      <c r="GQ674" s="77"/>
      <c r="GR674" s="77"/>
      <c r="GS674" s="77"/>
      <c r="GT674" s="77"/>
      <c r="GU674" s="77"/>
      <c r="GV674" s="77"/>
      <c r="GW674" s="77"/>
      <c r="GX674" s="77"/>
      <c r="GY674" s="77"/>
      <c r="GZ674" s="77"/>
      <c r="HA674" s="77"/>
      <c r="HB674" s="77"/>
      <c r="HC674" s="77"/>
      <c r="HD674" s="77"/>
      <c r="HE674" s="77"/>
      <c r="HF674" s="77"/>
      <c r="HG674" s="77"/>
      <c r="HH674" s="77"/>
      <c r="HI674" s="77"/>
      <c r="HJ674" s="77"/>
      <c r="HK674" s="77"/>
      <c r="HL674" s="77"/>
      <c r="HM674" s="77"/>
      <c r="HN674" s="77"/>
      <c r="HO674" s="77"/>
      <c r="HP674" s="77"/>
      <c r="HQ674" s="77"/>
      <c r="HR674" s="77"/>
      <c r="HS674" s="77"/>
      <c r="HT674" s="77"/>
      <c r="HU674" s="77"/>
      <c r="HV674" s="77"/>
      <c r="HW674" s="77"/>
      <c r="HX674" s="77"/>
      <c r="HY674" s="77"/>
      <c r="HZ674" s="77"/>
      <c r="IA674" s="77"/>
      <c r="IB674" s="77"/>
      <c r="IC674" s="77"/>
      <c r="IF674" s="77"/>
      <c r="IG674" s="77"/>
      <c r="IH674" s="77"/>
      <c r="II674" s="77"/>
      <c r="IJ674" s="77"/>
      <c r="IK674" s="77"/>
      <c r="IL674" s="77"/>
      <c r="IM674" s="77"/>
      <c r="IN674" s="77"/>
      <c r="IO674" s="77"/>
      <c r="IP674" s="77"/>
      <c r="IQ674" s="77"/>
      <c r="IR674" s="77"/>
      <c r="IS674" s="77"/>
      <c r="IT674" s="77"/>
      <c r="IU674" s="77"/>
      <c r="IV674" s="77"/>
      <c r="IW674" s="77"/>
      <c r="IX674" s="77"/>
      <c r="IY674" s="77"/>
      <c r="IZ674" s="77"/>
      <c r="JA674" s="77"/>
      <c r="JB674" s="77"/>
      <c r="JC674" s="77"/>
      <c r="JD674" s="77"/>
      <c r="JE674" s="77"/>
      <c r="JF674" s="77"/>
      <c r="JG674" s="77"/>
      <c r="JH674" s="77"/>
      <c r="JI674" s="77"/>
      <c r="JJ674" s="77"/>
      <c r="JK674" s="77"/>
      <c r="JL674" s="77"/>
      <c r="JM674" s="77"/>
      <c r="JN674" s="77"/>
      <c r="JO674" s="77"/>
      <c r="JP674" s="77"/>
      <c r="JQ674" s="77"/>
      <c r="JR674" s="77"/>
      <c r="JS674" s="77"/>
      <c r="JT674" s="77"/>
      <c r="JU674" s="77"/>
      <c r="JV674" s="77"/>
      <c r="JW674" s="77"/>
      <c r="JX674" s="77"/>
      <c r="JY674" s="77"/>
      <c r="JZ674" s="77"/>
      <c r="KA674" s="77"/>
      <c r="KB674" s="77"/>
      <c r="KC674" s="77"/>
      <c r="KD674" s="77"/>
      <c r="KE674" s="77"/>
      <c r="KF674" s="77"/>
      <c r="KG674" s="77"/>
      <c r="KH674" s="77"/>
      <c r="KI674" s="77"/>
      <c r="KJ674" s="77"/>
      <c r="KK674" s="77"/>
      <c r="KL674" s="77"/>
      <c r="LL674" s="77"/>
      <c r="LM674" s="77"/>
      <c r="LN674" s="77"/>
      <c r="LO674" s="77"/>
      <c r="LP674" s="77"/>
      <c r="LQ674" s="77"/>
      <c r="LR674" s="77"/>
      <c r="LS674" s="77"/>
      <c r="LT674" s="77"/>
      <c r="LU674" s="77"/>
      <c r="LV674" s="77"/>
    </row>
    <row r="675" spans="1:368" s="21" customFormat="1" ht="18.600000000000001" customHeight="1" x14ac:dyDescent="0.25">
      <c r="A675" s="119" t="s">
        <v>3351</v>
      </c>
      <c r="B675" s="27" t="s">
        <v>3819</v>
      </c>
      <c r="C675" s="27" t="s">
        <v>6399</v>
      </c>
      <c r="D675" s="51" t="s">
        <v>3356</v>
      </c>
      <c r="E675" s="30" t="str">
        <f>HYPERLINK("http://twiplomacy.com/info/europe/Montenegro","http://twiplomacy.com/info/europe/Montenegro")</f>
        <v>http://twiplomacy.com/info/europe/Montenegro</v>
      </c>
      <c r="F675" s="10" t="s">
        <v>332</v>
      </c>
      <c r="G675" s="10" t="s">
        <v>464</v>
      </c>
      <c r="H675" s="10" t="s">
        <v>860</v>
      </c>
      <c r="I675" s="10" t="s">
        <v>773</v>
      </c>
      <c r="J675" s="27" t="s">
        <v>789</v>
      </c>
      <c r="K675" s="15" t="s">
        <v>777</v>
      </c>
      <c r="L675" s="10"/>
      <c r="M675" s="10"/>
      <c r="N675" s="30" t="s">
        <v>3386</v>
      </c>
      <c r="O675" s="27" t="s">
        <v>5865</v>
      </c>
      <c r="P675" s="80">
        <v>3</v>
      </c>
      <c r="Q675" s="80">
        <v>6</v>
      </c>
      <c r="R675" s="27" t="s">
        <v>2995</v>
      </c>
      <c r="S675" s="12" t="s">
        <v>3372</v>
      </c>
      <c r="T675" s="10" t="s">
        <v>771</v>
      </c>
      <c r="U675" s="10" t="s">
        <v>771</v>
      </c>
      <c r="V675" s="10" t="s">
        <v>771</v>
      </c>
      <c r="W675" s="10"/>
      <c r="X675" s="27" t="s">
        <v>3351</v>
      </c>
      <c r="Y675" s="27" t="s">
        <v>3819</v>
      </c>
      <c r="Z675" s="80">
        <v>79</v>
      </c>
      <c r="AA675" s="27">
        <v>47</v>
      </c>
      <c r="AB675" s="80">
        <v>253</v>
      </c>
      <c r="AC675" s="27">
        <v>47</v>
      </c>
      <c r="AD675" s="27" t="s">
        <v>3820</v>
      </c>
      <c r="AE675" s="27">
        <v>7.1842821125693402E+17</v>
      </c>
      <c r="AF675" s="27" t="s">
        <v>6399</v>
      </c>
      <c r="AG675" s="27" t="s">
        <v>464</v>
      </c>
      <c r="AH675" s="79">
        <v>3.2916666666666701</v>
      </c>
      <c r="AI675" s="83">
        <v>4.1578947368421098</v>
      </c>
      <c r="AJ675" s="80">
        <v>0.69491525423728795</v>
      </c>
      <c r="AK675" s="80">
        <v>1.44067796610169</v>
      </c>
      <c r="AL675" s="27">
        <v>2</v>
      </c>
      <c r="AM675" s="97">
        <f>SUM(AL675/Z675)</f>
        <v>2.5316455696202531E-2</v>
      </c>
      <c r="AN675" s="27" t="s">
        <v>3351</v>
      </c>
      <c r="AO675" s="27">
        <v>4</v>
      </c>
      <c r="AP675" s="27">
        <v>1</v>
      </c>
      <c r="AQ675" s="27">
        <v>2</v>
      </c>
      <c r="AR675" s="27">
        <f>SUM(AO675:AQ675)</f>
        <v>7</v>
      </c>
      <c r="AS675" s="27" t="s">
        <v>6217</v>
      </c>
      <c r="AT675" s="27" t="s">
        <v>432</v>
      </c>
      <c r="AU675" s="84" t="s">
        <v>6159</v>
      </c>
      <c r="AV675" s="77"/>
      <c r="AW675" s="77"/>
      <c r="AX675" s="77"/>
      <c r="AY675" s="77"/>
      <c r="AZ675" s="77"/>
      <c r="BA675" s="77"/>
      <c r="BB675" s="77"/>
      <c r="BC675" s="77"/>
      <c r="BD675" s="77"/>
      <c r="BE675" s="77"/>
      <c r="BF675" s="77"/>
      <c r="BG675" s="77"/>
      <c r="BH675" s="77"/>
      <c r="BI675" s="77"/>
      <c r="BJ675" s="77"/>
      <c r="BK675" s="77"/>
      <c r="BL675" s="77"/>
      <c r="BM675" s="77"/>
      <c r="BN675" s="77"/>
      <c r="BO675" s="77"/>
      <c r="BP675" s="77"/>
      <c r="BQ675" s="77"/>
      <c r="BR675" s="77"/>
      <c r="BS675" s="77"/>
      <c r="BT675" s="77"/>
      <c r="BU675" s="77"/>
      <c r="BV675" s="77"/>
      <c r="BW675" s="77"/>
      <c r="BX675" s="77"/>
      <c r="BY675" s="77"/>
      <c r="BZ675" s="77"/>
      <c r="CA675" s="77"/>
      <c r="CB675" s="77"/>
      <c r="CC675" s="77"/>
      <c r="CD675" s="77"/>
      <c r="CE675" s="77"/>
      <c r="CF675" s="77"/>
      <c r="CG675" s="77"/>
      <c r="CH675" s="77"/>
      <c r="CI675" s="77"/>
      <c r="CJ675" s="77"/>
      <c r="CK675" s="77"/>
      <c r="CL675" s="77"/>
      <c r="CM675" s="77"/>
      <c r="CN675" s="77"/>
      <c r="CO675" s="77"/>
      <c r="CP675" s="77"/>
      <c r="CQ675" s="77"/>
      <c r="CR675" s="77"/>
      <c r="CS675" s="77"/>
      <c r="CT675" s="77"/>
      <c r="CU675" s="77"/>
      <c r="CV675" s="77"/>
      <c r="CW675" s="77"/>
      <c r="CX675" s="77"/>
      <c r="CY675" s="77"/>
      <c r="CZ675" s="77"/>
      <c r="DA675" s="77"/>
      <c r="DB675" s="77"/>
      <c r="DC675" s="77"/>
      <c r="DD675" s="77"/>
      <c r="DE675" s="77"/>
      <c r="DF675" s="77"/>
      <c r="DG675" s="77"/>
      <c r="DH675" s="77"/>
      <c r="DI675" s="77"/>
      <c r="DJ675" s="77"/>
      <c r="DK675" s="77"/>
      <c r="DL675" s="77"/>
      <c r="DM675" s="77"/>
      <c r="DN675" s="77"/>
      <c r="DO675" s="77"/>
      <c r="DP675" s="77"/>
      <c r="DQ675" s="77"/>
      <c r="DR675" s="77"/>
      <c r="DS675" s="77"/>
      <c r="DT675" s="77"/>
      <c r="DU675" s="77"/>
      <c r="DV675" s="77"/>
      <c r="DW675" s="77"/>
      <c r="DX675" s="77"/>
      <c r="DY675" s="77"/>
      <c r="DZ675" s="77"/>
      <c r="EA675" s="77"/>
      <c r="EB675" s="77"/>
      <c r="EC675" s="77"/>
      <c r="ED675" s="77"/>
      <c r="EE675" s="77"/>
      <c r="EF675" s="77"/>
      <c r="EG675" s="77"/>
      <c r="EH675" s="77"/>
      <c r="EI675" s="77"/>
      <c r="EJ675" s="77"/>
      <c r="EK675" s="77"/>
      <c r="EL675" s="77"/>
      <c r="EM675" s="77"/>
      <c r="EN675" s="77"/>
      <c r="EO675" s="77"/>
      <c r="EP675" s="77"/>
      <c r="ER675" s="77"/>
      <c r="ES675" s="77"/>
      <c r="ET675" s="77"/>
      <c r="EU675" s="77"/>
      <c r="EV675" s="77"/>
      <c r="EW675" s="77"/>
      <c r="EX675" s="77"/>
      <c r="EY675" s="77"/>
      <c r="EZ675" s="77"/>
      <c r="FA675" s="77"/>
      <c r="FB675" s="77"/>
      <c r="FC675" s="77"/>
      <c r="FD675" s="77"/>
      <c r="FE675" s="77"/>
      <c r="FF675" s="77"/>
      <c r="FG675" s="77"/>
      <c r="FH675" s="77"/>
      <c r="FI675" s="77"/>
      <c r="FJ675" s="77"/>
      <c r="FK675" s="77"/>
      <c r="FL675" s="77"/>
      <c r="FM675" s="77"/>
      <c r="FN675" s="77"/>
      <c r="FO675" s="77"/>
      <c r="FP675" s="77"/>
      <c r="FQ675" s="77"/>
      <c r="FR675" s="77"/>
      <c r="FS675" s="77"/>
      <c r="FT675" s="77"/>
      <c r="FU675" s="77"/>
      <c r="FV675" s="77"/>
      <c r="FW675" s="77"/>
      <c r="FX675" s="77"/>
      <c r="FY675" s="77"/>
      <c r="FZ675" s="77"/>
      <c r="GA675" s="77"/>
      <c r="GB675" s="77"/>
      <c r="GC675" s="77"/>
      <c r="GD675" s="77"/>
      <c r="GE675" s="77"/>
      <c r="GF675" s="77"/>
      <c r="GG675" s="77"/>
      <c r="GH675" s="77"/>
      <c r="GI675" s="77"/>
      <c r="GJ675" s="77"/>
      <c r="GK675" s="77"/>
      <c r="ID675" s="77"/>
      <c r="IE675" s="77"/>
      <c r="IF675" s="77"/>
      <c r="IG675" s="77"/>
      <c r="IH675" s="77"/>
      <c r="II675" s="77"/>
      <c r="IJ675" s="77"/>
      <c r="IK675" s="77"/>
      <c r="IL675" s="77"/>
      <c r="IM675" s="77"/>
      <c r="IN675" s="77"/>
      <c r="IO675" s="77"/>
      <c r="IP675" s="77"/>
      <c r="IQ675" s="77"/>
      <c r="IR675" s="77"/>
      <c r="IS675" s="77"/>
      <c r="IT675" s="77"/>
      <c r="IU675" s="77"/>
      <c r="IV675" s="77"/>
      <c r="IW675" s="77"/>
      <c r="IX675" s="77"/>
      <c r="IY675" s="77"/>
      <c r="IZ675" s="77"/>
      <c r="JA675" s="77"/>
      <c r="JB675" s="77"/>
      <c r="JC675" s="77"/>
      <c r="JD675" s="77"/>
      <c r="JE675" s="77"/>
      <c r="JF675" s="77"/>
      <c r="JG675" s="77"/>
      <c r="JH675" s="77"/>
      <c r="JI675" s="77"/>
      <c r="JJ675" s="77"/>
      <c r="JK675" s="77"/>
      <c r="JL675" s="77"/>
      <c r="JM675" s="77"/>
      <c r="JN675" s="77"/>
      <c r="JO675" s="77"/>
      <c r="JP675" s="77"/>
      <c r="JQ675" s="77"/>
      <c r="JR675" s="77"/>
      <c r="JS675" s="77"/>
      <c r="JT675" s="77"/>
      <c r="JU675" s="77"/>
      <c r="JV675" s="77"/>
      <c r="JW675" s="77"/>
      <c r="JX675" s="77"/>
      <c r="JY675" s="77"/>
      <c r="JZ675" s="77"/>
      <c r="KA675" s="77"/>
      <c r="KB675" s="77"/>
      <c r="KC675" s="77"/>
      <c r="KD675" s="77"/>
      <c r="KE675" s="77"/>
      <c r="KF675" s="77"/>
      <c r="KG675" s="77"/>
      <c r="KH675" s="77"/>
      <c r="KI675" s="77"/>
      <c r="KJ675" s="77"/>
      <c r="KK675" s="77"/>
      <c r="KL675" s="77"/>
      <c r="KM675" s="77"/>
      <c r="KN675" s="77"/>
      <c r="KO675" s="77"/>
      <c r="KP675" s="77"/>
      <c r="KQ675" s="77"/>
      <c r="KR675" s="77"/>
      <c r="KS675" s="77"/>
      <c r="KT675" s="77"/>
      <c r="KU675" s="77"/>
      <c r="KV675" s="77"/>
      <c r="KW675" s="77"/>
      <c r="KX675" s="77"/>
      <c r="KY675" s="77"/>
      <c r="KZ675" s="77"/>
      <c r="LA675" s="77"/>
      <c r="LB675" s="77"/>
      <c r="LC675" s="77"/>
      <c r="LD675" s="77"/>
      <c r="LE675" s="77"/>
      <c r="LF675" s="77"/>
      <c r="LG675" s="77"/>
      <c r="LH675" s="77"/>
      <c r="LI675" s="77"/>
      <c r="LJ675" s="77"/>
      <c r="LK675" s="77"/>
      <c r="MS675" s="77"/>
    </row>
    <row r="676" spans="1:368" s="21" customFormat="1" ht="18.600000000000001" customHeight="1" x14ac:dyDescent="0.25">
      <c r="A676" s="119" t="s">
        <v>206</v>
      </c>
      <c r="B676" s="27" t="s">
        <v>1346</v>
      </c>
      <c r="C676" s="27"/>
      <c r="D676" s="30" t="str">
        <f>HYPERLINK("https://twitter.com/IraqMFA","https://twitter.com/IraqMFA")</f>
        <v>https://twitter.com/IraqMFA</v>
      </c>
      <c r="E676" s="30" t="str">
        <f>HYPERLINK("http://twiplomacy.com/info/asia/Iraq","http://twiplomacy.com/info/asia/Iraq")</f>
        <v>http://twiplomacy.com/info/asia/Iraq</v>
      </c>
      <c r="F676" s="10" t="s">
        <v>154</v>
      </c>
      <c r="G676" s="10" t="s">
        <v>201</v>
      </c>
      <c r="H676" s="10" t="s">
        <v>795</v>
      </c>
      <c r="I676" s="10" t="s">
        <v>782</v>
      </c>
      <c r="J676" s="27" t="s">
        <v>789</v>
      </c>
      <c r="K676" s="15" t="s">
        <v>1344</v>
      </c>
      <c r="L676" s="10" t="s">
        <v>771</v>
      </c>
      <c r="M676" s="10" t="s">
        <v>770</v>
      </c>
      <c r="N676" s="30" t="str">
        <f>HYPERLINK("https://twitter.com/IraqMFA/statuses/316225840050475008","https://twitter.com/IraqMFA/statuses/316225840050475008")</f>
        <v>https://twitter.com/IraqMFA/statuses/316225840050475008</v>
      </c>
      <c r="O676" s="27" t="s">
        <v>5878</v>
      </c>
      <c r="P676" s="80">
        <v>3</v>
      </c>
      <c r="Q676" s="80">
        <v>3</v>
      </c>
      <c r="R676" s="27" t="s">
        <v>2995</v>
      </c>
      <c r="S676" s="10" t="s">
        <v>1347</v>
      </c>
      <c r="T676" s="10" t="s">
        <v>771</v>
      </c>
      <c r="U676" s="10" t="s">
        <v>771</v>
      </c>
      <c r="V676" s="10" t="s">
        <v>771</v>
      </c>
      <c r="W676" s="10"/>
      <c r="X676" s="27" t="s">
        <v>206</v>
      </c>
      <c r="Y676" s="27" t="s">
        <v>1346</v>
      </c>
      <c r="Z676" s="80">
        <v>78</v>
      </c>
      <c r="AA676" s="27">
        <v>17</v>
      </c>
      <c r="AB676" s="80">
        <v>633</v>
      </c>
      <c r="AC676" s="27">
        <v>5</v>
      </c>
      <c r="AD676" s="27" t="s">
        <v>3843</v>
      </c>
      <c r="AE676" s="27">
        <v>1299229693</v>
      </c>
      <c r="AF676" s="27"/>
      <c r="AG676" s="27" t="s">
        <v>855</v>
      </c>
      <c r="AH676" s="79">
        <v>6.8783068783068793E-2</v>
      </c>
      <c r="AI676" s="83">
        <v>0.17218543046357601</v>
      </c>
      <c r="AJ676" s="80">
        <v>0.21794871794871801</v>
      </c>
      <c r="AK676" s="80">
        <v>7.69230769230769E-2</v>
      </c>
      <c r="AL676" s="13">
        <v>0</v>
      </c>
      <c r="AM676" s="97">
        <f>SUM(AL676/Z676)</f>
        <v>0</v>
      </c>
      <c r="AN676" s="27" t="s">
        <v>206</v>
      </c>
      <c r="AO676" s="27">
        <v>1</v>
      </c>
      <c r="AP676" s="27">
        <v>27</v>
      </c>
      <c r="AQ676" s="27">
        <v>8</v>
      </c>
      <c r="AR676" s="27">
        <f>SUM(AO676:AQ676)</f>
        <v>36</v>
      </c>
      <c r="AS676" s="27" t="s">
        <v>686</v>
      </c>
      <c r="AT676" s="27" t="s">
        <v>5200</v>
      </c>
      <c r="AU676" s="84" t="s">
        <v>4765</v>
      </c>
      <c r="AV676" s="77"/>
      <c r="AW676" s="77"/>
      <c r="AX676" s="77"/>
      <c r="AY676" s="77"/>
      <c r="AZ676" s="77"/>
      <c r="BA676" s="77"/>
      <c r="BB676" s="77"/>
      <c r="BC676" s="77"/>
      <c r="BD676" s="77"/>
      <c r="BE676" s="77"/>
      <c r="BF676" s="77"/>
      <c r="BG676" s="77"/>
      <c r="BH676" s="77"/>
      <c r="BI676" s="77"/>
      <c r="BJ676" s="77"/>
      <c r="BK676" s="77"/>
      <c r="BL676" s="77"/>
      <c r="BM676" s="77"/>
      <c r="BN676" s="77"/>
      <c r="BO676" s="77"/>
      <c r="BP676" s="77"/>
      <c r="BQ676" s="77"/>
      <c r="BR676" s="77"/>
      <c r="BS676" s="77"/>
      <c r="BT676" s="77"/>
      <c r="BU676" s="77"/>
      <c r="BV676" s="77"/>
      <c r="BW676" s="77"/>
      <c r="BX676" s="77"/>
      <c r="BY676" s="77"/>
      <c r="BZ676" s="77"/>
      <c r="CA676" s="77"/>
      <c r="CB676" s="77"/>
      <c r="CC676" s="77"/>
      <c r="CD676" s="77"/>
      <c r="CE676" s="77"/>
      <c r="CF676" s="77"/>
      <c r="CG676" s="77"/>
      <c r="CH676" s="77"/>
      <c r="CI676" s="77"/>
      <c r="CJ676" s="77"/>
      <c r="CK676" s="77"/>
      <c r="CL676" s="77"/>
      <c r="CM676" s="77"/>
      <c r="CN676" s="77"/>
      <c r="CO676" s="77"/>
      <c r="CP676" s="77"/>
      <c r="CQ676" s="77"/>
      <c r="CR676" s="77"/>
      <c r="CS676" s="77"/>
      <c r="CT676" s="77"/>
      <c r="CU676" s="77"/>
      <c r="CV676" s="77"/>
      <c r="CW676" s="77"/>
      <c r="CX676" s="77"/>
      <c r="CY676" s="77"/>
      <c r="CZ676" s="77"/>
      <c r="DA676" s="77"/>
      <c r="DB676" s="77"/>
      <c r="DC676" s="77"/>
      <c r="DD676" s="77"/>
      <c r="DE676" s="77"/>
      <c r="DF676" s="77"/>
      <c r="DG676" s="77"/>
      <c r="DH676" s="77"/>
      <c r="DI676" s="77"/>
      <c r="DJ676" s="77"/>
      <c r="DK676" s="77"/>
      <c r="DL676" s="77"/>
      <c r="DM676" s="77"/>
      <c r="DN676" s="77"/>
      <c r="DO676" s="77"/>
      <c r="DP676" s="77"/>
      <c r="DQ676" s="77"/>
      <c r="DR676" s="77"/>
      <c r="DS676" s="77"/>
      <c r="DT676" s="77"/>
      <c r="DU676" s="77"/>
      <c r="DV676" s="77"/>
      <c r="DW676" s="77"/>
      <c r="DX676" s="77"/>
      <c r="DY676" s="77"/>
      <c r="DZ676" s="77"/>
      <c r="EA676" s="77"/>
      <c r="EB676" s="77"/>
      <c r="EC676" s="77"/>
      <c r="ED676" s="77"/>
      <c r="EE676" s="77"/>
      <c r="EF676" s="77"/>
      <c r="EG676" s="77"/>
      <c r="EH676" s="77"/>
      <c r="EI676" s="77"/>
      <c r="EJ676" s="77"/>
      <c r="EK676" s="77"/>
      <c r="EL676" s="77"/>
      <c r="EM676" s="77"/>
      <c r="EN676" s="77"/>
      <c r="EO676" s="77"/>
      <c r="EP676" s="77"/>
      <c r="EQ676" s="77"/>
      <c r="ER676" s="77"/>
      <c r="ES676" s="77"/>
      <c r="ET676" s="77"/>
      <c r="EU676" s="77"/>
      <c r="EV676" s="77"/>
      <c r="EW676" s="77"/>
      <c r="EX676" s="77"/>
      <c r="EY676" s="77"/>
      <c r="EZ676" s="77"/>
      <c r="FA676" s="77"/>
      <c r="FB676" s="77"/>
      <c r="FC676" s="77"/>
      <c r="FD676" s="77"/>
      <c r="FE676" s="77"/>
      <c r="FF676" s="77"/>
      <c r="FG676" s="77"/>
      <c r="FH676" s="77"/>
      <c r="FI676" s="77"/>
      <c r="FJ676" s="77"/>
      <c r="FK676" s="77"/>
      <c r="FL676" s="77"/>
      <c r="FM676" s="77"/>
      <c r="FN676" s="77"/>
      <c r="FO676" s="77"/>
      <c r="FP676" s="77"/>
      <c r="FQ676" s="77"/>
      <c r="FR676" s="77"/>
      <c r="FS676" s="77"/>
      <c r="FT676" s="77"/>
      <c r="FU676" s="77"/>
      <c r="FV676" s="77"/>
      <c r="FW676" s="77"/>
      <c r="FX676" s="77"/>
      <c r="FY676" s="77"/>
      <c r="FZ676" s="77"/>
      <c r="GA676" s="77"/>
      <c r="GB676" s="77"/>
      <c r="GC676" s="77"/>
      <c r="GD676" s="77"/>
      <c r="GE676" s="77"/>
      <c r="GF676" s="77"/>
      <c r="GG676" s="77"/>
      <c r="GH676" s="77"/>
      <c r="GI676" s="77"/>
      <c r="GJ676" s="77"/>
      <c r="GK676" s="77"/>
      <c r="GL676" s="77"/>
      <c r="GM676" s="77"/>
      <c r="GN676" s="77"/>
      <c r="GO676" s="77"/>
      <c r="GP676" s="77"/>
      <c r="GQ676" s="77"/>
      <c r="GR676" s="77"/>
      <c r="GS676" s="77"/>
      <c r="GT676" s="77"/>
      <c r="GU676" s="77"/>
      <c r="GV676" s="77"/>
      <c r="GW676" s="77"/>
      <c r="GX676" s="77"/>
      <c r="GY676" s="77"/>
      <c r="GZ676" s="77"/>
      <c r="HA676" s="77"/>
      <c r="HB676" s="77"/>
      <c r="HC676" s="77"/>
      <c r="HD676" s="77"/>
      <c r="HE676" s="77"/>
      <c r="HF676" s="77"/>
      <c r="HG676" s="77"/>
      <c r="HH676" s="77"/>
      <c r="HI676" s="77"/>
      <c r="HJ676" s="77"/>
      <c r="HK676" s="77"/>
      <c r="HL676" s="77"/>
      <c r="HM676" s="77"/>
      <c r="HN676" s="77"/>
      <c r="HO676" s="77"/>
      <c r="HP676" s="77"/>
      <c r="HQ676" s="77"/>
      <c r="HR676" s="77"/>
      <c r="HS676" s="77"/>
      <c r="HT676" s="77"/>
      <c r="HU676" s="77"/>
      <c r="HV676" s="77"/>
      <c r="HW676" s="77"/>
      <c r="HX676" s="77"/>
      <c r="HY676" s="77"/>
      <c r="HZ676" s="77"/>
      <c r="IA676" s="77"/>
      <c r="IB676" s="77"/>
      <c r="IC676" s="77"/>
      <c r="ID676" s="77"/>
      <c r="IE676" s="77"/>
      <c r="IF676" s="77"/>
      <c r="IG676" s="77"/>
      <c r="IH676" s="77"/>
      <c r="II676" s="77"/>
      <c r="IJ676" s="77"/>
      <c r="IK676" s="77"/>
      <c r="IL676" s="77"/>
      <c r="IM676" s="77"/>
      <c r="IN676" s="77"/>
      <c r="IO676" s="77"/>
      <c r="IP676" s="77"/>
      <c r="IQ676" s="77"/>
      <c r="IR676" s="77"/>
      <c r="IS676" s="77"/>
      <c r="IT676" s="77"/>
      <c r="IU676" s="77"/>
      <c r="IV676" s="77"/>
      <c r="IW676" s="77"/>
      <c r="IX676" s="77"/>
      <c r="IY676" s="77"/>
      <c r="IZ676" s="77"/>
      <c r="JA676" s="77"/>
      <c r="JB676" s="77"/>
      <c r="JC676" s="77"/>
      <c r="JD676" s="77"/>
      <c r="JE676" s="77"/>
      <c r="JF676" s="77"/>
      <c r="JG676" s="77"/>
      <c r="JH676" s="77"/>
      <c r="JI676" s="77"/>
      <c r="JJ676" s="77"/>
      <c r="JK676" s="77"/>
      <c r="JL676" s="77"/>
      <c r="JM676" s="77"/>
      <c r="JN676" s="77"/>
      <c r="JO676" s="77"/>
      <c r="JP676" s="77"/>
      <c r="JQ676" s="77"/>
      <c r="JR676" s="77"/>
      <c r="JS676" s="77"/>
      <c r="JT676" s="77"/>
      <c r="JU676" s="77"/>
      <c r="JV676" s="77"/>
      <c r="JW676" s="77"/>
      <c r="JX676" s="77"/>
      <c r="JY676" s="77"/>
      <c r="JZ676" s="77"/>
      <c r="KA676" s="77"/>
      <c r="KB676" s="77"/>
      <c r="KC676" s="77"/>
      <c r="KD676" s="77"/>
      <c r="KE676" s="77"/>
      <c r="KF676" s="77"/>
      <c r="KG676" s="77"/>
      <c r="KH676" s="77"/>
      <c r="KI676" s="77"/>
      <c r="KJ676" s="77"/>
      <c r="KK676" s="77"/>
      <c r="KL676" s="77"/>
      <c r="LL676" s="77"/>
      <c r="LM676" s="77"/>
      <c r="LN676" s="77"/>
      <c r="LO676" s="77"/>
      <c r="LP676" s="77"/>
      <c r="LQ676" s="77"/>
      <c r="LR676" s="77"/>
      <c r="LS676" s="77"/>
      <c r="LT676" s="77"/>
      <c r="LU676" s="77"/>
      <c r="LV676" s="77"/>
    </row>
    <row r="677" spans="1:368" s="21" customFormat="1" ht="18.600000000000001" customHeight="1" x14ac:dyDescent="0.25">
      <c r="A677" s="119" t="s">
        <v>2195</v>
      </c>
      <c r="B677" s="27" t="s">
        <v>2196</v>
      </c>
      <c r="C677" s="27" t="s">
        <v>2197</v>
      </c>
      <c r="D677" s="30" t="str">
        <f>HYPERLINK("https://twitter.com/fico2014","https://twitter.com/fico2014")</f>
        <v>https://twitter.com/fico2014</v>
      </c>
      <c r="E677" s="30" t="str">
        <f>HYPERLINK("http://twiplomacy.com/info/europe/Slovakia","http://twiplomacy.com/info/europe/Slovakia")</f>
        <v>http://twiplomacy.com/info/europe/Slovakia</v>
      </c>
      <c r="F677" s="10" t="s">
        <v>332</v>
      </c>
      <c r="G677" s="10" t="s">
        <v>514</v>
      </c>
      <c r="H677" s="10" t="s">
        <v>776</v>
      </c>
      <c r="I677" s="10" t="s">
        <v>773</v>
      </c>
      <c r="J677" s="27" t="s">
        <v>789</v>
      </c>
      <c r="K677" s="15" t="s">
        <v>2198</v>
      </c>
      <c r="L677" s="10" t="s">
        <v>771</v>
      </c>
      <c r="M677" s="10" t="s">
        <v>771</v>
      </c>
      <c r="N677" s="30" t="str">
        <f>HYPERLINK("https://twitter.com/fico2014/statuses/1754797934","https://twitter.com/fico2014/statuses/1754797934")</f>
        <v>https://twitter.com/fico2014/statuses/1754797934</v>
      </c>
      <c r="O677" s="27" t="s">
        <v>5757</v>
      </c>
      <c r="P677" s="80">
        <v>1</v>
      </c>
      <c r="Q677" s="80">
        <v>1</v>
      </c>
      <c r="R677" s="27" t="s">
        <v>2995</v>
      </c>
      <c r="S677" s="10" t="s">
        <v>2199</v>
      </c>
      <c r="T677" s="10" t="s">
        <v>771</v>
      </c>
      <c r="U677" s="10" t="s">
        <v>771</v>
      </c>
      <c r="V677" s="10" t="s">
        <v>771</v>
      </c>
      <c r="W677" s="10"/>
      <c r="X677" s="27" t="s">
        <v>2195</v>
      </c>
      <c r="Y677" s="27" t="s">
        <v>2196</v>
      </c>
      <c r="Z677" s="80">
        <v>67</v>
      </c>
      <c r="AA677" s="27">
        <v>90</v>
      </c>
      <c r="AB677" s="80">
        <v>235</v>
      </c>
      <c r="AC677" s="27">
        <v>0</v>
      </c>
      <c r="AD677" s="27" t="s">
        <v>3679</v>
      </c>
      <c r="AE677" s="27">
        <v>39046067</v>
      </c>
      <c r="AF677" s="27" t="s">
        <v>2197</v>
      </c>
      <c r="AG677" s="27" t="s">
        <v>2200</v>
      </c>
      <c r="AH677" s="79">
        <v>2.62848175755198E-2</v>
      </c>
      <c r="AI677" s="83">
        <v>3.7556053811659197E-2</v>
      </c>
      <c r="AJ677" s="80">
        <v>0.14754098360655701</v>
      </c>
      <c r="AK677" s="80">
        <v>6.5573770491803296E-2</v>
      </c>
      <c r="AL677" s="27">
        <v>1</v>
      </c>
      <c r="AM677" s="97">
        <f>SUM(AL677/Z677)</f>
        <v>1.4925373134328358E-2</v>
      </c>
      <c r="AN677" s="27" t="s">
        <v>2195</v>
      </c>
      <c r="AO677" s="27">
        <v>0</v>
      </c>
      <c r="AP677" s="27">
        <v>2</v>
      </c>
      <c r="AQ677" s="27">
        <v>0</v>
      </c>
      <c r="AR677" s="27">
        <f>SUM(AO677:AQ677)</f>
        <v>2</v>
      </c>
      <c r="AS677" s="27"/>
      <c r="AT677" s="27" t="s">
        <v>5005</v>
      </c>
      <c r="AU677" s="84"/>
      <c r="AV677" s="77"/>
      <c r="AW677" s="77"/>
      <c r="AX677" s="77"/>
      <c r="AY677" s="77"/>
      <c r="AZ677" s="77"/>
      <c r="BA677" s="77"/>
      <c r="BB677" s="77"/>
      <c r="BC677" s="77"/>
      <c r="BD677" s="77"/>
      <c r="BE677" s="77"/>
      <c r="BF677" s="77"/>
      <c r="BG677" s="77"/>
      <c r="BH677" s="77"/>
      <c r="BI677" s="77"/>
      <c r="BJ677" s="77"/>
      <c r="BK677" s="77"/>
      <c r="BL677" s="77"/>
      <c r="BM677" s="69"/>
      <c r="BN677" s="77"/>
      <c r="BO677" s="77"/>
      <c r="BP677" s="77"/>
      <c r="BQ677" s="71"/>
      <c r="BR677" s="71"/>
      <c r="BS677" s="71"/>
      <c r="BT677" s="71"/>
      <c r="BU677" s="71"/>
      <c r="BV677" s="71"/>
      <c r="BW677" s="71"/>
      <c r="BX677" s="71"/>
      <c r="BY677" s="71"/>
      <c r="BZ677" s="71"/>
      <c r="CA677" s="71"/>
      <c r="CB677" s="71"/>
      <c r="CC677" s="77"/>
      <c r="CD677" s="77"/>
      <c r="CE677" s="77"/>
      <c r="CF677" s="77"/>
      <c r="CG677" s="77"/>
      <c r="CH677" s="77"/>
      <c r="CI677" s="77"/>
      <c r="CJ677" s="77"/>
      <c r="CK677" s="77"/>
      <c r="CL677" s="77"/>
      <c r="CM677" s="77"/>
      <c r="CN677" s="77"/>
      <c r="CO677" s="77"/>
      <c r="CP677" s="77"/>
      <c r="CQ677" s="77"/>
      <c r="CR677" s="77"/>
      <c r="CS677" s="77"/>
      <c r="CT677" s="77"/>
      <c r="CU677" s="77"/>
      <c r="CV677" s="77"/>
      <c r="CW677" s="77"/>
      <c r="CX677" s="77"/>
      <c r="CY677" s="77"/>
      <c r="CZ677" s="77"/>
      <c r="DA677" s="77"/>
      <c r="DB677" s="77"/>
      <c r="DC677" s="77"/>
      <c r="DD677" s="77"/>
      <c r="DE677" s="77"/>
      <c r="DF677" s="77"/>
      <c r="DG677" s="77"/>
      <c r="DH677" s="77"/>
      <c r="DI677" s="77"/>
      <c r="DJ677" s="77"/>
      <c r="DK677" s="77"/>
      <c r="DL677" s="77"/>
      <c r="DM677" s="77"/>
      <c r="DN677" s="77"/>
      <c r="DO677" s="77"/>
      <c r="DP677" s="77"/>
      <c r="DQ677" s="77"/>
      <c r="DR677" s="77"/>
      <c r="DS677" s="77"/>
      <c r="DT677" s="77"/>
      <c r="DU677" s="77"/>
      <c r="DV677" s="77"/>
      <c r="DW677" s="77"/>
      <c r="DX677" s="77"/>
      <c r="DY677" s="77"/>
      <c r="DZ677" s="77"/>
      <c r="EA677" s="77"/>
      <c r="EB677" s="77"/>
      <c r="EC677" s="77"/>
      <c r="ED677" s="77"/>
      <c r="EE677" s="77"/>
      <c r="EF677" s="77"/>
      <c r="EG677" s="77"/>
      <c r="EH677" s="77"/>
      <c r="EI677" s="77"/>
      <c r="EJ677" s="77"/>
      <c r="EK677" s="77"/>
      <c r="EL677" s="77"/>
      <c r="EM677" s="77"/>
      <c r="EN677" s="77"/>
      <c r="EO677" s="77"/>
      <c r="EQ677" s="77"/>
      <c r="ER677" s="77"/>
      <c r="ES677" s="77"/>
      <c r="ET677" s="77"/>
      <c r="EU677" s="77"/>
      <c r="EV677" s="77"/>
      <c r="EW677" s="77"/>
      <c r="EX677" s="77"/>
      <c r="EY677" s="77"/>
      <c r="EZ677" s="77"/>
      <c r="FA677" s="77"/>
      <c r="FB677" s="77"/>
      <c r="FC677" s="77"/>
      <c r="FD677" s="77"/>
      <c r="FE677" s="77"/>
      <c r="FF677" s="77"/>
      <c r="FG677" s="77"/>
      <c r="FH677" s="77"/>
      <c r="FI677" s="77"/>
      <c r="FJ677" s="77"/>
      <c r="FK677" s="77"/>
      <c r="FL677" s="77"/>
      <c r="FM677" s="77"/>
      <c r="FN677" s="77"/>
      <c r="FO677" s="77"/>
      <c r="FP677" s="77"/>
      <c r="FQ677" s="77"/>
      <c r="FR677" s="77"/>
      <c r="FS677" s="77"/>
      <c r="FT677" s="77"/>
      <c r="FU677" s="77"/>
      <c r="FV677" s="77"/>
      <c r="FW677" s="77"/>
      <c r="FX677" s="77"/>
      <c r="FY677" s="77"/>
      <c r="FZ677" s="77"/>
      <c r="GA677" s="77"/>
      <c r="GB677" s="77"/>
      <c r="GC677" s="77"/>
      <c r="GD677" s="77"/>
      <c r="GE677" s="77"/>
      <c r="GF677" s="77"/>
      <c r="GG677" s="77"/>
      <c r="GH677" s="77"/>
      <c r="GI677" s="77"/>
      <c r="GJ677" s="77"/>
      <c r="GK677" s="77"/>
      <c r="GL677" s="77"/>
      <c r="GM677" s="77"/>
      <c r="GN677" s="77"/>
      <c r="GO677" s="77"/>
      <c r="GP677" s="77"/>
      <c r="GQ677" s="77"/>
      <c r="GR677" s="77"/>
      <c r="GS677" s="77"/>
      <c r="GT677" s="77"/>
      <c r="GU677" s="77"/>
      <c r="GV677" s="77"/>
      <c r="GW677" s="77"/>
      <c r="GX677" s="77"/>
      <c r="GY677" s="77"/>
      <c r="GZ677" s="77"/>
      <c r="HA677" s="77"/>
      <c r="HB677" s="77"/>
      <c r="HC677" s="77"/>
      <c r="HD677" s="77"/>
      <c r="HE677" s="77"/>
      <c r="HF677" s="77"/>
      <c r="HG677" s="77"/>
      <c r="HH677" s="77"/>
      <c r="HI677" s="77"/>
      <c r="HJ677" s="77"/>
      <c r="HK677" s="77"/>
      <c r="HL677" s="77"/>
      <c r="HM677" s="77"/>
      <c r="HN677" s="77"/>
      <c r="HO677" s="77"/>
      <c r="HP677" s="77"/>
      <c r="HQ677" s="77"/>
      <c r="HR677" s="77"/>
      <c r="HS677" s="77"/>
      <c r="HT677" s="77"/>
      <c r="HU677" s="77"/>
      <c r="HV677" s="77"/>
      <c r="HW677" s="77"/>
      <c r="HX677" s="77"/>
      <c r="HY677" s="77"/>
      <c r="HZ677" s="77"/>
      <c r="IA677" s="77"/>
      <c r="IB677" s="77"/>
      <c r="IC677" s="77"/>
      <c r="ID677" s="77"/>
      <c r="IE677" s="77"/>
      <c r="IF677" s="77"/>
      <c r="IG677" s="77"/>
      <c r="IH677" s="77"/>
      <c r="II677" s="77"/>
      <c r="IJ677" s="77"/>
      <c r="IK677" s="77"/>
      <c r="IL677" s="77"/>
      <c r="IM677" s="77"/>
      <c r="IN677" s="77"/>
      <c r="IO677" s="77"/>
      <c r="IP677" s="77"/>
      <c r="IQ677" s="77"/>
      <c r="IR677" s="77"/>
      <c r="IS677" s="77"/>
      <c r="IT677" s="77"/>
      <c r="IU677" s="77"/>
      <c r="IV677" s="77"/>
      <c r="IW677" s="77"/>
      <c r="IX677" s="77"/>
      <c r="IY677" s="77"/>
      <c r="IZ677" s="77"/>
      <c r="JA677" s="77"/>
      <c r="JB677" s="77"/>
      <c r="JC677" s="77"/>
      <c r="JD677" s="77"/>
      <c r="JE677" s="77"/>
      <c r="JF677" s="77"/>
      <c r="JG677" s="77"/>
      <c r="JH677" s="77"/>
      <c r="JI677" s="77"/>
      <c r="JJ677" s="77"/>
      <c r="JK677" s="77"/>
      <c r="JL677" s="77"/>
      <c r="JM677" s="77"/>
      <c r="JN677" s="77"/>
      <c r="JO677" s="77"/>
      <c r="JP677" s="77"/>
      <c r="JQ677" s="77"/>
      <c r="JR677" s="77"/>
      <c r="JS677" s="77"/>
      <c r="JT677" s="77"/>
      <c r="JU677" s="77"/>
      <c r="JV677" s="77"/>
      <c r="JW677" s="77"/>
      <c r="JX677" s="77"/>
      <c r="JY677" s="16"/>
      <c r="JZ677" s="16"/>
      <c r="KA677" s="16"/>
      <c r="KB677" s="16"/>
      <c r="KC677" s="16"/>
      <c r="KD677" s="16"/>
      <c r="KE677" s="16"/>
      <c r="KF677" s="16"/>
      <c r="KG677" s="16"/>
      <c r="KH677" s="16"/>
      <c r="KI677" s="16"/>
      <c r="KJ677" s="16"/>
      <c r="KK677" s="16"/>
      <c r="KL677" s="16"/>
      <c r="LL677" s="77"/>
      <c r="LM677" s="77"/>
      <c r="LN677" s="77"/>
      <c r="LO677" s="77"/>
      <c r="LP677" s="77"/>
      <c r="LQ677" s="77"/>
      <c r="LR677" s="77"/>
      <c r="LS677" s="77"/>
      <c r="LT677" s="77"/>
      <c r="LU677" s="77"/>
      <c r="LV677" s="77"/>
    </row>
    <row r="678" spans="1:368" s="21" customFormat="1" ht="18.600000000000001" customHeight="1" x14ac:dyDescent="0.25">
      <c r="A678" s="119" t="s">
        <v>515</v>
      </c>
      <c r="B678" s="27" t="s">
        <v>2194</v>
      </c>
      <c r="C678" s="27" t="s">
        <v>3458</v>
      </c>
      <c r="D678" s="30" t="str">
        <f>HYPERLINK("https://twitter.com/Andrej_Kiska","https://twitter.com/Andrej_Kiska")</f>
        <v>https://twitter.com/Andrej_Kiska</v>
      </c>
      <c r="E678" s="30" t="str">
        <f>HYPERLINK("http://twiplomacy.com/info/europe/Slovakia","http://twiplomacy.com/info/europe/Slovakia")</f>
        <v>http://twiplomacy.com/info/europe/Slovakia</v>
      </c>
      <c r="F678" s="10" t="s">
        <v>332</v>
      </c>
      <c r="G678" s="10" t="s">
        <v>514</v>
      </c>
      <c r="H678" s="10" t="s">
        <v>772</v>
      </c>
      <c r="I678" s="10" t="s">
        <v>773</v>
      </c>
      <c r="J678" s="27" t="s">
        <v>789</v>
      </c>
      <c r="K678" s="15" t="s">
        <v>777</v>
      </c>
      <c r="L678" s="10" t="s">
        <v>771</v>
      </c>
      <c r="M678" s="10" t="s">
        <v>771</v>
      </c>
      <c r="N678" s="30" t="str">
        <f>HYPERLINK("https://twitter.com/Andrej_Kiska/status/477879251715514368","https://twitter.com/Andrej_Kiska/status/477879251715514368")</f>
        <v>https://twitter.com/Andrej_Kiska/status/477879251715514368</v>
      </c>
      <c r="O678" s="27" t="s">
        <v>5684</v>
      </c>
      <c r="P678" s="80">
        <v>389</v>
      </c>
      <c r="Q678" s="80">
        <v>389</v>
      </c>
      <c r="R678" s="27" t="s">
        <v>2995</v>
      </c>
      <c r="S678" s="30" t="str">
        <f>HYPERLINK("https://twitter.com/Andrej_Kiska/lists","https://twitter.com/Andrej_Kiska/lists")</f>
        <v>https://twitter.com/Andrej_Kiska/lists</v>
      </c>
      <c r="T678" s="10" t="s">
        <v>771</v>
      </c>
      <c r="U678" s="10" t="s">
        <v>771</v>
      </c>
      <c r="V678" s="10" t="s">
        <v>771</v>
      </c>
      <c r="W678" s="10"/>
      <c r="X678" s="27" t="s">
        <v>515</v>
      </c>
      <c r="Y678" s="27" t="s">
        <v>2194</v>
      </c>
      <c r="Z678" s="80">
        <v>65</v>
      </c>
      <c r="AA678" s="27">
        <v>21</v>
      </c>
      <c r="AB678" s="80">
        <v>40106</v>
      </c>
      <c r="AC678" s="27">
        <v>7</v>
      </c>
      <c r="AD678" s="27" t="s">
        <v>3459</v>
      </c>
      <c r="AE678" s="27">
        <v>2558812321</v>
      </c>
      <c r="AF678" s="27" t="s">
        <v>3458</v>
      </c>
      <c r="AG678" s="27" t="s">
        <v>514</v>
      </c>
      <c r="AH678" s="79">
        <v>9.3930635838150298E-2</v>
      </c>
      <c r="AI678" s="83">
        <v>9.6870342771982101E-2</v>
      </c>
      <c r="AJ678" s="80">
        <v>41.421875</v>
      </c>
      <c r="AK678" s="80">
        <v>84.421875</v>
      </c>
      <c r="AL678" s="96">
        <v>2</v>
      </c>
      <c r="AM678" s="97">
        <f>SUM(AL678/Z678)</f>
        <v>3.0769230769230771E-2</v>
      </c>
      <c r="AN678" s="27" t="s">
        <v>515</v>
      </c>
      <c r="AO678" s="27">
        <v>8</v>
      </c>
      <c r="AP678" s="27">
        <v>10</v>
      </c>
      <c r="AQ678" s="27">
        <v>1</v>
      </c>
      <c r="AR678" s="27">
        <f>SUM(AO678:AQ678)</f>
        <v>19</v>
      </c>
      <c r="AS678" s="27" t="s">
        <v>5017</v>
      </c>
      <c r="AT678" s="27" t="s">
        <v>6271</v>
      </c>
      <c r="AU678" s="84" t="s">
        <v>482</v>
      </c>
      <c r="AV678" s="77"/>
      <c r="AW678" s="77"/>
      <c r="AX678" s="77"/>
      <c r="AY678" s="77"/>
      <c r="AZ678" s="77"/>
      <c r="BA678" s="77"/>
      <c r="BB678" s="77"/>
      <c r="BC678" s="77"/>
      <c r="BD678" s="77"/>
      <c r="BE678" s="77"/>
      <c r="BF678" s="77"/>
      <c r="BG678" s="77"/>
      <c r="BH678" s="77"/>
      <c r="BI678" s="77"/>
      <c r="BJ678" s="77"/>
      <c r="BK678" s="77"/>
      <c r="BL678" s="77"/>
      <c r="BN678" s="71"/>
      <c r="BO678" s="71"/>
      <c r="BP678" s="71"/>
      <c r="BQ678" s="77"/>
      <c r="BR678" s="77"/>
      <c r="BS678" s="77"/>
      <c r="BT678" s="77"/>
      <c r="BU678" s="77"/>
      <c r="BV678" s="77"/>
      <c r="BW678" s="77"/>
      <c r="BX678" s="77"/>
      <c r="BY678" s="77"/>
      <c r="BZ678" s="77"/>
      <c r="CA678" s="77"/>
      <c r="CB678" s="77"/>
      <c r="CC678" s="77"/>
      <c r="CD678" s="77"/>
      <c r="CE678" s="77"/>
      <c r="CF678" s="77"/>
      <c r="CG678" s="77"/>
      <c r="CH678" s="77"/>
      <c r="CI678" s="77"/>
      <c r="CJ678" s="77"/>
      <c r="CK678" s="77"/>
      <c r="CL678" s="77"/>
      <c r="CM678" s="77"/>
      <c r="CN678" s="77"/>
      <c r="CO678" s="77"/>
      <c r="CP678" s="77"/>
      <c r="CQ678" s="77"/>
      <c r="CR678" s="77"/>
      <c r="CS678" s="77"/>
      <c r="CT678" s="77"/>
      <c r="CU678" s="77"/>
      <c r="CV678" s="77"/>
      <c r="CW678" s="77"/>
      <c r="CX678" s="77"/>
      <c r="CY678" s="77"/>
      <c r="CZ678" s="77"/>
      <c r="DA678" s="77"/>
      <c r="DB678" s="77"/>
      <c r="DC678" s="77"/>
      <c r="DD678" s="77"/>
      <c r="DE678" s="77"/>
      <c r="DF678" s="77"/>
      <c r="DG678" s="77"/>
      <c r="DH678" s="77"/>
      <c r="DI678" s="77"/>
      <c r="DJ678" s="77"/>
      <c r="DK678" s="77"/>
      <c r="DL678" s="77"/>
      <c r="DM678" s="77"/>
      <c r="DN678" s="77"/>
      <c r="DO678" s="77"/>
      <c r="DP678" s="77"/>
      <c r="DQ678" s="77"/>
      <c r="DR678" s="77"/>
      <c r="DS678" s="77"/>
      <c r="DT678" s="77"/>
      <c r="DU678" s="77"/>
      <c r="DV678" s="77"/>
      <c r="DW678" s="77"/>
      <c r="DX678" s="77"/>
      <c r="DY678" s="77"/>
      <c r="DZ678" s="77"/>
      <c r="EA678" s="77"/>
      <c r="EB678" s="77"/>
      <c r="EC678" s="77"/>
      <c r="ED678" s="77"/>
      <c r="EE678" s="77"/>
      <c r="EF678" s="77"/>
      <c r="EG678" s="77"/>
      <c r="EH678" s="77"/>
      <c r="EI678" s="77"/>
      <c r="EJ678" s="77"/>
      <c r="EK678" s="77"/>
      <c r="EL678" s="77"/>
      <c r="EM678" s="77"/>
      <c r="EN678" s="77"/>
      <c r="EO678" s="77"/>
      <c r="EP678" s="77"/>
      <c r="EQ678" s="77"/>
      <c r="ER678" s="77"/>
      <c r="ES678" s="77"/>
      <c r="ET678" s="77"/>
      <c r="EU678" s="77"/>
      <c r="EV678" s="77"/>
      <c r="EW678" s="77"/>
      <c r="EX678" s="77"/>
      <c r="EY678" s="77"/>
      <c r="EZ678" s="77"/>
      <c r="FA678" s="77"/>
      <c r="FB678" s="77"/>
      <c r="FC678" s="77"/>
      <c r="FD678" s="77"/>
      <c r="FE678" s="77"/>
      <c r="FF678" s="77"/>
      <c r="FG678" s="77"/>
      <c r="FH678" s="77"/>
      <c r="FI678" s="77"/>
      <c r="FJ678" s="77"/>
      <c r="FK678" s="77"/>
      <c r="FL678" s="77"/>
      <c r="FM678" s="77"/>
      <c r="FN678" s="77"/>
      <c r="FO678" s="77"/>
      <c r="FP678" s="77"/>
      <c r="FQ678" s="77"/>
      <c r="FR678" s="77"/>
      <c r="FS678" s="77"/>
      <c r="FT678" s="77"/>
      <c r="FU678" s="77"/>
      <c r="FV678" s="77"/>
      <c r="FW678" s="77"/>
      <c r="FX678" s="77"/>
      <c r="FY678" s="77"/>
      <c r="FZ678" s="77"/>
      <c r="GA678" s="77"/>
      <c r="GB678" s="77"/>
      <c r="GC678" s="77"/>
      <c r="GD678" s="77"/>
      <c r="GE678" s="77"/>
      <c r="GF678" s="77"/>
      <c r="GG678" s="77"/>
      <c r="GH678" s="77"/>
      <c r="GI678" s="77"/>
      <c r="GJ678" s="77"/>
      <c r="GK678" s="77"/>
      <c r="GL678" s="77"/>
      <c r="GM678" s="77"/>
      <c r="GN678" s="77"/>
      <c r="GO678" s="77"/>
      <c r="GP678" s="77"/>
      <c r="GQ678" s="77"/>
      <c r="GR678" s="77"/>
      <c r="GS678" s="77"/>
      <c r="GT678" s="77"/>
      <c r="GU678" s="77"/>
      <c r="GV678" s="77"/>
      <c r="GW678" s="77"/>
      <c r="GX678" s="77"/>
      <c r="GY678" s="77"/>
      <c r="GZ678" s="77"/>
      <c r="HA678" s="77"/>
      <c r="HB678" s="77"/>
      <c r="HC678" s="77"/>
      <c r="HD678" s="77"/>
      <c r="HE678" s="77"/>
      <c r="HF678" s="77"/>
      <c r="HG678" s="77"/>
      <c r="HH678" s="77"/>
      <c r="HI678" s="77"/>
      <c r="HJ678" s="77"/>
      <c r="HK678" s="77"/>
      <c r="HL678" s="77"/>
      <c r="HM678" s="77"/>
      <c r="HN678" s="77"/>
      <c r="HO678" s="77"/>
      <c r="HP678" s="77"/>
      <c r="HQ678" s="77"/>
      <c r="HR678" s="77"/>
      <c r="HS678" s="77"/>
      <c r="HT678" s="77"/>
      <c r="HU678" s="77"/>
      <c r="HV678" s="77"/>
      <c r="HW678" s="77"/>
      <c r="HX678" s="77"/>
      <c r="HY678" s="77"/>
      <c r="HZ678" s="77"/>
      <c r="IA678" s="77"/>
      <c r="IB678" s="77"/>
      <c r="IC678" s="77"/>
      <c r="JY678" s="77"/>
      <c r="JZ678" s="77"/>
      <c r="KA678" s="77"/>
      <c r="KB678" s="77"/>
      <c r="KC678" s="77"/>
      <c r="KD678" s="77"/>
      <c r="KE678" s="77"/>
      <c r="KF678" s="77"/>
      <c r="KG678" s="77"/>
      <c r="KH678" s="77"/>
      <c r="KI678" s="77"/>
      <c r="KJ678" s="77"/>
      <c r="KK678" s="77"/>
      <c r="KL678" s="77"/>
      <c r="KM678" s="77"/>
      <c r="KN678" s="77"/>
      <c r="KO678" s="77"/>
      <c r="KP678" s="77"/>
      <c r="KQ678" s="77"/>
      <c r="KR678" s="77"/>
      <c r="KS678" s="77"/>
      <c r="KT678" s="77"/>
      <c r="KU678" s="77"/>
      <c r="KV678" s="77"/>
      <c r="KW678" s="77"/>
      <c r="KX678" s="77"/>
      <c r="KY678" s="77"/>
      <c r="KZ678" s="77"/>
      <c r="LA678" s="77"/>
      <c r="LB678" s="77"/>
      <c r="LC678" s="77"/>
      <c r="LD678" s="77"/>
      <c r="LE678" s="77"/>
      <c r="LF678" s="77"/>
      <c r="LG678" s="77"/>
      <c r="LH678" s="77"/>
      <c r="LI678" s="77"/>
      <c r="LJ678" s="77"/>
      <c r="LK678" s="77"/>
      <c r="LW678" s="77"/>
      <c r="LX678" s="77"/>
    </row>
    <row r="679" spans="1:368" s="21" customFormat="1" ht="18.600000000000001" customHeight="1" x14ac:dyDescent="0.25">
      <c r="A679" s="119" t="s">
        <v>628</v>
      </c>
      <c r="B679" s="27" t="s">
        <v>2550</v>
      </c>
      <c r="C679" s="27" t="s">
        <v>3588</v>
      </c>
      <c r="D679" s="34" t="s">
        <v>2549</v>
      </c>
      <c r="E679" s="34" t="s">
        <v>2548</v>
      </c>
      <c r="F679" s="38" t="s">
        <v>558</v>
      </c>
      <c r="G679" s="38" t="s">
        <v>2551</v>
      </c>
      <c r="H679" s="38" t="s">
        <v>776</v>
      </c>
      <c r="I679" s="38" t="s">
        <v>773</v>
      </c>
      <c r="J679" s="27" t="s">
        <v>789</v>
      </c>
      <c r="K679" s="15" t="s">
        <v>777</v>
      </c>
      <c r="L679" s="10"/>
      <c r="M679" s="38" t="s">
        <v>771</v>
      </c>
      <c r="N679" s="48" t="s">
        <v>2552</v>
      </c>
      <c r="O679" s="27" t="s">
        <v>3204</v>
      </c>
      <c r="P679" s="80">
        <v>14</v>
      </c>
      <c r="Q679" s="80">
        <v>9</v>
      </c>
      <c r="R679" s="27" t="s">
        <v>2995</v>
      </c>
      <c r="S679" s="34" t="s">
        <v>2553</v>
      </c>
      <c r="T679" s="10" t="s">
        <v>771</v>
      </c>
      <c r="U679" s="10" t="s">
        <v>771</v>
      </c>
      <c r="V679" s="10" t="s">
        <v>771</v>
      </c>
      <c r="W679" s="38"/>
      <c r="X679" s="27" t="s">
        <v>628</v>
      </c>
      <c r="Y679" s="27" t="s">
        <v>2550</v>
      </c>
      <c r="Z679" s="80">
        <v>64</v>
      </c>
      <c r="AA679" s="27">
        <v>5</v>
      </c>
      <c r="AB679" s="80">
        <v>154</v>
      </c>
      <c r="AC679" s="27">
        <v>2</v>
      </c>
      <c r="AD679" s="27" t="s">
        <v>3589</v>
      </c>
      <c r="AE679" s="27">
        <v>3803228357</v>
      </c>
      <c r="AF679" s="27" t="s">
        <v>3588</v>
      </c>
      <c r="AG679" s="27"/>
      <c r="AH679" s="79">
        <v>0.29493087557603698</v>
      </c>
      <c r="AI679" s="83">
        <v>0.31067961165048502</v>
      </c>
      <c r="AJ679" s="80">
        <v>2.2250000000000001</v>
      </c>
      <c r="AK679" s="80">
        <v>2.875</v>
      </c>
      <c r="AL679" s="13">
        <v>0</v>
      </c>
      <c r="AM679" s="97">
        <f>SUM(AL679/Z679)</f>
        <v>0</v>
      </c>
      <c r="AN679" s="27" t="s">
        <v>628</v>
      </c>
      <c r="AO679" s="27">
        <v>1</v>
      </c>
      <c r="AP679" s="27">
        <v>0</v>
      </c>
      <c r="AQ679" s="27">
        <v>0</v>
      </c>
      <c r="AR679" s="27">
        <f>SUM(AO679:AQ679)</f>
        <v>1</v>
      </c>
      <c r="AS679" s="27" t="s">
        <v>570</v>
      </c>
      <c r="AT679" s="27"/>
      <c r="AU679" s="84"/>
      <c r="AV679" s="77"/>
      <c r="AW679" s="77"/>
      <c r="AX679" s="77"/>
      <c r="AY679" s="77"/>
      <c r="AZ679" s="77"/>
      <c r="BA679" s="77"/>
      <c r="BB679" s="77"/>
      <c r="BC679" s="77"/>
      <c r="BD679" s="77"/>
      <c r="BE679" s="77"/>
      <c r="BF679" s="77"/>
      <c r="BG679" s="77"/>
      <c r="BH679" s="77"/>
      <c r="BI679" s="77"/>
      <c r="BJ679" s="77"/>
      <c r="BK679" s="77"/>
      <c r="BL679" s="77"/>
      <c r="BM679" s="77"/>
      <c r="BN679" s="77"/>
      <c r="BO679" s="77"/>
      <c r="BP679" s="77"/>
      <c r="BQ679" s="70"/>
      <c r="BR679" s="70"/>
      <c r="BS679" s="70"/>
      <c r="BT679" s="70"/>
      <c r="BU679" s="70"/>
      <c r="BV679" s="70"/>
      <c r="BW679" s="70"/>
      <c r="BX679" s="70"/>
      <c r="BY679" s="70"/>
      <c r="BZ679" s="70"/>
      <c r="CA679" s="70"/>
      <c r="CB679" s="70"/>
      <c r="CC679" s="77"/>
      <c r="CD679" s="77"/>
      <c r="CE679" s="77"/>
      <c r="CF679" s="77"/>
      <c r="CG679" s="77"/>
      <c r="CH679" s="77"/>
      <c r="CI679" s="77"/>
      <c r="CJ679" s="77"/>
      <c r="CK679" s="77"/>
      <c r="CL679" s="77"/>
      <c r="CM679" s="77"/>
      <c r="CN679" s="77"/>
      <c r="CO679" s="77"/>
      <c r="CP679" s="77"/>
      <c r="CQ679" s="77"/>
      <c r="CR679" s="77"/>
      <c r="CS679" s="77"/>
      <c r="CT679" s="77"/>
      <c r="CU679" s="77"/>
      <c r="CV679" s="77"/>
      <c r="CW679" s="77"/>
      <c r="CX679" s="77"/>
      <c r="CY679" s="77"/>
      <c r="CZ679" s="77"/>
      <c r="DA679" s="77"/>
      <c r="DB679" s="77"/>
      <c r="DC679" s="77"/>
      <c r="DD679" s="77"/>
      <c r="DE679" s="77"/>
      <c r="DF679" s="77"/>
      <c r="DG679" s="77"/>
      <c r="DH679" s="77"/>
      <c r="DI679" s="77"/>
      <c r="DJ679" s="77"/>
      <c r="DK679" s="77"/>
      <c r="DL679" s="77"/>
      <c r="DM679" s="77"/>
      <c r="DN679" s="77"/>
      <c r="DO679" s="77"/>
      <c r="DP679" s="77"/>
      <c r="DQ679" s="77"/>
      <c r="DR679" s="77"/>
      <c r="DS679" s="77"/>
      <c r="DT679" s="77"/>
      <c r="DU679" s="77"/>
      <c r="DV679" s="77"/>
      <c r="DW679" s="77"/>
      <c r="DX679" s="77"/>
      <c r="DY679" s="77"/>
      <c r="DZ679" s="77"/>
      <c r="EA679" s="77"/>
      <c r="EB679" s="77"/>
      <c r="EC679" s="77"/>
      <c r="ED679" s="77"/>
      <c r="EE679" s="77"/>
      <c r="EF679" s="77"/>
      <c r="EG679" s="77"/>
      <c r="EH679" s="77"/>
      <c r="EI679" s="77"/>
      <c r="EJ679" s="77"/>
      <c r="EK679" s="77"/>
      <c r="EL679" s="77"/>
      <c r="EM679" s="77"/>
      <c r="EN679" s="77"/>
      <c r="EO679" s="77"/>
      <c r="EQ679" s="77"/>
      <c r="ER679" s="16"/>
      <c r="ES679" s="16"/>
      <c r="ET679" s="16"/>
      <c r="EU679" s="16"/>
      <c r="EV679" s="16"/>
      <c r="EW679" s="16"/>
      <c r="EX679" s="16"/>
      <c r="EY679" s="16"/>
      <c r="EZ679" s="16"/>
      <c r="FA679" s="16"/>
      <c r="FB679" s="16"/>
      <c r="FC679" s="16"/>
      <c r="FD679" s="16"/>
      <c r="FE679" s="16"/>
      <c r="FF679" s="16"/>
      <c r="FG679" s="16"/>
      <c r="FH679" s="16"/>
      <c r="FI679" s="16"/>
      <c r="FJ679" s="16"/>
      <c r="FK679" s="16"/>
      <c r="FL679" s="16"/>
      <c r="FM679" s="16"/>
      <c r="FN679" s="16"/>
      <c r="FO679" s="16"/>
      <c r="FP679" s="16"/>
      <c r="FQ679" s="16"/>
      <c r="FR679" s="16"/>
      <c r="FS679" s="16"/>
      <c r="FT679" s="16"/>
      <c r="FU679" s="16"/>
      <c r="FV679" s="16"/>
      <c r="FW679" s="16"/>
      <c r="FX679" s="16"/>
      <c r="FY679" s="16"/>
      <c r="FZ679" s="16"/>
      <c r="GA679" s="16"/>
      <c r="GB679" s="16"/>
      <c r="GC679" s="16"/>
      <c r="GD679" s="16"/>
      <c r="GE679" s="16"/>
      <c r="GF679" s="16"/>
      <c r="GG679" s="16"/>
      <c r="GH679" s="16"/>
      <c r="GI679" s="16"/>
      <c r="GJ679" s="16"/>
      <c r="GK679" s="16"/>
      <c r="GL679" s="77"/>
      <c r="GM679" s="77"/>
      <c r="GN679" s="77"/>
      <c r="GO679" s="77"/>
      <c r="GP679" s="77"/>
      <c r="GQ679" s="77"/>
      <c r="GR679" s="77"/>
      <c r="GS679" s="77"/>
      <c r="GT679" s="77"/>
      <c r="GU679" s="77"/>
      <c r="GV679" s="77"/>
      <c r="GW679" s="77"/>
      <c r="GX679" s="77"/>
      <c r="GY679" s="77"/>
      <c r="GZ679" s="77"/>
      <c r="HA679" s="77"/>
      <c r="HB679" s="77"/>
      <c r="HC679" s="77"/>
      <c r="HD679" s="77"/>
      <c r="HE679" s="77"/>
      <c r="HF679" s="77"/>
      <c r="HG679" s="77"/>
      <c r="HH679" s="77"/>
      <c r="HI679" s="77"/>
      <c r="HJ679" s="77"/>
      <c r="HK679" s="77"/>
      <c r="HL679" s="77"/>
      <c r="HM679" s="77"/>
      <c r="HN679" s="77"/>
      <c r="HO679" s="77"/>
      <c r="HP679" s="77"/>
      <c r="HQ679" s="77"/>
      <c r="HR679" s="77"/>
      <c r="HS679" s="77"/>
      <c r="HT679" s="77"/>
      <c r="HU679" s="77"/>
      <c r="HV679" s="77"/>
      <c r="HW679" s="77"/>
      <c r="HX679" s="77"/>
      <c r="HY679" s="77"/>
      <c r="HZ679" s="77"/>
      <c r="IA679" s="77"/>
      <c r="IB679" s="77"/>
      <c r="IC679" s="77"/>
      <c r="ID679" s="77"/>
      <c r="IE679" s="77"/>
      <c r="IF679" s="16"/>
      <c r="IG679" s="16"/>
      <c r="IH679" s="16"/>
      <c r="II679" s="16"/>
      <c r="IJ679" s="16"/>
      <c r="IK679" s="16"/>
      <c r="IL679" s="16"/>
      <c r="IM679" s="16"/>
      <c r="IN679" s="16"/>
      <c r="IO679" s="16"/>
      <c r="IP679" s="16"/>
      <c r="IQ679" s="16"/>
      <c r="IR679" s="16"/>
      <c r="IS679" s="16"/>
      <c r="IT679" s="16"/>
      <c r="IU679" s="16"/>
      <c r="IV679" s="16"/>
      <c r="IW679" s="16"/>
      <c r="IX679" s="16"/>
      <c r="IY679" s="16"/>
      <c r="IZ679" s="16"/>
      <c r="JA679" s="16"/>
      <c r="JB679" s="16"/>
      <c r="JC679" s="16"/>
      <c r="JD679" s="16"/>
      <c r="JE679" s="16"/>
      <c r="JF679" s="16"/>
      <c r="JG679" s="16"/>
      <c r="JH679" s="16"/>
      <c r="JI679" s="16"/>
      <c r="JJ679" s="16"/>
      <c r="JK679" s="16"/>
      <c r="JL679" s="16"/>
      <c r="JM679" s="16"/>
      <c r="JN679" s="16"/>
      <c r="JO679" s="16"/>
      <c r="JP679" s="16"/>
      <c r="JQ679" s="16"/>
      <c r="JR679" s="16"/>
      <c r="JS679" s="16"/>
      <c r="JT679" s="16"/>
      <c r="JU679" s="16"/>
      <c r="JV679" s="16"/>
      <c r="JW679" s="16"/>
      <c r="JX679" s="16"/>
      <c r="JY679" s="77"/>
      <c r="JZ679" s="77"/>
      <c r="KA679" s="77"/>
      <c r="KB679" s="77"/>
      <c r="KC679" s="77"/>
      <c r="KD679" s="77"/>
      <c r="KE679" s="77"/>
      <c r="KF679" s="77"/>
      <c r="KG679" s="77"/>
      <c r="KH679" s="77"/>
      <c r="KI679" s="77"/>
      <c r="KJ679" s="77"/>
      <c r="KK679" s="77"/>
      <c r="KL679" s="77"/>
      <c r="KM679" s="77"/>
      <c r="KN679" s="77"/>
      <c r="KO679" s="77"/>
      <c r="KP679" s="77"/>
      <c r="KQ679" s="77"/>
      <c r="KR679" s="77"/>
      <c r="KS679" s="77"/>
      <c r="KT679" s="77"/>
      <c r="KU679" s="77"/>
      <c r="KV679" s="77"/>
      <c r="KW679" s="77"/>
      <c r="KX679" s="77"/>
      <c r="KY679" s="77"/>
      <c r="KZ679" s="77"/>
      <c r="LA679" s="77"/>
      <c r="LB679" s="77"/>
      <c r="LC679" s="77"/>
      <c r="LD679" s="77"/>
      <c r="LE679" s="77"/>
      <c r="LF679" s="77"/>
      <c r="LG679" s="77"/>
      <c r="LH679" s="77"/>
      <c r="LI679" s="77"/>
      <c r="LJ679" s="77"/>
      <c r="LK679" s="77"/>
      <c r="LL679" s="77"/>
      <c r="LM679" s="77"/>
      <c r="LN679" s="77"/>
      <c r="LO679" s="77"/>
      <c r="LP679" s="77"/>
      <c r="LQ679" s="77"/>
      <c r="LR679" s="77"/>
      <c r="LS679" s="77"/>
      <c r="LT679" s="77"/>
      <c r="LU679" s="77"/>
      <c r="LV679" s="77"/>
      <c r="LW679" s="77"/>
      <c r="LX679" s="77"/>
    </row>
    <row r="680" spans="1:368" s="21" customFormat="1" ht="18.600000000000001" customHeight="1" x14ac:dyDescent="0.25">
      <c r="A680" s="119" t="s">
        <v>54</v>
      </c>
      <c r="B680" s="27" t="s">
        <v>2860</v>
      </c>
      <c r="C680" s="27" t="s">
        <v>2861</v>
      </c>
      <c r="D680" s="30" t="str">
        <f>HYPERLINK("https://twitter.com/osucastle","https://twitter.com/osucastle")</f>
        <v>https://twitter.com/osucastle</v>
      </c>
      <c r="E680" s="30" t="str">
        <f>HYPERLINK("http://twiplomacy.com/info/africa/Ghana","http://twiplomacy.com/info/africa/Ghana")</f>
        <v>http://twiplomacy.com/info/africa/Ghana</v>
      </c>
      <c r="F680" s="10" t="s">
        <v>1</v>
      </c>
      <c r="G680" s="14" t="s">
        <v>49</v>
      </c>
      <c r="H680" s="14" t="s">
        <v>781</v>
      </c>
      <c r="I680" s="14" t="s">
        <v>782</v>
      </c>
      <c r="J680" s="27" t="s">
        <v>789</v>
      </c>
      <c r="K680" s="98" t="s">
        <v>1544</v>
      </c>
      <c r="L680" s="14" t="s">
        <v>771</v>
      </c>
      <c r="M680" s="14" t="s">
        <v>771</v>
      </c>
      <c r="N680" s="100" t="str">
        <f>HYPERLINK("https://twitter.com/osucastle/statuses/2182232446","https://twitter.com/osucastle/statuses/2182232446")</f>
        <v>https://twitter.com/osucastle/statuses/2182232446</v>
      </c>
      <c r="O680" s="27" t="s">
        <v>2862</v>
      </c>
      <c r="P680" s="80">
        <v>58</v>
      </c>
      <c r="Q680" s="80">
        <v>3</v>
      </c>
      <c r="R680" s="27" t="s">
        <v>2995</v>
      </c>
      <c r="S680" s="10" t="s">
        <v>2863</v>
      </c>
      <c r="T680" s="10" t="s">
        <v>771</v>
      </c>
      <c r="U680" s="10" t="s">
        <v>771</v>
      </c>
      <c r="V680" s="10" t="s">
        <v>771</v>
      </c>
      <c r="W680" s="10"/>
      <c r="X680" s="27" t="s">
        <v>54</v>
      </c>
      <c r="Y680" s="27" t="s">
        <v>2860</v>
      </c>
      <c r="Z680" s="80">
        <v>63</v>
      </c>
      <c r="AA680" s="27">
        <v>89</v>
      </c>
      <c r="AB680" s="80">
        <v>2300</v>
      </c>
      <c r="AC680" s="27">
        <v>1</v>
      </c>
      <c r="AD680" s="27" t="s">
        <v>4223</v>
      </c>
      <c r="AE680" s="27">
        <v>47425726</v>
      </c>
      <c r="AF680" s="27" t="s">
        <v>2861</v>
      </c>
      <c r="AG680" s="27"/>
      <c r="AH680" s="79">
        <v>2.5079617834394899E-2</v>
      </c>
      <c r="AI680" s="83">
        <v>4.3418332184700197E-2</v>
      </c>
      <c r="AJ680" s="80">
        <v>1.5932203389830499</v>
      </c>
      <c r="AK680" s="80">
        <v>0.186440677966102</v>
      </c>
      <c r="AL680" s="27">
        <v>2</v>
      </c>
      <c r="AM680" s="97">
        <f>SUM(AL680/Z680)</f>
        <v>3.1746031746031744E-2</v>
      </c>
      <c r="AN680" s="27" t="s">
        <v>54</v>
      </c>
      <c r="AO680" s="27">
        <v>3</v>
      </c>
      <c r="AP680" s="27">
        <v>3</v>
      </c>
      <c r="AQ680" s="27">
        <v>0</v>
      </c>
      <c r="AR680" s="27">
        <f>SUM(AO680:AQ680)</f>
        <v>6</v>
      </c>
      <c r="AS680" s="27" t="s">
        <v>5245</v>
      </c>
      <c r="AT680" s="27" t="s">
        <v>5236</v>
      </c>
      <c r="AU680" s="84"/>
      <c r="AV680" s="77"/>
      <c r="AW680" s="77"/>
      <c r="AX680" s="77"/>
      <c r="AY680" s="77"/>
      <c r="AZ680" s="77"/>
      <c r="BA680" s="77"/>
      <c r="BB680" s="77"/>
      <c r="BC680" s="77"/>
      <c r="BD680" s="77"/>
      <c r="BE680" s="77"/>
      <c r="BF680" s="77"/>
      <c r="BG680" s="77"/>
      <c r="BH680" s="77"/>
      <c r="BI680" s="77"/>
      <c r="BJ680" s="77"/>
      <c r="BK680" s="77"/>
      <c r="BL680" s="77"/>
      <c r="BM680" s="77"/>
      <c r="BN680" s="77"/>
      <c r="BO680" s="77"/>
      <c r="BP680" s="77"/>
      <c r="BQ680" s="77"/>
      <c r="BR680" s="77"/>
      <c r="BS680" s="77"/>
      <c r="BT680" s="77"/>
      <c r="BU680" s="77"/>
      <c r="BV680" s="77"/>
      <c r="BW680" s="77"/>
      <c r="BX680" s="77"/>
      <c r="BY680" s="77"/>
      <c r="BZ680" s="77"/>
      <c r="CA680" s="77"/>
      <c r="CB680" s="77"/>
      <c r="CC680" s="77"/>
      <c r="CD680" s="77"/>
      <c r="CE680" s="77"/>
      <c r="CF680" s="77"/>
      <c r="CG680" s="77"/>
      <c r="CH680" s="77"/>
      <c r="CI680" s="77"/>
      <c r="CJ680" s="77"/>
      <c r="CK680" s="77"/>
      <c r="CL680" s="77"/>
      <c r="CM680" s="77"/>
      <c r="CN680" s="77"/>
      <c r="CO680" s="77"/>
      <c r="CP680" s="77"/>
      <c r="CQ680" s="77"/>
      <c r="CR680" s="77"/>
      <c r="CS680" s="77"/>
      <c r="CT680" s="77"/>
      <c r="CU680" s="77"/>
      <c r="CV680" s="77"/>
      <c r="CW680" s="77"/>
      <c r="CX680" s="77"/>
      <c r="CY680" s="77"/>
      <c r="CZ680" s="77"/>
      <c r="DA680" s="77"/>
      <c r="DB680" s="77"/>
      <c r="DC680" s="77"/>
      <c r="DD680" s="77"/>
      <c r="DE680" s="77"/>
      <c r="DF680" s="77"/>
      <c r="DG680" s="77"/>
      <c r="DH680" s="77"/>
      <c r="DI680" s="77"/>
      <c r="DJ680" s="77"/>
      <c r="DK680" s="77"/>
      <c r="DL680" s="77"/>
      <c r="DM680" s="77"/>
      <c r="DN680" s="77"/>
      <c r="DO680" s="77"/>
      <c r="DP680" s="77"/>
      <c r="DQ680" s="77"/>
      <c r="DR680" s="77"/>
      <c r="DS680" s="77"/>
      <c r="DT680" s="77"/>
      <c r="DU680" s="77"/>
      <c r="DV680" s="77"/>
      <c r="DW680" s="77"/>
      <c r="DX680" s="77"/>
      <c r="DY680" s="77"/>
      <c r="DZ680" s="77"/>
      <c r="EA680" s="77"/>
      <c r="EB680" s="77"/>
      <c r="EC680" s="77"/>
      <c r="ED680" s="77"/>
      <c r="EE680" s="77"/>
      <c r="EF680" s="77"/>
      <c r="EG680" s="77"/>
      <c r="EH680" s="77"/>
      <c r="EI680" s="77"/>
      <c r="EJ680" s="77"/>
      <c r="EK680" s="77"/>
      <c r="EL680" s="77"/>
      <c r="EM680" s="77"/>
      <c r="EN680" s="77"/>
      <c r="EO680" s="77"/>
      <c r="EP680" s="77"/>
      <c r="EQ680" s="16"/>
      <c r="ER680" s="16"/>
      <c r="ES680" s="16"/>
      <c r="ET680" s="16"/>
      <c r="EU680" s="16"/>
      <c r="EV680" s="16"/>
      <c r="EW680" s="16"/>
      <c r="EX680" s="16"/>
      <c r="EY680" s="16"/>
      <c r="EZ680" s="16"/>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16"/>
      <c r="GH680" s="16"/>
      <c r="GI680" s="16"/>
      <c r="GJ680" s="16"/>
      <c r="GK680" s="16"/>
      <c r="GL680" s="77"/>
      <c r="GM680" s="77"/>
      <c r="GN680" s="77"/>
      <c r="GO680" s="77"/>
      <c r="GP680" s="77"/>
      <c r="GQ680" s="77"/>
      <c r="GR680" s="77"/>
      <c r="GS680" s="77"/>
      <c r="GT680" s="77"/>
      <c r="GU680" s="77"/>
      <c r="GV680" s="77"/>
      <c r="GW680" s="77"/>
      <c r="GX680" s="77"/>
      <c r="GY680" s="77"/>
      <c r="GZ680" s="77"/>
      <c r="HA680" s="77"/>
      <c r="HB680" s="77"/>
      <c r="HC680" s="77"/>
      <c r="HD680" s="77"/>
      <c r="HE680" s="77"/>
      <c r="HF680" s="77"/>
      <c r="HG680" s="77"/>
      <c r="HH680" s="77"/>
      <c r="HI680" s="77"/>
      <c r="HJ680" s="77"/>
      <c r="HK680" s="77"/>
      <c r="HL680" s="16"/>
      <c r="HM680" s="16"/>
      <c r="HN680" s="16"/>
      <c r="HO680" s="16"/>
      <c r="HP680" s="16"/>
      <c r="HQ680" s="16"/>
      <c r="HR680" s="16"/>
      <c r="HS680" s="16"/>
      <c r="HT680" s="16"/>
      <c r="HU680" s="16"/>
      <c r="HV680" s="16"/>
      <c r="HW680" s="16"/>
      <c r="HX680" s="16"/>
      <c r="HY680" s="16"/>
      <c r="HZ680" s="16"/>
      <c r="IA680" s="16"/>
      <c r="IB680" s="16"/>
      <c r="IC680" s="16"/>
      <c r="IF680" s="77"/>
      <c r="IG680" s="77"/>
      <c r="IH680" s="77"/>
      <c r="II680" s="77"/>
      <c r="IJ680" s="77"/>
      <c r="IK680" s="77"/>
      <c r="IL680" s="77"/>
      <c r="IM680" s="77"/>
      <c r="IN680" s="77"/>
      <c r="IO680" s="77"/>
      <c r="IP680" s="77"/>
      <c r="IQ680" s="77"/>
      <c r="IR680" s="77"/>
      <c r="IS680" s="77"/>
      <c r="IT680" s="77"/>
      <c r="IU680" s="77"/>
      <c r="IV680" s="77"/>
      <c r="IW680" s="77"/>
      <c r="IX680" s="77"/>
      <c r="IY680" s="77"/>
      <c r="IZ680" s="77"/>
      <c r="JA680" s="77"/>
      <c r="JB680" s="77"/>
      <c r="JC680" s="77"/>
      <c r="JD680" s="77"/>
      <c r="JE680" s="77"/>
      <c r="JF680" s="77"/>
      <c r="JG680" s="77"/>
      <c r="JH680" s="77"/>
      <c r="JI680" s="77"/>
      <c r="JJ680" s="77"/>
      <c r="JK680" s="77"/>
      <c r="JL680" s="77"/>
      <c r="JM680" s="77"/>
      <c r="JN680" s="77"/>
      <c r="JO680" s="77"/>
      <c r="JP680" s="77"/>
      <c r="JQ680" s="77"/>
      <c r="JR680" s="77"/>
      <c r="JS680" s="77"/>
      <c r="JT680" s="77"/>
      <c r="JU680" s="77"/>
      <c r="JV680" s="77"/>
      <c r="JW680" s="77"/>
      <c r="JX680" s="77"/>
      <c r="JY680" s="77"/>
      <c r="JZ680" s="77"/>
      <c r="KA680" s="77"/>
      <c r="KB680" s="77"/>
      <c r="KC680" s="77"/>
      <c r="KD680" s="77"/>
      <c r="KE680" s="77"/>
      <c r="KF680" s="77"/>
      <c r="KG680" s="77"/>
      <c r="KH680" s="77"/>
      <c r="KI680" s="77"/>
      <c r="KJ680" s="77"/>
      <c r="KK680" s="77"/>
      <c r="KL680" s="77"/>
      <c r="LL680" s="77"/>
      <c r="LM680" s="77"/>
      <c r="LN680" s="77"/>
      <c r="LO680" s="77"/>
      <c r="LP680" s="77"/>
      <c r="LQ680" s="77"/>
      <c r="LR680" s="77"/>
      <c r="LS680" s="77"/>
      <c r="LT680" s="77"/>
      <c r="LU680" s="77"/>
      <c r="LV680" s="77"/>
      <c r="LY680" s="77"/>
      <c r="LZ680" s="77"/>
      <c r="MA680" s="77"/>
      <c r="MB680" s="77"/>
      <c r="MC680" s="77"/>
      <c r="MD680" s="77"/>
      <c r="ME680" s="77"/>
      <c r="MF680" s="77"/>
      <c r="MG680" s="77"/>
      <c r="MH680" s="77"/>
      <c r="MI680" s="77"/>
      <c r="MJ680" s="77"/>
      <c r="MK680" s="77"/>
      <c r="ML680" s="77"/>
      <c r="MM680" s="77"/>
      <c r="MN680" s="77"/>
      <c r="MO680" s="77"/>
      <c r="MP680" s="77"/>
      <c r="MQ680" s="77"/>
      <c r="MR680" s="77"/>
      <c r="MS680" s="77"/>
    </row>
    <row r="681" spans="1:368" s="21" customFormat="1" ht="18.600000000000001" customHeight="1" x14ac:dyDescent="0.25">
      <c r="A681" s="119" t="s">
        <v>2904</v>
      </c>
      <c r="B681" s="27" t="s">
        <v>2904</v>
      </c>
      <c r="C681" s="27" t="s">
        <v>2905</v>
      </c>
      <c r="D681" s="30" t="str">
        <f>HYPERLINK("https://twitter.com/Hilaaleege","https://twitter.com/Hilaaleege")</f>
        <v>https://twitter.com/Hilaaleege</v>
      </c>
      <c r="E681" s="30" t="str">
        <f>HYPERLINK("http://twiplomacy.com/info/asia/Maldives","http://twiplomacy.com/info/asia/Maldives")</f>
        <v>http://twiplomacy.com/info/asia/Maldives</v>
      </c>
      <c r="F681" s="14" t="s">
        <v>154</v>
      </c>
      <c r="G681" s="14" t="s">
        <v>244</v>
      </c>
      <c r="H681" s="14" t="s">
        <v>781</v>
      </c>
      <c r="I681" s="14" t="s">
        <v>782</v>
      </c>
      <c r="J681" s="27" t="s">
        <v>789</v>
      </c>
      <c r="K681" s="15" t="s">
        <v>963</v>
      </c>
      <c r="L681" s="14" t="s">
        <v>771</v>
      </c>
      <c r="M681" s="14" t="s">
        <v>771</v>
      </c>
      <c r="N681" s="100" t="str">
        <f>HYPERLINK("https://twitter.com/Hilaaleege/statuses/11183823113","https://twitter.com/Hilaaleege/statuses/11183823113")</f>
        <v>https://twitter.com/Hilaaleege/statuses/11183823113</v>
      </c>
      <c r="O681" s="27" t="s">
        <v>5862</v>
      </c>
      <c r="P681" s="80">
        <v>12</v>
      </c>
      <c r="Q681" s="80">
        <v>1</v>
      </c>
      <c r="R681" s="27" t="s">
        <v>2995</v>
      </c>
      <c r="S681" s="10" t="s">
        <v>2906</v>
      </c>
      <c r="T681" s="10" t="s">
        <v>771</v>
      </c>
      <c r="U681" s="10">
        <v>2</v>
      </c>
      <c r="V681" s="10" t="s">
        <v>771</v>
      </c>
      <c r="W681" s="14"/>
      <c r="X681" s="27" t="s">
        <v>2904</v>
      </c>
      <c r="Y681" s="27" t="s">
        <v>2904</v>
      </c>
      <c r="Z681" s="80">
        <v>63</v>
      </c>
      <c r="AA681" s="27">
        <v>1078</v>
      </c>
      <c r="AB681" s="80">
        <v>2365</v>
      </c>
      <c r="AC681" s="27">
        <v>0</v>
      </c>
      <c r="AD681" s="27" t="s">
        <v>3807</v>
      </c>
      <c r="AE681" s="27">
        <v>100006693</v>
      </c>
      <c r="AF681" s="27" t="s">
        <v>2905</v>
      </c>
      <c r="AG681" s="27" t="s">
        <v>2907</v>
      </c>
      <c r="AH681" s="79">
        <v>2.7190332326284001E-2</v>
      </c>
      <c r="AI681" s="83">
        <v>5.2369077306733201E-2</v>
      </c>
      <c r="AJ681" s="80">
        <v>1.0909090909090899</v>
      </c>
      <c r="AK681" s="80">
        <v>0.22727272727272699</v>
      </c>
      <c r="AL681" s="27">
        <v>8</v>
      </c>
      <c r="AM681" s="97">
        <f>SUM(AL681/Z681)</f>
        <v>0.12698412698412698</v>
      </c>
      <c r="AN681" s="27" t="s">
        <v>2904</v>
      </c>
      <c r="AO681" s="27">
        <v>2</v>
      </c>
      <c r="AP681" s="27">
        <v>2</v>
      </c>
      <c r="AQ681" s="27">
        <v>0</v>
      </c>
      <c r="AR681" s="27">
        <f>SUM(AO681:AQ681)</f>
        <v>4</v>
      </c>
      <c r="AS681" s="27" t="s">
        <v>5179</v>
      </c>
      <c r="AT681" s="27" t="s">
        <v>5180</v>
      </c>
      <c r="AU681" s="84"/>
      <c r="AV681" s="77"/>
      <c r="AW681" s="77"/>
      <c r="AX681" s="77"/>
      <c r="AY681" s="77"/>
      <c r="AZ681" s="77"/>
      <c r="BA681" s="77"/>
      <c r="BB681" s="77"/>
      <c r="BC681" s="77"/>
      <c r="BD681" s="77"/>
      <c r="BE681" s="77"/>
      <c r="BF681" s="77"/>
      <c r="BG681" s="77"/>
      <c r="BH681" s="77"/>
      <c r="BI681" s="77"/>
      <c r="BJ681" s="77"/>
      <c r="BK681" s="77"/>
      <c r="BL681" s="77"/>
      <c r="BM681" s="77"/>
      <c r="BN681" s="77"/>
      <c r="BO681" s="77"/>
      <c r="BP681" s="77"/>
      <c r="BQ681" s="16"/>
      <c r="BR681" s="16"/>
      <c r="BS681" s="16"/>
      <c r="BT681" s="16"/>
      <c r="BU681" s="16"/>
      <c r="BV681" s="16"/>
      <c r="BW681" s="16"/>
      <c r="BX681" s="16"/>
      <c r="BY681" s="16"/>
      <c r="BZ681" s="16"/>
      <c r="CA681" s="16"/>
      <c r="CB681" s="16"/>
      <c r="CC681" s="77"/>
      <c r="CD681" s="77"/>
      <c r="CE681" s="77"/>
      <c r="CF681" s="77"/>
      <c r="CG681" s="77"/>
      <c r="CH681" s="77"/>
      <c r="CI681" s="77"/>
      <c r="CJ681" s="77"/>
      <c r="CK681" s="77"/>
      <c r="CL681" s="77"/>
      <c r="CM681" s="77"/>
      <c r="CN681" s="77"/>
      <c r="CO681" s="77"/>
      <c r="CP681" s="77"/>
      <c r="CQ681" s="77"/>
      <c r="CR681" s="77"/>
      <c r="CS681" s="77"/>
      <c r="CT681" s="77"/>
      <c r="CU681" s="77"/>
      <c r="CV681" s="77"/>
      <c r="CW681" s="77"/>
      <c r="EM681" s="77"/>
      <c r="EN681" s="77"/>
      <c r="EO681" s="77"/>
      <c r="EP681" s="77"/>
      <c r="EQ681" s="77"/>
      <c r="ER681" s="77"/>
      <c r="ES681" s="77"/>
      <c r="ET681" s="77"/>
      <c r="EU681" s="77"/>
      <c r="EV681" s="77"/>
      <c r="EW681" s="77"/>
      <c r="EX681" s="77"/>
      <c r="EY681" s="77"/>
      <c r="EZ681" s="77"/>
      <c r="FA681" s="77"/>
      <c r="FB681" s="77"/>
      <c r="FC681" s="77"/>
      <c r="FD681" s="77"/>
      <c r="FE681" s="77"/>
      <c r="FF681" s="77"/>
      <c r="FG681" s="77"/>
      <c r="FH681" s="77"/>
      <c r="FI681" s="77"/>
      <c r="FJ681" s="77"/>
      <c r="FK681" s="77"/>
      <c r="FL681" s="77"/>
      <c r="FM681" s="77"/>
      <c r="FN681" s="77"/>
      <c r="FO681" s="77"/>
      <c r="FP681" s="77"/>
      <c r="FQ681" s="77"/>
      <c r="FR681" s="77"/>
      <c r="FS681" s="77"/>
      <c r="FT681" s="77"/>
      <c r="FU681" s="77"/>
      <c r="FV681" s="77"/>
      <c r="FW681" s="77"/>
      <c r="FX681" s="77"/>
      <c r="FY681" s="77"/>
      <c r="FZ681" s="77"/>
      <c r="GA681" s="77"/>
      <c r="GB681" s="77"/>
      <c r="GC681" s="77"/>
      <c r="GD681" s="77"/>
      <c r="GE681" s="77"/>
      <c r="GF681" s="77"/>
      <c r="GG681" s="77"/>
      <c r="GH681" s="77"/>
      <c r="GI681" s="77"/>
      <c r="GJ681" s="77"/>
      <c r="GK681" s="77"/>
      <c r="GL681" s="77"/>
      <c r="GM681" s="77"/>
      <c r="GN681" s="77"/>
      <c r="GO681" s="77"/>
      <c r="GP681" s="77"/>
      <c r="GQ681" s="77"/>
      <c r="GR681" s="77"/>
      <c r="GS681" s="77"/>
      <c r="GT681" s="77"/>
      <c r="GU681" s="77"/>
      <c r="GV681" s="77"/>
      <c r="GW681" s="77"/>
      <c r="GX681" s="77"/>
      <c r="GY681" s="77"/>
      <c r="GZ681" s="77"/>
      <c r="HA681" s="77"/>
      <c r="HB681" s="77"/>
      <c r="HC681" s="77"/>
      <c r="HD681" s="77"/>
      <c r="HE681" s="77"/>
      <c r="HF681" s="77"/>
      <c r="HG681" s="77"/>
      <c r="HH681" s="77"/>
      <c r="HI681" s="77"/>
      <c r="HJ681" s="77"/>
      <c r="HK681" s="77"/>
      <c r="HL681" s="77"/>
      <c r="HM681" s="77"/>
      <c r="HN681" s="77"/>
      <c r="HO681" s="77"/>
      <c r="HP681" s="77"/>
      <c r="HQ681" s="77"/>
      <c r="HR681" s="77"/>
      <c r="HS681" s="77"/>
      <c r="HT681" s="77"/>
      <c r="HU681" s="77"/>
      <c r="HV681" s="77"/>
      <c r="HW681" s="77"/>
      <c r="HX681" s="77"/>
      <c r="HY681" s="77"/>
      <c r="HZ681" s="77"/>
      <c r="IA681" s="77"/>
      <c r="IB681" s="77"/>
      <c r="IC681" s="77"/>
      <c r="ID681" s="77"/>
      <c r="IE681" s="77"/>
      <c r="JY681" s="77"/>
      <c r="JZ681" s="77"/>
      <c r="KA681" s="77"/>
      <c r="KB681" s="77"/>
      <c r="KC681" s="77"/>
      <c r="KD681" s="77"/>
      <c r="KE681" s="77"/>
      <c r="KF681" s="77"/>
      <c r="KG681" s="77"/>
      <c r="KH681" s="77"/>
      <c r="KI681" s="77"/>
      <c r="KJ681" s="77"/>
      <c r="KK681" s="77"/>
      <c r="KL681" s="77"/>
      <c r="KM681" s="77"/>
      <c r="KN681" s="77"/>
      <c r="KO681" s="77"/>
      <c r="KP681" s="77"/>
      <c r="KQ681" s="77"/>
      <c r="KR681" s="77"/>
      <c r="KS681" s="77"/>
      <c r="KT681" s="77"/>
      <c r="KU681" s="77"/>
      <c r="KV681" s="77"/>
      <c r="KW681" s="77"/>
      <c r="KX681" s="77"/>
      <c r="KY681" s="77"/>
      <c r="KZ681" s="77"/>
      <c r="LA681" s="77"/>
      <c r="LB681" s="77"/>
      <c r="LC681" s="77"/>
      <c r="LD681" s="77"/>
      <c r="LE681" s="77"/>
      <c r="LF681" s="77"/>
      <c r="LG681" s="77"/>
      <c r="LH681" s="77"/>
      <c r="LI681" s="77"/>
      <c r="LJ681" s="77"/>
      <c r="LK681" s="77"/>
      <c r="LL681" s="77"/>
      <c r="LM681" s="77"/>
      <c r="LN681" s="77"/>
      <c r="LO681" s="77"/>
      <c r="LP681" s="77"/>
      <c r="LQ681" s="77"/>
      <c r="LR681" s="77"/>
      <c r="LS681" s="77"/>
      <c r="LT681" s="77"/>
      <c r="LU681" s="77"/>
      <c r="LV681" s="77"/>
      <c r="MS681" s="16"/>
    </row>
    <row r="682" spans="1:368" s="21" customFormat="1" ht="18.600000000000001" customHeight="1" x14ac:dyDescent="0.25">
      <c r="A682" s="119" t="s">
        <v>1082</v>
      </c>
      <c r="B682" s="27" t="s">
        <v>1083</v>
      </c>
      <c r="C682" s="27" t="s">
        <v>1084</v>
      </c>
      <c r="D682" s="30" t="str">
        <f>HYPERLINK("https://twitter.com/PMOComms","https://twitter.com/PMOComms")</f>
        <v>https://twitter.com/PMOComms</v>
      </c>
      <c r="E682" s="30" t="str">
        <f>HYPERLINK("http://twiplomacy.com/info/africa/Somalia","http://twiplomacy.com/info/africa/Somalia")</f>
        <v>http://twiplomacy.com/info/africa/Somalia</v>
      </c>
      <c r="F682" s="10" t="s">
        <v>1</v>
      </c>
      <c r="G682" s="10" t="s">
        <v>113</v>
      </c>
      <c r="H682" s="10" t="s">
        <v>788</v>
      </c>
      <c r="I682" s="10" t="s">
        <v>782</v>
      </c>
      <c r="J682" s="27" t="s">
        <v>789</v>
      </c>
      <c r="K682" s="15" t="s">
        <v>4638</v>
      </c>
      <c r="L682" s="10" t="s">
        <v>771</v>
      </c>
      <c r="M682" s="10" t="s">
        <v>770</v>
      </c>
      <c r="N682" s="30" t="str">
        <f>HYPERLINK("https://twitter.com/TheVillaSomalia/status/486566133534031872","https://twitter.com/TheVillaSomalia/status/486566133534031872")</f>
        <v>https://twitter.com/TheVillaSomalia/status/486566133534031872</v>
      </c>
      <c r="O682" s="27" t="s">
        <v>1085</v>
      </c>
      <c r="P682" s="80">
        <v>19</v>
      </c>
      <c r="Q682" s="80">
        <v>6</v>
      </c>
      <c r="R682" s="27" t="s">
        <v>2995</v>
      </c>
      <c r="S682" s="30" t="str">
        <f>HYPERLINK("https://twitter.com/PMOComms/lists","https://twitter.com/PMOComms/lists")</f>
        <v>https://twitter.com/PMOComms/lists</v>
      </c>
      <c r="T682" s="10" t="s">
        <v>771</v>
      </c>
      <c r="U682" s="10" t="s">
        <v>771</v>
      </c>
      <c r="V682" s="10" t="s">
        <v>771</v>
      </c>
      <c r="W682" s="10"/>
      <c r="X682" s="27" t="s">
        <v>1082</v>
      </c>
      <c r="Y682" s="27" t="s">
        <v>1083</v>
      </c>
      <c r="Z682" s="80">
        <v>62</v>
      </c>
      <c r="AA682" s="27">
        <v>98</v>
      </c>
      <c r="AB682" s="80">
        <v>398</v>
      </c>
      <c r="AC682" s="27">
        <v>3</v>
      </c>
      <c r="AD682" s="27" t="s">
        <v>4265</v>
      </c>
      <c r="AE682" s="27">
        <v>1623929238</v>
      </c>
      <c r="AF682" s="27" t="s">
        <v>1084</v>
      </c>
      <c r="AG682" s="27" t="s">
        <v>1080</v>
      </c>
      <c r="AH682" s="79">
        <v>6.1386138613861399E-2</v>
      </c>
      <c r="AI682" s="83">
        <v>0.238461538461538</v>
      </c>
      <c r="AJ682" s="80">
        <v>4.5142857142857098</v>
      </c>
      <c r="AK682" s="80">
        <v>1.74285714285714</v>
      </c>
      <c r="AL682" s="27">
        <v>6</v>
      </c>
      <c r="AM682" s="97">
        <f>SUM(AL682/Z682)</f>
        <v>9.6774193548387094E-2</v>
      </c>
      <c r="AN682" s="27" t="s">
        <v>1082</v>
      </c>
      <c r="AO682" s="27">
        <v>4</v>
      </c>
      <c r="AP682" s="27">
        <v>3</v>
      </c>
      <c r="AQ682" s="27">
        <v>1</v>
      </c>
      <c r="AR682" s="27">
        <f>SUM(AO682:AQ682)</f>
        <v>8</v>
      </c>
      <c r="AS682" s="27" t="s">
        <v>5626</v>
      </c>
      <c r="AT682" s="27" t="s">
        <v>5396</v>
      </c>
      <c r="AU682" s="84" t="s">
        <v>116</v>
      </c>
      <c r="AV682" s="77"/>
      <c r="AW682" s="77"/>
      <c r="AX682" s="77"/>
      <c r="AY682" s="77"/>
      <c r="AZ682" s="77"/>
      <c r="BA682" s="77"/>
      <c r="BB682" s="77"/>
      <c r="BC682" s="77"/>
      <c r="BD682" s="77"/>
      <c r="BE682" s="77"/>
      <c r="BF682" s="77"/>
      <c r="BG682" s="77"/>
      <c r="BH682" s="77"/>
      <c r="BI682" s="77"/>
      <c r="BJ682" s="77"/>
      <c r="BK682" s="77"/>
      <c r="BL682" s="77"/>
      <c r="BM682" s="77"/>
      <c r="BN682" s="77"/>
      <c r="BO682" s="77"/>
      <c r="BP682" s="77"/>
      <c r="CC682" s="77"/>
      <c r="CD682" s="77"/>
      <c r="CE682" s="77"/>
      <c r="CF682" s="77"/>
      <c r="CG682" s="77"/>
      <c r="CH682" s="77"/>
      <c r="CI682" s="77"/>
      <c r="CJ682" s="77"/>
      <c r="CK682" s="77"/>
      <c r="CL682" s="77"/>
      <c r="CM682" s="77"/>
      <c r="CN682" s="77"/>
      <c r="CO682" s="77"/>
      <c r="CP682" s="77"/>
      <c r="CQ682" s="77"/>
      <c r="CR682" s="77"/>
      <c r="CS682" s="77"/>
      <c r="CT682" s="77"/>
      <c r="CU682" s="77"/>
      <c r="CV682" s="77"/>
      <c r="CW682" s="77"/>
      <c r="CX682" s="77"/>
      <c r="CY682" s="77"/>
      <c r="CZ682" s="77"/>
      <c r="DA682" s="77"/>
      <c r="DB682" s="77"/>
      <c r="DC682" s="77"/>
      <c r="DD682" s="77"/>
      <c r="DE682" s="77"/>
      <c r="DF682" s="77"/>
      <c r="DG682" s="77"/>
      <c r="DH682" s="77"/>
      <c r="DI682" s="77"/>
      <c r="DJ682" s="77"/>
      <c r="DK682" s="77"/>
      <c r="DL682" s="77"/>
      <c r="DM682" s="77"/>
      <c r="DN682" s="77"/>
      <c r="DO682" s="77"/>
      <c r="DP682" s="77"/>
      <c r="DQ682" s="77"/>
      <c r="DR682" s="77"/>
      <c r="DS682" s="77"/>
      <c r="DT682" s="77"/>
      <c r="DU682" s="77"/>
      <c r="DV682" s="77"/>
      <c r="DW682" s="77"/>
      <c r="DX682" s="77"/>
      <c r="DY682" s="77"/>
      <c r="DZ682" s="77"/>
      <c r="EA682" s="77"/>
      <c r="EB682" s="77"/>
      <c r="EC682" s="77"/>
      <c r="ED682" s="77"/>
      <c r="EE682" s="77"/>
      <c r="EF682" s="77"/>
      <c r="EG682" s="77"/>
      <c r="EH682" s="77"/>
      <c r="EI682" s="77"/>
      <c r="EJ682" s="77"/>
      <c r="EK682" s="77"/>
      <c r="EL682" s="77"/>
      <c r="EM682" s="77"/>
      <c r="EN682" s="77"/>
      <c r="EO682" s="77"/>
      <c r="EP682" s="77"/>
      <c r="ER682" s="77"/>
      <c r="ES682" s="77"/>
      <c r="ET682" s="77"/>
      <c r="EU682" s="77"/>
      <c r="EV682" s="77"/>
      <c r="EW682" s="77"/>
      <c r="EX682" s="77"/>
      <c r="EY682" s="77"/>
      <c r="EZ682" s="77"/>
      <c r="FA682" s="77"/>
      <c r="FB682" s="77"/>
      <c r="FC682" s="77"/>
      <c r="FD682" s="77"/>
      <c r="FE682" s="77"/>
      <c r="FF682" s="77"/>
      <c r="FG682" s="77"/>
      <c r="FH682" s="77"/>
      <c r="FI682" s="77"/>
      <c r="FJ682" s="77"/>
      <c r="FK682" s="77"/>
      <c r="FL682" s="77"/>
      <c r="FM682" s="77"/>
      <c r="FN682" s="77"/>
      <c r="FO682" s="77"/>
      <c r="FP682" s="77"/>
      <c r="FQ682" s="77"/>
      <c r="FR682" s="77"/>
      <c r="FS682" s="77"/>
      <c r="FT682" s="77"/>
      <c r="FU682" s="77"/>
      <c r="FV682" s="77"/>
      <c r="FW682" s="77"/>
      <c r="FX682" s="77"/>
      <c r="FY682" s="77"/>
      <c r="FZ682" s="77"/>
      <c r="GA682" s="77"/>
      <c r="GB682" s="77"/>
      <c r="GC682" s="77"/>
      <c r="GD682" s="77"/>
      <c r="GE682" s="77"/>
      <c r="GF682" s="77"/>
      <c r="GG682" s="77"/>
      <c r="GH682" s="77"/>
      <c r="GI682" s="77"/>
      <c r="GJ682" s="77"/>
      <c r="GK682" s="77"/>
      <c r="GL682" s="77"/>
      <c r="GM682" s="77"/>
      <c r="GN682" s="77"/>
      <c r="GO682" s="77"/>
      <c r="GP682" s="77"/>
      <c r="GQ682" s="77"/>
      <c r="GR682" s="77"/>
      <c r="GS682" s="77"/>
      <c r="GT682" s="77"/>
      <c r="GU682" s="77"/>
      <c r="GV682" s="77"/>
      <c r="GW682" s="77"/>
      <c r="GX682" s="77"/>
      <c r="GY682" s="77"/>
      <c r="GZ682" s="77"/>
      <c r="HA682" s="77"/>
      <c r="HB682" s="77"/>
      <c r="HC682" s="77"/>
      <c r="HD682" s="77"/>
      <c r="HE682" s="77"/>
      <c r="HF682" s="77"/>
      <c r="HG682" s="77"/>
      <c r="HH682" s="77"/>
      <c r="HI682" s="77"/>
      <c r="HJ682" s="77"/>
      <c r="HK682" s="77"/>
      <c r="HL682" s="77"/>
      <c r="HM682" s="77"/>
      <c r="HN682" s="77"/>
      <c r="HO682" s="77"/>
      <c r="HP682" s="77"/>
      <c r="HQ682" s="77"/>
      <c r="HR682" s="77"/>
      <c r="HS682" s="77"/>
      <c r="HT682" s="77"/>
      <c r="HU682" s="77"/>
      <c r="HV682" s="77"/>
      <c r="HW682" s="77"/>
      <c r="HX682" s="77"/>
      <c r="HY682" s="77"/>
      <c r="HZ682" s="77"/>
      <c r="IA682" s="77"/>
      <c r="IB682" s="77"/>
      <c r="IC682" s="77"/>
      <c r="ID682" s="16"/>
      <c r="IE682" s="16"/>
      <c r="JY682" s="77"/>
      <c r="JZ682" s="77"/>
      <c r="KA682" s="77"/>
      <c r="KB682" s="77"/>
      <c r="KC682" s="77"/>
      <c r="KD682" s="77"/>
      <c r="KE682" s="77"/>
      <c r="KF682" s="77"/>
      <c r="KG682" s="77"/>
      <c r="KH682" s="77"/>
      <c r="KI682" s="77"/>
      <c r="KJ682" s="77"/>
      <c r="KK682" s="77"/>
      <c r="KL682" s="77"/>
      <c r="KM682" s="77"/>
      <c r="KN682" s="77"/>
      <c r="KO682" s="77"/>
      <c r="KP682" s="77"/>
      <c r="KQ682" s="77"/>
      <c r="KR682" s="77"/>
      <c r="KS682" s="77"/>
      <c r="KT682" s="77"/>
      <c r="KU682" s="77"/>
      <c r="KV682" s="77"/>
      <c r="KW682" s="77"/>
      <c r="KX682" s="77"/>
      <c r="KY682" s="77"/>
      <c r="KZ682" s="77"/>
      <c r="LA682" s="77"/>
      <c r="LB682" s="77"/>
      <c r="LC682" s="77"/>
      <c r="LD682" s="77"/>
      <c r="LE682" s="77"/>
      <c r="LF682" s="77"/>
      <c r="LG682" s="77"/>
      <c r="LH682" s="77"/>
      <c r="LI682" s="77"/>
      <c r="LJ682" s="77"/>
      <c r="LK682" s="77"/>
      <c r="LL682" s="77"/>
      <c r="LM682" s="77"/>
      <c r="LN682" s="77"/>
      <c r="LO682" s="77"/>
      <c r="LP682" s="77"/>
      <c r="LQ682" s="77"/>
      <c r="LR682" s="77"/>
      <c r="LS682" s="77"/>
      <c r="LT682" s="77"/>
      <c r="LU682" s="77"/>
      <c r="LV682" s="77"/>
      <c r="MS682" s="77"/>
    </row>
    <row r="683" spans="1:368" s="21" customFormat="1" ht="18.600000000000001" customHeight="1" x14ac:dyDescent="0.25">
      <c r="A683" s="119" t="s">
        <v>2973</v>
      </c>
      <c r="B683" s="27" t="s">
        <v>2974</v>
      </c>
      <c r="C683" s="27" t="s">
        <v>2975</v>
      </c>
      <c r="D683" s="51" t="s">
        <v>3350</v>
      </c>
      <c r="E683" s="30" t="str">
        <f>HYPERLINK("http://twiplomacy.com/info/asia/Brunei","http://twiplomacy.com/info/asia/Brunei")</f>
        <v>http://twiplomacy.com/info/asia/Brunei</v>
      </c>
      <c r="F683" s="10" t="s">
        <v>154</v>
      </c>
      <c r="G683" s="10" t="s">
        <v>1256</v>
      </c>
      <c r="H683" s="10" t="s">
        <v>3042</v>
      </c>
      <c r="I683" s="10" t="s">
        <v>773</v>
      </c>
      <c r="J683" s="27" t="s">
        <v>789</v>
      </c>
      <c r="K683" s="10" t="s">
        <v>2976</v>
      </c>
      <c r="L683" s="10"/>
      <c r="M683" s="10"/>
      <c r="N683" s="30" t="s">
        <v>3380</v>
      </c>
      <c r="O683" s="27" t="s">
        <v>3397</v>
      </c>
      <c r="P683" s="80">
        <v>5</v>
      </c>
      <c r="Q683" s="80">
        <v>21</v>
      </c>
      <c r="R683" s="27" t="s">
        <v>2995</v>
      </c>
      <c r="S683" s="12" t="s">
        <v>2977</v>
      </c>
      <c r="T683" s="10" t="s">
        <v>771</v>
      </c>
      <c r="U683" s="10" t="s">
        <v>771</v>
      </c>
      <c r="V683" s="10" t="s">
        <v>771</v>
      </c>
      <c r="W683" s="10"/>
      <c r="X683" s="27" t="s">
        <v>2973</v>
      </c>
      <c r="Y683" s="27" t="s">
        <v>2974</v>
      </c>
      <c r="Z683" s="80">
        <v>62</v>
      </c>
      <c r="AA683" s="27">
        <v>17</v>
      </c>
      <c r="AB683" s="80">
        <v>504</v>
      </c>
      <c r="AC683" s="27">
        <v>0</v>
      </c>
      <c r="AD683" s="27" t="s">
        <v>3803</v>
      </c>
      <c r="AE683" s="27">
        <v>2322232166</v>
      </c>
      <c r="AF683" s="27" t="s">
        <v>2975</v>
      </c>
      <c r="AG683" s="27"/>
      <c r="AH683" s="79">
        <v>7.5517661388550594E-2</v>
      </c>
      <c r="AI683" s="83">
        <v>12.4</v>
      </c>
      <c r="AJ683" s="80">
        <v>0.37096774193548399</v>
      </c>
      <c r="AK683" s="80">
        <v>4.4838709677419404</v>
      </c>
      <c r="AL683" s="13">
        <v>0</v>
      </c>
      <c r="AM683" s="97">
        <f>SUM(AL683/Z683)</f>
        <v>0</v>
      </c>
      <c r="AN683" s="27" t="s">
        <v>2973</v>
      </c>
      <c r="AO683" s="27">
        <v>4</v>
      </c>
      <c r="AP683" s="27">
        <v>2</v>
      </c>
      <c r="AQ683" s="27">
        <v>0</v>
      </c>
      <c r="AR683" s="27">
        <f>SUM(AO683:AQ683)</f>
        <v>6</v>
      </c>
      <c r="AS683" s="27" t="s">
        <v>5175</v>
      </c>
      <c r="AT683" s="27" t="s">
        <v>5005</v>
      </c>
      <c r="AU683" s="84"/>
      <c r="AV683" s="77"/>
      <c r="AW683" s="77"/>
      <c r="AX683" s="77"/>
      <c r="AY683" s="77"/>
      <c r="AZ683" s="77"/>
      <c r="BA683" s="77"/>
      <c r="BB683" s="77"/>
      <c r="BC683" s="77"/>
      <c r="BD683" s="77"/>
      <c r="BE683" s="77"/>
      <c r="BF683" s="77"/>
      <c r="BG683" s="77"/>
      <c r="BH683" s="77"/>
      <c r="BI683" s="77"/>
      <c r="BJ683" s="77"/>
      <c r="BK683" s="77"/>
      <c r="BL683" s="77"/>
      <c r="BM683" s="77"/>
      <c r="BN683" s="77"/>
      <c r="BO683" s="77"/>
      <c r="BP683" s="77"/>
      <c r="BQ683" s="77"/>
      <c r="BR683" s="77"/>
      <c r="BS683" s="77"/>
      <c r="BT683" s="77"/>
      <c r="BU683" s="77"/>
      <c r="BV683" s="77"/>
      <c r="BW683" s="77"/>
      <c r="BX683" s="77"/>
      <c r="BY683" s="77"/>
      <c r="BZ683" s="77"/>
      <c r="CA683" s="77"/>
      <c r="CB683" s="77"/>
      <c r="CX683" s="16"/>
      <c r="CY683" s="16"/>
      <c r="CZ683" s="16"/>
      <c r="DA683" s="16"/>
      <c r="DB683" s="16"/>
      <c r="DC683" s="16"/>
      <c r="DD683" s="16"/>
      <c r="DE683" s="16"/>
      <c r="DF683" s="16"/>
      <c r="DG683" s="16"/>
      <c r="DH683" s="16"/>
      <c r="DI683" s="16"/>
      <c r="DJ683" s="16"/>
      <c r="DK683" s="16"/>
      <c r="DL683" s="16"/>
      <c r="DM683" s="16"/>
      <c r="DN683" s="16"/>
      <c r="DO683" s="16"/>
      <c r="DP683" s="16"/>
      <c r="DQ683" s="16"/>
      <c r="DR683" s="16"/>
      <c r="DS683" s="16"/>
      <c r="DT683" s="16"/>
      <c r="DU683" s="16"/>
      <c r="DV683" s="16"/>
      <c r="DW683" s="16"/>
      <c r="DX683" s="16"/>
      <c r="DY683" s="16"/>
      <c r="DZ683" s="16"/>
      <c r="EA683" s="16"/>
      <c r="EB683" s="16"/>
      <c r="EC683" s="16"/>
      <c r="ED683" s="16"/>
      <c r="EE683" s="16"/>
      <c r="EF683" s="16"/>
      <c r="EG683" s="16"/>
      <c r="EH683" s="16"/>
      <c r="EI683" s="16"/>
      <c r="EJ683" s="16"/>
      <c r="EK683" s="16"/>
      <c r="EL683" s="16"/>
      <c r="EM683" s="77"/>
      <c r="EN683" s="77"/>
      <c r="EO683" s="77"/>
      <c r="EQ683" s="77"/>
      <c r="ER683" s="77"/>
      <c r="ES683" s="77"/>
      <c r="ET683" s="77"/>
      <c r="EU683" s="77"/>
      <c r="EV683" s="77"/>
      <c r="EW683" s="77"/>
      <c r="EX683" s="77"/>
      <c r="EY683" s="77"/>
      <c r="EZ683" s="77"/>
      <c r="FA683" s="77"/>
      <c r="FB683" s="77"/>
      <c r="FC683" s="77"/>
      <c r="FD683" s="77"/>
      <c r="FE683" s="77"/>
      <c r="FF683" s="77"/>
      <c r="FG683" s="77"/>
      <c r="FH683" s="77"/>
      <c r="FI683" s="77"/>
      <c r="FJ683" s="77"/>
      <c r="FK683" s="77"/>
      <c r="FL683" s="77"/>
      <c r="FM683" s="77"/>
      <c r="FN683" s="77"/>
      <c r="FO683" s="77"/>
      <c r="FP683" s="77"/>
      <c r="FQ683" s="77"/>
      <c r="FR683" s="77"/>
      <c r="FS683" s="77"/>
      <c r="FT683" s="77"/>
      <c r="FU683" s="77"/>
      <c r="FV683" s="77"/>
      <c r="FW683" s="77"/>
      <c r="FX683" s="77"/>
      <c r="FY683" s="77"/>
      <c r="FZ683" s="77"/>
      <c r="GA683" s="77"/>
      <c r="GB683" s="77"/>
      <c r="GC683" s="77"/>
      <c r="GD683" s="77"/>
      <c r="GE683" s="77"/>
      <c r="GF683" s="77"/>
      <c r="GG683" s="77"/>
      <c r="GH683" s="77"/>
      <c r="GI683" s="77"/>
      <c r="GJ683" s="77"/>
      <c r="GK683" s="77"/>
      <c r="GL683" s="77"/>
      <c r="GM683" s="77"/>
      <c r="GN683" s="77"/>
      <c r="GO683" s="77"/>
      <c r="GP683" s="77"/>
      <c r="GQ683" s="77"/>
      <c r="GR683" s="77"/>
      <c r="GS683" s="77"/>
      <c r="GT683" s="77"/>
      <c r="GU683" s="77"/>
      <c r="GV683" s="77"/>
      <c r="GW683" s="77"/>
      <c r="GX683" s="77"/>
      <c r="GY683" s="77"/>
      <c r="GZ683" s="77"/>
      <c r="HA683" s="77"/>
      <c r="HB683" s="77"/>
      <c r="HC683" s="77"/>
      <c r="HD683" s="77"/>
      <c r="HE683" s="77"/>
      <c r="HF683" s="77"/>
      <c r="HG683" s="77"/>
      <c r="HH683" s="77"/>
      <c r="HI683" s="77"/>
      <c r="HJ683" s="77"/>
      <c r="HK683" s="77"/>
      <c r="HL683" s="77"/>
      <c r="HM683" s="77"/>
      <c r="HN683" s="77"/>
      <c r="HO683" s="77"/>
      <c r="HP683" s="77"/>
      <c r="HQ683" s="77"/>
      <c r="HR683" s="77"/>
      <c r="HS683" s="77"/>
      <c r="HT683" s="77"/>
      <c r="HU683" s="77"/>
      <c r="HV683" s="77"/>
      <c r="HW683" s="77"/>
      <c r="HX683" s="77"/>
      <c r="HY683" s="77"/>
      <c r="HZ683" s="77"/>
      <c r="IA683" s="77"/>
      <c r="IB683" s="77"/>
      <c r="IC683" s="77"/>
      <c r="ID683" s="77"/>
      <c r="IE683" s="77"/>
      <c r="IF683" s="77"/>
      <c r="IG683" s="77"/>
      <c r="IH683" s="77"/>
      <c r="II683" s="77"/>
      <c r="IJ683" s="77"/>
      <c r="IK683" s="77"/>
      <c r="IL683" s="77"/>
      <c r="IM683" s="77"/>
      <c r="IN683" s="77"/>
      <c r="IO683" s="77"/>
      <c r="IP683" s="77"/>
      <c r="IQ683" s="77"/>
      <c r="IR683" s="77"/>
      <c r="IS683" s="77"/>
      <c r="IT683" s="77"/>
      <c r="IU683" s="77"/>
      <c r="IV683" s="77"/>
      <c r="IW683" s="77"/>
      <c r="IX683" s="77"/>
      <c r="IY683" s="77"/>
      <c r="IZ683" s="77"/>
      <c r="JA683" s="77"/>
      <c r="JB683" s="77"/>
      <c r="JC683" s="77"/>
      <c r="JD683" s="77"/>
      <c r="JE683" s="77"/>
      <c r="JF683" s="77"/>
      <c r="JG683" s="77"/>
      <c r="JH683" s="77"/>
      <c r="JI683" s="77"/>
      <c r="JJ683" s="77"/>
      <c r="JK683" s="77"/>
      <c r="JL683" s="77"/>
      <c r="JM683" s="77"/>
      <c r="JN683" s="77"/>
      <c r="JO683" s="77"/>
      <c r="JP683" s="77"/>
      <c r="JQ683" s="77"/>
      <c r="JR683" s="77"/>
      <c r="JS683" s="77"/>
      <c r="JT683" s="77"/>
      <c r="JU683" s="77"/>
      <c r="JV683" s="77"/>
      <c r="JW683" s="77"/>
      <c r="JX683" s="77"/>
      <c r="LW683" s="77"/>
      <c r="LX683" s="77"/>
      <c r="MS683" s="77"/>
    </row>
    <row r="684" spans="1:368" s="21" customFormat="1" ht="18.600000000000001" customHeight="1" x14ac:dyDescent="0.25">
      <c r="A684" s="119" t="s">
        <v>2402</v>
      </c>
      <c r="B684" s="27" t="s">
        <v>2403</v>
      </c>
      <c r="C684" s="27" t="s">
        <v>2405</v>
      </c>
      <c r="D684" s="30" t="str">
        <f>HYPERLINK("https://twitter.com/gastonbrowne","https://twitter.com/gastonbrowne")</f>
        <v>https://twitter.com/gastonbrowne</v>
      </c>
      <c r="E684" s="30" t="str">
        <f>HYPERLINK("http://twiplomacy.com/info/north-america/Antigua-and-Barbuda","http://twiplomacy.com/info/north-america/Antigua-and-Barbuda")</f>
        <v>http://twiplomacy.com/info/north-america/Antigua-and-Barbuda</v>
      </c>
      <c r="F684" s="10" t="s">
        <v>558</v>
      </c>
      <c r="G684" s="10" t="s">
        <v>557</v>
      </c>
      <c r="H684" s="10" t="s">
        <v>776</v>
      </c>
      <c r="I684" s="10" t="s">
        <v>773</v>
      </c>
      <c r="J684" s="27" t="s">
        <v>789</v>
      </c>
      <c r="K684" s="15" t="s">
        <v>777</v>
      </c>
      <c r="L684" s="10" t="s">
        <v>771</v>
      </c>
      <c r="M684" s="10" t="s">
        <v>771</v>
      </c>
      <c r="N684" s="30" t="s">
        <v>2404</v>
      </c>
      <c r="O684" s="27" t="s">
        <v>5814</v>
      </c>
      <c r="P684" s="80">
        <v>2</v>
      </c>
      <c r="Q684" s="80">
        <v>0</v>
      </c>
      <c r="R684" s="27" t="s">
        <v>2995</v>
      </c>
      <c r="S684" s="30" t="str">
        <f>HYPERLINK("https://twitter.com/gastonbrowne/lists","https://twitter.com/gastonbrowne/lists")</f>
        <v>https://twitter.com/gastonbrowne/lists</v>
      </c>
      <c r="T684" s="10" t="s">
        <v>771</v>
      </c>
      <c r="U684" s="10" t="s">
        <v>771</v>
      </c>
      <c r="V684" s="10" t="s">
        <v>771</v>
      </c>
      <c r="W684" s="10"/>
      <c r="X684" s="27" t="s">
        <v>2402</v>
      </c>
      <c r="Y684" s="27" t="s">
        <v>2403</v>
      </c>
      <c r="Z684" s="80">
        <v>61</v>
      </c>
      <c r="AA684" s="27">
        <v>181</v>
      </c>
      <c r="AB684" s="80">
        <v>218</v>
      </c>
      <c r="AC684" s="27">
        <v>1</v>
      </c>
      <c r="AD684" s="27" t="s">
        <v>3713</v>
      </c>
      <c r="AE684" s="27">
        <v>128460976</v>
      </c>
      <c r="AF684" s="27" t="s">
        <v>2405</v>
      </c>
      <c r="AG684" s="27" t="s">
        <v>2406</v>
      </c>
      <c r="AH684" s="79">
        <v>2.7440395861448499E-2</v>
      </c>
      <c r="AI684" s="83">
        <v>8.4487534626038793E-2</v>
      </c>
      <c r="AJ684" s="80">
        <v>0.28333333333333299</v>
      </c>
      <c r="AK684" s="80">
        <v>0.116666666666667</v>
      </c>
      <c r="AL684" s="27">
        <v>3</v>
      </c>
      <c r="AM684" s="97">
        <f>SUM(AL684/Z684)</f>
        <v>4.9180327868852458E-2</v>
      </c>
      <c r="AN684" s="27" t="s">
        <v>2402</v>
      </c>
      <c r="AO684" s="27">
        <v>2</v>
      </c>
      <c r="AP684" s="27">
        <v>1</v>
      </c>
      <c r="AQ684" s="27">
        <v>0</v>
      </c>
      <c r="AR684" s="27">
        <f>SUM(AO684:AQ684)</f>
        <v>3</v>
      </c>
      <c r="AS684" s="27" t="s">
        <v>5132</v>
      </c>
      <c r="AT684" s="27" t="s">
        <v>705</v>
      </c>
      <c r="AU684" s="84"/>
      <c r="AV684" s="77"/>
      <c r="AW684" s="77"/>
      <c r="AX684" s="77"/>
      <c r="AY684" s="77"/>
      <c r="AZ684" s="77"/>
      <c r="BA684" s="77"/>
      <c r="BB684" s="77"/>
      <c r="BC684" s="77"/>
      <c r="BD684" s="77"/>
      <c r="BE684" s="77"/>
      <c r="BF684" s="77"/>
      <c r="BG684" s="77"/>
      <c r="BH684" s="77"/>
      <c r="BI684" s="77"/>
      <c r="BJ684" s="77"/>
      <c r="BK684" s="77"/>
      <c r="BL684" s="77"/>
      <c r="BN684" s="77"/>
      <c r="BO684" s="77"/>
      <c r="BP684" s="77"/>
      <c r="BQ684" s="77"/>
      <c r="BR684" s="77"/>
      <c r="BS684" s="77"/>
      <c r="BT684" s="77"/>
      <c r="BU684" s="77"/>
      <c r="BV684" s="77"/>
      <c r="BW684" s="77"/>
      <c r="BX684" s="77"/>
      <c r="BY684" s="77"/>
      <c r="BZ684" s="77"/>
      <c r="CA684" s="77"/>
      <c r="CB684" s="77"/>
      <c r="CC684" s="77"/>
      <c r="CD684" s="77"/>
      <c r="CE684" s="77"/>
      <c r="CF684" s="77"/>
      <c r="CG684" s="77"/>
      <c r="CH684" s="77"/>
      <c r="CI684" s="77"/>
      <c r="CJ684" s="77"/>
      <c r="CK684" s="77"/>
      <c r="CL684" s="77"/>
      <c r="CM684" s="77"/>
      <c r="CN684" s="77"/>
      <c r="CO684" s="77"/>
      <c r="CP684" s="77"/>
      <c r="CQ684" s="77"/>
      <c r="CR684" s="77"/>
      <c r="CS684" s="77"/>
      <c r="CT684" s="77"/>
      <c r="CU684" s="77"/>
      <c r="CV684" s="77"/>
      <c r="CW684" s="77"/>
      <c r="CX684" s="77"/>
      <c r="CY684" s="77"/>
      <c r="CZ684" s="77"/>
      <c r="DA684" s="77"/>
      <c r="DB684" s="77"/>
      <c r="DC684" s="77"/>
      <c r="DD684" s="77"/>
      <c r="DE684" s="77"/>
      <c r="DF684" s="77"/>
      <c r="DG684" s="77"/>
      <c r="DH684" s="77"/>
      <c r="DI684" s="77"/>
      <c r="DJ684" s="77"/>
      <c r="DK684" s="77"/>
      <c r="DL684" s="77"/>
      <c r="DM684" s="77"/>
      <c r="DN684" s="77"/>
      <c r="DO684" s="77"/>
      <c r="DP684" s="77"/>
      <c r="DQ684" s="77"/>
      <c r="DR684" s="77"/>
      <c r="DS684" s="77"/>
      <c r="DT684" s="77"/>
      <c r="DU684" s="77"/>
      <c r="DV684" s="77"/>
      <c r="DW684" s="77"/>
      <c r="DX684" s="77"/>
      <c r="DY684" s="77"/>
      <c r="DZ684" s="77"/>
      <c r="EA684" s="77"/>
      <c r="EB684" s="77"/>
      <c r="EC684" s="77"/>
      <c r="ED684" s="77"/>
      <c r="EE684" s="77"/>
      <c r="EF684" s="77"/>
      <c r="EG684" s="77"/>
      <c r="EH684" s="77"/>
      <c r="EI684" s="77"/>
      <c r="EJ684" s="77"/>
      <c r="EK684" s="77"/>
      <c r="EL684" s="77"/>
      <c r="EM684" s="77"/>
      <c r="EN684" s="77"/>
      <c r="EO684" s="77"/>
      <c r="EQ684" s="77"/>
      <c r="ID684" s="77"/>
      <c r="IE684" s="77"/>
      <c r="JY684" s="77"/>
      <c r="JZ684" s="77"/>
      <c r="KA684" s="77"/>
      <c r="KB684" s="77"/>
      <c r="KC684" s="77"/>
      <c r="KD684" s="77"/>
      <c r="KE684" s="77"/>
      <c r="KF684" s="77"/>
      <c r="KG684" s="77"/>
      <c r="KH684" s="77"/>
      <c r="KI684" s="77"/>
      <c r="KJ684" s="77"/>
      <c r="KK684" s="77"/>
      <c r="KL684" s="77"/>
      <c r="LW684" s="77"/>
      <c r="LX684" s="77"/>
      <c r="LY684" s="77"/>
      <c r="LZ684" s="77"/>
      <c r="MA684" s="77"/>
      <c r="MB684" s="77"/>
      <c r="MC684" s="77"/>
      <c r="MD684" s="77"/>
      <c r="ME684" s="77"/>
      <c r="MF684" s="77"/>
      <c r="MG684" s="77"/>
      <c r="MH684" s="77"/>
      <c r="MI684" s="77"/>
      <c r="MJ684" s="77"/>
      <c r="MK684" s="77"/>
      <c r="ML684" s="77"/>
      <c r="MM684" s="77"/>
      <c r="MN684" s="77"/>
      <c r="MO684" s="77"/>
      <c r="MP684" s="77"/>
      <c r="MQ684" s="77"/>
      <c r="MR684" s="77"/>
      <c r="MS684" s="77"/>
    </row>
    <row r="685" spans="1:368" s="21" customFormat="1" ht="18.600000000000001" customHeight="1" x14ac:dyDescent="0.25">
      <c r="A685" s="119" t="s">
        <v>665</v>
      </c>
      <c r="B685" s="27" t="s">
        <v>2675</v>
      </c>
      <c r="C685" s="27" t="s">
        <v>2676</v>
      </c>
      <c r="D685" s="30" t="str">
        <f>HYPERLINK("https://twitter.com/govofvanuatu","https://twitter.com/govofvanuatu")</f>
        <v>https://twitter.com/govofvanuatu</v>
      </c>
      <c r="E685" s="30" t="str">
        <f>HYPERLINK("http://twiplomacy.com/info/oceania/Vanuatu","http://twiplomacy.com/info/oceania/Vanuatu")</f>
        <v>http://twiplomacy.com/info/oceania/Vanuatu</v>
      </c>
      <c r="F685" s="10" t="s">
        <v>643</v>
      </c>
      <c r="G685" s="10" t="s">
        <v>664</v>
      </c>
      <c r="H685" s="10" t="s">
        <v>788</v>
      </c>
      <c r="I685" s="10" t="s">
        <v>782</v>
      </c>
      <c r="J685" s="27" t="s">
        <v>789</v>
      </c>
      <c r="K685" s="15" t="s">
        <v>2677</v>
      </c>
      <c r="L685" s="10" t="s">
        <v>771</v>
      </c>
      <c r="M685" s="10" t="s">
        <v>771</v>
      </c>
      <c r="N685" s="30" t="str">
        <f>HYPERLINK("https://twitter.com/govofvanuatu/statuses/6818767875084288","https://twitter.com/govofvanuatu/statuses/6818767875084288")</f>
        <v>https://twitter.com/govofvanuatu/statuses/6818767875084288</v>
      </c>
      <c r="O685" s="27" t="s">
        <v>5838</v>
      </c>
      <c r="P685" s="80">
        <v>5</v>
      </c>
      <c r="Q685" s="80">
        <v>4</v>
      </c>
      <c r="R685" s="27" t="s">
        <v>2995</v>
      </c>
      <c r="S685" s="10" t="s">
        <v>2678</v>
      </c>
      <c r="T685" s="10" t="s">
        <v>771</v>
      </c>
      <c r="U685" s="10" t="s">
        <v>771</v>
      </c>
      <c r="V685" s="10" t="s">
        <v>771</v>
      </c>
      <c r="W685" s="10"/>
      <c r="X685" s="27" t="s">
        <v>665</v>
      </c>
      <c r="Y685" s="27" t="s">
        <v>2675</v>
      </c>
      <c r="Z685" s="80">
        <v>61</v>
      </c>
      <c r="AA685" s="27">
        <v>0</v>
      </c>
      <c r="AB685" s="80">
        <v>897</v>
      </c>
      <c r="AC685" s="27">
        <v>0</v>
      </c>
      <c r="AD685" s="27" t="s">
        <v>3768</v>
      </c>
      <c r="AE685" s="27">
        <v>218627408</v>
      </c>
      <c r="AF685" s="27" t="s">
        <v>2676</v>
      </c>
      <c r="AG685" s="27" t="s">
        <v>664</v>
      </c>
      <c r="AH685" s="79">
        <v>3.06995470558631E-2</v>
      </c>
      <c r="AI685" s="83">
        <v>9.9025974025974003E-2</v>
      </c>
      <c r="AJ685" s="80">
        <v>0.16393442622950799</v>
      </c>
      <c r="AK685" s="80">
        <v>0.49180327868852503</v>
      </c>
      <c r="AL685" s="13">
        <v>0</v>
      </c>
      <c r="AM685" s="97">
        <f>SUM(AL685/Z685)</f>
        <v>0</v>
      </c>
      <c r="AN685" s="27" t="s">
        <v>665</v>
      </c>
      <c r="AO685" s="27">
        <v>0</v>
      </c>
      <c r="AP685" s="27">
        <v>7</v>
      </c>
      <c r="AQ685" s="27">
        <v>0</v>
      </c>
      <c r="AR685" s="27">
        <f>SUM(AO685:AQ685)</f>
        <v>7</v>
      </c>
      <c r="AS685" s="27"/>
      <c r="AT685" s="27" t="s">
        <v>5157</v>
      </c>
      <c r="AU685" s="84"/>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1"/>
      <c r="BR685" s="71"/>
      <c r="BS685" s="71"/>
      <c r="BT685" s="71"/>
      <c r="BU685" s="71"/>
      <c r="BV685" s="71"/>
      <c r="BW685" s="71"/>
      <c r="BX685" s="71"/>
      <c r="BY685" s="71"/>
      <c r="BZ685" s="71"/>
      <c r="CA685" s="71"/>
      <c r="CB685" s="71"/>
      <c r="CX685" s="77"/>
      <c r="CY685" s="77"/>
      <c r="CZ685" s="77"/>
      <c r="DA685" s="77"/>
      <c r="DB685" s="77"/>
      <c r="DC685" s="77"/>
      <c r="DD685" s="77"/>
      <c r="DE685" s="77"/>
      <c r="DF685" s="77"/>
      <c r="DG685" s="77"/>
      <c r="DH685" s="77"/>
      <c r="DI685" s="77"/>
      <c r="DJ685" s="77"/>
      <c r="DK685" s="77"/>
      <c r="DL685" s="77"/>
      <c r="DM685" s="77"/>
      <c r="DN685" s="77"/>
      <c r="DO685" s="77"/>
      <c r="DP685" s="77"/>
      <c r="DQ685" s="77"/>
      <c r="DR685" s="77"/>
      <c r="DS685" s="77"/>
      <c r="DT685" s="77"/>
      <c r="DU685" s="77"/>
      <c r="DV685" s="77"/>
      <c r="DW685" s="77"/>
      <c r="DX685" s="77"/>
      <c r="DY685" s="77"/>
      <c r="DZ685" s="77"/>
      <c r="EA685" s="77"/>
      <c r="EB685" s="77"/>
      <c r="EC685" s="77"/>
      <c r="ED685" s="77"/>
      <c r="EE685" s="77"/>
      <c r="EF685" s="77"/>
      <c r="EG685" s="77"/>
      <c r="EH685" s="77"/>
      <c r="EI685" s="77"/>
      <c r="EJ685" s="77"/>
      <c r="EK685" s="77"/>
      <c r="EL685" s="77"/>
      <c r="ER685" s="77"/>
      <c r="ES685" s="77"/>
      <c r="ET685" s="77"/>
      <c r="EU685" s="77"/>
      <c r="EV685" s="77"/>
      <c r="EW685" s="77"/>
      <c r="EX685" s="77"/>
      <c r="EY685" s="77"/>
      <c r="EZ685" s="77"/>
      <c r="FA685" s="77"/>
      <c r="FB685" s="77"/>
      <c r="FC685" s="77"/>
      <c r="FD685" s="77"/>
      <c r="FE685" s="77"/>
      <c r="FF685" s="77"/>
      <c r="FG685" s="77"/>
      <c r="FH685" s="77"/>
      <c r="FI685" s="77"/>
      <c r="FJ685" s="77"/>
      <c r="FK685" s="77"/>
      <c r="FL685" s="77"/>
      <c r="FM685" s="77"/>
      <c r="FN685" s="77"/>
      <c r="FO685" s="77"/>
      <c r="FP685" s="77"/>
      <c r="FQ685" s="77"/>
      <c r="FR685" s="77"/>
      <c r="FS685" s="77"/>
      <c r="FT685" s="77"/>
      <c r="FU685" s="77"/>
      <c r="FV685" s="77"/>
      <c r="FW685" s="77"/>
      <c r="FX685" s="77"/>
      <c r="FY685" s="77"/>
      <c r="FZ685" s="77"/>
      <c r="GA685" s="77"/>
      <c r="GB685" s="77"/>
      <c r="GC685" s="77"/>
      <c r="GD685" s="77"/>
      <c r="GE685" s="77"/>
      <c r="GF685" s="77"/>
      <c r="GG685" s="77"/>
      <c r="GH685" s="77"/>
      <c r="GI685" s="77"/>
      <c r="GJ685" s="77"/>
      <c r="GK685" s="77"/>
      <c r="GL685" s="77"/>
      <c r="GM685" s="77"/>
      <c r="GN685" s="77"/>
      <c r="GO685" s="77"/>
      <c r="GP685" s="77"/>
      <c r="GQ685" s="77"/>
      <c r="GR685" s="77"/>
      <c r="GS685" s="77"/>
      <c r="GT685" s="77"/>
      <c r="GU685" s="77"/>
      <c r="GV685" s="77"/>
      <c r="GW685" s="77"/>
      <c r="GX685" s="77"/>
      <c r="GY685" s="77"/>
      <c r="GZ685" s="77"/>
      <c r="HA685" s="77"/>
      <c r="HB685" s="77"/>
      <c r="HC685" s="77"/>
      <c r="HD685" s="77"/>
      <c r="HE685" s="77"/>
      <c r="HF685" s="77"/>
      <c r="HG685" s="77"/>
      <c r="HH685" s="77"/>
      <c r="HI685" s="77"/>
      <c r="HJ685" s="77"/>
      <c r="HK685" s="77"/>
      <c r="JY685" s="77"/>
      <c r="JZ685" s="77"/>
      <c r="KA685" s="77"/>
      <c r="KB685" s="77"/>
      <c r="KC685" s="77"/>
      <c r="KD685" s="77"/>
      <c r="KE685" s="77"/>
      <c r="KF685" s="77"/>
      <c r="KG685" s="77"/>
      <c r="KH685" s="77"/>
      <c r="KI685" s="77"/>
      <c r="KJ685" s="77"/>
      <c r="KK685" s="77"/>
      <c r="KL685" s="77"/>
      <c r="KM685" s="77"/>
      <c r="KN685" s="77"/>
      <c r="KO685" s="77"/>
      <c r="KP685" s="77"/>
      <c r="KQ685" s="77"/>
      <c r="KR685" s="77"/>
      <c r="KS685" s="77"/>
      <c r="KT685" s="77"/>
      <c r="KU685" s="77"/>
      <c r="KV685" s="77"/>
      <c r="KW685" s="77"/>
      <c r="KX685" s="77"/>
      <c r="KY685" s="77"/>
      <c r="KZ685" s="77"/>
      <c r="LA685" s="77"/>
      <c r="LB685" s="77"/>
      <c r="LC685" s="77"/>
      <c r="LD685" s="77"/>
      <c r="LE685" s="77"/>
      <c r="LF685" s="77"/>
      <c r="LG685" s="77"/>
      <c r="LH685" s="77"/>
      <c r="LI685" s="77"/>
      <c r="LJ685" s="77"/>
      <c r="LK685" s="77"/>
      <c r="LL685" s="77"/>
      <c r="LM685" s="77"/>
      <c r="LN685" s="77"/>
      <c r="LO685" s="77"/>
      <c r="LP685" s="77"/>
      <c r="LQ685" s="77"/>
      <c r="LR685" s="77"/>
      <c r="LS685" s="77"/>
      <c r="LT685" s="77"/>
      <c r="LU685" s="77"/>
      <c r="LV685" s="77"/>
      <c r="LW685" s="16"/>
      <c r="LX685" s="16"/>
      <c r="MS685" s="77"/>
    </row>
    <row r="686" spans="1:368" s="21" customFormat="1" ht="18.600000000000001" customHeight="1" x14ac:dyDescent="0.25">
      <c r="A686" s="119" t="s">
        <v>339</v>
      </c>
      <c r="B686" s="27" t="s">
        <v>339</v>
      </c>
      <c r="C686" s="27"/>
      <c r="D686" s="30" t="str">
        <f>HYPERLINK("https://twitter.com/teamkanzler","https://twitter.com/teamkanzler")</f>
        <v>https://twitter.com/teamkanzler</v>
      </c>
      <c r="E686" s="30" t="str">
        <f>HYPERLINK("http://twiplomacy.com/info/europe/Austria","http://twiplomacy.com/info/europe/Austria")</f>
        <v>http://twiplomacy.com/info/europe/Austria</v>
      </c>
      <c r="F686" s="10" t="s">
        <v>332</v>
      </c>
      <c r="G686" s="10" t="s">
        <v>338</v>
      </c>
      <c r="H686" s="10" t="s">
        <v>788</v>
      </c>
      <c r="I686" s="10" t="s">
        <v>782</v>
      </c>
      <c r="J686" s="27" t="s">
        <v>1716</v>
      </c>
      <c r="K686" s="15" t="s">
        <v>1711</v>
      </c>
      <c r="L686" s="10" t="s">
        <v>771</v>
      </c>
      <c r="M686" s="10" t="s">
        <v>771</v>
      </c>
      <c r="N686" s="30" t="str">
        <f>HYPERLINK("https://twitter.com/teamkanzler/statuses/129088604491358208","https://twitter.com/teamkanzler/statuses/129088604491358208")</f>
        <v>https://twitter.com/teamkanzler/statuses/129088604491358208</v>
      </c>
      <c r="O686" s="27" t="s">
        <v>1712</v>
      </c>
      <c r="P686" s="80">
        <v>25</v>
      </c>
      <c r="Q686" s="80">
        <v>5</v>
      </c>
      <c r="R686" s="27" t="s">
        <v>2995</v>
      </c>
      <c r="S686" s="10" t="s">
        <v>1713</v>
      </c>
      <c r="T686" s="10" t="s">
        <v>771</v>
      </c>
      <c r="U686" s="10" t="s">
        <v>771</v>
      </c>
      <c r="V686" s="10" t="s">
        <v>771</v>
      </c>
      <c r="W686" s="10"/>
      <c r="X686" s="27" t="s">
        <v>339</v>
      </c>
      <c r="Y686" s="27" t="s">
        <v>339</v>
      </c>
      <c r="Z686" s="80">
        <v>58</v>
      </c>
      <c r="AA686" s="27">
        <v>91</v>
      </c>
      <c r="AB686" s="80">
        <v>2434</v>
      </c>
      <c r="AC686" s="27">
        <v>1</v>
      </c>
      <c r="AD686" s="27" t="s">
        <v>4516</v>
      </c>
      <c r="AE686" s="27">
        <v>382003842</v>
      </c>
      <c r="AF686" s="27"/>
      <c r="AG686" s="27" t="s">
        <v>1714</v>
      </c>
      <c r="AH686" s="79">
        <v>3.4585569469290402E-2</v>
      </c>
      <c r="AI686" s="83">
        <v>2.0714285714285698</v>
      </c>
      <c r="AJ686" s="80">
        <v>2.6551724137931001</v>
      </c>
      <c r="AK686" s="80">
        <v>0.55172413793103403</v>
      </c>
      <c r="AL686" s="27">
        <v>41</v>
      </c>
      <c r="AM686" s="97">
        <f>SUM(AL686/Z686)</f>
        <v>0.7068965517241379</v>
      </c>
      <c r="AN686" s="27" t="s">
        <v>339</v>
      </c>
      <c r="AO686" s="27">
        <v>0</v>
      </c>
      <c r="AP686" s="27">
        <v>4</v>
      </c>
      <c r="AQ686" s="27">
        <v>0</v>
      </c>
      <c r="AR686" s="27">
        <f>SUM(AO686:AQ686)</f>
        <v>4</v>
      </c>
      <c r="AS686" s="27"/>
      <c r="AT686" s="27" t="s">
        <v>5512</v>
      </c>
      <c r="AU686" s="84"/>
      <c r="AV686" s="77"/>
      <c r="AW686" s="77"/>
      <c r="AX686" s="77"/>
      <c r="AY686" s="77"/>
      <c r="AZ686" s="77"/>
      <c r="BA686" s="77"/>
      <c r="BB686" s="77"/>
      <c r="BC686" s="77"/>
      <c r="BD686" s="77"/>
      <c r="BE686" s="77"/>
      <c r="BF686" s="77"/>
      <c r="BG686" s="77"/>
      <c r="BH686" s="77"/>
      <c r="BI686" s="77"/>
      <c r="BJ686" s="77"/>
      <c r="BK686" s="77"/>
      <c r="BL686" s="77"/>
      <c r="BM686" s="77"/>
      <c r="BN686" s="77"/>
      <c r="BO686" s="77"/>
      <c r="BP686" s="77"/>
      <c r="BQ686" s="77"/>
      <c r="BR686" s="77"/>
      <c r="BS686" s="77"/>
      <c r="BT686" s="77"/>
      <c r="BU686" s="77"/>
      <c r="BV686" s="77"/>
      <c r="BW686" s="77"/>
      <c r="BX686" s="77"/>
      <c r="BY686" s="77"/>
      <c r="BZ686" s="77"/>
      <c r="CA686" s="77"/>
      <c r="CB686" s="77"/>
      <c r="CC686" s="77"/>
      <c r="CD686" s="77"/>
      <c r="CE686" s="77"/>
      <c r="CF686" s="77"/>
      <c r="CG686" s="77"/>
      <c r="CH686" s="77"/>
      <c r="CI686" s="77"/>
      <c r="CJ686" s="77"/>
      <c r="CK686" s="77"/>
      <c r="CL686" s="77"/>
      <c r="CM686" s="77"/>
      <c r="CN686" s="77"/>
      <c r="CO686" s="77"/>
      <c r="CP686" s="77"/>
      <c r="CQ686" s="77"/>
      <c r="CR686" s="77"/>
      <c r="CS686" s="77"/>
      <c r="CT686" s="77"/>
      <c r="CU686" s="77"/>
      <c r="CV686" s="77"/>
      <c r="CW686" s="77"/>
      <c r="CX686" s="77"/>
      <c r="CY686" s="77"/>
      <c r="CZ686" s="77"/>
      <c r="DA686" s="77"/>
      <c r="DB686" s="77"/>
      <c r="DC686" s="77"/>
      <c r="DD686" s="77"/>
      <c r="DE686" s="77"/>
      <c r="DF686" s="77"/>
      <c r="DG686" s="77"/>
      <c r="DH686" s="77"/>
      <c r="DI686" s="77"/>
      <c r="DJ686" s="77"/>
      <c r="DK686" s="77"/>
      <c r="DL686" s="77"/>
      <c r="DM686" s="77"/>
      <c r="DN686" s="77"/>
      <c r="DO686" s="77"/>
      <c r="DP686" s="77"/>
      <c r="DQ686" s="77"/>
      <c r="DR686" s="77"/>
      <c r="DS686" s="77"/>
      <c r="DT686" s="77"/>
      <c r="DU686" s="77"/>
      <c r="DV686" s="77"/>
      <c r="DW686" s="77"/>
      <c r="DX686" s="77"/>
      <c r="DY686" s="77"/>
      <c r="DZ686" s="77"/>
      <c r="EA686" s="77"/>
      <c r="EB686" s="77"/>
      <c r="EC686" s="77"/>
      <c r="ED686" s="77"/>
      <c r="EE686" s="77"/>
      <c r="EF686" s="77"/>
      <c r="EG686" s="77"/>
      <c r="EH686" s="77"/>
      <c r="EI686" s="77"/>
      <c r="EJ686" s="77"/>
      <c r="EK686" s="77"/>
      <c r="EL686" s="77"/>
      <c r="EM686" s="77"/>
      <c r="EN686" s="77"/>
      <c r="EO686" s="77"/>
      <c r="EP686" s="77"/>
      <c r="GL686" s="77"/>
      <c r="GM686" s="77"/>
      <c r="GN686" s="77"/>
      <c r="GO686" s="77"/>
      <c r="GP686" s="77"/>
      <c r="GQ686" s="77"/>
      <c r="GR686" s="77"/>
      <c r="GS686" s="77"/>
      <c r="GT686" s="77"/>
      <c r="GU686" s="77"/>
      <c r="GV686" s="77"/>
      <c r="GW686" s="77"/>
      <c r="GX686" s="77"/>
      <c r="GY686" s="77"/>
      <c r="GZ686" s="77"/>
      <c r="HA686" s="77"/>
      <c r="HB686" s="77"/>
      <c r="HC686" s="77"/>
      <c r="HD686" s="77"/>
      <c r="HE686" s="77"/>
      <c r="HF686" s="77"/>
      <c r="HG686" s="77"/>
      <c r="HH686" s="77"/>
      <c r="HI686" s="77"/>
      <c r="HJ686" s="77"/>
      <c r="HK686" s="77"/>
      <c r="HL686" s="77"/>
      <c r="HM686" s="77"/>
      <c r="HN686" s="77"/>
      <c r="HO686" s="77"/>
      <c r="HP686" s="77"/>
      <c r="HQ686" s="77"/>
      <c r="HR686" s="77"/>
      <c r="HS686" s="77"/>
      <c r="HT686" s="77"/>
      <c r="HU686" s="77"/>
      <c r="HV686" s="77"/>
      <c r="HW686" s="77"/>
      <c r="HX686" s="77"/>
      <c r="HY686" s="77"/>
      <c r="HZ686" s="77"/>
      <c r="IA686" s="77"/>
      <c r="IB686" s="77"/>
      <c r="IC686" s="77"/>
      <c r="IF686" s="77"/>
      <c r="IG686" s="77"/>
      <c r="IH686" s="77"/>
      <c r="II686" s="77"/>
      <c r="IJ686" s="77"/>
      <c r="IK686" s="77"/>
      <c r="IL686" s="77"/>
      <c r="IM686" s="77"/>
      <c r="IN686" s="77"/>
      <c r="IO686" s="77"/>
      <c r="IP686" s="77"/>
      <c r="IQ686" s="77"/>
      <c r="IR686" s="77"/>
      <c r="IS686" s="77"/>
      <c r="IT686" s="77"/>
      <c r="IU686" s="77"/>
      <c r="IV686" s="77"/>
      <c r="IW686" s="77"/>
      <c r="IX686" s="77"/>
      <c r="IY686" s="77"/>
      <c r="IZ686" s="77"/>
      <c r="JA686" s="77"/>
      <c r="JB686" s="77"/>
      <c r="JC686" s="77"/>
      <c r="JD686" s="77"/>
      <c r="JE686" s="77"/>
      <c r="JF686" s="77"/>
      <c r="JG686" s="77"/>
      <c r="JH686" s="77"/>
      <c r="JI686" s="77"/>
      <c r="JJ686" s="77"/>
      <c r="JK686" s="77"/>
      <c r="JL686" s="77"/>
      <c r="JM686" s="77"/>
      <c r="JN686" s="77"/>
      <c r="JO686" s="77"/>
      <c r="JP686" s="77"/>
      <c r="JQ686" s="77"/>
      <c r="JR686" s="77"/>
      <c r="JS686" s="77"/>
      <c r="JT686" s="77"/>
      <c r="JU686" s="77"/>
      <c r="JV686" s="77"/>
      <c r="JW686" s="77"/>
      <c r="JX686" s="77"/>
      <c r="JY686" s="77"/>
      <c r="JZ686" s="77"/>
      <c r="KA686" s="77"/>
      <c r="KB686" s="77"/>
      <c r="KC686" s="77"/>
      <c r="KD686" s="77"/>
      <c r="KE686" s="77"/>
      <c r="KF686" s="77"/>
      <c r="KG686" s="77"/>
      <c r="KH686" s="77"/>
      <c r="KI686" s="77"/>
      <c r="KJ686" s="77"/>
      <c r="KK686" s="77"/>
      <c r="KL686" s="77"/>
      <c r="LL686" s="77"/>
      <c r="LM686" s="77"/>
      <c r="LN686" s="77"/>
      <c r="LO686" s="77"/>
      <c r="LP686" s="77"/>
      <c r="LQ686" s="77"/>
      <c r="LR686" s="77"/>
      <c r="LS686" s="77"/>
      <c r="LT686" s="77"/>
      <c r="LU686" s="77"/>
      <c r="LV686" s="77"/>
      <c r="LY686" s="77"/>
      <c r="LZ686" s="77"/>
      <c r="MA686" s="77"/>
      <c r="MB686" s="77"/>
      <c r="MC686" s="77"/>
      <c r="MD686" s="77"/>
      <c r="ME686" s="77"/>
      <c r="MF686" s="77"/>
      <c r="MG686" s="77"/>
      <c r="MH686" s="77"/>
      <c r="MI686" s="77"/>
      <c r="MJ686" s="77"/>
      <c r="MK686" s="77"/>
      <c r="ML686" s="77"/>
      <c r="MM686" s="77"/>
      <c r="MN686" s="77"/>
      <c r="MO686" s="77"/>
      <c r="MP686" s="77"/>
      <c r="MQ686" s="77"/>
      <c r="MR686" s="77"/>
      <c r="MS686" s="77"/>
      <c r="MT686" s="77"/>
      <c r="MU686" s="77"/>
      <c r="MV686" s="77"/>
      <c r="MW686" s="77"/>
      <c r="MX686" s="77"/>
      <c r="MY686" s="77"/>
      <c r="MZ686" s="77"/>
      <c r="NA686" s="77"/>
      <c r="NB686" s="77"/>
      <c r="NC686" s="77"/>
      <c r="ND686" s="77"/>
    </row>
    <row r="687" spans="1:368" s="21" customFormat="1" ht="18.600000000000001" customHeight="1" x14ac:dyDescent="0.25">
      <c r="A687" s="119" t="s">
        <v>2824</v>
      </c>
      <c r="B687" s="27" t="s">
        <v>3994</v>
      </c>
      <c r="C687" s="27" t="s">
        <v>3995</v>
      </c>
      <c r="D687" s="30" t="str">
        <f>HYPERLINK("https://twitter.com/maduro_ru","https://twitter.com/maduro_ru")</f>
        <v>https://twitter.com/maduro_ru</v>
      </c>
      <c r="E687" s="30" t="str">
        <f>HYPERLINK("http://twiplomacy.com/info/south-america/Venezuela","http://twiplomacy.com/info/south-america/Venezuela")</f>
        <v>http://twiplomacy.com/info/south-america/Venezuela</v>
      </c>
      <c r="F687" s="10" t="s">
        <v>668</v>
      </c>
      <c r="G687" s="10" t="s">
        <v>710</v>
      </c>
      <c r="H687" s="10" t="s">
        <v>772</v>
      </c>
      <c r="I687" s="10" t="s">
        <v>773</v>
      </c>
      <c r="J687" s="27" t="s">
        <v>1420</v>
      </c>
      <c r="K687" s="15" t="s">
        <v>777</v>
      </c>
      <c r="L687" s="10" t="s">
        <v>771</v>
      </c>
      <c r="M687" s="10" t="s">
        <v>770</v>
      </c>
      <c r="N687" s="12" t="s">
        <v>4633</v>
      </c>
      <c r="O687" s="27" t="s">
        <v>4634</v>
      </c>
      <c r="P687" s="80">
        <v>5</v>
      </c>
      <c r="Q687" s="80">
        <v>2</v>
      </c>
      <c r="R687" s="27" t="s">
        <v>2995</v>
      </c>
      <c r="S687" s="10" t="s">
        <v>2825</v>
      </c>
      <c r="T687" s="10" t="s">
        <v>771</v>
      </c>
      <c r="U687" s="10" t="s">
        <v>771</v>
      </c>
      <c r="V687" s="10" t="s">
        <v>771</v>
      </c>
      <c r="W687" s="10"/>
      <c r="X687" s="27" t="s">
        <v>2824</v>
      </c>
      <c r="Y687" s="27" t="s">
        <v>3994</v>
      </c>
      <c r="Z687" s="80">
        <v>58</v>
      </c>
      <c r="AA687" s="27">
        <v>8</v>
      </c>
      <c r="AB687" s="80">
        <v>565</v>
      </c>
      <c r="AC687" s="27">
        <v>0</v>
      </c>
      <c r="AD687" s="27" t="s">
        <v>3996</v>
      </c>
      <c r="AE687" s="27">
        <v>1660616288</v>
      </c>
      <c r="AF687" s="27" t="s">
        <v>3995</v>
      </c>
      <c r="AG687" s="27" t="s">
        <v>3997</v>
      </c>
      <c r="AH687" s="79">
        <v>5.8232931726907598E-2</v>
      </c>
      <c r="AI687" s="83">
        <v>2.1481481481481501</v>
      </c>
      <c r="AJ687" s="80">
        <v>1.8965517241379299</v>
      </c>
      <c r="AK687" s="80">
        <v>0.10344827586206901</v>
      </c>
      <c r="AL687" s="13">
        <v>0</v>
      </c>
      <c r="AM687" s="97">
        <f>SUM(AL687/Z687)</f>
        <v>0</v>
      </c>
      <c r="AN687" s="27" t="s">
        <v>2824</v>
      </c>
      <c r="AO687" s="27">
        <v>2</v>
      </c>
      <c r="AP687" s="27">
        <v>2</v>
      </c>
      <c r="AQ687" s="27">
        <v>6</v>
      </c>
      <c r="AR687" s="27">
        <f>SUM(AO687:AQ687)</f>
        <v>10</v>
      </c>
      <c r="AS687" s="27" t="s">
        <v>5264</v>
      </c>
      <c r="AT687" s="27" t="s">
        <v>5265</v>
      </c>
      <c r="AU687" s="84" t="s">
        <v>4821</v>
      </c>
      <c r="AV687" s="77"/>
      <c r="AW687" s="77"/>
      <c r="AX687" s="77"/>
      <c r="AY687" s="77"/>
      <c r="AZ687" s="77"/>
      <c r="BA687" s="77"/>
      <c r="BB687" s="77"/>
      <c r="BC687" s="77"/>
      <c r="BD687" s="77"/>
      <c r="BE687" s="77"/>
      <c r="BF687" s="77"/>
      <c r="BG687" s="77"/>
      <c r="BH687" s="77"/>
      <c r="BI687" s="77"/>
      <c r="BJ687" s="77"/>
      <c r="BK687" s="77"/>
      <c r="BL687" s="77"/>
      <c r="BM687" s="77"/>
      <c r="BN687" s="77"/>
      <c r="BO687" s="77"/>
      <c r="BP687" s="77"/>
      <c r="CC687" s="77"/>
      <c r="CD687" s="77"/>
      <c r="CE687" s="77"/>
      <c r="CF687" s="77"/>
      <c r="CG687" s="77"/>
      <c r="CH687" s="77"/>
      <c r="CI687" s="77"/>
      <c r="CJ687" s="77"/>
      <c r="CK687" s="77"/>
      <c r="CL687" s="77"/>
      <c r="CM687" s="77"/>
      <c r="CN687" s="77"/>
      <c r="CO687" s="77"/>
      <c r="CP687" s="77"/>
      <c r="CQ687" s="77"/>
      <c r="CR687" s="77"/>
      <c r="CS687" s="77"/>
      <c r="CT687" s="77"/>
      <c r="CU687" s="77"/>
      <c r="CV687" s="77"/>
      <c r="CW687" s="77"/>
      <c r="CX687" s="77"/>
      <c r="CY687" s="77"/>
      <c r="CZ687" s="77"/>
      <c r="DA687" s="77"/>
      <c r="DB687" s="77"/>
      <c r="DC687" s="77"/>
      <c r="DD687" s="77"/>
      <c r="DE687" s="77"/>
      <c r="DF687" s="77"/>
      <c r="DG687" s="77"/>
      <c r="DH687" s="77"/>
      <c r="DI687" s="77"/>
      <c r="DJ687" s="77"/>
      <c r="DK687" s="77"/>
      <c r="DL687" s="77"/>
      <c r="DM687" s="77"/>
      <c r="DN687" s="77"/>
      <c r="DO687" s="77"/>
      <c r="DP687" s="77"/>
      <c r="DQ687" s="77"/>
      <c r="DR687" s="77"/>
      <c r="DS687" s="77"/>
      <c r="DT687" s="77"/>
      <c r="DU687" s="77"/>
      <c r="DV687" s="77"/>
      <c r="DW687" s="77"/>
      <c r="DX687" s="77"/>
      <c r="DY687" s="77"/>
      <c r="DZ687" s="77"/>
      <c r="EA687" s="77"/>
      <c r="EB687" s="77"/>
      <c r="EC687" s="77"/>
      <c r="ED687" s="77"/>
      <c r="EE687" s="77"/>
      <c r="EF687" s="77"/>
      <c r="EG687" s="77"/>
      <c r="EH687" s="77"/>
      <c r="EI687" s="77"/>
      <c r="EJ687" s="77"/>
      <c r="EK687" s="77"/>
      <c r="EL687" s="77"/>
      <c r="EM687" s="77"/>
      <c r="EN687" s="77"/>
      <c r="EO687" s="77"/>
      <c r="EP687" s="77"/>
      <c r="EQ687" s="77"/>
      <c r="ER687" s="77"/>
      <c r="ES687" s="77"/>
      <c r="ET687" s="77"/>
      <c r="EU687" s="77"/>
      <c r="EV687" s="77"/>
      <c r="EW687" s="77"/>
      <c r="EX687" s="77"/>
      <c r="EY687" s="77"/>
      <c r="EZ687" s="77"/>
      <c r="FA687" s="77"/>
      <c r="FB687" s="77"/>
      <c r="FC687" s="77"/>
      <c r="FD687" s="77"/>
      <c r="FE687" s="77"/>
      <c r="FF687" s="77"/>
      <c r="FG687" s="77"/>
      <c r="FH687" s="77"/>
      <c r="FI687" s="77"/>
      <c r="FJ687" s="77"/>
      <c r="FK687" s="77"/>
      <c r="FL687" s="77"/>
      <c r="FM687" s="77"/>
      <c r="FN687" s="77"/>
      <c r="FO687" s="77"/>
      <c r="FP687" s="77"/>
      <c r="FQ687" s="77"/>
      <c r="FR687" s="77"/>
      <c r="FS687" s="77"/>
      <c r="FT687" s="77"/>
      <c r="FU687" s="77"/>
      <c r="FV687" s="77"/>
      <c r="FW687" s="77"/>
      <c r="FX687" s="77"/>
      <c r="FY687" s="77"/>
      <c r="FZ687" s="77"/>
      <c r="GA687" s="77"/>
      <c r="GB687" s="77"/>
      <c r="GC687" s="77"/>
      <c r="GD687" s="77"/>
      <c r="GE687" s="77"/>
      <c r="GF687" s="77"/>
      <c r="GG687" s="77"/>
      <c r="GH687" s="77"/>
      <c r="GI687" s="77"/>
      <c r="GJ687" s="77"/>
      <c r="GK687" s="77"/>
      <c r="GL687" s="77"/>
      <c r="GM687" s="77"/>
      <c r="GN687" s="77"/>
      <c r="GO687" s="77"/>
      <c r="GP687" s="77"/>
      <c r="GQ687" s="77"/>
      <c r="GR687" s="77"/>
      <c r="GS687" s="77"/>
      <c r="GT687" s="77"/>
      <c r="GU687" s="77"/>
      <c r="GV687" s="77"/>
      <c r="GW687" s="77"/>
      <c r="GX687" s="77"/>
      <c r="GY687" s="77"/>
      <c r="GZ687" s="77"/>
      <c r="HA687" s="77"/>
      <c r="HB687" s="77"/>
      <c r="HC687" s="77"/>
      <c r="HD687" s="77"/>
      <c r="HE687" s="77"/>
      <c r="HF687" s="77"/>
      <c r="HG687" s="77"/>
      <c r="HH687" s="77"/>
      <c r="HI687" s="77"/>
      <c r="HJ687" s="77"/>
      <c r="HK687" s="77"/>
      <c r="IF687" s="77"/>
      <c r="IG687" s="77"/>
      <c r="IH687" s="77"/>
      <c r="II687" s="77"/>
      <c r="IJ687" s="77"/>
      <c r="IK687" s="77"/>
      <c r="IL687" s="77"/>
      <c r="IM687" s="77"/>
      <c r="IN687" s="77"/>
      <c r="IO687" s="77"/>
      <c r="IP687" s="77"/>
      <c r="IQ687" s="77"/>
      <c r="IR687" s="77"/>
      <c r="IS687" s="77"/>
      <c r="IT687" s="77"/>
      <c r="IU687" s="77"/>
      <c r="IV687" s="77"/>
      <c r="IW687" s="77"/>
      <c r="IX687" s="77"/>
      <c r="IY687" s="77"/>
      <c r="IZ687" s="77"/>
      <c r="JA687" s="77"/>
      <c r="JB687" s="77"/>
      <c r="JC687" s="77"/>
      <c r="JD687" s="77"/>
      <c r="JE687" s="77"/>
      <c r="JF687" s="77"/>
      <c r="JG687" s="77"/>
      <c r="JH687" s="77"/>
      <c r="JI687" s="77"/>
      <c r="JJ687" s="77"/>
      <c r="JK687" s="77"/>
      <c r="JL687" s="77"/>
      <c r="JM687" s="77"/>
      <c r="JN687" s="77"/>
      <c r="JO687" s="77"/>
      <c r="JP687" s="77"/>
      <c r="JQ687" s="77"/>
      <c r="JR687" s="77"/>
      <c r="JS687" s="77"/>
      <c r="JT687" s="77"/>
      <c r="JU687" s="77"/>
      <c r="JV687" s="77"/>
      <c r="JW687" s="77"/>
      <c r="JX687" s="77"/>
      <c r="KM687" s="77"/>
      <c r="KN687" s="77"/>
      <c r="KO687" s="77"/>
      <c r="KP687" s="77"/>
      <c r="KQ687" s="77"/>
      <c r="KR687" s="77"/>
      <c r="KS687" s="77"/>
      <c r="KT687" s="77"/>
      <c r="KU687" s="77"/>
      <c r="KV687" s="77"/>
      <c r="KW687" s="77"/>
      <c r="KX687" s="77"/>
      <c r="KY687" s="77"/>
      <c r="KZ687" s="77"/>
      <c r="LA687" s="77"/>
      <c r="LB687" s="77"/>
      <c r="LC687" s="77"/>
      <c r="LD687" s="77"/>
      <c r="LE687" s="77"/>
      <c r="LF687" s="77"/>
      <c r="LG687" s="77"/>
      <c r="LH687" s="77"/>
      <c r="LI687" s="77"/>
      <c r="LJ687" s="77"/>
      <c r="LK687" s="77"/>
      <c r="LL687" s="16"/>
      <c r="LM687" s="16"/>
      <c r="LN687" s="16"/>
      <c r="LO687" s="16"/>
      <c r="LP687" s="16"/>
      <c r="LQ687" s="16"/>
      <c r="LR687" s="16"/>
      <c r="LS687" s="16"/>
      <c r="LT687" s="16"/>
      <c r="LU687" s="16"/>
      <c r="LV687" s="16"/>
      <c r="MS687" s="77"/>
      <c r="MT687" s="16"/>
      <c r="MU687" s="16"/>
      <c r="MV687" s="16"/>
      <c r="MW687" s="16"/>
      <c r="MX687" s="16"/>
      <c r="MY687" s="16"/>
      <c r="MZ687" s="16"/>
      <c r="NA687" s="16"/>
      <c r="NB687" s="16"/>
      <c r="NC687" s="16"/>
    </row>
    <row r="688" spans="1:368" s="21" customFormat="1" ht="18.600000000000001" customHeight="1" x14ac:dyDescent="0.25">
      <c r="A688" s="119" t="s">
        <v>2895</v>
      </c>
      <c r="B688" s="27" t="s">
        <v>2896</v>
      </c>
      <c r="C688" s="27" t="s">
        <v>2897</v>
      </c>
      <c r="D688" s="30" t="str">
        <f>HYPERLINK("https://twitter.com/eng_pm_kz","https://twitter.com/eng_pm_kz")</f>
        <v>https://twitter.com/eng_pm_kz</v>
      </c>
      <c r="E688" s="30" t="str">
        <f>HYPERLINK("http://twiplomacy.com/info/asia/Kazakhstan","http://twiplomacy.com/info/asia/Kazakhstan")</f>
        <v>http://twiplomacy.com/info/asia/Kazakhstan</v>
      </c>
      <c r="F688" s="10" t="s">
        <v>154</v>
      </c>
      <c r="G688" s="10" t="s">
        <v>224</v>
      </c>
      <c r="H688" s="10" t="s">
        <v>788</v>
      </c>
      <c r="I688" s="14" t="s">
        <v>782</v>
      </c>
      <c r="J688" s="27" t="s">
        <v>1420</v>
      </c>
      <c r="K688" s="98" t="s">
        <v>2898</v>
      </c>
      <c r="L688" s="14" t="s">
        <v>771</v>
      </c>
      <c r="M688" s="14" t="s">
        <v>771</v>
      </c>
      <c r="N688" s="100" t="str">
        <f>HYPERLINK("https://twitter.com/eng_pm_kz/statuses/123980063803850752","https://twitter.com/eng_pm_kz/statuses/123980063803850752")</f>
        <v>https://twitter.com/eng_pm_kz/statuses/123980063803850752</v>
      </c>
      <c r="O688" s="27" t="s">
        <v>5743</v>
      </c>
      <c r="P688" s="80">
        <v>0</v>
      </c>
      <c r="Q688" s="80">
        <v>0</v>
      </c>
      <c r="R688" s="27" t="s">
        <v>2995</v>
      </c>
      <c r="S688" s="10" t="s">
        <v>2899</v>
      </c>
      <c r="T688" s="10" t="s">
        <v>771</v>
      </c>
      <c r="U688" s="10" t="s">
        <v>771</v>
      </c>
      <c r="V688" s="10" t="s">
        <v>771</v>
      </c>
      <c r="W688" s="10"/>
      <c r="X688" s="27" t="s">
        <v>2895</v>
      </c>
      <c r="Y688" s="27" t="s">
        <v>2896</v>
      </c>
      <c r="Z688" s="80">
        <v>57</v>
      </c>
      <c r="AA688" s="27">
        <v>0</v>
      </c>
      <c r="AB688" s="80">
        <v>24</v>
      </c>
      <c r="AC688" s="27">
        <v>0</v>
      </c>
      <c r="AD688" s="27" t="s">
        <v>3655</v>
      </c>
      <c r="AE688" s="27">
        <v>389272165</v>
      </c>
      <c r="AF688" s="27" t="s">
        <v>2897</v>
      </c>
      <c r="AG688" s="27"/>
      <c r="AH688" s="79">
        <v>3.4234234234234197E-2</v>
      </c>
      <c r="AI688" s="83">
        <v>28.5</v>
      </c>
      <c r="AJ688" s="80">
        <v>0</v>
      </c>
      <c r="AK688" s="80">
        <v>0</v>
      </c>
      <c r="AL688" s="13">
        <v>0</v>
      </c>
      <c r="AM688" s="97">
        <f>SUM(AL688/Z688)</f>
        <v>0</v>
      </c>
      <c r="AN688" s="27" t="s">
        <v>2895</v>
      </c>
      <c r="AO688" s="27">
        <v>0</v>
      </c>
      <c r="AP688" s="27">
        <v>2</v>
      </c>
      <c r="AQ688" s="27">
        <v>0</v>
      </c>
      <c r="AR688" s="27">
        <f>SUM(AO688:AQ688)</f>
        <v>2</v>
      </c>
      <c r="AS688" s="27"/>
      <c r="AT688" s="27" t="s">
        <v>5055</v>
      </c>
      <c r="AU688" s="84"/>
      <c r="AV688" s="77"/>
      <c r="AW688" s="77"/>
      <c r="AX688" s="77"/>
      <c r="AY688" s="77"/>
      <c r="AZ688" s="77"/>
      <c r="BA688" s="77"/>
      <c r="BB688" s="77"/>
      <c r="BC688" s="77"/>
      <c r="BD688" s="77"/>
      <c r="BE688" s="77"/>
      <c r="BF688" s="77"/>
      <c r="BG688" s="77"/>
      <c r="BH688" s="77"/>
      <c r="BI688" s="77"/>
      <c r="BJ688" s="77"/>
      <c r="BK688" s="77"/>
      <c r="BL688" s="77"/>
      <c r="BM688" s="77"/>
      <c r="BN688" s="77"/>
      <c r="BO688" s="77"/>
      <c r="BP688" s="77"/>
      <c r="BQ688" s="77"/>
      <c r="BR688" s="77"/>
      <c r="BS688" s="77"/>
      <c r="BT688" s="77"/>
      <c r="BU688" s="77"/>
      <c r="BV688" s="77"/>
      <c r="BW688" s="77"/>
      <c r="BX688" s="77"/>
      <c r="BY688" s="77"/>
      <c r="BZ688" s="77"/>
      <c r="CA688" s="77"/>
      <c r="CB688" s="77"/>
      <c r="CC688" s="77"/>
      <c r="CD688" s="77"/>
      <c r="CE688" s="77"/>
      <c r="CF688" s="77"/>
      <c r="CG688" s="77"/>
      <c r="CH688" s="77"/>
      <c r="CI688" s="77"/>
      <c r="CJ688" s="77"/>
      <c r="CK688" s="77"/>
      <c r="CL688" s="77"/>
      <c r="CM688" s="77"/>
      <c r="CN688" s="77"/>
      <c r="CO688" s="77"/>
      <c r="CP688" s="77"/>
      <c r="CQ688" s="77"/>
      <c r="CR688" s="77"/>
      <c r="CS688" s="77"/>
      <c r="CT688" s="77"/>
      <c r="CU688" s="77"/>
      <c r="CV688" s="77"/>
      <c r="CW688" s="77"/>
      <c r="CX688" s="77"/>
      <c r="CY688" s="77"/>
      <c r="CZ688" s="77"/>
      <c r="DA688" s="77"/>
      <c r="DB688" s="77"/>
      <c r="DC688" s="77"/>
      <c r="DD688" s="77"/>
      <c r="DE688" s="77"/>
      <c r="DF688" s="77"/>
      <c r="DG688" s="77"/>
      <c r="DH688" s="77"/>
      <c r="DI688" s="77"/>
      <c r="DJ688" s="77"/>
      <c r="DK688" s="77"/>
      <c r="DL688" s="77"/>
      <c r="DM688" s="77"/>
      <c r="DN688" s="77"/>
      <c r="DO688" s="77"/>
      <c r="DP688" s="77"/>
      <c r="DQ688" s="77"/>
      <c r="DR688" s="77"/>
      <c r="DS688" s="77"/>
      <c r="DT688" s="77"/>
      <c r="DU688" s="77"/>
      <c r="DV688" s="77"/>
      <c r="DW688" s="77"/>
      <c r="DX688" s="77"/>
      <c r="DY688" s="77"/>
      <c r="DZ688" s="77"/>
      <c r="EA688" s="77"/>
      <c r="EB688" s="77"/>
      <c r="EC688" s="77"/>
      <c r="ED688" s="77"/>
      <c r="EE688" s="77"/>
      <c r="EF688" s="77"/>
      <c r="EG688" s="77"/>
      <c r="EH688" s="77"/>
      <c r="EI688" s="77"/>
      <c r="EJ688" s="77"/>
      <c r="EK688" s="77"/>
      <c r="EL688" s="77"/>
      <c r="EP688" s="77"/>
      <c r="EQ688" s="77"/>
      <c r="ER688" s="77"/>
      <c r="ES688" s="77"/>
      <c r="ET688" s="77"/>
      <c r="EU688" s="77"/>
      <c r="EV688" s="77"/>
      <c r="EW688" s="77"/>
      <c r="EX688" s="77"/>
      <c r="EY688" s="77"/>
      <c r="EZ688" s="77"/>
      <c r="FA688" s="77"/>
      <c r="FB688" s="77"/>
      <c r="FC688" s="77"/>
      <c r="FD688" s="77"/>
      <c r="FE688" s="77"/>
      <c r="FF688" s="77"/>
      <c r="FG688" s="77"/>
      <c r="FH688" s="77"/>
      <c r="FI688" s="77"/>
      <c r="FJ688" s="77"/>
      <c r="FK688" s="77"/>
      <c r="FL688" s="77"/>
      <c r="FM688" s="77"/>
      <c r="FN688" s="77"/>
      <c r="FO688" s="77"/>
      <c r="FP688" s="77"/>
      <c r="FQ688" s="77"/>
      <c r="FR688" s="77"/>
      <c r="FS688" s="77"/>
      <c r="FT688" s="77"/>
      <c r="FU688" s="77"/>
      <c r="FV688" s="77"/>
      <c r="FW688" s="77"/>
      <c r="FX688" s="77"/>
      <c r="FY688" s="77"/>
      <c r="FZ688" s="77"/>
      <c r="GA688" s="77"/>
      <c r="GB688" s="77"/>
      <c r="GC688" s="77"/>
      <c r="GD688" s="77"/>
      <c r="GE688" s="77"/>
      <c r="GF688" s="77"/>
      <c r="GG688" s="77"/>
      <c r="GH688" s="77"/>
      <c r="GI688" s="77"/>
      <c r="GJ688" s="77"/>
      <c r="GK688" s="77"/>
      <c r="GL688" s="77"/>
      <c r="GM688" s="77"/>
      <c r="GN688" s="77"/>
      <c r="GO688" s="77"/>
      <c r="GP688" s="77"/>
      <c r="GQ688" s="77"/>
      <c r="GR688" s="77"/>
      <c r="GS688" s="77"/>
      <c r="GT688" s="77"/>
      <c r="GU688" s="77"/>
      <c r="GV688" s="77"/>
      <c r="GW688" s="77"/>
      <c r="GX688" s="77"/>
      <c r="GY688" s="77"/>
      <c r="GZ688" s="77"/>
      <c r="HA688" s="77"/>
      <c r="HB688" s="77"/>
      <c r="HC688" s="77"/>
      <c r="HD688" s="77"/>
      <c r="HE688" s="77"/>
      <c r="HF688" s="77"/>
      <c r="HG688" s="77"/>
      <c r="HH688" s="77"/>
      <c r="HI688" s="77"/>
      <c r="HJ688" s="77"/>
      <c r="HK688" s="77"/>
      <c r="ID688" s="77"/>
      <c r="IE688" s="77"/>
      <c r="IF688" s="77"/>
      <c r="IG688" s="77"/>
      <c r="IH688" s="77"/>
      <c r="II688" s="77"/>
      <c r="IJ688" s="77"/>
      <c r="IK688" s="77"/>
      <c r="IL688" s="77"/>
      <c r="IM688" s="77"/>
      <c r="IN688" s="77"/>
      <c r="IO688" s="77"/>
      <c r="IP688" s="77"/>
      <c r="IQ688" s="77"/>
      <c r="IR688" s="77"/>
      <c r="IS688" s="77"/>
      <c r="IT688" s="77"/>
      <c r="IU688" s="77"/>
      <c r="IV688" s="77"/>
      <c r="IW688" s="77"/>
      <c r="IX688" s="77"/>
      <c r="IY688" s="77"/>
      <c r="IZ688" s="77"/>
      <c r="JA688" s="77"/>
      <c r="JB688" s="77"/>
      <c r="JC688" s="77"/>
      <c r="JD688" s="77"/>
      <c r="JE688" s="77"/>
      <c r="JF688" s="77"/>
      <c r="JG688" s="77"/>
      <c r="JH688" s="77"/>
      <c r="JI688" s="77"/>
      <c r="JJ688" s="77"/>
      <c r="JK688" s="77"/>
      <c r="JL688" s="77"/>
      <c r="JM688" s="77"/>
      <c r="JN688" s="77"/>
      <c r="JO688" s="77"/>
      <c r="JP688" s="77"/>
      <c r="JQ688" s="77"/>
      <c r="JR688" s="77"/>
      <c r="JS688" s="77"/>
      <c r="JT688" s="77"/>
      <c r="JU688" s="77"/>
      <c r="JV688" s="77"/>
      <c r="JW688" s="77"/>
      <c r="JX688" s="77"/>
      <c r="JY688" s="77"/>
      <c r="JZ688" s="77"/>
      <c r="KA688" s="77"/>
      <c r="KB688" s="77"/>
      <c r="KC688" s="77"/>
      <c r="KD688" s="77"/>
      <c r="KE688" s="77"/>
      <c r="KF688" s="77"/>
      <c r="KG688" s="77"/>
      <c r="KH688" s="77"/>
      <c r="KI688" s="77"/>
      <c r="KJ688" s="77"/>
      <c r="KK688" s="77"/>
      <c r="KL688" s="77"/>
      <c r="KM688" s="77"/>
      <c r="KN688" s="77"/>
      <c r="KO688" s="77"/>
      <c r="KP688" s="77"/>
      <c r="KQ688" s="77"/>
      <c r="KR688" s="77"/>
      <c r="KS688" s="77"/>
      <c r="KT688" s="77"/>
      <c r="KU688" s="77"/>
      <c r="KV688" s="77"/>
      <c r="KW688" s="77"/>
      <c r="KX688" s="77"/>
      <c r="KY688" s="77"/>
      <c r="KZ688" s="77"/>
      <c r="LA688" s="77"/>
      <c r="LB688" s="77"/>
      <c r="LC688" s="77"/>
      <c r="LD688" s="77"/>
      <c r="LE688" s="77"/>
      <c r="LF688" s="77"/>
      <c r="LG688" s="77"/>
      <c r="LH688" s="77"/>
      <c r="LI688" s="77"/>
      <c r="LJ688" s="77"/>
      <c r="LK688" s="77"/>
      <c r="LL688" s="77"/>
      <c r="LM688" s="77"/>
      <c r="LN688" s="77"/>
      <c r="LO688" s="77"/>
      <c r="LP688" s="77"/>
      <c r="LQ688" s="77"/>
      <c r="LR688" s="77"/>
      <c r="LS688" s="77"/>
      <c r="LT688" s="77"/>
      <c r="LU688" s="77"/>
      <c r="LV688" s="77"/>
      <c r="MS688" s="77"/>
      <c r="MT688" s="77"/>
      <c r="MU688" s="77"/>
      <c r="MV688" s="77"/>
      <c r="MW688" s="77"/>
      <c r="MX688" s="77"/>
      <c r="MY688" s="77"/>
      <c r="MZ688" s="77"/>
      <c r="NA688" s="77"/>
      <c r="NB688" s="77"/>
      <c r="NC688" s="77"/>
      <c r="ND688" s="77"/>
    </row>
    <row r="689" spans="1:421" s="21" customFormat="1" ht="18.600000000000001" customHeight="1" x14ac:dyDescent="0.25">
      <c r="A689" s="119" t="s">
        <v>2900</v>
      </c>
      <c r="B689" s="27" t="s">
        <v>2896</v>
      </c>
      <c r="C689" s="27" t="s">
        <v>2901</v>
      </c>
      <c r="D689" s="30" t="str">
        <f>HYPERLINK("https://twitter.com/kaz_pm_kz","https://twitter.com/kaz_pm_kz")</f>
        <v>https://twitter.com/kaz_pm_kz</v>
      </c>
      <c r="E689" s="30" t="str">
        <f>HYPERLINK("http://twiplomacy.com/info/asia/Kazakhstan","http://twiplomacy.com/info/asia/Kazakhstan")</f>
        <v>http://twiplomacy.com/info/asia/Kazakhstan</v>
      </c>
      <c r="F689" s="10" t="s">
        <v>154</v>
      </c>
      <c r="G689" s="10" t="s">
        <v>224</v>
      </c>
      <c r="H689" s="10" t="s">
        <v>788</v>
      </c>
      <c r="I689" s="14" t="s">
        <v>782</v>
      </c>
      <c r="J689" s="27" t="s">
        <v>1420</v>
      </c>
      <c r="K689" s="98" t="s">
        <v>2898</v>
      </c>
      <c r="L689" s="14" t="s">
        <v>771</v>
      </c>
      <c r="M689" s="14" t="s">
        <v>771</v>
      </c>
      <c r="N689" s="100" t="str">
        <f>HYPERLINK("https://twitter.com/kaz_pm_kz/statuses/123972074975924224","https://twitter.com/kaz_pm_kz/statuses/123972074975924224")</f>
        <v>https://twitter.com/kaz_pm_kz/statuses/123972074975924224</v>
      </c>
      <c r="O689" s="27" t="s">
        <v>5897</v>
      </c>
      <c r="P689" s="80">
        <v>0</v>
      </c>
      <c r="Q689" s="80">
        <v>0</v>
      </c>
      <c r="R689" s="27" t="s">
        <v>2995</v>
      </c>
      <c r="S689" s="10" t="s">
        <v>2902</v>
      </c>
      <c r="T689" s="10" t="s">
        <v>771</v>
      </c>
      <c r="U689" s="10" t="s">
        <v>771</v>
      </c>
      <c r="V689" s="10" t="s">
        <v>771</v>
      </c>
      <c r="W689" s="10"/>
      <c r="X689" s="27" t="s">
        <v>2900</v>
      </c>
      <c r="Y689" s="27" t="s">
        <v>2896</v>
      </c>
      <c r="Z689" s="80">
        <v>57</v>
      </c>
      <c r="AA689" s="27">
        <v>0</v>
      </c>
      <c r="AB689" s="80">
        <v>19</v>
      </c>
      <c r="AC689" s="27">
        <v>0</v>
      </c>
      <c r="AD689" s="27" t="s">
        <v>3924</v>
      </c>
      <c r="AE689" s="27">
        <v>389265641</v>
      </c>
      <c r="AF689" s="27" t="s">
        <v>2901</v>
      </c>
      <c r="AG689" s="27"/>
      <c r="AH689" s="79">
        <v>3.4254807692307702E-2</v>
      </c>
      <c r="AI689" s="83">
        <v>28.5</v>
      </c>
      <c r="AJ689" s="80">
        <v>0</v>
      </c>
      <c r="AK689" s="80">
        <v>0</v>
      </c>
      <c r="AL689" s="13">
        <v>0</v>
      </c>
      <c r="AM689" s="97">
        <f>SUM(AL689/Z689)</f>
        <v>0</v>
      </c>
      <c r="AN689" s="27" t="s">
        <v>2900</v>
      </c>
      <c r="AO689" s="27">
        <v>0</v>
      </c>
      <c r="AP689" s="27">
        <v>2</v>
      </c>
      <c r="AQ689" s="27">
        <v>0</v>
      </c>
      <c r="AR689" s="27">
        <f>SUM(AO689:AQ689)</f>
        <v>2</v>
      </c>
      <c r="AS689" s="27"/>
      <c r="AT689" s="27" t="s">
        <v>5055</v>
      </c>
      <c r="AU689" s="84"/>
      <c r="AV689" s="77"/>
      <c r="AW689" s="77"/>
      <c r="AX689" s="77"/>
      <c r="AY689" s="77"/>
      <c r="AZ689" s="77"/>
      <c r="BA689" s="77"/>
      <c r="BB689" s="77"/>
      <c r="BC689" s="77"/>
      <c r="BD689" s="77"/>
      <c r="BE689" s="77"/>
      <c r="BF689" s="77"/>
      <c r="BG689" s="77"/>
      <c r="BH689" s="77"/>
      <c r="BI689" s="77"/>
      <c r="BJ689" s="77"/>
      <c r="BK689" s="77"/>
      <c r="BL689" s="77"/>
      <c r="BM689" s="77"/>
      <c r="BN689" s="77"/>
      <c r="BO689" s="77"/>
      <c r="BP689" s="77"/>
      <c r="BQ689" s="77"/>
      <c r="BR689" s="77"/>
      <c r="BS689" s="77"/>
      <c r="BT689" s="77"/>
      <c r="BU689" s="77"/>
      <c r="BV689" s="77"/>
      <c r="BW689" s="77"/>
      <c r="BX689" s="77"/>
      <c r="BY689" s="77"/>
      <c r="BZ689" s="77"/>
      <c r="CA689" s="77"/>
      <c r="CB689" s="77"/>
      <c r="CC689" s="77"/>
      <c r="CD689" s="77"/>
      <c r="CE689" s="77"/>
      <c r="CF689" s="77"/>
      <c r="CG689" s="77"/>
      <c r="CH689" s="77"/>
      <c r="CI689" s="77"/>
      <c r="CJ689" s="77"/>
      <c r="CK689" s="77"/>
      <c r="CL689" s="77"/>
      <c r="CM689" s="77"/>
      <c r="CN689" s="77"/>
      <c r="CO689" s="77"/>
      <c r="CP689" s="77"/>
      <c r="CQ689" s="77"/>
      <c r="CR689" s="77"/>
      <c r="CS689" s="77"/>
      <c r="CT689" s="77"/>
      <c r="CU689" s="77"/>
      <c r="CV689" s="77"/>
      <c r="CW689" s="77"/>
      <c r="CX689" s="77"/>
      <c r="CY689" s="77"/>
      <c r="CZ689" s="77"/>
      <c r="DA689" s="77"/>
      <c r="DB689" s="77"/>
      <c r="DC689" s="77"/>
      <c r="DD689" s="77"/>
      <c r="DE689" s="77"/>
      <c r="DF689" s="77"/>
      <c r="DG689" s="77"/>
      <c r="DH689" s="77"/>
      <c r="DI689" s="77"/>
      <c r="DJ689" s="77"/>
      <c r="DK689" s="77"/>
      <c r="DL689" s="77"/>
      <c r="DM689" s="77"/>
      <c r="DN689" s="77"/>
      <c r="DO689" s="77"/>
      <c r="DP689" s="77"/>
      <c r="DQ689" s="77"/>
      <c r="DR689" s="77"/>
      <c r="DS689" s="77"/>
      <c r="DT689" s="77"/>
      <c r="DU689" s="77"/>
      <c r="DV689" s="77"/>
      <c r="DW689" s="77"/>
      <c r="DX689" s="77"/>
      <c r="DY689" s="77"/>
      <c r="DZ689" s="77"/>
      <c r="EA689" s="77"/>
      <c r="EB689" s="77"/>
      <c r="EC689" s="77"/>
      <c r="ED689" s="77"/>
      <c r="EE689" s="77"/>
      <c r="EF689" s="77"/>
      <c r="EG689" s="77"/>
      <c r="EH689" s="77"/>
      <c r="EI689" s="77"/>
      <c r="EJ689" s="77"/>
      <c r="EK689" s="77"/>
      <c r="EL689" s="77"/>
      <c r="EM689" s="77"/>
      <c r="EN689" s="77"/>
      <c r="EO689" s="77"/>
      <c r="EP689" s="77"/>
      <c r="EQ689" s="77"/>
      <c r="GL689" s="77"/>
      <c r="GM689" s="77"/>
      <c r="GN689" s="77"/>
      <c r="GO689" s="77"/>
      <c r="GP689" s="77"/>
      <c r="GQ689" s="77"/>
      <c r="GR689" s="77"/>
      <c r="GS689" s="77"/>
      <c r="GT689" s="77"/>
      <c r="GU689" s="77"/>
      <c r="GV689" s="77"/>
      <c r="GW689" s="77"/>
      <c r="GX689" s="77"/>
      <c r="GY689" s="77"/>
      <c r="GZ689" s="77"/>
      <c r="HA689" s="77"/>
      <c r="HB689" s="77"/>
      <c r="HC689" s="77"/>
      <c r="HD689" s="77"/>
      <c r="HE689" s="77"/>
      <c r="HF689" s="77"/>
      <c r="HG689" s="77"/>
      <c r="HH689" s="77"/>
      <c r="HI689" s="77"/>
      <c r="HJ689" s="77"/>
      <c r="HK689" s="77"/>
      <c r="HL689" s="77"/>
      <c r="HM689" s="77"/>
      <c r="HN689" s="77"/>
      <c r="HO689" s="77"/>
      <c r="HP689" s="77"/>
      <c r="HQ689" s="77"/>
      <c r="HR689" s="77"/>
      <c r="HS689" s="77"/>
      <c r="HT689" s="77"/>
      <c r="HU689" s="77"/>
      <c r="HV689" s="77"/>
      <c r="HW689" s="77"/>
      <c r="HX689" s="77"/>
      <c r="HY689" s="77"/>
      <c r="HZ689" s="77"/>
      <c r="IA689" s="77"/>
      <c r="IB689" s="77"/>
      <c r="IC689" s="77"/>
      <c r="IF689" s="77"/>
      <c r="IG689" s="77"/>
      <c r="IH689" s="77"/>
      <c r="II689" s="77"/>
      <c r="IJ689" s="77"/>
      <c r="IK689" s="77"/>
      <c r="IL689" s="77"/>
      <c r="IM689" s="77"/>
      <c r="IN689" s="77"/>
      <c r="IO689" s="77"/>
      <c r="IP689" s="77"/>
      <c r="IQ689" s="77"/>
      <c r="IR689" s="77"/>
      <c r="IS689" s="77"/>
      <c r="IT689" s="77"/>
      <c r="IU689" s="77"/>
      <c r="IV689" s="77"/>
      <c r="IW689" s="77"/>
      <c r="IX689" s="77"/>
      <c r="IY689" s="77"/>
      <c r="IZ689" s="77"/>
      <c r="JA689" s="77"/>
      <c r="JB689" s="77"/>
      <c r="JC689" s="77"/>
      <c r="JD689" s="77"/>
      <c r="JE689" s="77"/>
      <c r="JF689" s="77"/>
      <c r="JG689" s="77"/>
      <c r="JH689" s="77"/>
      <c r="JI689" s="77"/>
      <c r="JJ689" s="77"/>
      <c r="JK689" s="77"/>
      <c r="JL689" s="77"/>
      <c r="JM689" s="77"/>
      <c r="JN689" s="77"/>
      <c r="JO689" s="77"/>
      <c r="JP689" s="77"/>
      <c r="JQ689" s="77"/>
      <c r="JR689" s="77"/>
      <c r="JS689" s="77"/>
      <c r="JT689" s="77"/>
      <c r="JU689" s="77"/>
      <c r="JV689" s="77"/>
      <c r="JW689" s="77"/>
      <c r="JX689" s="77"/>
      <c r="JY689" s="77"/>
      <c r="JZ689" s="77"/>
      <c r="KA689" s="77"/>
      <c r="KB689" s="77"/>
      <c r="KC689" s="77"/>
      <c r="KD689" s="77"/>
      <c r="KE689" s="77"/>
      <c r="KF689" s="77"/>
      <c r="KG689" s="77"/>
      <c r="KH689" s="77"/>
      <c r="KI689" s="77"/>
      <c r="KJ689" s="77"/>
      <c r="KK689" s="77"/>
      <c r="KL689" s="77"/>
      <c r="KM689" s="77"/>
      <c r="KN689" s="77"/>
      <c r="KO689" s="77"/>
      <c r="KP689" s="77"/>
      <c r="KQ689" s="77"/>
      <c r="KR689" s="77"/>
      <c r="KS689" s="77"/>
      <c r="KT689" s="77"/>
      <c r="KU689" s="77"/>
      <c r="KV689" s="77"/>
      <c r="KW689" s="77"/>
      <c r="KX689" s="77"/>
      <c r="KY689" s="77"/>
      <c r="KZ689" s="77"/>
      <c r="LA689" s="77"/>
      <c r="LB689" s="77"/>
      <c r="LC689" s="77"/>
      <c r="LD689" s="77"/>
      <c r="LE689" s="77"/>
      <c r="LF689" s="77"/>
      <c r="LG689" s="77"/>
      <c r="LH689" s="77"/>
      <c r="LI689" s="77"/>
      <c r="LJ689" s="77"/>
      <c r="LK689" s="77"/>
      <c r="MS689" s="77"/>
      <c r="MT689" s="77"/>
      <c r="MU689" s="77"/>
      <c r="MV689" s="77"/>
      <c r="MW689" s="77"/>
      <c r="MX689" s="77"/>
      <c r="MY689" s="77"/>
      <c r="MZ689" s="77"/>
      <c r="NA689" s="77"/>
      <c r="NB689" s="77"/>
      <c r="NC689" s="77"/>
      <c r="ND689" s="16"/>
    </row>
    <row r="690" spans="1:421" s="21" customFormat="1" ht="18.600000000000001" customHeight="1" x14ac:dyDescent="0.25">
      <c r="A690" s="121" t="s">
        <v>5571</v>
      </c>
      <c r="B690" s="27" t="s">
        <v>5573</v>
      </c>
      <c r="C690" s="27" t="s">
        <v>5574</v>
      </c>
      <c r="D690" s="12" t="s">
        <v>6136</v>
      </c>
      <c r="E690" s="30" t="str">
        <f>HYPERLINK("http://twiplomacy.com/info/south-america/Bolivia","http://twiplomacy.com/info/south-america/Bolivia")</f>
        <v>http://twiplomacy.com/info/south-america/Bolivia</v>
      </c>
      <c r="F690" s="10" t="s">
        <v>668</v>
      </c>
      <c r="G690" s="10" t="s">
        <v>671</v>
      </c>
      <c r="H690" s="10" t="s">
        <v>772</v>
      </c>
      <c r="I690" s="10" t="s">
        <v>773</v>
      </c>
      <c r="J690" s="27" t="s">
        <v>2226</v>
      </c>
      <c r="K690" s="15" t="s">
        <v>777</v>
      </c>
      <c r="L690" s="10"/>
      <c r="M690" s="10"/>
      <c r="N690" s="34" t="s">
        <v>6138</v>
      </c>
      <c r="O690" s="27" t="s">
        <v>5753</v>
      </c>
      <c r="P690" s="80">
        <v>2506</v>
      </c>
      <c r="Q690" s="80">
        <v>2157</v>
      </c>
      <c r="R690" s="27" t="s">
        <v>2995</v>
      </c>
      <c r="S690" s="12" t="s">
        <v>6140</v>
      </c>
      <c r="T690" s="10" t="s">
        <v>771</v>
      </c>
      <c r="U690" s="10" t="s">
        <v>771</v>
      </c>
      <c r="V690" s="10" t="s">
        <v>771</v>
      </c>
      <c r="W690" s="42"/>
      <c r="X690" s="39" t="s">
        <v>5571</v>
      </c>
      <c r="Y690" s="27" t="s">
        <v>5573</v>
      </c>
      <c r="Z690" s="80">
        <v>51</v>
      </c>
      <c r="AA690" s="27">
        <v>5</v>
      </c>
      <c r="AB690" s="80">
        <v>29948</v>
      </c>
      <c r="AC690" s="27">
        <v>0</v>
      </c>
      <c r="AD690" s="27" t="s">
        <v>5575</v>
      </c>
      <c r="AE690" s="27">
        <v>7.2078656979225395E+17</v>
      </c>
      <c r="AF690" s="27" t="s">
        <v>5574</v>
      </c>
      <c r="AG690" s="27" t="s">
        <v>671</v>
      </c>
      <c r="AH690" s="79">
        <v>2.9444444444444402</v>
      </c>
      <c r="AI690" s="83">
        <v>3.1176470588235299</v>
      </c>
      <c r="AJ690" s="80">
        <v>505.75471698113199</v>
      </c>
      <c r="AK690" s="80">
        <v>468.03773584905701</v>
      </c>
      <c r="AL690" s="13">
        <v>0</v>
      </c>
      <c r="AM690" s="97">
        <f>SUM(AL690/Z690)</f>
        <v>0</v>
      </c>
      <c r="AN690" s="39" t="s">
        <v>5571</v>
      </c>
      <c r="AO690" s="27">
        <v>2</v>
      </c>
      <c r="AP690" s="27">
        <v>12</v>
      </c>
      <c r="AQ690" s="27">
        <v>1</v>
      </c>
      <c r="AR690" s="27">
        <f>SUM(AO690:AQ690)</f>
        <v>15</v>
      </c>
      <c r="AS690" s="27" t="s">
        <v>6642</v>
      </c>
      <c r="AT690" s="27" t="s">
        <v>6717</v>
      </c>
      <c r="AU690" s="84" t="s">
        <v>711</v>
      </c>
      <c r="AV690" s="77"/>
      <c r="AW690" s="77"/>
      <c r="AX690" s="77"/>
      <c r="AY690" s="77"/>
      <c r="AZ690" s="77"/>
      <c r="BA690" s="77"/>
      <c r="BB690" s="77"/>
      <c r="BC690" s="77"/>
      <c r="BD690" s="77"/>
      <c r="BE690" s="77"/>
      <c r="BF690" s="77"/>
      <c r="BG690" s="77"/>
      <c r="BH690" s="77"/>
      <c r="BI690" s="77"/>
      <c r="BJ690" s="77"/>
      <c r="BK690" s="77"/>
      <c r="BL690" s="77"/>
      <c r="BM690" s="77"/>
      <c r="BN690" s="77"/>
      <c r="BO690" s="77"/>
      <c r="BP690" s="77"/>
      <c r="BQ690" s="77"/>
      <c r="BR690" s="77"/>
      <c r="BS690" s="77"/>
      <c r="BT690" s="77"/>
      <c r="BU690" s="77"/>
      <c r="BV690" s="77"/>
      <c r="BW690" s="77"/>
      <c r="BX690" s="77"/>
      <c r="BY690" s="77"/>
      <c r="BZ690" s="77"/>
      <c r="CA690" s="77"/>
      <c r="CB690" s="77"/>
      <c r="CC690" s="77"/>
      <c r="CD690" s="77"/>
      <c r="CE690" s="77"/>
      <c r="CF690" s="77"/>
      <c r="CG690" s="77"/>
      <c r="CH690" s="77"/>
      <c r="CI690" s="77"/>
      <c r="CJ690" s="77"/>
      <c r="CK690" s="77"/>
      <c r="CL690" s="77"/>
      <c r="CM690" s="77"/>
      <c r="CN690" s="77"/>
      <c r="CO690" s="77"/>
      <c r="CP690" s="77"/>
      <c r="CQ690" s="77"/>
      <c r="CR690" s="77"/>
      <c r="CS690" s="77"/>
      <c r="CT690" s="77"/>
      <c r="CU690" s="77"/>
      <c r="CV690" s="77"/>
      <c r="CW690" s="77"/>
      <c r="CX690" s="77"/>
      <c r="CY690" s="77"/>
      <c r="CZ690" s="77"/>
      <c r="DA690" s="77"/>
      <c r="DB690" s="77"/>
      <c r="DC690" s="77"/>
      <c r="DD690" s="77"/>
      <c r="DE690" s="77"/>
      <c r="DF690" s="77"/>
      <c r="DG690" s="77"/>
      <c r="DH690" s="77"/>
      <c r="DI690" s="77"/>
      <c r="DJ690" s="77"/>
      <c r="DK690" s="77"/>
      <c r="DL690" s="77"/>
      <c r="DM690" s="77"/>
      <c r="DN690" s="77"/>
      <c r="DO690" s="77"/>
      <c r="DP690" s="77"/>
      <c r="DQ690" s="77"/>
      <c r="DR690" s="77"/>
      <c r="DS690" s="77"/>
      <c r="DT690" s="77"/>
      <c r="DU690" s="77"/>
      <c r="DV690" s="77"/>
      <c r="DW690" s="77"/>
      <c r="DX690" s="77"/>
      <c r="DY690" s="77"/>
      <c r="DZ690" s="77"/>
      <c r="EA690" s="77"/>
      <c r="EB690" s="77"/>
      <c r="EC690" s="77"/>
      <c r="ED690" s="77"/>
      <c r="EE690" s="77"/>
      <c r="EF690" s="77"/>
      <c r="EG690" s="77"/>
      <c r="EH690" s="77"/>
      <c r="EI690" s="77"/>
      <c r="EJ690" s="77"/>
      <c r="EK690" s="77"/>
      <c r="EL690" s="77"/>
      <c r="EM690" s="77"/>
      <c r="EN690" s="77"/>
      <c r="EO690" s="77"/>
      <c r="EP690" s="77"/>
      <c r="ER690" s="77"/>
      <c r="ES690" s="77"/>
      <c r="ET690" s="77"/>
      <c r="EU690" s="77"/>
      <c r="EV690" s="77"/>
      <c r="EW690" s="77"/>
      <c r="EX690" s="77"/>
      <c r="EY690" s="77"/>
      <c r="EZ690" s="77"/>
      <c r="FA690" s="77"/>
      <c r="FB690" s="77"/>
      <c r="FC690" s="77"/>
      <c r="FD690" s="77"/>
      <c r="FE690" s="77"/>
      <c r="FF690" s="77"/>
      <c r="FG690" s="77"/>
      <c r="FH690" s="77"/>
      <c r="FI690" s="77"/>
      <c r="FJ690" s="77"/>
      <c r="FK690" s="77"/>
      <c r="FL690" s="77"/>
      <c r="FM690" s="77"/>
      <c r="FN690" s="77"/>
      <c r="FO690" s="77"/>
      <c r="FP690" s="77"/>
      <c r="FQ690" s="77"/>
      <c r="FR690" s="77"/>
      <c r="FS690" s="77"/>
      <c r="FT690" s="77"/>
      <c r="FU690" s="77"/>
      <c r="FV690" s="77"/>
      <c r="FW690" s="77"/>
      <c r="FX690" s="77"/>
      <c r="FY690" s="77"/>
      <c r="FZ690" s="77"/>
      <c r="GA690" s="77"/>
      <c r="GB690" s="77"/>
      <c r="GC690" s="77"/>
      <c r="GD690" s="77"/>
      <c r="GE690" s="77"/>
      <c r="GF690" s="77"/>
      <c r="GG690" s="77"/>
      <c r="GH690" s="77"/>
      <c r="GI690" s="77"/>
      <c r="GJ690" s="77"/>
      <c r="GK690" s="77"/>
      <c r="GL690" s="77"/>
      <c r="GM690" s="77"/>
      <c r="GN690" s="77"/>
      <c r="GO690" s="77"/>
      <c r="GP690" s="77"/>
      <c r="GQ690" s="77"/>
      <c r="GR690" s="77"/>
      <c r="GS690" s="77"/>
      <c r="GT690" s="77"/>
      <c r="GU690" s="77"/>
      <c r="GV690" s="77"/>
      <c r="GW690" s="77"/>
      <c r="GX690" s="77"/>
      <c r="GY690" s="77"/>
      <c r="GZ690" s="77"/>
      <c r="HA690" s="77"/>
      <c r="HB690" s="77"/>
      <c r="HC690" s="77"/>
      <c r="HD690" s="77"/>
      <c r="HE690" s="77"/>
      <c r="HF690" s="77"/>
      <c r="HG690" s="77"/>
      <c r="HH690" s="77"/>
      <c r="HI690" s="77"/>
      <c r="HJ690" s="77"/>
      <c r="HK690" s="77"/>
      <c r="HL690" s="77"/>
      <c r="HM690" s="77"/>
      <c r="HN690" s="77"/>
      <c r="HO690" s="77"/>
      <c r="HP690" s="77"/>
      <c r="HQ690" s="77"/>
      <c r="HR690" s="77"/>
      <c r="HS690" s="77"/>
      <c r="HT690" s="77"/>
      <c r="HU690" s="77"/>
      <c r="HV690" s="77"/>
      <c r="HW690" s="77"/>
      <c r="HX690" s="77"/>
      <c r="HY690" s="77"/>
      <c r="HZ690" s="77"/>
      <c r="IA690" s="77"/>
      <c r="IB690" s="77"/>
      <c r="IC690" s="77"/>
      <c r="IF690" s="77"/>
      <c r="IG690" s="77"/>
      <c r="IH690" s="77"/>
      <c r="II690" s="77"/>
      <c r="IJ690" s="77"/>
      <c r="IK690" s="77"/>
      <c r="IL690" s="77"/>
      <c r="IM690" s="77"/>
      <c r="IN690" s="77"/>
      <c r="IO690" s="77"/>
      <c r="IP690" s="77"/>
      <c r="IQ690" s="77"/>
      <c r="IR690" s="77"/>
      <c r="IS690" s="77"/>
      <c r="IT690" s="77"/>
      <c r="IU690" s="77"/>
      <c r="IV690" s="77"/>
      <c r="IW690" s="77"/>
      <c r="IX690" s="77"/>
      <c r="IY690" s="77"/>
      <c r="IZ690" s="77"/>
      <c r="JA690" s="77"/>
      <c r="JB690" s="77"/>
      <c r="JC690" s="77"/>
      <c r="JD690" s="77"/>
      <c r="JE690" s="77"/>
      <c r="JF690" s="77"/>
      <c r="JG690" s="77"/>
      <c r="JH690" s="77"/>
      <c r="JI690" s="77"/>
      <c r="JJ690" s="77"/>
      <c r="JK690" s="77"/>
      <c r="JL690" s="77"/>
      <c r="JM690" s="77"/>
      <c r="JN690" s="77"/>
      <c r="JO690" s="77"/>
      <c r="JP690" s="77"/>
      <c r="JQ690" s="77"/>
      <c r="JR690" s="77"/>
      <c r="JS690" s="77"/>
      <c r="JT690" s="77"/>
      <c r="JU690" s="77"/>
      <c r="JV690" s="77"/>
      <c r="JW690" s="77"/>
      <c r="JX690" s="77"/>
      <c r="JY690" s="77"/>
      <c r="JZ690" s="77"/>
      <c r="KA690" s="77"/>
      <c r="KB690" s="77"/>
      <c r="KC690" s="77"/>
      <c r="KD690" s="77"/>
      <c r="KE690" s="77"/>
      <c r="KF690" s="77"/>
      <c r="KG690" s="77"/>
      <c r="KH690" s="77"/>
      <c r="KI690" s="77"/>
      <c r="KJ690" s="77"/>
      <c r="KK690" s="77"/>
      <c r="KL690" s="77"/>
      <c r="KM690" s="77"/>
      <c r="KN690" s="77"/>
      <c r="KO690" s="77"/>
      <c r="KP690" s="77"/>
      <c r="KQ690" s="77"/>
      <c r="KR690" s="77"/>
      <c r="KS690" s="77"/>
      <c r="KT690" s="77"/>
      <c r="KU690" s="77"/>
      <c r="KV690" s="77"/>
      <c r="KW690" s="77"/>
      <c r="KX690" s="77"/>
      <c r="KY690" s="77"/>
      <c r="KZ690" s="77"/>
      <c r="LA690" s="77"/>
      <c r="LB690" s="77"/>
      <c r="LC690" s="77"/>
      <c r="LD690" s="77"/>
      <c r="LE690" s="77"/>
      <c r="LF690" s="77"/>
      <c r="LG690" s="77"/>
      <c r="LH690" s="77"/>
      <c r="LI690" s="77"/>
      <c r="LJ690" s="77"/>
      <c r="LK690" s="77"/>
      <c r="LL690" s="77"/>
      <c r="LM690" s="77"/>
      <c r="LN690" s="77"/>
      <c r="LO690" s="77"/>
      <c r="LP690" s="77"/>
      <c r="LQ690" s="77"/>
      <c r="LR690" s="77"/>
      <c r="LS690" s="77"/>
      <c r="LT690" s="77"/>
      <c r="LU690" s="77"/>
      <c r="LV690" s="77"/>
      <c r="MS690" s="77"/>
      <c r="ND690" s="77"/>
    </row>
    <row r="691" spans="1:421" s="21" customFormat="1" ht="18.600000000000001" customHeight="1" x14ac:dyDescent="0.25">
      <c r="A691" s="119" t="s">
        <v>3339</v>
      </c>
      <c r="B691" s="27" t="s">
        <v>3651</v>
      </c>
      <c r="C691" s="27" t="s">
        <v>3886</v>
      </c>
      <c r="D691" s="12" t="s">
        <v>3341</v>
      </c>
      <c r="E691" s="30" t="str">
        <f>HYPERLINK("http://twiplomacy.com/info/north-america/Haiti","http://twiplomacy.com/info/north-america/Haiti")</f>
        <v>http://twiplomacy.com/info/north-america/Haiti</v>
      </c>
      <c r="F691" s="10" t="s">
        <v>558</v>
      </c>
      <c r="G691" s="10" t="s">
        <v>599</v>
      </c>
      <c r="H691" s="10" t="s">
        <v>776</v>
      </c>
      <c r="I691" s="10" t="s">
        <v>773</v>
      </c>
      <c r="J691" s="27" t="s">
        <v>779</v>
      </c>
      <c r="K691" s="15" t="s">
        <v>777</v>
      </c>
      <c r="L691" s="10"/>
      <c r="M691" s="10"/>
      <c r="N691" s="30" t="s">
        <v>3392</v>
      </c>
      <c r="O691" s="27" t="s">
        <v>3405</v>
      </c>
      <c r="P691" s="80">
        <v>29</v>
      </c>
      <c r="Q691" s="80">
        <v>24</v>
      </c>
      <c r="R691" s="27" t="s">
        <v>2995</v>
      </c>
      <c r="S691" s="12" t="s">
        <v>3414</v>
      </c>
      <c r="T691" s="10" t="s">
        <v>771</v>
      </c>
      <c r="U691" s="10" t="s">
        <v>771</v>
      </c>
      <c r="V691" s="10" t="s">
        <v>771</v>
      </c>
      <c r="W691" s="10"/>
      <c r="X691" s="27" t="s">
        <v>3339</v>
      </c>
      <c r="Y691" s="27" t="s">
        <v>3651</v>
      </c>
      <c r="Z691" s="80">
        <v>50</v>
      </c>
      <c r="AA691" s="27">
        <v>25</v>
      </c>
      <c r="AB691" s="80">
        <v>1519</v>
      </c>
      <c r="AC691" s="27">
        <v>3</v>
      </c>
      <c r="AD691" s="27" t="s">
        <v>3887</v>
      </c>
      <c r="AE691" s="27">
        <v>7.1305369358775104E+17</v>
      </c>
      <c r="AF691" s="27" t="s">
        <v>3886</v>
      </c>
      <c r="AG691" s="27" t="s">
        <v>599</v>
      </c>
      <c r="AH691" s="79">
        <v>1.2820512820512799</v>
      </c>
      <c r="AI691" s="83">
        <v>3.3333333333333299</v>
      </c>
      <c r="AJ691" s="80">
        <v>6.0869565217391299</v>
      </c>
      <c r="AK691" s="80">
        <v>6.4565217391304301</v>
      </c>
      <c r="AL691" s="27">
        <v>15</v>
      </c>
      <c r="AM691" s="97">
        <f>SUM(AL691/Z691)</f>
        <v>0.3</v>
      </c>
      <c r="AN691" s="27" t="s">
        <v>3339</v>
      </c>
      <c r="AO691" s="27">
        <v>0</v>
      </c>
      <c r="AP691" s="27">
        <v>0</v>
      </c>
      <c r="AQ691" s="27">
        <v>2</v>
      </c>
      <c r="AR691" s="27">
        <f>SUM(AO691:AQ691)</f>
        <v>2</v>
      </c>
      <c r="AS691" s="27"/>
      <c r="AT691" s="27"/>
      <c r="AU691" s="84" t="s">
        <v>6161</v>
      </c>
      <c r="AV691" s="77"/>
      <c r="AW691" s="77"/>
      <c r="AX691" s="77"/>
      <c r="AY691" s="77"/>
      <c r="AZ691" s="77"/>
      <c r="BA691" s="77"/>
      <c r="BB691" s="77"/>
      <c r="BC691" s="77"/>
      <c r="BD691" s="77"/>
      <c r="BE691" s="77"/>
      <c r="BF691" s="77"/>
      <c r="BG691" s="77"/>
      <c r="BH691" s="77"/>
      <c r="BI691" s="77"/>
      <c r="BJ691" s="77"/>
      <c r="BK691" s="77"/>
      <c r="BL691" s="77"/>
      <c r="BM691" s="77"/>
      <c r="BN691" s="77"/>
      <c r="BO691" s="77"/>
      <c r="BP691" s="77"/>
      <c r="BQ691" s="77"/>
      <c r="BR691" s="77"/>
      <c r="BS691" s="77"/>
      <c r="BT691" s="77"/>
      <c r="BU691" s="77"/>
      <c r="BV691" s="77"/>
      <c r="BW691" s="77"/>
      <c r="BX691" s="77"/>
      <c r="BY691" s="77"/>
      <c r="BZ691" s="77"/>
      <c r="CA691" s="77"/>
      <c r="CB691" s="77"/>
      <c r="CC691" s="77"/>
      <c r="CD691" s="77"/>
      <c r="CE691" s="77"/>
      <c r="CF691" s="77"/>
      <c r="CG691" s="77"/>
      <c r="CH691" s="77"/>
      <c r="CI691" s="77"/>
      <c r="CJ691" s="77"/>
      <c r="CK691" s="77"/>
      <c r="CL691" s="77"/>
      <c r="CM691" s="77"/>
      <c r="CN691" s="77"/>
      <c r="CO691" s="77"/>
      <c r="CP691" s="77"/>
      <c r="CQ691" s="77"/>
      <c r="CR691" s="77"/>
      <c r="CS691" s="77"/>
      <c r="CT691" s="77"/>
      <c r="CU691" s="77"/>
      <c r="CV691" s="77"/>
      <c r="CW691" s="77"/>
      <c r="CX691" s="77"/>
      <c r="CY691" s="77"/>
      <c r="CZ691" s="77"/>
      <c r="DA691" s="77"/>
      <c r="DB691" s="77"/>
      <c r="DC691" s="77"/>
      <c r="DD691" s="77"/>
      <c r="DE691" s="77"/>
      <c r="DF691" s="77"/>
      <c r="DG691" s="77"/>
      <c r="DH691" s="77"/>
      <c r="DI691" s="77"/>
      <c r="DJ691" s="77"/>
      <c r="DK691" s="77"/>
      <c r="DL691" s="77"/>
      <c r="DM691" s="77"/>
      <c r="DN691" s="77"/>
      <c r="DO691" s="77"/>
      <c r="DP691" s="77"/>
      <c r="DQ691" s="77"/>
      <c r="DR691" s="77"/>
      <c r="DS691" s="77"/>
      <c r="DT691" s="77"/>
      <c r="DU691" s="77"/>
      <c r="DV691" s="77"/>
      <c r="DW691" s="77"/>
      <c r="DX691" s="77"/>
      <c r="DY691" s="77"/>
      <c r="DZ691" s="77"/>
      <c r="EA691" s="77"/>
      <c r="EB691" s="77"/>
      <c r="EC691" s="77"/>
      <c r="ED691" s="77"/>
      <c r="EE691" s="77"/>
      <c r="EF691" s="77"/>
      <c r="EG691" s="77"/>
      <c r="EH691" s="77"/>
      <c r="EI691" s="77"/>
      <c r="EJ691" s="77"/>
      <c r="EK691" s="77"/>
      <c r="EL691" s="77"/>
      <c r="EM691" s="77"/>
      <c r="EN691" s="77"/>
      <c r="EO691" s="77"/>
      <c r="EP691" s="77"/>
      <c r="EQ691" s="77"/>
      <c r="ER691" s="77"/>
      <c r="ES691" s="77"/>
      <c r="ET691" s="77"/>
      <c r="EU691" s="77"/>
      <c r="EV691" s="77"/>
      <c r="EW691" s="77"/>
      <c r="EX691" s="77"/>
      <c r="EY691" s="77"/>
      <c r="EZ691" s="77"/>
      <c r="FA691" s="77"/>
      <c r="FB691" s="77"/>
      <c r="FC691" s="77"/>
      <c r="FD691" s="77"/>
      <c r="FE691" s="77"/>
      <c r="FF691" s="77"/>
      <c r="FG691" s="77"/>
      <c r="FH691" s="77"/>
      <c r="FI691" s="77"/>
      <c r="FJ691" s="77"/>
      <c r="FK691" s="77"/>
      <c r="FL691" s="77"/>
      <c r="FM691" s="77"/>
      <c r="FN691" s="77"/>
      <c r="FO691" s="77"/>
      <c r="FP691" s="77"/>
      <c r="FQ691" s="77"/>
      <c r="FR691" s="77"/>
      <c r="FS691" s="77"/>
      <c r="FT691" s="77"/>
      <c r="FU691" s="77"/>
      <c r="FV691" s="77"/>
      <c r="FW691" s="77"/>
      <c r="FX691" s="77"/>
      <c r="FY691" s="77"/>
      <c r="FZ691" s="77"/>
      <c r="GA691" s="77"/>
      <c r="GB691" s="77"/>
      <c r="GC691" s="77"/>
      <c r="GD691" s="77"/>
      <c r="GE691" s="77"/>
      <c r="GF691" s="77"/>
      <c r="GG691" s="77"/>
      <c r="GH691" s="77"/>
      <c r="GI691" s="77"/>
      <c r="GJ691" s="77"/>
      <c r="GK691" s="77"/>
      <c r="GL691" s="77"/>
      <c r="GM691" s="77"/>
      <c r="GN691" s="77"/>
      <c r="GO691" s="77"/>
      <c r="GP691" s="77"/>
      <c r="GQ691" s="77"/>
      <c r="GR691" s="77"/>
      <c r="GS691" s="77"/>
      <c r="GT691" s="77"/>
      <c r="GU691" s="77"/>
      <c r="GV691" s="77"/>
      <c r="GW691" s="77"/>
      <c r="GX691" s="77"/>
      <c r="GY691" s="77"/>
      <c r="GZ691" s="77"/>
      <c r="HA691" s="77"/>
      <c r="HB691" s="77"/>
      <c r="HC691" s="77"/>
      <c r="HD691" s="77"/>
      <c r="HE691" s="77"/>
      <c r="HF691" s="77"/>
      <c r="HG691" s="77"/>
      <c r="HH691" s="77"/>
      <c r="HI691" s="77"/>
      <c r="HJ691" s="77"/>
      <c r="HK691" s="77"/>
      <c r="HL691" s="77"/>
      <c r="HM691" s="77"/>
      <c r="HN691" s="77"/>
      <c r="HO691" s="77"/>
      <c r="HP691" s="77"/>
      <c r="HQ691" s="77"/>
      <c r="HR691" s="77"/>
      <c r="HS691" s="77"/>
      <c r="HT691" s="77"/>
      <c r="HU691" s="77"/>
      <c r="HV691" s="77"/>
      <c r="HW691" s="77"/>
      <c r="HX691" s="77"/>
      <c r="HY691" s="77"/>
      <c r="HZ691" s="77"/>
      <c r="IA691" s="77"/>
      <c r="IB691" s="77"/>
      <c r="IC691" s="77"/>
      <c r="IF691" s="77"/>
      <c r="IG691" s="77"/>
      <c r="IH691" s="77"/>
      <c r="II691" s="77"/>
      <c r="IJ691" s="77"/>
      <c r="IK691" s="77"/>
      <c r="IL691" s="77"/>
      <c r="IM691" s="77"/>
      <c r="IN691" s="77"/>
      <c r="IO691" s="77"/>
      <c r="IP691" s="77"/>
      <c r="IQ691" s="77"/>
      <c r="IR691" s="77"/>
      <c r="IS691" s="77"/>
      <c r="IT691" s="77"/>
      <c r="IU691" s="77"/>
      <c r="IV691" s="77"/>
      <c r="IW691" s="77"/>
      <c r="IX691" s="77"/>
      <c r="IY691" s="77"/>
      <c r="IZ691" s="77"/>
      <c r="JA691" s="77"/>
      <c r="JB691" s="77"/>
      <c r="JC691" s="77"/>
      <c r="JD691" s="77"/>
      <c r="JE691" s="77"/>
      <c r="JF691" s="77"/>
      <c r="JG691" s="77"/>
      <c r="JH691" s="77"/>
      <c r="JI691" s="77"/>
      <c r="JJ691" s="77"/>
      <c r="JK691" s="77"/>
      <c r="JL691" s="77"/>
      <c r="JM691" s="77"/>
      <c r="JN691" s="77"/>
      <c r="JO691" s="77"/>
      <c r="JP691" s="77"/>
      <c r="JQ691" s="77"/>
      <c r="JR691" s="77"/>
      <c r="JS691" s="77"/>
      <c r="JT691" s="77"/>
      <c r="JU691" s="77"/>
      <c r="JV691" s="77"/>
      <c r="JW691" s="77"/>
      <c r="JX691" s="77"/>
      <c r="JY691" s="77"/>
      <c r="JZ691" s="77"/>
      <c r="KA691" s="77"/>
      <c r="KB691" s="77"/>
      <c r="KC691" s="77"/>
      <c r="KD691" s="77"/>
      <c r="KE691" s="77"/>
      <c r="KF691" s="77"/>
      <c r="KG691" s="77"/>
      <c r="KH691" s="77"/>
      <c r="KI691" s="77"/>
      <c r="KJ691" s="77"/>
      <c r="KK691" s="77"/>
      <c r="KL691" s="77"/>
      <c r="KM691" s="77"/>
      <c r="KN691" s="77"/>
      <c r="KO691" s="77"/>
      <c r="KP691" s="77"/>
      <c r="KQ691" s="77"/>
      <c r="KR691" s="77"/>
      <c r="KS691" s="77"/>
      <c r="KT691" s="77"/>
      <c r="KU691" s="77"/>
      <c r="KV691" s="77"/>
      <c r="KW691" s="77"/>
      <c r="KX691" s="77"/>
      <c r="KY691" s="77"/>
      <c r="KZ691" s="77"/>
      <c r="LA691" s="77"/>
      <c r="LB691" s="77"/>
      <c r="LC691" s="77"/>
      <c r="LD691" s="77"/>
      <c r="LE691" s="77"/>
      <c r="LF691" s="77"/>
      <c r="LG691" s="77"/>
      <c r="LH691" s="77"/>
      <c r="LI691" s="77"/>
      <c r="LJ691" s="77"/>
      <c r="LK691" s="77"/>
      <c r="LL691" s="77"/>
      <c r="LM691" s="77"/>
      <c r="LN691" s="77"/>
      <c r="LO691" s="77"/>
      <c r="LP691" s="77"/>
      <c r="LQ691" s="77"/>
      <c r="LR691" s="77"/>
      <c r="LS691" s="77"/>
      <c r="LT691" s="77"/>
      <c r="LU691" s="77"/>
      <c r="LV691" s="77"/>
      <c r="MS691" s="77"/>
      <c r="ND691" s="77"/>
    </row>
    <row r="692" spans="1:421" s="21" customFormat="1" ht="18.600000000000001" customHeight="1" x14ac:dyDescent="0.25">
      <c r="A692" s="119" t="s">
        <v>53</v>
      </c>
      <c r="B692" s="27" t="s">
        <v>4091</v>
      </c>
      <c r="C692" s="27" t="s">
        <v>4092</v>
      </c>
      <c r="D692" s="38" t="s">
        <v>3014</v>
      </c>
      <c r="E692" s="34" t="s">
        <v>908</v>
      </c>
      <c r="F692" s="42" t="s">
        <v>1</v>
      </c>
      <c r="G692" s="42" t="s">
        <v>49</v>
      </c>
      <c r="H692" s="42" t="s">
        <v>795</v>
      </c>
      <c r="I692" s="42" t="s">
        <v>782</v>
      </c>
      <c r="J692" s="27" t="s">
        <v>789</v>
      </c>
      <c r="K692" s="42" t="s">
        <v>777</v>
      </c>
      <c r="L692" s="42" t="s">
        <v>771</v>
      </c>
      <c r="M692" s="42" t="s">
        <v>771</v>
      </c>
      <c r="N692" s="34" t="s">
        <v>909</v>
      </c>
      <c r="O692" s="27" t="s">
        <v>5947</v>
      </c>
      <c r="P692" s="80">
        <v>0</v>
      </c>
      <c r="Q692" s="80">
        <v>0</v>
      </c>
      <c r="R692" s="27" t="s">
        <v>2995</v>
      </c>
      <c r="S692" s="101" t="s">
        <v>910</v>
      </c>
      <c r="T692" s="14" t="s">
        <v>771</v>
      </c>
      <c r="U692" s="14" t="s">
        <v>771</v>
      </c>
      <c r="V692" s="14" t="s">
        <v>771</v>
      </c>
      <c r="W692" s="42"/>
      <c r="X692" s="27" t="s">
        <v>53</v>
      </c>
      <c r="Y692" s="27" t="s">
        <v>4091</v>
      </c>
      <c r="Z692" s="80">
        <v>49</v>
      </c>
      <c r="AA692" s="27">
        <v>70</v>
      </c>
      <c r="AB692" s="80">
        <v>144</v>
      </c>
      <c r="AC692" s="27">
        <v>2</v>
      </c>
      <c r="AD692" s="27" t="s">
        <v>4093</v>
      </c>
      <c r="AE692" s="27">
        <v>2668740925</v>
      </c>
      <c r="AF692" s="27" t="s">
        <v>4092</v>
      </c>
      <c r="AG692" s="27"/>
      <c r="AH692" s="79">
        <v>7.5384615384615397E-2</v>
      </c>
      <c r="AI692" s="83">
        <v>0.5</v>
      </c>
      <c r="AJ692" s="80">
        <v>0</v>
      </c>
      <c r="AK692" s="80">
        <v>0</v>
      </c>
      <c r="AL692" s="27">
        <v>1</v>
      </c>
      <c r="AM692" s="97">
        <f>SUM(AL692/Z692)</f>
        <v>2.0408163265306121E-2</v>
      </c>
      <c r="AN692" s="27" t="s">
        <v>53</v>
      </c>
      <c r="AO692" s="27">
        <v>3</v>
      </c>
      <c r="AP692" s="27">
        <v>8</v>
      </c>
      <c r="AQ692" s="27">
        <v>0</v>
      </c>
      <c r="AR692" s="27">
        <f>SUM(AO692:AQ692)</f>
        <v>11</v>
      </c>
      <c r="AS692" s="27" t="s">
        <v>5309</v>
      </c>
      <c r="AT692" s="27" t="s">
        <v>5310</v>
      </c>
      <c r="AU692" s="84"/>
      <c r="AV692" s="74"/>
      <c r="AW692" s="74"/>
      <c r="AX692" s="74"/>
      <c r="AY692" s="74"/>
      <c r="AZ692" s="74"/>
      <c r="BA692" s="74"/>
      <c r="BB692" s="74"/>
      <c r="BC692" s="74"/>
      <c r="BD692" s="74"/>
      <c r="BE692" s="74"/>
      <c r="BF692" s="74"/>
      <c r="BG692" s="74"/>
      <c r="BH692" s="74"/>
      <c r="BI692" s="74"/>
      <c r="BJ692" s="74"/>
      <c r="BK692" s="74"/>
      <c r="BL692" s="74"/>
      <c r="BM692" s="74"/>
      <c r="BN692" s="74"/>
      <c r="BO692" s="74"/>
      <c r="BP692" s="74"/>
      <c r="CC692" s="77"/>
      <c r="CD692" s="77"/>
      <c r="CE692" s="77"/>
      <c r="CF692" s="77"/>
      <c r="CG692" s="77"/>
      <c r="CH692" s="77"/>
      <c r="CI692" s="77"/>
      <c r="CJ692" s="77"/>
      <c r="CK692" s="77"/>
      <c r="CL692" s="77"/>
      <c r="CM692" s="77"/>
      <c r="CN692" s="77"/>
      <c r="CO692" s="77"/>
      <c r="CP692" s="77"/>
      <c r="CQ692" s="77"/>
      <c r="CR692" s="77"/>
      <c r="CS692" s="77"/>
      <c r="CT692" s="77"/>
      <c r="CU692" s="77"/>
      <c r="CV692" s="77"/>
      <c r="CW692" s="77"/>
      <c r="EM692" s="77"/>
      <c r="EN692" s="77"/>
      <c r="EO692" s="77"/>
      <c r="EP692" s="77"/>
      <c r="EQ692" s="77"/>
      <c r="ER692" s="16"/>
      <c r="ES692" s="16"/>
      <c r="ET692" s="16"/>
      <c r="EU692" s="16"/>
      <c r="EV692" s="16"/>
      <c r="EW692" s="16"/>
      <c r="EX692" s="16"/>
      <c r="EY692" s="16"/>
      <c r="EZ692" s="16"/>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16"/>
      <c r="GI692" s="16"/>
      <c r="GJ692" s="16"/>
      <c r="GK692" s="16"/>
      <c r="GL692" s="77"/>
      <c r="GM692" s="77"/>
      <c r="GN692" s="77"/>
      <c r="GO692" s="77"/>
      <c r="GP692" s="77"/>
      <c r="GQ692" s="77"/>
      <c r="GR692" s="77"/>
      <c r="GS692" s="77"/>
      <c r="GT692" s="77"/>
      <c r="GU692" s="77"/>
      <c r="GV692" s="77"/>
      <c r="GW692" s="77"/>
      <c r="GX692" s="77"/>
      <c r="GY692" s="77"/>
      <c r="GZ692" s="77"/>
      <c r="HA692" s="77"/>
      <c r="HB692" s="77"/>
      <c r="HC692" s="77"/>
      <c r="HD692" s="77"/>
      <c r="HE692" s="77"/>
      <c r="HF692" s="77"/>
      <c r="HG692" s="77"/>
      <c r="HH692" s="77"/>
      <c r="HI692" s="77"/>
      <c r="HJ692" s="77"/>
      <c r="HK692" s="77"/>
      <c r="HL692" s="77"/>
      <c r="HM692" s="77"/>
      <c r="HN692" s="77"/>
      <c r="HO692" s="77"/>
      <c r="HP692" s="77"/>
      <c r="HQ692" s="77"/>
      <c r="HR692" s="77"/>
      <c r="HS692" s="77"/>
      <c r="HT692" s="77"/>
      <c r="HU692" s="77"/>
      <c r="HV692" s="77"/>
      <c r="HW692" s="77"/>
      <c r="HX692" s="77"/>
      <c r="HY692" s="77"/>
      <c r="HZ692" s="77"/>
      <c r="IA692" s="77"/>
      <c r="IB692" s="77"/>
      <c r="IC692" s="77"/>
      <c r="ID692" s="77"/>
      <c r="IE692" s="77"/>
      <c r="JY692" s="77"/>
      <c r="JZ692" s="77"/>
      <c r="KA692" s="77"/>
      <c r="KB692" s="77"/>
      <c r="KC692" s="77"/>
      <c r="KD692" s="77"/>
      <c r="KE692" s="77"/>
      <c r="KF692" s="77"/>
      <c r="KG692" s="77"/>
      <c r="KH692" s="77"/>
      <c r="KI692" s="77"/>
      <c r="KJ692" s="77"/>
      <c r="KK692" s="77"/>
      <c r="KL692" s="77"/>
      <c r="KM692" s="77"/>
      <c r="KN692" s="77"/>
      <c r="KO692" s="77"/>
      <c r="KP692" s="77"/>
      <c r="KQ692" s="77"/>
      <c r="KR692" s="77"/>
      <c r="KS692" s="77"/>
      <c r="KT692" s="77"/>
      <c r="KU692" s="77"/>
      <c r="KV692" s="77"/>
      <c r="KW692" s="77"/>
      <c r="KX692" s="77"/>
      <c r="KY692" s="77"/>
      <c r="KZ692" s="77"/>
      <c r="LA692" s="77"/>
      <c r="LB692" s="77"/>
      <c r="LC692" s="77"/>
      <c r="LD692" s="77"/>
      <c r="LE692" s="77"/>
      <c r="LF692" s="77"/>
      <c r="LG692" s="77"/>
      <c r="LH692" s="77"/>
      <c r="LI692" s="77"/>
      <c r="LJ692" s="77"/>
      <c r="LK692" s="77"/>
      <c r="LL692" s="77"/>
      <c r="LM692" s="77"/>
      <c r="LN692" s="77"/>
      <c r="LO692" s="77"/>
      <c r="LP692" s="77"/>
      <c r="LQ692" s="77"/>
      <c r="LR692" s="77"/>
      <c r="LS692" s="77"/>
      <c r="LT692" s="77"/>
      <c r="LU692" s="77"/>
      <c r="LV692" s="77"/>
      <c r="LY692" s="77"/>
      <c r="LZ692" s="77"/>
      <c r="MA692" s="77"/>
      <c r="MB692" s="77"/>
      <c r="MC692" s="77"/>
      <c r="MD692" s="77"/>
      <c r="ME692" s="77"/>
      <c r="MF692" s="77"/>
      <c r="MG692" s="77"/>
      <c r="MH692" s="77"/>
      <c r="MI692" s="77"/>
      <c r="MJ692" s="77"/>
      <c r="MK692" s="77"/>
      <c r="ML692" s="77"/>
      <c r="MM692" s="77"/>
      <c r="MN692" s="77"/>
      <c r="MO692" s="77"/>
      <c r="MP692" s="77"/>
      <c r="MQ692" s="77"/>
      <c r="MR692" s="77"/>
      <c r="MS692" s="77"/>
      <c r="MT692" s="77"/>
      <c r="MU692" s="77"/>
      <c r="MV692" s="77"/>
      <c r="MW692" s="77"/>
      <c r="MX692" s="77"/>
      <c r="MY692" s="77"/>
      <c r="MZ692" s="77"/>
      <c r="NA692" s="77"/>
      <c r="NB692" s="77"/>
      <c r="NC692" s="77"/>
    </row>
    <row r="693" spans="1:421" s="21" customFormat="1" ht="18.600000000000001" customHeight="1" x14ac:dyDescent="0.25">
      <c r="A693" s="119" t="s">
        <v>4323</v>
      </c>
      <c r="B693" s="27" t="s">
        <v>1023</v>
      </c>
      <c r="C693" s="27" t="s">
        <v>1025</v>
      </c>
      <c r="D693" s="30" t="str">
        <f>HYPERLINK("https://twitter.com/presidenceNiger","https://twitter.com/presidenceNiger")</f>
        <v>https://twitter.com/presidenceNiger</v>
      </c>
      <c r="E693" s="30" t="str">
        <f>HYPERLINK("http://twiplomacy.com/info/africa/Niger","http://twiplomacy.com/info/africa/Niger")</f>
        <v>http://twiplomacy.com/info/africa/Niger</v>
      </c>
      <c r="F693" s="10" t="s">
        <v>1</v>
      </c>
      <c r="G693" s="10" t="s">
        <v>94</v>
      </c>
      <c r="H693" s="10" t="s">
        <v>781</v>
      </c>
      <c r="I693" s="10" t="s">
        <v>782</v>
      </c>
      <c r="J693" s="27" t="s">
        <v>779</v>
      </c>
      <c r="K693" s="15" t="s">
        <v>777</v>
      </c>
      <c r="L693" s="10" t="s">
        <v>771</v>
      </c>
      <c r="M693" s="10" t="s">
        <v>770</v>
      </c>
      <c r="N693" s="30" t="str">
        <f>HYPERLINK("https://twitter.com/presidenceNiger/status/530552671149645824","https://twitter.com/presidenceNiger/status/530552671149645824")</f>
        <v>https://twitter.com/presidenceNiger/status/530552671149645824</v>
      </c>
      <c r="O693" s="27" t="s">
        <v>6035</v>
      </c>
      <c r="P693" s="80">
        <v>12</v>
      </c>
      <c r="Q693" s="80">
        <v>27</v>
      </c>
      <c r="R693" s="27" t="s">
        <v>2995</v>
      </c>
      <c r="S693" s="30" t="str">
        <f>HYPERLINK("https://twitter.com/presidenceNiger/lists","https://twitter.com/presidenceNiger/lists")</f>
        <v>https://twitter.com/presidenceNiger/lists</v>
      </c>
      <c r="T693" s="10" t="s">
        <v>771</v>
      </c>
      <c r="U693" s="10" t="s">
        <v>771</v>
      </c>
      <c r="V693" s="10" t="s">
        <v>771</v>
      </c>
      <c r="W693" s="10"/>
      <c r="X693" s="27" t="s">
        <v>4323</v>
      </c>
      <c r="Y693" s="27" t="s">
        <v>1023</v>
      </c>
      <c r="Z693" s="80">
        <v>45</v>
      </c>
      <c r="AA693" s="27">
        <v>49</v>
      </c>
      <c r="AB693" s="80">
        <v>689</v>
      </c>
      <c r="AC693" s="27">
        <v>12</v>
      </c>
      <c r="AD693" s="27" t="s">
        <v>4324</v>
      </c>
      <c r="AE693" s="27">
        <v>2827824935</v>
      </c>
      <c r="AF693" s="27" t="s">
        <v>1025</v>
      </c>
      <c r="AG693" s="27" t="s">
        <v>1026</v>
      </c>
      <c r="AH693" s="79">
        <v>7.9365079365079402E-2</v>
      </c>
      <c r="AI693" s="83">
        <v>9.3167701863354005E-2</v>
      </c>
      <c r="AJ693" s="80">
        <v>2.1136363636363602</v>
      </c>
      <c r="AK693" s="80">
        <v>3.6590909090909101</v>
      </c>
      <c r="AL693" s="27">
        <v>3</v>
      </c>
      <c r="AM693" s="97">
        <f>SUM(AL693/Z693)</f>
        <v>6.6666666666666666E-2</v>
      </c>
      <c r="AN693" s="27" t="s">
        <v>4323</v>
      </c>
      <c r="AO693" s="27">
        <v>5</v>
      </c>
      <c r="AP693" s="27">
        <v>2</v>
      </c>
      <c r="AQ693" s="27">
        <v>1</v>
      </c>
      <c r="AR693" s="27">
        <f>SUM(AO693:AQ693)</f>
        <v>8</v>
      </c>
      <c r="AS693" s="27" t="s">
        <v>5424</v>
      </c>
      <c r="AT693" s="27" t="s">
        <v>5425</v>
      </c>
      <c r="AU693" s="84" t="s">
        <v>3325</v>
      </c>
      <c r="AV693" s="77"/>
      <c r="AW693" s="77"/>
      <c r="AX693" s="77"/>
      <c r="AY693" s="77"/>
      <c r="AZ693" s="77"/>
      <c r="BA693" s="77"/>
      <c r="BB693" s="77"/>
      <c r="BC693" s="77"/>
      <c r="BD693" s="77"/>
      <c r="BE693" s="77"/>
      <c r="BF693" s="77"/>
      <c r="BG693" s="77"/>
      <c r="BH693" s="77"/>
      <c r="BI693" s="77"/>
      <c r="BJ693" s="77"/>
      <c r="BK693" s="77"/>
      <c r="BL693" s="77"/>
      <c r="BM693" s="77"/>
      <c r="BN693" s="77"/>
      <c r="BO693" s="77"/>
      <c r="BP693" s="77"/>
      <c r="BQ693" s="77"/>
      <c r="BR693" s="77"/>
      <c r="BS693" s="77"/>
      <c r="BT693" s="77"/>
      <c r="BU693" s="77"/>
      <c r="BV693" s="77"/>
      <c r="BW693" s="77"/>
      <c r="BX693" s="77"/>
      <c r="BY693" s="77"/>
      <c r="BZ693" s="77"/>
      <c r="CA693" s="77"/>
      <c r="CB693" s="77"/>
      <c r="CC693" s="77"/>
      <c r="CD693" s="77"/>
      <c r="CE693" s="77"/>
      <c r="CF693" s="77"/>
      <c r="CG693" s="77"/>
      <c r="CH693" s="77"/>
      <c r="CI693" s="77"/>
      <c r="CJ693" s="77"/>
      <c r="CK693" s="77"/>
      <c r="CL693" s="77"/>
      <c r="CM693" s="77"/>
      <c r="CN693" s="77"/>
      <c r="CO693" s="77"/>
      <c r="CP693" s="77"/>
      <c r="CQ693" s="77"/>
      <c r="CR693" s="77"/>
      <c r="CS693" s="77"/>
      <c r="CT693" s="77"/>
      <c r="CU693" s="77"/>
      <c r="CV693" s="77"/>
      <c r="CW693" s="77"/>
      <c r="CX693" s="77"/>
      <c r="CY693" s="77"/>
      <c r="CZ693" s="77"/>
      <c r="DA693" s="77"/>
      <c r="DB693" s="77"/>
      <c r="DC693" s="77"/>
      <c r="DD693" s="77"/>
      <c r="DE693" s="77"/>
      <c r="DF693" s="77"/>
      <c r="DG693" s="77"/>
      <c r="DH693" s="77"/>
      <c r="DI693" s="77"/>
      <c r="DJ693" s="77"/>
      <c r="DK693" s="77"/>
      <c r="DL693" s="77"/>
      <c r="DM693" s="77"/>
      <c r="DN693" s="77"/>
      <c r="DO693" s="77"/>
      <c r="DP693" s="77"/>
      <c r="DQ693" s="77"/>
      <c r="DR693" s="77"/>
      <c r="DS693" s="77"/>
      <c r="DT693" s="77"/>
      <c r="DU693" s="77"/>
      <c r="DV693" s="77"/>
      <c r="DW693" s="77"/>
      <c r="DX693" s="77"/>
      <c r="DY693" s="77"/>
      <c r="DZ693" s="77"/>
      <c r="EA693" s="77"/>
      <c r="EB693" s="77"/>
      <c r="EC693" s="77"/>
      <c r="ED693" s="77"/>
      <c r="EE693" s="77"/>
      <c r="EF693" s="77"/>
      <c r="EG693" s="77"/>
      <c r="EH693" s="77"/>
      <c r="EI693" s="77"/>
      <c r="EJ693" s="77"/>
      <c r="EK693" s="77"/>
      <c r="EL693" s="77"/>
      <c r="EM693" s="77"/>
      <c r="EN693" s="77"/>
      <c r="EO693" s="77"/>
      <c r="EP693" s="77"/>
      <c r="EQ693" s="77"/>
      <c r="ER693" s="77"/>
      <c r="ES693" s="77"/>
      <c r="ET693" s="77"/>
      <c r="EU693" s="77"/>
      <c r="EV693" s="77"/>
      <c r="EW693" s="77"/>
      <c r="EX693" s="77"/>
      <c r="EY693" s="77"/>
      <c r="EZ693" s="77"/>
      <c r="FA693" s="77"/>
      <c r="FB693" s="77"/>
      <c r="FC693" s="77"/>
      <c r="FD693" s="77"/>
      <c r="FE693" s="77"/>
      <c r="FF693" s="77"/>
      <c r="FG693" s="77"/>
      <c r="FH693" s="77"/>
      <c r="FI693" s="77"/>
      <c r="FJ693" s="77"/>
      <c r="FK693" s="77"/>
      <c r="FL693" s="77"/>
      <c r="FM693" s="77"/>
      <c r="FN693" s="77"/>
      <c r="FO693" s="77"/>
      <c r="FP693" s="77"/>
      <c r="FQ693" s="77"/>
      <c r="FR693" s="77"/>
      <c r="FS693" s="77"/>
      <c r="FT693" s="77"/>
      <c r="FU693" s="77"/>
      <c r="FV693" s="77"/>
      <c r="FW693" s="77"/>
      <c r="FX693" s="77"/>
      <c r="FY693" s="77"/>
      <c r="FZ693" s="77"/>
      <c r="GA693" s="77"/>
      <c r="GB693" s="77"/>
      <c r="GC693" s="77"/>
      <c r="GD693" s="77"/>
      <c r="GE693" s="77"/>
      <c r="GF693" s="77"/>
      <c r="GG693" s="77"/>
      <c r="GH693" s="77"/>
      <c r="GI693" s="77"/>
      <c r="GJ693" s="77"/>
      <c r="GK693" s="77"/>
      <c r="HL693" s="77"/>
      <c r="HM693" s="77"/>
      <c r="HN693" s="77"/>
      <c r="HO693" s="77"/>
      <c r="HP693" s="77"/>
      <c r="HQ693" s="77"/>
      <c r="HR693" s="77"/>
      <c r="HS693" s="77"/>
      <c r="HT693" s="77"/>
      <c r="HU693" s="77"/>
      <c r="HV693" s="77"/>
      <c r="HW693" s="77"/>
      <c r="HX693" s="77"/>
      <c r="HY693" s="77"/>
      <c r="HZ693" s="77"/>
      <c r="IA693" s="77"/>
      <c r="IB693" s="77"/>
      <c r="IC693" s="77"/>
      <c r="ID693" s="77"/>
      <c r="IE693" s="77"/>
      <c r="IF693" s="77"/>
      <c r="IG693" s="77"/>
      <c r="IH693" s="77"/>
      <c r="II693" s="77"/>
      <c r="IJ693" s="77"/>
      <c r="IK693" s="77"/>
      <c r="IL693" s="77"/>
      <c r="IM693" s="77"/>
      <c r="IN693" s="77"/>
      <c r="IO693" s="77"/>
      <c r="IP693" s="77"/>
      <c r="IQ693" s="77"/>
      <c r="IR693" s="77"/>
      <c r="IS693" s="77"/>
      <c r="IT693" s="77"/>
      <c r="IU693" s="77"/>
      <c r="IV693" s="77"/>
      <c r="IW693" s="77"/>
      <c r="IX693" s="77"/>
      <c r="IY693" s="77"/>
      <c r="IZ693" s="77"/>
      <c r="JA693" s="77"/>
      <c r="JB693" s="77"/>
      <c r="JC693" s="77"/>
      <c r="JD693" s="77"/>
      <c r="JE693" s="77"/>
      <c r="JF693" s="77"/>
      <c r="JG693" s="77"/>
      <c r="JH693" s="77"/>
      <c r="JI693" s="77"/>
      <c r="JJ693" s="77"/>
      <c r="JK693" s="77"/>
      <c r="JL693" s="77"/>
      <c r="JM693" s="77"/>
      <c r="JN693" s="77"/>
      <c r="JO693" s="77"/>
      <c r="JP693" s="77"/>
      <c r="JQ693" s="77"/>
      <c r="JR693" s="77"/>
      <c r="JS693" s="77"/>
      <c r="JT693" s="77"/>
      <c r="JU693" s="77"/>
      <c r="JV693" s="77"/>
      <c r="JW693" s="77"/>
      <c r="JX693" s="77"/>
      <c r="LL693" s="16"/>
      <c r="LM693" s="16"/>
      <c r="LN693" s="16"/>
      <c r="LO693" s="16"/>
      <c r="LP693" s="16"/>
      <c r="LQ693" s="16"/>
      <c r="LR693" s="16"/>
      <c r="LS693" s="16"/>
      <c r="LT693" s="16"/>
      <c r="LU693" s="16"/>
      <c r="LV693" s="16"/>
      <c r="LW693" s="77"/>
      <c r="LX693" s="77"/>
      <c r="LY693" s="77"/>
      <c r="LZ693" s="77"/>
      <c r="MA693" s="77"/>
      <c r="MB693" s="77"/>
      <c r="MC693" s="77"/>
      <c r="MD693" s="77"/>
      <c r="ME693" s="77"/>
      <c r="MF693" s="77"/>
      <c r="MG693" s="77"/>
      <c r="MH693" s="77"/>
      <c r="MI693" s="77"/>
      <c r="MJ693" s="77"/>
      <c r="MK693" s="77"/>
      <c r="ML693" s="77"/>
      <c r="MM693" s="77"/>
      <c r="MN693" s="77"/>
      <c r="MO693" s="77"/>
      <c r="MP693" s="77"/>
      <c r="MQ693" s="77"/>
      <c r="MR693" s="77"/>
      <c r="MS693" s="77"/>
    </row>
    <row r="694" spans="1:421" s="21" customFormat="1" ht="18.600000000000001" customHeight="1" x14ac:dyDescent="0.25">
      <c r="A694" s="119" t="s">
        <v>3337</v>
      </c>
      <c r="B694" s="27" t="s">
        <v>3888</v>
      </c>
      <c r="C694" s="27" t="s">
        <v>3889</v>
      </c>
      <c r="D694" s="12" t="s">
        <v>3334</v>
      </c>
      <c r="E694" s="30" t="str">
        <f>HYPERLINK("http://twiplomacy.com/info/north-america/Haiti","http://twiplomacy.com/info/north-america/Haiti")</f>
        <v>http://twiplomacy.com/info/north-america/Haiti</v>
      </c>
      <c r="F694" s="10" t="s">
        <v>558</v>
      </c>
      <c r="G694" s="10" t="s">
        <v>599</v>
      </c>
      <c r="H694" s="10" t="s">
        <v>772</v>
      </c>
      <c r="I694" s="10" t="s">
        <v>773</v>
      </c>
      <c r="J694" s="27" t="s">
        <v>789</v>
      </c>
      <c r="K694" s="15" t="s">
        <v>777</v>
      </c>
      <c r="L694" s="10"/>
      <c r="M694" s="10"/>
      <c r="N694" s="30" t="s">
        <v>3389</v>
      </c>
      <c r="O694" s="27" t="s">
        <v>3403</v>
      </c>
      <c r="P694" s="80">
        <v>60</v>
      </c>
      <c r="Q694" s="80">
        <v>41</v>
      </c>
      <c r="R694" s="27" t="s">
        <v>2995</v>
      </c>
      <c r="S694" s="12" t="s">
        <v>3410</v>
      </c>
      <c r="T694" s="10" t="s">
        <v>771</v>
      </c>
      <c r="U694" s="10" t="s">
        <v>771</v>
      </c>
      <c r="V694" s="10" t="s">
        <v>771</v>
      </c>
      <c r="W694" s="10"/>
      <c r="X694" s="27" t="s">
        <v>3337</v>
      </c>
      <c r="Y694" s="27" t="s">
        <v>3888</v>
      </c>
      <c r="Z694" s="80">
        <v>41</v>
      </c>
      <c r="AA694" s="27">
        <v>661</v>
      </c>
      <c r="AB694" s="80">
        <v>3459</v>
      </c>
      <c r="AC694" s="27">
        <v>47</v>
      </c>
      <c r="AD694" s="27" t="s">
        <v>3890</v>
      </c>
      <c r="AE694" s="27">
        <v>4907684217</v>
      </c>
      <c r="AF694" s="27" t="s">
        <v>3889</v>
      </c>
      <c r="AG694" s="27" t="s">
        <v>2495</v>
      </c>
      <c r="AH694" s="79">
        <v>0.52564102564102599</v>
      </c>
      <c r="AI694" s="83">
        <v>0.54666666666666697</v>
      </c>
      <c r="AJ694" s="80">
        <v>11.7272727272727</v>
      </c>
      <c r="AK694" s="80">
        <v>12.454545454545499</v>
      </c>
      <c r="AL694" s="13">
        <v>0</v>
      </c>
      <c r="AM694" s="97">
        <f>SUM(AL694/Z694)</f>
        <v>0</v>
      </c>
      <c r="AN694" s="27" t="s">
        <v>3337</v>
      </c>
      <c r="AO694" s="27">
        <v>55</v>
      </c>
      <c r="AP694" s="27">
        <v>0</v>
      </c>
      <c r="AQ694" s="27">
        <v>3</v>
      </c>
      <c r="AR694" s="27">
        <f>SUM(AO694:AQ694)</f>
        <v>58</v>
      </c>
      <c r="AS694" s="27" t="s">
        <v>6576</v>
      </c>
      <c r="AT694" s="27"/>
      <c r="AU694" s="84" t="s">
        <v>6162</v>
      </c>
      <c r="AV694" s="77"/>
      <c r="AW694" s="77"/>
      <c r="AX694" s="77"/>
      <c r="AY694" s="77"/>
      <c r="AZ694" s="77"/>
      <c r="BA694" s="77"/>
      <c r="BB694" s="77"/>
      <c r="BC694" s="77"/>
      <c r="BD694" s="77"/>
      <c r="BE694" s="77"/>
      <c r="BF694" s="77"/>
      <c r="BG694" s="77"/>
      <c r="BH694" s="77"/>
      <c r="BI694" s="77"/>
      <c r="BJ694" s="77"/>
      <c r="BK694" s="77"/>
      <c r="BL694" s="77"/>
      <c r="BM694" s="77"/>
      <c r="BN694" s="77"/>
      <c r="BO694" s="77"/>
      <c r="BP694" s="77"/>
      <c r="BQ694" s="77"/>
      <c r="BR694" s="77"/>
      <c r="BS694" s="77"/>
      <c r="BT694" s="77"/>
      <c r="BU694" s="77"/>
      <c r="BV694" s="77"/>
      <c r="BW694" s="77"/>
      <c r="BX694" s="77"/>
      <c r="BY694" s="77"/>
      <c r="BZ694" s="77"/>
      <c r="CA694" s="77"/>
      <c r="CB694" s="77"/>
      <c r="CC694" s="77"/>
      <c r="CD694" s="77"/>
      <c r="CE694" s="77"/>
      <c r="CF694" s="77"/>
      <c r="CG694" s="77"/>
      <c r="CH694" s="77"/>
      <c r="CI694" s="77"/>
      <c r="CJ694" s="77"/>
      <c r="CK694" s="77"/>
      <c r="CL694" s="77"/>
      <c r="CM694" s="77"/>
      <c r="CN694" s="77"/>
      <c r="CO694" s="77"/>
      <c r="CP694" s="77"/>
      <c r="CQ694" s="77"/>
      <c r="CR694" s="77"/>
      <c r="CS694" s="77"/>
      <c r="CT694" s="77"/>
      <c r="CU694" s="77"/>
      <c r="CV694" s="77"/>
      <c r="CW694" s="77"/>
      <c r="CX694" s="77"/>
      <c r="CY694" s="77"/>
      <c r="CZ694" s="77"/>
      <c r="DA694" s="77"/>
      <c r="DB694" s="77"/>
      <c r="DC694" s="77"/>
      <c r="DD694" s="77"/>
      <c r="DE694" s="77"/>
      <c r="DF694" s="77"/>
      <c r="DG694" s="77"/>
      <c r="DH694" s="77"/>
      <c r="DI694" s="77"/>
      <c r="DJ694" s="77"/>
      <c r="DK694" s="77"/>
      <c r="DL694" s="77"/>
      <c r="DM694" s="77"/>
      <c r="DN694" s="77"/>
      <c r="DO694" s="77"/>
      <c r="DP694" s="77"/>
      <c r="DQ694" s="77"/>
      <c r="DR694" s="77"/>
      <c r="DS694" s="77"/>
      <c r="DT694" s="77"/>
      <c r="DU694" s="77"/>
      <c r="DV694" s="77"/>
      <c r="DW694" s="77"/>
      <c r="DX694" s="77"/>
      <c r="DY694" s="77"/>
      <c r="DZ694" s="77"/>
      <c r="EA694" s="77"/>
      <c r="EB694" s="77"/>
      <c r="EC694" s="77"/>
      <c r="ED694" s="77"/>
      <c r="EE694" s="77"/>
      <c r="EF694" s="77"/>
      <c r="EG694" s="77"/>
      <c r="EH694" s="77"/>
      <c r="EI694" s="77"/>
      <c r="EJ694" s="77"/>
      <c r="EK694" s="77"/>
      <c r="EL694" s="77"/>
      <c r="EM694" s="77"/>
      <c r="EN694" s="77"/>
      <c r="EO694" s="77"/>
      <c r="EP694" s="77"/>
      <c r="EQ694" s="16"/>
      <c r="ER694" s="77"/>
      <c r="ES694" s="77"/>
      <c r="ET694" s="77"/>
      <c r="EU694" s="77"/>
      <c r="EV694" s="77"/>
      <c r="EW694" s="77"/>
      <c r="EX694" s="77"/>
      <c r="EY694" s="77"/>
      <c r="EZ694" s="77"/>
      <c r="FA694" s="77"/>
      <c r="FB694" s="77"/>
      <c r="FC694" s="77"/>
      <c r="FD694" s="77"/>
      <c r="FE694" s="77"/>
      <c r="FF694" s="77"/>
      <c r="FG694" s="77"/>
      <c r="FH694" s="77"/>
      <c r="FI694" s="77"/>
      <c r="FJ694" s="77"/>
      <c r="FK694" s="77"/>
      <c r="FL694" s="77"/>
      <c r="FM694" s="77"/>
      <c r="FN694" s="77"/>
      <c r="FO694" s="77"/>
      <c r="FP694" s="77"/>
      <c r="FQ694" s="77"/>
      <c r="FR694" s="77"/>
      <c r="FS694" s="77"/>
      <c r="FT694" s="77"/>
      <c r="FU694" s="77"/>
      <c r="FV694" s="77"/>
      <c r="FW694" s="77"/>
      <c r="FX694" s="77"/>
      <c r="FY694" s="77"/>
      <c r="FZ694" s="77"/>
      <c r="GA694" s="77"/>
      <c r="GB694" s="77"/>
      <c r="GC694" s="77"/>
      <c r="GD694" s="77"/>
      <c r="GE694" s="77"/>
      <c r="GF694" s="77"/>
      <c r="GG694" s="77"/>
      <c r="GH694" s="77"/>
      <c r="GI694" s="77"/>
      <c r="GJ694" s="77"/>
      <c r="GK694" s="77"/>
      <c r="GL694" s="77"/>
      <c r="GM694" s="77"/>
      <c r="GN694" s="77"/>
      <c r="GO694" s="77"/>
      <c r="GP694" s="77"/>
      <c r="GQ694" s="77"/>
      <c r="GR694" s="77"/>
      <c r="GS694" s="77"/>
      <c r="GT694" s="77"/>
      <c r="GU694" s="77"/>
      <c r="GV694" s="77"/>
      <c r="GW694" s="77"/>
      <c r="GX694" s="77"/>
      <c r="GY694" s="77"/>
      <c r="GZ694" s="77"/>
      <c r="HA694" s="77"/>
      <c r="HB694" s="77"/>
      <c r="HC694" s="77"/>
      <c r="HD694" s="77"/>
      <c r="HE694" s="77"/>
      <c r="HF694" s="77"/>
      <c r="HG694" s="77"/>
      <c r="HH694" s="77"/>
      <c r="HI694" s="77"/>
      <c r="HJ694" s="77"/>
      <c r="HK694" s="77"/>
      <c r="HL694" s="77"/>
      <c r="HM694" s="77"/>
      <c r="HN694" s="77"/>
      <c r="HO694" s="77"/>
      <c r="HP694" s="77"/>
      <c r="HQ694" s="77"/>
      <c r="HR694" s="77"/>
      <c r="HS694" s="77"/>
      <c r="HT694" s="77"/>
      <c r="HU694" s="77"/>
      <c r="HV694" s="77"/>
      <c r="HW694" s="77"/>
      <c r="HX694" s="77"/>
      <c r="HY694" s="77"/>
      <c r="HZ694" s="77"/>
      <c r="IA694" s="77"/>
      <c r="IB694" s="77"/>
      <c r="IC694" s="77"/>
      <c r="ID694" s="77"/>
      <c r="IE694" s="77"/>
      <c r="IF694" s="77"/>
      <c r="IG694" s="77"/>
      <c r="IH694" s="77"/>
      <c r="II694" s="77"/>
      <c r="IJ694" s="77"/>
      <c r="IK694" s="77"/>
      <c r="IL694" s="77"/>
      <c r="IM694" s="77"/>
      <c r="IN694" s="77"/>
      <c r="IO694" s="77"/>
      <c r="IP694" s="77"/>
      <c r="IQ694" s="77"/>
      <c r="IR694" s="77"/>
      <c r="IS694" s="77"/>
      <c r="IT694" s="77"/>
      <c r="IU694" s="77"/>
      <c r="IV694" s="77"/>
      <c r="IW694" s="77"/>
      <c r="IX694" s="77"/>
      <c r="IY694" s="77"/>
      <c r="IZ694" s="77"/>
      <c r="JA694" s="77"/>
      <c r="JB694" s="77"/>
      <c r="JC694" s="77"/>
      <c r="JD694" s="77"/>
      <c r="JE694" s="77"/>
      <c r="JF694" s="77"/>
      <c r="JG694" s="77"/>
      <c r="JH694" s="77"/>
      <c r="JI694" s="77"/>
      <c r="JJ694" s="77"/>
      <c r="JK694" s="77"/>
      <c r="JL694" s="77"/>
      <c r="JM694" s="77"/>
      <c r="JN694" s="77"/>
      <c r="JO694" s="77"/>
      <c r="JP694" s="77"/>
      <c r="JQ694" s="77"/>
      <c r="JR694" s="77"/>
      <c r="JS694" s="77"/>
      <c r="JT694" s="77"/>
      <c r="JU694" s="77"/>
      <c r="JV694" s="77"/>
      <c r="JW694" s="77"/>
      <c r="JX694" s="77"/>
      <c r="JY694" s="77"/>
      <c r="JZ694" s="77"/>
      <c r="KA694" s="77"/>
      <c r="KB694" s="77"/>
      <c r="KC694" s="77"/>
      <c r="KD694" s="77"/>
      <c r="KE694" s="77"/>
      <c r="KF694" s="77"/>
      <c r="KG694" s="77"/>
      <c r="KH694" s="77"/>
      <c r="KI694" s="77"/>
      <c r="KJ694" s="77"/>
      <c r="KK694" s="77"/>
      <c r="KL694" s="77"/>
      <c r="KM694" s="77"/>
      <c r="KN694" s="77"/>
      <c r="KO694" s="77"/>
      <c r="KP694" s="77"/>
      <c r="KQ694" s="77"/>
      <c r="KR694" s="77"/>
      <c r="KS694" s="77"/>
      <c r="KT694" s="77"/>
      <c r="KU694" s="77"/>
      <c r="KV694" s="77"/>
      <c r="KW694" s="77"/>
      <c r="KX694" s="77"/>
      <c r="KY694" s="77"/>
      <c r="KZ694" s="77"/>
      <c r="LA694" s="77"/>
      <c r="LB694" s="77"/>
      <c r="LC694" s="77"/>
      <c r="LD694" s="77"/>
      <c r="LE694" s="77"/>
      <c r="LF694" s="77"/>
      <c r="LG694" s="77"/>
      <c r="LH694" s="77"/>
      <c r="LI694" s="77"/>
      <c r="LJ694" s="77"/>
      <c r="LK694" s="77"/>
      <c r="LY694" s="77"/>
      <c r="LZ694" s="77"/>
      <c r="MA694" s="77"/>
      <c r="MB694" s="77"/>
      <c r="MC694" s="77"/>
      <c r="MD694" s="77"/>
      <c r="ME694" s="77"/>
      <c r="MF694" s="77"/>
      <c r="MG694" s="77"/>
      <c r="MH694" s="77"/>
      <c r="MI694" s="77"/>
      <c r="MJ694" s="77"/>
      <c r="MK694" s="77"/>
      <c r="ML694" s="77"/>
      <c r="MM694" s="77"/>
      <c r="MN694" s="77"/>
      <c r="MO694" s="77"/>
      <c r="MP694" s="77"/>
      <c r="MQ694" s="77"/>
      <c r="MR694" s="77"/>
      <c r="MS694" s="77"/>
      <c r="MT694" s="77"/>
      <c r="MU694" s="77"/>
      <c r="MV694" s="77"/>
      <c r="MW694" s="77"/>
      <c r="MX694" s="77"/>
      <c r="MY694" s="77"/>
      <c r="MZ694" s="77"/>
      <c r="NA694" s="77"/>
      <c r="NB694" s="77"/>
      <c r="NC694" s="77"/>
      <c r="NE694" s="77"/>
      <c r="NF694" s="77"/>
      <c r="NG694" s="77"/>
      <c r="NH694" s="77"/>
      <c r="NI694" s="77"/>
      <c r="NJ694" s="77"/>
      <c r="NK694" s="77"/>
      <c r="NL694" s="77"/>
      <c r="NM694" s="77"/>
      <c r="NN694" s="77"/>
      <c r="NO694" s="77"/>
      <c r="NP694" s="77"/>
      <c r="NQ694" s="77"/>
      <c r="NR694" s="77"/>
      <c r="NS694" s="77"/>
      <c r="NT694" s="77"/>
      <c r="NU694" s="77"/>
      <c r="NV694" s="77"/>
      <c r="NW694" s="77"/>
      <c r="NX694" s="77"/>
      <c r="NY694" s="77"/>
      <c r="NZ694" s="77"/>
      <c r="OA694" s="77"/>
      <c r="OB694" s="77"/>
      <c r="OC694" s="77"/>
      <c r="OD694" s="77"/>
      <c r="OE694" s="77"/>
      <c r="OF694" s="77"/>
      <c r="OG694" s="77"/>
      <c r="OH694" s="77"/>
      <c r="OI694" s="77"/>
      <c r="OJ694" s="77"/>
      <c r="OK694" s="77"/>
      <c r="OL694" s="77"/>
      <c r="OM694" s="77"/>
      <c r="ON694" s="77"/>
      <c r="OO694" s="77"/>
      <c r="OP694" s="77"/>
      <c r="OQ694" s="77"/>
      <c r="OR694" s="77"/>
      <c r="OS694" s="77"/>
      <c r="OT694" s="77"/>
      <c r="OU694" s="77"/>
      <c r="OV694" s="77"/>
      <c r="OW694" s="77"/>
      <c r="OX694" s="77"/>
      <c r="OY694" s="77"/>
      <c r="OZ694" s="77"/>
      <c r="PA694" s="77"/>
      <c r="PB694" s="77"/>
      <c r="PC694" s="77"/>
      <c r="PD694" s="77"/>
      <c r="PE694" s="77"/>
    </row>
    <row r="695" spans="1:421" s="21" customFormat="1" ht="18.600000000000001" customHeight="1" x14ac:dyDescent="0.25">
      <c r="A695" s="119" t="s">
        <v>1244</v>
      </c>
      <c r="B695" s="27" t="s">
        <v>1245</v>
      </c>
      <c r="C695" s="27"/>
      <c r="D695" s="30" t="str">
        <f>HYPERLINK("https://twitter.com/BhutanGov","https://twitter.com/BhutanGov")</f>
        <v>https://twitter.com/BhutanGov</v>
      </c>
      <c r="E695" s="30" t="s">
        <v>1243</v>
      </c>
      <c r="F695" s="10" t="s">
        <v>154</v>
      </c>
      <c r="G695" s="10" t="s">
        <v>171</v>
      </c>
      <c r="H695" s="10" t="s">
        <v>788</v>
      </c>
      <c r="I695" s="10" t="s">
        <v>782</v>
      </c>
      <c r="J695" s="27" t="s">
        <v>789</v>
      </c>
      <c r="K695" s="15" t="s">
        <v>1246</v>
      </c>
      <c r="L695" s="10" t="s">
        <v>771</v>
      </c>
      <c r="M695" s="10" t="s">
        <v>771</v>
      </c>
      <c r="N695" s="30" t="s">
        <v>1247</v>
      </c>
      <c r="O695" s="27" t="s">
        <v>5710</v>
      </c>
      <c r="P695" s="80">
        <v>5</v>
      </c>
      <c r="Q695" s="80">
        <v>0</v>
      </c>
      <c r="R695" s="27" t="s">
        <v>2995</v>
      </c>
      <c r="S695" s="30" t="str">
        <f>HYPERLINK("https://twitter.com/BhutanGov/lists","https://twitter.com/BhutanGov/lists")</f>
        <v>https://twitter.com/BhutanGov/lists</v>
      </c>
      <c r="T695" s="10" t="s">
        <v>771</v>
      </c>
      <c r="U695" s="10" t="s">
        <v>771</v>
      </c>
      <c r="V695" s="10" t="s">
        <v>771</v>
      </c>
      <c r="W695" s="10"/>
      <c r="X695" s="27" t="s">
        <v>1244</v>
      </c>
      <c r="Y695" s="27" t="s">
        <v>1245</v>
      </c>
      <c r="Z695" s="80">
        <v>40</v>
      </c>
      <c r="AA695" s="27">
        <v>44</v>
      </c>
      <c r="AB695" s="80">
        <v>1958</v>
      </c>
      <c r="AC695" s="27">
        <v>0</v>
      </c>
      <c r="AD695" s="27" t="s">
        <v>3518</v>
      </c>
      <c r="AE695" s="27">
        <v>2165101801</v>
      </c>
      <c r="AF695" s="27"/>
      <c r="AG695" s="27" t="s">
        <v>1248</v>
      </c>
      <c r="AH695" s="79">
        <v>4.3715846994535498E-2</v>
      </c>
      <c r="AI695" s="83">
        <v>0.18518518518518501</v>
      </c>
      <c r="AJ695" s="80">
        <v>1.1666666666666701</v>
      </c>
      <c r="AK695" s="80">
        <v>0.72222222222222199</v>
      </c>
      <c r="AL695" s="13">
        <v>0</v>
      </c>
      <c r="AM695" s="97">
        <f>SUM(AL695/Z695)</f>
        <v>0</v>
      </c>
      <c r="AN695" s="27" t="s">
        <v>1244</v>
      </c>
      <c r="AO695" s="27">
        <v>4</v>
      </c>
      <c r="AP695" s="27">
        <v>1</v>
      </c>
      <c r="AQ695" s="27">
        <v>2</v>
      </c>
      <c r="AR695" s="27">
        <f>SUM(AO695:AQ695)</f>
        <v>7</v>
      </c>
      <c r="AS695" s="27" t="s">
        <v>5042</v>
      </c>
      <c r="AT695" s="27" t="s">
        <v>1242</v>
      </c>
      <c r="AU695" s="84" t="s">
        <v>4661</v>
      </c>
      <c r="AV695" s="77"/>
      <c r="AW695" s="77"/>
      <c r="AX695" s="77"/>
      <c r="AY695" s="77"/>
      <c r="AZ695" s="77"/>
      <c r="BA695" s="77"/>
      <c r="BB695" s="77"/>
      <c r="BC695" s="77"/>
      <c r="BD695" s="77"/>
      <c r="BE695" s="77"/>
      <c r="BF695" s="77"/>
      <c r="BG695" s="77"/>
      <c r="BH695" s="77"/>
      <c r="BI695" s="77"/>
      <c r="BJ695" s="77"/>
      <c r="BK695" s="77"/>
      <c r="BL695" s="77"/>
      <c r="BM695" s="77"/>
      <c r="BN695" s="77"/>
      <c r="BO695" s="77"/>
      <c r="BP695" s="77"/>
      <c r="BQ695" s="77"/>
      <c r="BR695" s="77"/>
      <c r="BS695" s="77"/>
      <c r="BT695" s="77"/>
      <c r="BU695" s="77"/>
      <c r="BV695" s="77"/>
      <c r="BW695" s="77"/>
      <c r="BX695" s="77"/>
      <c r="BY695" s="77"/>
      <c r="BZ695" s="77"/>
      <c r="CA695" s="77"/>
      <c r="CB695" s="77"/>
      <c r="CC695" s="77"/>
      <c r="CD695" s="77"/>
      <c r="CE695" s="77"/>
      <c r="CF695" s="77"/>
      <c r="CG695" s="77"/>
      <c r="CH695" s="77"/>
      <c r="CI695" s="77"/>
      <c r="CJ695" s="77"/>
      <c r="CK695" s="77"/>
      <c r="CL695" s="77"/>
      <c r="CM695" s="77"/>
      <c r="CN695" s="77"/>
      <c r="CO695" s="77"/>
      <c r="CP695" s="77"/>
      <c r="CQ695" s="77"/>
      <c r="CR695" s="77"/>
      <c r="CS695" s="77"/>
      <c r="CT695" s="77"/>
      <c r="CU695" s="77"/>
      <c r="CV695" s="77"/>
      <c r="CW695" s="77"/>
      <c r="CX695" s="77"/>
      <c r="CY695" s="77"/>
      <c r="CZ695" s="77"/>
      <c r="DA695" s="77"/>
      <c r="DB695" s="77"/>
      <c r="DC695" s="77"/>
      <c r="DD695" s="77"/>
      <c r="DE695" s="77"/>
      <c r="DF695" s="77"/>
      <c r="DG695" s="77"/>
      <c r="DH695" s="77"/>
      <c r="DI695" s="77"/>
      <c r="DJ695" s="77"/>
      <c r="DK695" s="77"/>
      <c r="DL695" s="77"/>
      <c r="DM695" s="77"/>
      <c r="DN695" s="77"/>
      <c r="DO695" s="77"/>
      <c r="DP695" s="77"/>
      <c r="DQ695" s="77"/>
      <c r="DR695" s="77"/>
      <c r="DS695" s="77"/>
      <c r="DT695" s="77"/>
      <c r="DU695" s="77"/>
      <c r="DV695" s="77"/>
      <c r="DW695" s="77"/>
      <c r="DX695" s="77"/>
      <c r="DY695" s="77"/>
      <c r="DZ695" s="77"/>
      <c r="EA695" s="77"/>
      <c r="EB695" s="77"/>
      <c r="EC695" s="77"/>
      <c r="ED695" s="77"/>
      <c r="EE695" s="77"/>
      <c r="EF695" s="77"/>
      <c r="EG695" s="77"/>
      <c r="EH695" s="77"/>
      <c r="EI695" s="77"/>
      <c r="EJ695" s="77"/>
      <c r="EK695" s="77"/>
      <c r="EL695" s="77"/>
      <c r="EP695" s="77"/>
      <c r="EQ695" s="77"/>
      <c r="ER695" s="77"/>
      <c r="ES695" s="77"/>
      <c r="ET695" s="77"/>
      <c r="EU695" s="77"/>
      <c r="EV695" s="77"/>
      <c r="EW695" s="77"/>
      <c r="EX695" s="77"/>
      <c r="EY695" s="77"/>
      <c r="EZ695" s="77"/>
      <c r="FA695" s="77"/>
      <c r="FB695" s="77"/>
      <c r="FC695" s="77"/>
      <c r="FD695" s="77"/>
      <c r="FE695" s="77"/>
      <c r="FF695" s="77"/>
      <c r="FG695" s="77"/>
      <c r="FH695" s="77"/>
      <c r="FI695" s="77"/>
      <c r="FJ695" s="77"/>
      <c r="FK695" s="77"/>
      <c r="FL695" s="77"/>
      <c r="FM695" s="77"/>
      <c r="FN695" s="77"/>
      <c r="FO695" s="77"/>
      <c r="FP695" s="77"/>
      <c r="FQ695" s="77"/>
      <c r="FR695" s="77"/>
      <c r="FS695" s="77"/>
      <c r="FT695" s="77"/>
      <c r="FU695" s="77"/>
      <c r="FV695" s="77"/>
      <c r="FW695" s="77"/>
      <c r="FX695" s="77"/>
      <c r="FY695" s="77"/>
      <c r="FZ695" s="77"/>
      <c r="GA695" s="77"/>
      <c r="GB695" s="77"/>
      <c r="GC695" s="77"/>
      <c r="GD695" s="77"/>
      <c r="GE695" s="77"/>
      <c r="GF695" s="77"/>
      <c r="GG695" s="77"/>
      <c r="GH695" s="77"/>
      <c r="GI695" s="77"/>
      <c r="GJ695" s="77"/>
      <c r="GK695" s="77"/>
      <c r="GL695" s="77"/>
      <c r="GM695" s="77"/>
      <c r="GN695" s="77"/>
      <c r="GO695" s="77"/>
      <c r="GP695" s="77"/>
      <c r="GQ695" s="77"/>
      <c r="GR695" s="77"/>
      <c r="GS695" s="77"/>
      <c r="GT695" s="77"/>
      <c r="GU695" s="77"/>
      <c r="GV695" s="77"/>
      <c r="GW695" s="77"/>
      <c r="GX695" s="77"/>
      <c r="GY695" s="77"/>
      <c r="GZ695" s="77"/>
      <c r="HA695" s="77"/>
      <c r="HB695" s="77"/>
      <c r="HC695" s="77"/>
      <c r="HD695" s="77"/>
      <c r="HE695" s="77"/>
      <c r="HF695" s="77"/>
      <c r="HG695" s="77"/>
      <c r="HH695" s="77"/>
      <c r="HI695" s="77"/>
      <c r="HJ695" s="77"/>
      <c r="HK695" s="77"/>
      <c r="ID695" s="77"/>
      <c r="IE695" s="77"/>
      <c r="IF695" s="77"/>
      <c r="IG695" s="77"/>
      <c r="IH695" s="77"/>
      <c r="II695" s="77"/>
      <c r="IJ695" s="77"/>
      <c r="IK695" s="77"/>
      <c r="IL695" s="77"/>
      <c r="IM695" s="77"/>
      <c r="IN695" s="77"/>
      <c r="IO695" s="77"/>
      <c r="IP695" s="77"/>
      <c r="IQ695" s="77"/>
      <c r="IR695" s="77"/>
      <c r="IS695" s="77"/>
      <c r="IT695" s="77"/>
      <c r="IU695" s="77"/>
      <c r="IV695" s="77"/>
      <c r="IW695" s="77"/>
      <c r="IX695" s="77"/>
      <c r="IY695" s="77"/>
      <c r="IZ695" s="77"/>
      <c r="JA695" s="77"/>
      <c r="JB695" s="77"/>
      <c r="JC695" s="77"/>
      <c r="JD695" s="77"/>
      <c r="JE695" s="77"/>
      <c r="JF695" s="77"/>
      <c r="JG695" s="77"/>
      <c r="JH695" s="77"/>
      <c r="JI695" s="77"/>
      <c r="JJ695" s="77"/>
      <c r="JK695" s="77"/>
      <c r="JL695" s="77"/>
      <c r="JM695" s="77"/>
      <c r="JN695" s="77"/>
      <c r="JO695" s="77"/>
      <c r="JP695" s="77"/>
      <c r="JQ695" s="77"/>
      <c r="JR695" s="77"/>
      <c r="JS695" s="77"/>
      <c r="JT695" s="77"/>
      <c r="JU695" s="77"/>
      <c r="JV695" s="77"/>
      <c r="JW695" s="77"/>
      <c r="JX695" s="77"/>
      <c r="JY695" s="77"/>
      <c r="JZ695" s="77"/>
      <c r="KA695" s="77"/>
      <c r="KB695" s="77"/>
      <c r="KC695" s="77"/>
      <c r="KD695" s="77"/>
      <c r="KE695" s="77"/>
      <c r="KF695" s="77"/>
      <c r="KG695" s="77"/>
      <c r="KH695" s="77"/>
      <c r="KI695" s="77"/>
      <c r="KJ695" s="77"/>
      <c r="KK695" s="77"/>
      <c r="KL695" s="77"/>
      <c r="MS695" s="77"/>
      <c r="MT695" s="77"/>
      <c r="MU695" s="77"/>
      <c r="MV695" s="77"/>
      <c r="MW695" s="77"/>
      <c r="MX695" s="77"/>
      <c r="MY695" s="77"/>
      <c r="MZ695" s="77"/>
      <c r="NA695" s="77"/>
      <c r="NB695" s="77"/>
      <c r="NC695" s="77"/>
      <c r="ND695" s="16"/>
    </row>
    <row r="696" spans="1:421" s="21" customFormat="1" ht="18.600000000000001" customHeight="1" x14ac:dyDescent="0.25">
      <c r="A696" s="119" t="s">
        <v>651</v>
      </c>
      <c r="B696" s="27" t="s">
        <v>2970</v>
      </c>
      <c r="C696" s="27" t="s">
        <v>2971</v>
      </c>
      <c r="D696" s="30" t="str">
        <f>HYPERLINK("https://twitter.com/FijiGovernment","https://twitter.com/FijiGovernment")</f>
        <v>https://twitter.com/FijiGovernment</v>
      </c>
      <c r="E696" s="30" t="str">
        <f>HYPERLINK("http://twiplomacy.com/info/oceania/Fiji","http://twiplomacy.com/info/oceania/Fiji")</f>
        <v>http://twiplomacy.com/info/oceania/Fiji</v>
      </c>
      <c r="F696" s="14" t="s">
        <v>643</v>
      </c>
      <c r="G696" s="14" t="s">
        <v>647</v>
      </c>
      <c r="H696" s="14" t="s">
        <v>788</v>
      </c>
      <c r="I696" s="14" t="s">
        <v>782</v>
      </c>
      <c r="J696" s="27" t="s">
        <v>789</v>
      </c>
      <c r="K696" s="10" t="s">
        <v>4636</v>
      </c>
      <c r="L696" s="14" t="s">
        <v>771</v>
      </c>
      <c r="M696" s="14" t="s">
        <v>771</v>
      </c>
      <c r="N696" s="100" t="str">
        <f>HYPERLINK("https://twitter.com/NZRugbyHeaven/statuses/68544704337281024","https://twitter.com/NZRugbyHeaven/statuses/68544704337281024")</f>
        <v>https://twitter.com/NZRugbyHeaven/statuses/68544704337281024</v>
      </c>
      <c r="O696" s="27" t="s">
        <v>5758</v>
      </c>
      <c r="P696" s="80">
        <v>11</v>
      </c>
      <c r="Q696" s="80">
        <v>4</v>
      </c>
      <c r="R696" s="27" t="s">
        <v>2995</v>
      </c>
      <c r="S696" s="10" t="s">
        <v>2972</v>
      </c>
      <c r="T696" s="10" t="s">
        <v>771</v>
      </c>
      <c r="U696" s="10" t="s">
        <v>771</v>
      </c>
      <c r="V696" s="10" t="s">
        <v>771</v>
      </c>
      <c r="W696" s="10"/>
      <c r="X696" s="27" t="s">
        <v>651</v>
      </c>
      <c r="Y696" s="27" t="s">
        <v>2970</v>
      </c>
      <c r="Z696" s="80">
        <v>40</v>
      </c>
      <c r="AA696" s="27">
        <v>46</v>
      </c>
      <c r="AB696" s="80">
        <v>344</v>
      </c>
      <c r="AC696" s="27">
        <v>1</v>
      </c>
      <c r="AD696" s="27" t="s">
        <v>3680</v>
      </c>
      <c r="AE696" s="27">
        <v>1674155761</v>
      </c>
      <c r="AF696" s="27" t="s">
        <v>2971</v>
      </c>
      <c r="AG696" s="27"/>
      <c r="AH696" s="79">
        <v>4.0363269424823399E-2</v>
      </c>
      <c r="AI696" s="83">
        <v>0.43010752688171999</v>
      </c>
      <c r="AJ696" s="80">
        <v>2.1666666666666701</v>
      </c>
      <c r="AK696" s="80">
        <v>1.9166666666666701</v>
      </c>
      <c r="AL696" s="13">
        <v>0</v>
      </c>
      <c r="AM696" s="97">
        <f>SUM(AL696/Z696)</f>
        <v>0</v>
      </c>
      <c r="AN696" s="27" t="s">
        <v>651</v>
      </c>
      <c r="AO696" s="27">
        <v>4</v>
      </c>
      <c r="AP696" s="27">
        <v>2</v>
      </c>
      <c r="AQ696" s="27">
        <v>1</v>
      </c>
      <c r="AR696" s="27">
        <f>SUM(AO696:AQ696)</f>
        <v>7</v>
      </c>
      <c r="AS696" s="27" t="s">
        <v>5114</v>
      </c>
      <c r="AT696" s="27" t="s">
        <v>5115</v>
      </c>
      <c r="AU696" s="84" t="s">
        <v>2662</v>
      </c>
      <c r="AV696" s="77"/>
      <c r="AW696" s="77"/>
      <c r="AX696" s="77"/>
      <c r="AY696" s="77"/>
      <c r="AZ696" s="77"/>
      <c r="BA696" s="77"/>
      <c r="BB696" s="77"/>
      <c r="BC696" s="77"/>
      <c r="BD696" s="77"/>
      <c r="BE696" s="77"/>
      <c r="BF696" s="77"/>
      <c r="BG696" s="77"/>
      <c r="BH696" s="77"/>
      <c r="BI696" s="77"/>
      <c r="BJ696" s="77"/>
      <c r="BK696" s="77"/>
      <c r="BL696" s="77"/>
      <c r="BM696" s="77"/>
      <c r="BN696" s="77"/>
      <c r="BO696" s="77"/>
      <c r="BP696" s="77"/>
      <c r="BQ696" s="77"/>
      <c r="BR696" s="77"/>
      <c r="BS696" s="77"/>
      <c r="BT696" s="77"/>
      <c r="BU696" s="77"/>
      <c r="BV696" s="77"/>
      <c r="BW696" s="77"/>
      <c r="BX696" s="77"/>
      <c r="BY696" s="77"/>
      <c r="BZ696" s="77"/>
      <c r="CA696" s="77"/>
      <c r="CB696" s="77"/>
      <c r="CC696" s="77"/>
      <c r="CD696" s="77"/>
      <c r="CE696" s="77"/>
      <c r="CF696" s="77"/>
      <c r="CG696" s="77"/>
      <c r="CH696" s="77"/>
      <c r="CI696" s="77"/>
      <c r="CJ696" s="77"/>
      <c r="CK696" s="77"/>
      <c r="CL696" s="77"/>
      <c r="CM696" s="77"/>
      <c r="CN696" s="77"/>
      <c r="CO696" s="77"/>
      <c r="CP696" s="77"/>
      <c r="CQ696" s="77"/>
      <c r="CR696" s="77"/>
      <c r="CS696" s="77"/>
      <c r="CT696" s="77"/>
      <c r="CU696" s="77"/>
      <c r="CV696" s="77"/>
      <c r="CW696" s="77"/>
      <c r="CX696" s="77"/>
      <c r="CY696" s="77"/>
      <c r="CZ696" s="77"/>
      <c r="DA696" s="77"/>
      <c r="DB696" s="77"/>
      <c r="DC696" s="77"/>
      <c r="DD696" s="77"/>
      <c r="DE696" s="77"/>
      <c r="DF696" s="77"/>
      <c r="DG696" s="77"/>
      <c r="DH696" s="77"/>
      <c r="DI696" s="77"/>
      <c r="DJ696" s="77"/>
      <c r="DK696" s="77"/>
      <c r="DL696" s="77"/>
      <c r="DM696" s="77"/>
      <c r="DN696" s="77"/>
      <c r="DO696" s="77"/>
      <c r="DP696" s="77"/>
      <c r="DQ696" s="77"/>
      <c r="DR696" s="77"/>
      <c r="DS696" s="77"/>
      <c r="DT696" s="77"/>
      <c r="DU696" s="77"/>
      <c r="DV696" s="77"/>
      <c r="DW696" s="77"/>
      <c r="DX696" s="77"/>
      <c r="DY696" s="77"/>
      <c r="DZ696" s="77"/>
      <c r="EA696" s="77"/>
      <c r="EB696" s="77"/>
      <c r="EC696" s="77"/>
      <c r="ED696" s="77"/>
      <c r="EE696" s="77"/>
      <c r="EF696" s="77"/>
      <c r="EG696" s="77"/>
      <c r="EH696" s="77"/>
      <c r="EI696" s="77"/>
      <c r="EJ696" s="77"/>
      <c r="EK696" s="77"/>
      <c r="EL696" s="77"/>
      <c r="EM696" s="77"/>
      <c r="EN696" s="77"/>
      <c r="EO696" s="77"/>
      <c r="EP696" s="77"/>
      <c r="EQ696" s="77"/>
      <c r="ER696" s="16"/>
      <c r="ES696" s="16"/>
      <c r="ET696" s="16"/>
      <c r="EU696" s="16"/>
      <c r="EV696" s="16"/>
      <c r="EW696" s="16"/>
      <c r="EX696" s="16"/>
      <c r="EY696" s="16"/>
      <c r="EZ696" s="16"/>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16"/>
      <c r="GH696" s="16"/>
      <c r="GI696" s="16"/>
      <c r="GJ696" s="16"/>
      <c r="GK696" s="16"/>
      <c r="HL696" s="16"/>
      <c r="HM696" s="16"/>
      <c r="HN696" s="16"/>
      <c r="HO696" s="16"/>
      <c r="HP696" s="16"/>
      <c r="HQ696" s="16"/>
      <c r="HR696" s="16"/>
      <c r="HS696" s="16"/>
      <c r="HT696" s="16"/>
      <c r="HU696" s="16"/>
      <c r="HV696" s="16"/>
      <c r="HW696" s="16"/>
      <c r="HX696" s="16"/>
      <c r="HY696" s="16"/>
      <c r="HZ696" s="16"/>
      <c r="IA696" s="16"/>
      <c r="IB696" s="16"/>
      <c r="IC696" s="16"/>
      <c r="ID696" s="77"/>
      <c r="IE696" s="77"/>
      <c r="JY696" s="77"/>
      <c r="JZ696" s="77"/>
      <c r="KA696" s="77"/>
      <c r="KB696" s="77"/>
      <c r="KC696" s="77"/>
      <c r="KD696" s="77"/>
      <c r="KE696" s="77"/>
      <c r="KF696" s="77"/>
      <c r="KG696" s="77"/>
      <c r="KH696" s="77"/>
      <c r="KI696" s="77"/>
      <c r="KJ696" s="77"/>
      <c r="KK696" s="77"/>
      <c r="KL696" s="77"/>
      <c r="KM696" s="77"/>
      <c r="KN696" s="77"/>
      <c r="KO696" s="77"/>
      <c r="KP696" s="77"/>
      <c r="KQ696" s="77"/>
      <c r="KR696" s="77"/>
      <c r="KS696" s="77"/>
      <c r="KT696" s="77"/>
      <c r="KU696" s="77"/>
      <c r="KV696" s="77"/>
      <c r="KW696" s="77"/>
      <c r="KX696" s="77"/>
      <c r="KY696" s="77"/>
      <c r="KZ696" s="77"/>
      <c r="LA696" s="77"/>
      <c r="LB696" s="77"/>
      <c r="LC696" s="77"/>
      <c r="LD696" s="77"/>
      <c r="LE696" s="77"/>
      <c r="LF696" s="77"/>
      <c r="LG696" s="77"/>
      <c r="LH696" s="77"/>
      <c r="LI696" s="77"/>
      <c r="LJ696" s="77"/>
      <c r="LK696" s="77"/>
      <c r="LL696" s="77"/>
      <c r="LM696" s="77"/>
      <c r="LN696" s="77"/>
      <c r="LO696" s="77"/>
      <c r="LP696" s="77"/>
      <c r="LQ696" s="77"/>
      <c r="LR696" s="77"/>
      <c r="LS696" s="77"/>
      <c r="LT696" s="77"/>
      <c r="LU696" s="77"/>
      <c r="LV696" s="77"/>
      <c r="LY696" s="77"/>
      <c r="LZ696" s="77"/>
      <c r="MA696" s="77"/>
      <c r="MB696" s="77"/>
      <c r="MC696" s="77"/>
      <c r="MD696" s="77"/>
      <c r="ME696" s="77"/>
      <c r="MF696" s="77"/>
      <c r="MG696" s="77"/>
      <c r="MH696" s="77"/>
      <c r="MI696" s="77"/>
      <c r="MJ696" s="77"/>
      <c r="MK696" s="77"/>
      <c r="ML696" s="77"/>
      <c r="MM696" s="77"/>
      <c r="MN696" s="77"/>
      <c r="MO696" s="77"/>
      <c r="MP696" s="77"/>
      <c r="MQ696" s="77"/>
      <c r="MR696" s="77"/>
      <c r="MS696" s="77"/>
      <c r="MT696" s="77"/>
      <c r="MU696" s="77"/>
      <c r="MV696" s="77"/>
      <c r="MW696" s="77"/>
      <c r="MX696" s="77"/>
      <c r="MY696" s="77"/>
      <c r="MZ696" s="77"/>
      <c r="NA696" s="77"/>
      <c r="NB696" s="77"/>
      <c r="NC696" s="77"/>
      <c r="ND696" s="77"/>
    </row>
    <row r="697" spans="1:421" s="21" customFormat="1" ht="18.600000000000001" customHeight="1" x14ac:dyDescent="0.25">
      <c r="A697" s="119" t="s">
        <v>311</v>
      </c>
      <c r="B697" s="27" t="s">
        <v>1648</v>
      </c>
      <c r="C697" s="27" t="s">
        <v>1649</v>
      </c>
      <c r="D697" s="30" t="str">
        <f>HYPERLINK("https://twitter.com/EmomaliRahmon","https://twitter.com/EmomaliRahmon")</f>
        <v>https://twitter.com/EmomaliRahmon</v>
      </c>
      <c r="E697" s="30" t="str">
        <f>HYPERLINK("http://twiplomacy.com/info/asia/Tajikistan","http://twiplomacy.com/info/asia/Tajikistan")</f>
        <v>http://twiplomacy.com/info/asia/Tajikistan</v>
      </c>
      <c r="F697" s="10" t="s">
        <v>154</v>
      </c>
      <c r="G697" s="10" t="s">
        <v>308</v>
      </c>
      <c r="H697" s="10" t="s">
        <v>772</v>
      </c>
      <c r="I697" s="10" t="s">
        <v>773</v>
      </c>
      <c r="J697" s="27" t="s">
        <v>789</v>
      </c>
      <c r="K697" s="15" t="s">
        <v>4625</v>
      </c>
      <c r="L697" s="10" t="s">
        <v>771</v>
      </c>
      <c r="M697" s="10" t="s">
        <v>770</v>
      </c>
      <c r="N697" s="30" t="str">
        <f>HYPERLINK("https://twitter.com/EmomaliRahmon/statuses/54443397397745664","https://twitter.com/EmomaliRahmon/statuses/54443397397745664")</f>
        <v>https://twitter.com/EmomaliRahmon/statuses/54443397397745664</v>
      </c>
      <c r="O697" s="27" t="s">
        <v>5741</v>
      </c>
      <c r="P697" s="80">
        <v>3</v>
      </c>
      <c r="Q697" s="80">
        <v>4</v>
      </c>
      <c r="R697" s="27" t="s">
        <v>2995</v>
      </c>
      <c r="S697" s="10" t="s">
        <v>1650</v>
      </c>
      <c r="T697" s="10" t="s">
        <v>771</v>
      </c>
      <c r="U697" s="10" t="s">
        <v>771</v>
      </c>
      <c r="V697" s="10" t="s">
        <v>771</v>
      </c>
      <c r="W697" s="10"/>
      <c r="X697" s="27" t="s">
        <v>311</v>
      </c>
      <c r="Y697" s="27" t="s">
        <v>1648</v>
      </c>
      <c r="Z697" s="80">
        <v>39</v>
      </c>
      <c r="AA697" s="27">
        <v>15</v>
      </c>
      <c r="AB697" s="80">
        <v>633</v>
      </c>
      <c r="AC697" s="27">
        <v>14</v>
      </c>
      <c r="AD697" s="27" t="s">
        <v>3649</v>
      </c>
      <c r="AE697" s="27">
        <v>276380526</v>
      </c>
      <c r="AF697" s="27" t="s">
        <v>1649</v>
      </c>
      <c r="AG697" s="27" t="s">
        <v>1651</v>
      </c>
      <c r="AH697" s="79">
        <v>2.10016155088853E-2</v>
      </c>
      <c r="AI697" s="83">
        <v>2.4904214559386999E-2</v>
      </c>
      <c r="AJ697" s="80">
        <v>1</v>
      </c>
      <c r="AK697" s="80">
        <v>1.3928571428571399</v>
      </c>
      <c r="AL697" s="27">
        <v>1</v>
      </c>
      <c r="AM697" s="97">
        <f>SUM(AL697/Z697)</f>
        <v>2.564102564102564E-2</v>
      </c>
      <c r="AN697" s="27" t="s">
        <v>311</v>
      </c>
      <c r="AO697" s="27">
        <v>7</v>
      </c>
      <c r="AP697" s="27">
        <v>3</v>
      </c>
      <c r="AQ697" s="27">
        <v>0</v>
      </c>
      <c r="AR697" s="27">
        <f>SUM(AO697:AQ697)</f>
        <v>10</v>
      </c>
      <c r="AS697" s="27" t="s">
        <v>5104</v>
      </c>
      <c r="AT697" s="27" t="s">
        <v>5047</v>
      </c>
      <c r="AU697" s="84"/>
      <c r="BN697" s="77"/>
      <c r="BO697" s="77"/>
      <c r="BP697" s="77"/>
      <c r="BQ697" s="77"/>
      <c r="BR697" s="77"/>
      <c r="BS697" s="77"/>
      <c r="BT697" s="77"/>
      <c r="BU697" s="77"/>
      <c r="BV697" s="77"/>
      <c r="BW697" s="77"/>
      <c r="BX697" s="77"/>
      <c r="BY697" s="77"/>
      <c r="BZ697" s="77"/>
      <c r="CA697" s="77"/>
      <c r="CB697" s="77"/>
      <c r="CC697" s="77"/>
      <c r="CD697" s="77"/>
      <c r="CE697" s="77"/>
      <c r="CF697" s="77"/>
      <c r="CG697" s="77"/>
      <c r="CH697" s="77"/>
      <c r="CI697" s="77"/>
      <c r="CJ697" s="77"/>
      <c r="CK697" s="77"/>
      <c r="CL697" s="77"/>
      <c r="CM697" s="77"/>
      <c r="CN697" s="77"/>
      <c r="CO697" s="77"/>
      <c r="CP697" s="77"/>
      <c r="CQ697" s="77"/>
      <c r="CR697" s="77"/>
      <c r="CS697" s="77"/>
      <c r="CT697" s="77"/>
      <c r="CU697" s="77"/>
      <c r="CV697" s="77"/>
      <c r="CW697" s="77"/>
      <c r="EM697" s="77"/>
      <c r="EN697" s="77"/>
      <c r="EO697" s="77"/>
      <c r="EP697" s="77"/>
      <c r="EQ697" s="77"/>
      <c r="GL697" s="77"/>
      <c r="GM697" s="77"/>
      <c r="GN697" s="77"/>
      <c r="GO697" s="77"/>
      <c r="GP697" s="77"/>
      <c r="GQ697" s="77"/>
      <c r="GR697" s="77"/>
      <c r="GS697" s="77"/>
      <c r="GT697" s="77"/>
      <c r="GU697" s="77"/>
      <c r="GV697" s="77"/>
      <c r="GW697" s="77"/>
      <c r="GX697" s="77"/>
      <c r="GY697" s="77"/>
      <c r="GZ697" s="77"/>
      <c r="HA697" s="77"/>
      <c r="HB697" s="77"/>
      <c r="HC697" s="77"/>
      <c r="HD697" s="77"/>
      <c r="HE697" s="77"/>
      <c r="HF697" s="77"/>
      <c r="HG697" s="77"/>
      <c r="HH697" s="77"/>
      <c r="HI697" s="77"/>
      <c r="HJ697" s="77"/>
      <c r="HK697" s="77"/>
      <c r="ID697" s="77"/>
      <c r="IE697" s="77"/>
      <c r="IF697" s="77"/>
      <c r="IG697" s="77"/>
      <c r="IH697" s="77"/>
      <c r="II697" s="77"/>
      <c r="IJ697" s="77"/>
      <c r="IK697" s="77"/>
      <c r="IL697" s="77"/>
      <c r="IM697" s="77"/>
      <c r="IN697" s="77"/>
      <c r="IO697" s="77"/>
      <c r="IP697" s="77"/>
      <c r="IQ697" s="77"/>
      <c r="IR697" s="77"/>
      <c r="IS697" s="77"/>
      <c r="IT697" s="77"/>
      <c r="IU697" s="77"/>
      <c r="IV697" s="77"/>
      <c r="IW697" s="77"/>
      <c r="IX697" s="77"/>
      <c r="IY697" s="77"/>
      <c r="IZ697" s="77"/>
      <c r="JA697" s="77"/>
      <c r="JB697" s="77"/>
      <c r="JC697" s="77"/>
      <c r="JD697" s="77"/>
      <c r="JE697" s="77"/>
      <c r="JF697" s="77"/>
      <c r="JG697" s="77"/>
      <c r="JH697" s="77"/>
      <c r="JI697" s="77"/>
      <c r="JJ697" s="77"/>
      <c r="JK697" s="77"/>
      <c r="JL697" s="77"/>
      <c r="JM697" s="77"/>
      <c r="JN697" s="77"/>
      <c r="JO697" s="77"/>
      <c r="JP697" s="77"/>
      <c r="JQ697" s="77"/>
      <c r="JR697" s="77"/>
      <c r="JS697" s="77"/>
      <c r="JT697" s="77"/>
      <c r="JU697" s="77"/>
      <c r="JV697" s="77"/>
      <c r="JW697" s="77"/>
      <c r="JX697" s="77"/>
      <c r="JY697" s="77"/>
      <c r="JZ697" s="77"/>
      <c r="KA697" s="77"/>
      <c r="KB697" s="77"/>
      <c r="KC697" s="77"/>
      <c r="KD697" s="77"/>
      <c r="KE697" s="77"/>
      <c r="KF697" s="77"/>
      <c r="KG697" s="77"/>
      <c r="KH697" s="77"/>
      <c r="KI697" s="77"/>
      <c r="KJ697" s="77"/>
      <c r="KK697" s="77"/>
      <c r="KL697" s="77"/>
      <c r="KM697" s="77"/>
      <c r="KN697" s="77"/>
      <c r="KO697" s="77"/>
      <c r="KP697" s="77"/>
      <c r="KQ697" s="77"/>
      <c r="KR697" s="77"/>
      <c r="KS697" s="77"/>
      <c r="KT697" s="77"/>
      <c r="KU697" s="77"/>
      <c r="KV697" s="77"/>
      <c r="KW697" s="77"/>
      <c r="KX697" s="77"/>
      <c r="KY697" s="77"/>
      <c r="KZ697" s="77"/>
      <c r="LA697" s="77"/>
      <c r="LB697" s="77"/>
      <c r="LC697" s="77"/>
      <c r="LD697" s="77"/>
      <c r="LE697" s="77"/>
      <c r="LF697" s="77"/>
      <c r="LG697" s="77"/>
      <c r="LH697" s="77"/>
      <c r="LI697" s="77"/>
      <c r="LJ697" s="77"/>
      <c r="LK697" s="77"/>
      <c r="LL697" s="77"/>
      <c r="LM697" s="77"/>
      <c r="LN697" s="77"/>
      <c r="LO697" s="77"/>
      <c r="LP697" s="77"/>
      <c r="LQ697" s="77"/>
      <c r="LR697" s="77"/>
      <c r="LS697" s="77"/>
      <c r="LT697" s="77"/>
      <c r="LU697" s="77"/>
      <c r="LV697" s="77"/>
      <c r="LW697" s="77"/>
      <c r="LX697" s="77"/>
      <c r="LY697" s="77"/>
      <c r="LZ697" s="77"/>
      <c r="MA697" s="77"/>
      <c r="MB697" s="77"/>
      <c r="MC697" s="77"/>
      <c r="MD697" s="77"/>
      <c r="ME697" s="77"/>
      <c r="MF697" s="77"/>
      <c r="MG697" s="77"/>
      <c r="MH697" s="77"/>
      <c r="MI697" s="77"/>
      <c r="MJ697" s="77"/>
      <c r="MK697" s="77"/>
      <c r="ML697" s="77"/>
      <c r="MM697" s="77"/>
      <c r="MN697" s="77"/>
      <c r="MO697" s="77"/>
      <c r="MP697" s="77"/>
      <c r="MQ697" s="77"/>
      <c r="MR697" s="77"/>
      <c r="MS697" s="77"/>
      <c r="MT697" s="77"/>
      <c r="MU697" s="77"/>
      <c r="MV697" s="77"/>
      <c r="MW697" s="77"/>
      <c r="MX697" s="77"/>
      <c r="MY697" s="77"/>
      <c r="MZ697" s="77"/>
      <c r="NA697" s="77"/>
      <c r="NB697" s="77"/>
      <c r="NC697" s="77"/>
      <c r="ND697" s="77"/>
    </row>
    <row r="698" spans="1:421" s="21" customFormat="1" ht="18.600000000000001" customHeight="1" x14ac:dyDescent="0.25">
      <c r="A698" s="119" t="s">
        <v>140</v>
      </c>
      <c r="B698" s="27" t="s">
        <v>1131</v>
      </c>
      <c r="C698" s="27" t="s">
        <v>1132</v>
      </c>
      <c r="D698" s="30" t="str">
        <f>HYPERLINK("https://twitter.com/PMTunisie","https://twitter.com/PMTunisie")</f>
        <v>https://twitter.com/PMTunisie</v>
      </c>
      <c r="E698" s="30" t="s">
        <v>1133</v>
      </c>
      <c r="F698" s="20" t="s">
        <v>1</v>
      </c>
      <c r="G698" s="10" t="s">
        <v>134</v>
      </c>
      <c r="H698" s="10" t="s">
        <v>776</v>
      </c>
      <c r="I698" s="10" t="s">
        <v>782</v>
      </c>
      <c r="J698" s="27" t="s">
        <v>779</v>
      </c>
      <c r="K698" s="10" t="s">
        <v>1134</v>
      </c>
      <c r="L698" s="10" t="s">
        <v>771</v>
      </c>
      <c r="M698" s="10" t="s">
        <v>771</v>
      </c>
      <c r="N698" s="30" t="str">
        <f>HYPERLINK("https://twitter.com/PMTunisie/status/55960111939715073","https://twitter.com/PMTunisie/status/55960111939715073")</f>
        <v>https://twitter.com/PMTunisie/status/55960111939715073</v>
      </c>
      <c r="O698" s="27" t="s">
        <v>1135</v>
      </c>
      <c r="P698" s="80">
        <v>3</v>
      </c>
      <c r="Q698" s="80">
        <v>0</v>
      </c>
      <c r="R698" s="27" t="s">
        <v>2995</v>
      </c>
      <c r="S698" s="30" t="str">
        <f>HYPERLINK("https://twitter.com/PMTunisie/lists","https://twitter.com/PMTunisie/lists")</f>
        <v>https://twitter.com/PMTunisie/lists</v>
      </c>
      <c r="T698" s="10" t="s">
        <v>771</v>
      </c>
      <c r="U698" s="10" t="s">
        <v>771</v>
      </c>
      <c r="V698" s="10" t="s">
        <v>771</v>
      </c>
      <c r="W698" s="10"/>
      <c r="X698" s="27" t="s">
        <v>140</v>
      </c>
      <c r="Y698" s="27" t="s">
        <v>1131</v>
      </c>
      <c r="Z698" s="80">
        <v>37</v>
      </c>
      <c r="AA698" s="27">
        <v>1</v>
      </c>
      <c r="AB698" s="80">
        <v>925</v>
      </c>
      <c r="AC698" s="27">
        <v>0</v>
      </c>
      <c r="AD698" s="27" t="s">
        <v>4275</v>
      </c>
      <c r="AE698" s="27">
        <v>270397069</v>
      </c>
      <c r="AF698" s="27" t="s">
        <v>1132</v>
      </c>
      <c r="AG698" s="27" t="s">
        <v>1136</v>
      </c>
      <c r="AH698" s="79">
        <v>1.9807280513918599E-2</v>
      </c>
      <c r="AI698" s="83">
        <v>4.9932523616734101E-2</v>
      </c>
      <c r="AJ698" s="80">
        <v>0.81081081081081097</v>
      </c>
      <c r="AK698" s="80">
        <v>8.1081081081081099E-2</v>
      </c>
      <c r="AL698" s="13">
        <v>0</v>
      </c>
      <c r="AM698" s="97">
        <f>SUM(AL698/Z698)</f>
        <v>0</v>
      </c>
      <c r="AN698" s="27" t="s">
        <v>140</v>
      </c>
      <c r="AO698" s="27">
        <v>0</v>
      </c>
      <c r="AP698" s="27">
        <v>1</v>
      </c>
      <c r="AQ698" s="27">
        <v>0</v>
      </c>
      <c r="AR698" s="27">
        <f>SUM(AO698:AQ698)</f>
        <v>1</v>
      </c>
      <c r="AS698" s="27"/>
      <c r="AT698" s="27" t="s">
        <v>82</v>
      </c>
      <c r="AU698" s="84"/>
      <c r="AV698" s="77"/>
      <c r="AW698" s="77"/>
      <c r="AX698" s="77"/>
      <c r="AY698" s="77"/>
      <c r="AZ698" s="77"/>
      <c r="BA698" s="77"/>
      <c r="BB698" s="77"/>
      <c r="BC698" s="77"/>
      <c r="BD698" s="77"/>
      <c r="BE698" s="77"/>
      <c r="BF698" s="77"/>
      <c r="BG698" s="77"/>
      <c r="BH698" s="77"/>
      <c r="BI698" s="77"/>
      <c r="BJ698" s="77"/>
      <c r="BK698" s="77"/>
      <c r="BL698" s="77"/>
      <c r="BM698" s="77"/>
      <c r="BN698" s="77"/>
      <c r="BO698" s="77"/>
      <c r="BP698" s="77"/>
      <c r="BQ698" s="77"/>
      <c r="BR698" s="77"/>
      <c r="BS698" s="77"/>
      <c r="BT698" s="77"/>
      <c r="BU698" s="77"/>
      <c r="BV698" s="77"/>
      <c r="BW698" s="77"/>
      <c r="BX698" s="77"/>
      <c r="BY698" s="77"/>
      <c r="BZ698" s="77"/>
      <c r="CA698" s="77"/>
      <c r="CB698" s="77"/>
      <c r="CC698" s="77"/>
      <c r="CD698" s="77"/>
      <c r="CE698" s="77"/>
      <c r="CF698" s="77"/>
      <c r="CG698" s="77"/>
      <c r="CH698" s="77"/>
      <c r="CI698" s="77"/>
      <c r="CJ698" s="77"/>
      <c r="CK698" s="77"/>
      <c r="CL698" s="77"/>
      <c r="CM698" s="77"/>
      <c r="CN698" s="77"/>
      <c r="CO698" s="77"/>
      <c r="CP698" s="77"/>
      <c r="CQ698" s="77"/>
      <c r="CR698" s="77"/>
      <c r="CS698" s="77"/>
      <c r="CT698" s="77"/>
      <c r="CU698" s="77"/>
      <c r="CV698" s="77"/>
      <c r="CW698" s="77"/>
      <c r="EM698" s="16"/>
      <c r="EN698" s="16"/>
      <c r="EO698" s="16"/>
      <c r="EP698" s="77"/>
      <c r="EQ698" s="77"/>
      <c r="ER698" s="77"/>
      <c r="ES698" s="77"/>
      <c r="ET698" s="77"/>
      <c r="EU698" s="77"/>
      <c r="EV698" s="77"/>
      <c r="EW698" s="77"/>
      <c r="EX698" s="77"/>
      <c r="EY698" s="77"/>
      <c r="EZ698" s="77"/>
      <c r="FA698" s="77"/>
      <c r="FB698" s="77"/>
      <c r="FC698" s="77"/>
      <c r="FD698" s="77"/>
      <c r="FE698" s="77"/>
      <c r="FF698" s="77"/>
      <c r="FG698" s="77"/>
      <c r="FH698" s="77"/>
      <c r="FI698" s="77"/>
      <c r="FJ698" s="77"/>
      <c r="FK698" s="77"/>
      <c r="FL698" s="77"/>
      <c r="FM698" s="77"/>
      <c r="FN698" s="77"/>
      <c r="FO698" s="77"/>
      <c r="FP698" s="77"/>
      <c r="FQ698" s="77"/>
      <c r="FR698" s="77"/>
      <c r="FS698" s="77"/>
      <c r="FT698" s="77"/>
      <c r="FU698" s="77"/>
      <c r="FV698" s="77"/>
      <c r="FW698" s="77"/>
      <c r="FX698" s="77"/>
      <c r="FY698" s="77"/>
      <c r="FZ698" s="77"/>
      <c r="GA698" s="77"/>
      <c r="GB698" s="77"/>
      <c r="GC698" s="77"/>
      <c r="GD698" s="77"/>
      <c r="GE698" s="77"/>
      <c r="GF698" s="77"/>
      <c r="GG698" s="77"/>
      <c r="GH698" s="77"/>
      <c r="GI698" s="77"/>
      <c r="GJ698" s="77"/>
      <c r="GK698" s="77"/>
      <c r="HL698" s="77"/>
      <c r="HM698" s="77"/>
      <c r="HN698" s="77"/>
      <c r="HO698" s="77"/>
      <c r="HP698" s="77"/>
      <c r="HQ698" s="77"/>
      <c r="HR698" s="77"/>
      <c r="HS698" s="77"/>
      <c r="HT698" s="77"/>
      <c r="HU698" s="77"/>
      <c r="HV698" s="77"/>
      <c r="HW698" s="77"/>
      <c r="HX698" s="77"/>
      <c r="HY698" s="77"/>
      <c r="HZ698" s="77"/>
      <c r="IA698" s="77"/>
      <c r="IB698" s="77"/>
      <c r="IC698" s="77"/>
      <c r="ID698" s="77"/>
      <c r="IE698" s="77"/>
      <c r="JY698" s="77"/>
      <c r="JZ698" s="77"/>
      <c r="KA698" s="77"/>
      <c r="KB698" s="77"/>
      <c r="KC698" s="77"/>
      <c r="KD698" s="77"/>
      <c r="KE698" s="77"/>
      <c r="KF698" s="77"/>
      <c r="KG698" s="77"/>
      <c r="KH698" s="77"/>
      <c r="KI698" s="77"/>
      <c r="KJ698" s="77"/>
      <c r="KK698" s="77"/>
      <c r="KL698" s="77"/>
      <c r="LL698" s="77"/>
      <c r="LM698" s="77"/>
      <c r="LN698" s="77"/>
      <c r="LO698" s="77"/>
      <c r="LP698" s="77"/>
      <c r="LQ698" s="77"/>
      <c r="LR698" s="77"/>
      <c r="LS698" s="77"/>
      <c r="LT698" s="77"/>
      <c r="LU698" s="77"/>
      <c r="LV698" s="77"/>
      <c r="LW698" s="77"/>
      <c r="LX698" s="77"/>
    </row>
    <row r="699" spans="1:421" s="16" customFormat="1" ht="18.600000000000001" customHeight="1" x14ac:dyDescent="0.25">
      <c r="A699" s="119" t="s">
        <v>249</v>
      </c>
      <c r="B699" s="27" t="s">
        <v>2908</v>
      </c>
      <c r="C699" s="27" t="s">
        <v>2909</v>
      </c>
      <c r="D699" s="30" t="str">
        <f>HYPERLINK("https://twitter.com/foreignMV","https://twitter.com/foreignMV")</f>
        <v>https://twitter.com/foreignMV</v>
      </c>
      <c r="E699" s="30" t="str">
        <f>HYPERLINK("http://twiplomacy.com/info/asia/Maldives","http://twiplomacy.com/info/asia/Maldives")</f>
        <v>http://twiplomacy.com/info/asia/Maldives</v>
      </c>
      <c r="F699" s="10" t="s">
        <v>154</v>
      </c>
      <c r="G699" s="10" t="s">
        <v>244</v>
      </c>
      <c r="H699" s="10" t="s">
        <v>795</v>
      </c>
      <c r="I699" s="10" t="s">
        <v>782</v>
      </c>
      <c r="J699" s="27" t="s">
        <v>789</v>
      </c>
      <c r="K699" s="15" t="s">
        <v>1487</v>
      </c>
      <c r="L699" s="14" t="s">
        <v>771</v>
      </c>
      <c r="M699" s="14" t="s">
        <v>771</v>
      </c>
      <c r="N699" s="100" t="str">
        <f>HYPERLINK("https://twitter.com/foreignMV/statuses/239238197786337280","https://twitter.com/foreignMV/statuses/239238197786337280")</f>
        <v>https://twitter.com/foreignMV/statuses/239238197786337280</v>
      </c>
      <c r="O699" s="27" t="s">
        <v>5768</v>
      </c>
      <c r="P699" s="80">
        <v>9</v>
      </c>
      <c r="Q699" s="80">
        <v>0</v>
      </c>
      <c r="R699" s="27" t="s">
        <v>2995</v>
      </c>
      <c r="S699" s="10" t="s">
        <v>2910</v>
      </c>
      <c r="T699" s="10" t="s">
        <v>771</v>
      </c>
      <c r="U699" s="10" t="s">
        <v>771</v>
      </c>
      <c r="V699" s="10" t="s">
        <v>771</v>
      </c>
      <c r="W699" s="10"/>
      <c r="X699" s="27" t="s">
        <v>249</v>
      </c>
      <c r="Y699" s="27" t="s">
        <v>2908</v>
      </c>
      <c r="Z699" s="80">
        <v>36</v>
      </c>
      <c r="AA699" s="27">
        <v>189</v>
      </c>
      <c r="AB699" s="80">
        <v>637</v>
      </c>
      <c r="AC699" s="27">
        <v>0</v>
      </c>
      <c r="AD699" s="27" t="s">
        <v>3695</v>
      </c>
      <c r="AE699" s="27">
        <v>779591534</v>
      </c>
      <c r="AF699" s="27" t="s">
        <v>2909</v>
      </c>
      <c r="AG699" s="27" t="s">
        <v>244</v>
      </c>
      <c r="AH699" s="79">
        <v>2.6726057906458801E-2</v>
      </c>
      <c r="AI699" s="83">
        <v>0.29752066115702502</v>
      </c>
      <c r="AJ699" s="80">
        <v>1.47058823529412</v>
      </c>
      <c r="AK699" s="80">
        <v>0.32352941176470601</v>
      </c>
      <c r="AL699" s="13">
        <v>0</v>
      </c>
      <c r="AM699" s="97">
        <f>SUM(AL699/Z699)</f>
        <v>0</v>
      </c>
      <c r="AN699" s="27" t="s">
        <v>249</v>
      </c>
      <c r="AO699" s="27">
        <v>5</v>
      </c>
      <c r="AP699" s="27">
        <v>15</v>
      </c>
      <c r="AQ699" s="27">
        <v>0</v>
      </c>
      <c r="AR699" s="27">
        <f>SUM(AO699:AQ699)</f>
        <v>20</v>
      </c>
      <c r="AS699" s="27" t="s">
        <v>6211</v>
      </c>
      <c r="AT699" s="27" t="s">
        <v>5121</v>
      </c>
      <c r="AU699" s="84"/>
      <c r="BQ699" s="77"/>
      <c r="BR699" s="77"/>
      <c r="BS699" s="77"/>
      <c r="BT699" s="77"/>
      <c r="BU699" s="77"/>
      <c r="BV699" s="77"/>
      <c r="BW699" s="77"/>
      <c r="BX699" s="77"/>
      <c r="BY699" s="77"/>
      <c r="BZ699" s="77"/>
      <c r="CA699" s="77"/>
      <c r="CB699" s="77"/>
      <c r="CC699" s="77"/>
      <c r="CD699" s="77"/>
      <c r="CE699" s="77"/>
      <c r="CF699" s="77"/>
      <c r="CG699" s="77"/>
      <c r="CH699" s="77"/>
      <c r="CI699" s="77"/>
      <c r="CJ699" s="77"/>
      <c r="CK699" s="77"/>
      <c r="CL699" s="77"/>
      <c r="CM699" s="77"/>
      <c r="CN699" s="77"/>
      <c r="CO699" s="77"/>
      <c r="CP699" s="77"/>
      <c r="CQ699" s="77"/>
      <c r="CR699" s="77"/>
      <c r="CS699" s="77"/>
      <c r="CT699" s="77"/>
      <c r="CU699" s="77"/>
      <c r="CV699" s="77"/>
      <c r="CW699" s="77"/>
      <c r="CX699" s="77"/>
      <c r="CY699" s="77"/>
      <c r="CZ699" s="77"/>
      <c r="DA699" s="77"/>
      <c r="DB699" s="77"/>
      <c r="DC699" s="77"/>
      <c r="DD699" s="77"/>
      <c r="DE699" s="77"/>
      <c r="DF699" s="77"/>
      <c r="DG699" s="77"/>
      <c r="DH699" s="77"/>
      <c r="DI699" s="77"/>
      <c r="DJ699" s="77"/>
      <c r="DK699" s="77"/>
      <c r="DL699" s="77"/>
      <c r="DM699" s="77"/>
      <c r="DN699" s="77"/>
      <c r="DO699" s="77"/>
      <c r="DP699" s="77"/>
      <c r="DQ699" s="77"/>
      <c r="DR699" s="77"/>
      <c r="DS699" s="77"/>
      <c r="DT699" s="77"/>
      <c r="DU699" s="77"/>
      <c r="DV699" s="77"/>
      <c r="DW699" s="77"/>
      <c r="DX699" s="77"/>
      <c r="DY699" s="77"/>
      <c r="DZ699" s="77"/>
      <c r="EA699" s="77"/>
      <c r="EB699" s="77"/>
      <c r="EC699" s="77"/>
      <c r="ED699" s="77"/>
      <c r="EE699" s="77"/>
      <c r="EF699" s="77"/>
      <c r="EG699" s="77"/>
      <c r="EH699" s="77"/>
      <c r="EI699" s="77"/>
      <c r="EJ699" s="77"/>
      <c r="EK699" s="77"/>
      <c r="EL699" s="77"/>
      <c r="EM699" s="77"/>
      <c r="EN699" s="77"/>
      <c r="EO699" s="77"/>
      <c r="EP699" s="77"/>
      <c r="EQ699" s="77"/>
      <c r="ER699" s="77"/>
      <c r="ES699" s="77"/>
      <c r="ET699" s="77"/>
      <c r="EU699" s="77"/>
      <c r="EV699" s="77"/>
      <c r="EW699" s="77"/>
      <c r="EX699" s="77"/>
      <c r="EY699" s="77"/>
      <c r="EZ699" s="77"/>
      <c r="FA699" s="77"/>
      <c r="FB699" s="77"/>
      <c r="FC699" s="77"/>
      <c r="FD699" s="77"/>
      <c r="FE699" s="77"/>
      <c r="FF699" s="77"/>
      <c r="FG699" s="77"/>
      <c r="FH699" s="77"/>
      <c r="FI699" s="77"/>
      <c r="FJ699" s="77"/>
      <c r="FK699" s="77"/>
      <c r="FL699" s="77"/>
      <c r="FM699" s="77"/>
      <c r="FN699" s="77"/>
      <c r="FO699" s="77"/>
      <c r="FP699" s="77"/>
      <c r="FQ699" s="77"/>
      <c r="FR699" s="77"/>
      <c r="FS699" s="77"/>
      <c r="FT699" s="77"/>
      <c r="FU699" s="77"/>
      <c r="FV699" s="77"/>
      <c r="FW699" s="77"/>
      <c r="FX699" s="77"/>
      <c r="FY699" s="77"/>
      <c r="FZ699" s="77"/>
      <c r="GA699" s="77"/>
      <c r="GB699" s="77"/>
      <c r="GC699" s="77"/>
      <c r="GD699" s="77"/>
      <c r="GE699" s="77"/>
      <c r="GF699" s="77"/>
      <c r="GG699" s="77"/>
      <c r="GH699" s="77"/>
      <c r="GI699" s="77"/>
      <c r="GJ699" s="77"/>
      <c r="GK699" s="77"/>
      <c r="GL699" s="77"/>
      <c r="GM699" s="77"/>
      <c r="GN699" s="77"/>
      <c r="GO699" s="77"/>
      <c r="GP699" s="77"/>
      <c r="GQ699" s="77"/>
      <c r="GR699" s="77"/>
      <c r="GS699" s="77"/>
      <c r="GT699" s="77"/>
      <c r="GU699" s="77"/>
      <c r="GV699" s="77"/>
      <c r="GW699" s="77"/>
      <c r="GX699" s="77"/>
      <c r="GY699" s="77"/>
      <c r="GZ699" s="77"/>
      <c r="HA699" s="77"/>
      <c r="HB699" s="77"/>
      <c r="HC699" s="77"/>
      <c r="HD699" s="77"/>
      <c r="HE699" s="77"/>
      <c r="HF699" s="77"/>
      <c r="HG699" s="77"/>
      <c r="HH699" s="77"/>
      <c r="HI699" s="77"/>
      <c r="HJ699" s="77"/>
      <c r="HK699" s="77"/>
      <c r="HL699" s="77"/>
      <c r="HM699" s="77"/>
      <c r="HN699" s="77"/>
      <c r="HO699" s="77"/>
      <c r="HP699" s="77"/>
      <c r="HQ699" s="77"/>
      <c r="HR699" s="77"/>
      <c r="HS699" s="77"/>
      <c r="HT699" s="77"/>
      <c r="HU699" s="77"/>
      <c r="HV699" s="77"/>
      <c r="HW699" s="77"/>
      <c r="HX699" s="77"/>
      <c r="HY699" s="77"/>
      <c r="HZ699" s="77"/>
      <c r="IA699" s="77"/>
      <c r="IB699" s="77"/>
      <c r="IC699" s="77"/>
      <c r="ID699" s="77"/>
      <c r="IE699" s="77"/>
      <c r="IF699" s="77"/>
      <c r="IG699" s="77"/>
      <c r="IH699" s="77"/>
      <c r="II699" s="77"/>
      <c r="IJ699" s="77"/>
      <c r="IK699" s="77"/>
      <c r="IL699" s="77"/>
      <c r="IM699" s="77"/>
      <c r="IN699" s="77"/>
      <c r="IO699" s="77"/>
      <c r="IP699" s="77"/>
      <c r="IQ699" s="77"/>
      <c r="IR699" s="77"/>
      <c r="IS699" s="77"/>
      <c r="IT699" s="77"/>
      <c r="IU699" s="77"/>
      <c r="IV699" s="77"/>
      <c r="IW699" s="77"/>
      <c r="IX699" s="77"/>
      <c r="IY699" s="77"/>
      <c r="IZ699" s="77"/>
      <c r="JA699" s="77"/>
      <c r="JB699" s="77"/>
      <c r="JC699" s="77"/>
      <c r="JD699" s="77"/>
      <c r="JE699" s="77"/>
      <c r="JF699" s="77"/>
      <c r="JG699" s="77"/>
      <c r="JH699" s="77"/>
      <c r="JI699" s="77"/>
      <c r="JJ699" s="77"/>
      <c r="JK699" s="77"/>
      <c r="JL699" s="77"/>
      <c r="JM699" s="77"/>
      <c r="JN699" s="77"/>
      <c r="JO699" s="77"/>
      <c r="JP699" s="77"/>
      <c r="JQ699" s="77"/>
      <c r="JR699" s="77"/>
      <c r="JS699" s="77"/>
      <c r="JT699" s="77"/>
      <c r="JU699" s="77"/>
      <c r="JV699" s="77"/>
      <c r="JW699" s="77"/>
      <c r="JX699" s="77"/>
      <c r="JY699" s="77"/>
      <c r="JZ699" s="77"/>
      <c r="KA699" s="77"/>
      <c r="KB699" s="77"/>
      <c r="KC699" s="77"/>
      <c r="KD699" s="77"/>
      <c r="KE699" s="77"/>
      <c r="KF699" s="77"/>
      <c r="KG699" s="77"/>
      <c r="KH699" s="77"/>
      <c r="KI699" s="77"/>
      <c r="KJ699" s="77"/>
      <c r="KK699" s="77"/>
      <c r="KL699" s="77"/>
      <c r="KM699" s="77"/>
      <c r="KN699" s="77"/>
      <c r="KO699" s="77"/>
      <c r="KP699" s="77"/>
      <c r="KQ699" s="77"/>
      <c r="KR699" s="77"/>
      <c r="KS699" s="77"/>
      <c r="KT699" s="77"/>
      <c r="KU699" s="77"/>
      <c r="KV699" s="77"/>
      <c r="KW699" s="77"/>
      <c r="KX699" s="77"/>
      <c r="KY699" s="77"/>
      <c r="KZ699" s="77"/>
      <c r="LA699" s="77"/>
      <c r="LB699" s="77"/>
      <c r="LC699" s="77"/>
      <c r="LD699" s="77"/>
      <c r="LE699" s="77"/>
      <c r="LF699" s="77"/>
      <c r="LG699" s="77"/>
      <c r="LH699" s="77"/>
      <c r="LI699" s="77"/>
      <c r="LJ699" s="77"/>
      <c r="LK699" s="77"/>
      <c r="LL699" s="77"/>
      <c r="LM699" s="77"/>
      <c r="LN699" s="77"/>
      <c r="LO699" s="77"/>
      <c r="LP699" s="77"/>
      <c r="LQ699" s="77"/>
      <c r="LR699" s="77"/>
      <c r="LS699" s="77"/>
      <c r="LT699" s="77"/>
      <c r="LU699" s="77"/>
      <c r="LV699" s="77"/>
      <c r="LY699" s="77"/>
      <c r="LZ699" s="77"/>
      <c r="MA699" s="77"/>
      <c r="MB699" s="77"/>
      <c r="MC699" s="77"/>
      <c r="MD699" s="77"/>
      <c r="ME699" s="77"/>
      <c r="MF699" s="77"/>
      <c r="MG699" s="77"/>
      <c r="MH699" s="77"/>
      <c r="MI699" s="77"/>
      <c r="MJ699" s="77"/>
      <c r="MK699" s="77"/>
      <c r="ML699" s="77"/>
      <c r="MM699" s="77"/>
      <c r="MN699" s="77"/>
      <c r="MO699" s="77"/>
      <c r="MP699" s="77"/>
      <c r="MQ699" s="77"/>
      <c r="MR699" s="77"/>
      <c r="MS699" s="77"/>
      <c r="MT699" s="77"/>
      <c r="MU699" s="77"/>
      <c r="MV699" s="77"/>
      <c r="MW699" s="77"/>
      <c r="MX699" s="77"/>
      <c r="MY699" s="77"/>
      <c r="MZ699" s="77"/>
      <c r="NA699" s="77"/>
      <c r="NB699" s="77"/>
      <c r="NC699" s="77"/>
      <c r="NE699" s="77"/>
      <c r="NF699" s="77"/>
      <c r="NG699" s="77"/>
      <c r="NH699" s="77"/>
      <c r="NI699" s="77"/>
      <c r="NJ699" s="77"/>
      <c r="NK699" s="77"/>
      <c r="NL699" s="77"/>
      <c r="NM699" s="77"/>
      <c r="NN699" s="77"/>
      <c r="NO699" s="77"/>
      <c r="NP699" s="77"/>
      <c r="NQ699" s="77"/>
      <c r="NR699" s="77"/>
      <c r="NS699" s="77"/>
      <c r="NT699" s="77"/>
      <c r="NU699" s="77"/>
      <c r="NV699" s="77"/>
      <c r="NW699" s="77"/>
      <c r="NX699" s="77"/>
      <c r="NY699" s="77"/>
      <c r="NZ699" s="77"/>
      <c r="OA699" s="77"/>
      <c r="OB699" s="77"/>
      <c r="OC699" s="77"/>
      <c r="OD699" s="77"/>
      <c r="OE699" s="77"/>
      <c r="OF699" s="77"/>
      <c r="OG699" s="77"/>
      <c r="OH699" s="77"/>
      <c r="OI699" s="77"/>
      <c r="OJ699" s="77"/>
      <c r="OK699" s="77"/>
      <c r="OL699" s="77"/>
      <c r="OM699" s="77"/>
      <c r="ON699" s="77"/>
      <c r="OO699" s="77"/>
      <c r="OP699" s="77"/>
      <c r="OQ699" s="77"/>
      <c r="OR699" s="77"/>
      <c r="OS699" s="77"/>
      <c r="OT699" s="77"/>
      <c r="OU699" s="77"/>
      <c r="OV699" s="77"/>
      <c r="OW699" s="77"/>
      <c r="OX699" s="77"/>
      <c r="OY699" s="77"/>
      <c r="OZ699" s="77"/>
      <c r="PA699" s="77"/>
      <c r="PB699" s="77"/>
      <c r="PC699" s="77"/>
      <c r="PD699" s="77"/>
      <c r="PE699" s="77"/>
    </row>
    <row r="700" spans="1:421" s="21" customFormat="1" ht="18.600000000000001" customHeight="1" x14ac:dyDescent="0.25">
      <c r="A700" s="119" t="s">
        <v>3196</v>
      </c>
      <c r="B700" s="27" t="s">
        <v>3685</v>
      </c>
      <c r="C700" s="27" t="s">
        <v>5651</v>
      </c>
      <c r="D700" s="12" t="s">
        <v>3195</v>
      </c>
      <c r="E700" s="30" t="str">
        <f>HYPERLINK("http://twiplomacy.com/info/europe/Moldova","http://twiplomacy.com/info/europe/Moldova")</f>
        <v>http://twiplomacy.com/info/europe/Moldova</v>
      </c>
      <c r="F700" s="10" t="s">
        <v>332</v>
      </c>
      <c r="G700" s="10" t="s">
        <v>454</v>
      </c>
      <c r="H700" s="10" t="s">
        <v>776</v>
      </c>
      <c r="I700" s="10" t="s">
        <v>773</v>
      </c>
      <c r="J700" s="27" t="s">
        <v>789</v>
      </c>
      <c r="K700" s="10" t="s">
        <v>3198</v>
      </c>
      <c r="L700" s="10" t="s">
        <v>771</v>
      </c>
      <c r="M700" s="10" t="s">
        <v>771</v>
      </c>
      <c r="N700" s="30" t="s">
        <v>3197</v>
      </c>
      <c r="O700" s="27" t="s">
        <v>5762</v>
      </c>
      <c r="P700" s="80">
        <v>2</v>
      </c>
      <c r="Q700" s="80">
        <v>1</v>
      </c>
      <c r="R700" s="27" t="s">
        <v>2995</v>
      </c>
      <c r="S700" s="12" t="s">
        <v>3199</v>
      </c>
      <c r="T700" s="10" t="s">
        <v>771</v>
      </c>
      <c r="U700" s="10" t="s">
        <v>771</v>
      </c>
      <c r="V700" s="10" t="s">
        <v>771</v>
      </c>
      <c r="W700" s="10"/>
      <c r="X700" s="27" t="s">
        <v>3196</v>
      </c>
      <c r="Y700" s="27" t="s">
        <v>3685</v>
      </c>
      <c r="Z700" s="80">
        <v>35</v>
      </c>
      <c r="AA700" s="27">
        <v>110</v>
      </c>
      <c r="AB700" s="80">
        <v>108</v>
      </c>
      <c r="AC700" s="27">
        <v>2</v>
      </c>
      <c r="AD700" s="27" t="s">
        <v>3686</v>
      </c>
      <c r="AE700" s="27">
        <v>542773154</v>
      </c>
      <c r="AF700" s="27" t="s">
        <v>5651</v>
      </c>
      <c r="AG700" s="27" t="s">
        <v>3687</v>
      </c>
      <c r="AH700" s="79">
        <v>2.34584450402145E-2</v>
      </c>
      <c r="AI700" s="83">
        <v>2.3616734143049899E-2</v>
      </c>
      <c r="AJ700" s="80">
        <v>0.12121212121212099</v>
      </c>
      <c r="AK700" s="80">
        <v>6.0606060606060601E-2</v>
      </c>
      <c r="AL700" s="27">
        <v>1</v>
      </c>
      <c r="AM700" s="97">
        <f>SUM(AL700/Z700)</f>
        <v>2.8571428571428571E-2</v>
      </c>
      <c r="AN700" s="27" t="s">
        <v>3196</v>
      </c>
      <c r="AO700" s="27">
        <v>36</v>
      </c>
      <c r="AP700" s="27">
        <v>2</v>
      </c>
      <c r="AQ700" s="27">
        <v>0</v>
      </c>
      <c r="AR700" s="27">
        <f>SUM(AO700:AQ700)</f>
        <v>38</v>
      </c>
      <c r="AS700" s="27" t="s">
        <v>6210</v>
      </c>
      <c r="AT700" s="27" t="s">
        <v>6721</v>
      </c>
      <c r="AU700" s="84"/>
      <c r="AV700" s="77"/>
      <c r="AW700" s="77"/>
      <c r="AX700" s="77"/>
      <c r="AY700" s="77"/>
      <c r="AZ700" s="77"/>
      <c r="BA700" s="77"/>
      <c r="BB700" s="77"/>
      <c r="BC700" s="77"/>
      <c r="BD700" s="77"/>
      <c r="BE700" s="77"/>
      <c r="BF700" s="77"/>
      <c r="BG700" s="77"/>
      <c r="BH700" s="77"/>
      <c r="BI700" s="77"/>
      <c r="BJ700" s="77"/>
      <c r="BK700" s="77"/>
      <c r="BL700" s="77"/>
      <c r="BM700" s="77"/>
      <c r="BN700" s="77"/>
      <c r="BO700" s="77"/>
      <c r="BP700" s="77"/>
      <c r="BQ700" s="77"/>
      <c r="BR700" s="77"/>
      <c r="BS700" s="77"/>
      <c r="BT700" s="77"/>
      <c r="BU700" s="77"/>
      <c r="BV700" s="77"/>
      <c r="BW700" s="77"/>
      <c r="BX700" s="77"/>
      <c r="BY700" s="77"/>
      <c r="BZ700" s="77"/>
      <c r="CA700" s="77"/>
      <c r="CB700" s="77"/>
      <c r="CC700" s="77"/>
      <c r="CD700" s="77"/>
      <c r="CE700" s="77"/>
      <c r="CF700" s="77"/>
      <c r="CG700" s="77"/>
      <c r="CH700" s="77"/>
      <c r="CI700" s="77"/>
      <c r="CJ700" s="77"/>
      <c r="EM700" s="77"/>
      <c r="EN700" s="77"/>
      <c r="EO700" s="77"/>
      <c r="GL700" s="77"/>
      <c r="GM700" s="77"/>
      <c r="GN700" s="77"/>
      <c r="GO700" s="77"/>
      <c r="GP700" s="77"/>
      <c r="GQ700" s="77"/>
      <c r="GR700" s="77"/>
      <c r="GS700" s="77"/>
      <c r="GT700" s="77"/>
      <c r="GU700" s="77"/>
      <c r="GV700" s="77"/>
      <c r="GW700" s="77"/>
      <c r="GX700" s="77"/>
      <c r="GY700" s="77"/>
      <c r="GZ700" s="77"/>
      <c r="HA700" s="77"/>
      <c r="HB700" s="77"/>
      <c r="HC700" s="77"/>
      <c r="HD700" s="77"/>
      <c r="HE700" s="77"/>
      <c r="HF700" s="77"/>
      <c r="HG700" s="77"/>
      <c r="HH700" s="77"/>
      <c r="HI700" s="77"/>
      <c r="HJ700" s="77"/>
      <c r="HK700" s="77"/>
      <c r="HL700" s="77"/>
      <c r="HM700" s="77"/>
      <c r="HN700" s="77"/>
      <c r="HO700" s="77"/>
      <c r="HP700" s="77"/>
      <c r="HQ700" s="77"/>
      <c r="HR700" s="77"/>
      <c r="HS700" s="77"/>
      <c r="HT700" s="77"/>
      <c r="HU700" s="77"/>
      <c r="HV700" s="77"/>
      <c r="HW700" s="77"/>
      <c r="HX700" s="77"/>
      <c r="HY700" s="77"/>
      <c r="HZ700" s="77"/>
      <c r="IA700" s="77"/>
      <c r="IB700" s="77"/>
      <c r="IC700" s="77"/>
      <c r="ID700" s="77"/>
      <c r="IE700" s="77"/>
      <c r="IF700" s="77"/>
      <c r="IG700" s="77"/>
      <c r="IH700" s="77"/>
      <c r="II700" s="77"/>
      <c r="IJ700" s="77"/>
      <c r="IK700" s="77"/>
      <c r="IL700" s="77"/>
      <c r="IM700" s="77"/>
      <c r="IN700" s="77"/>
      <c r="IO700" s="77"/>
      <c r="IP700" s="77"/>
      <c r="IQ700" s="77"/>
      <c r="IR700" s="77"/>
      <c r="IS700" s="77"/>
      <c r="IT700" s="77"/>
      <c r="IU700" s="77"/>
      <c r="IV700" s="77"/>
      <c r="IW700" s="77"/>
      <c r="IX700" s="77"/>
      <c r="IY700" s="77"/>
      <c r="IZ700" s="77"/>
      <c r="JA700" s="77"/>
      <c r="JB700" s="77"/>
      <c r="JC700" s="77"/>
      <c r="JD700" s="77"/>
      <c r="JE700" s="77"/>
      <c r="JF700" s="77"/>
      <c r="JG700" s="77"/>
      <c r="JH700" s="77"/>
      <c r="JI700" s="77"/>
      <c r="JJ700" s="77"/>
      <c r="JK700" s="77"/>
      <c r="JL700" s="77"/>
      <c r="JM700" s="77"/>
      <c r="JN700" s="77"/>
      <c r="JO700" s="77"/>
      <c r="JP700" s="77"/>
      <c r="JQ700" s="77"/>
      <c r="JR700" s="77"/>
      <c r="JS700" s="77"/>
      <c r="JT700" s="77"/>
      <c r="JU700" s="77"/>
      <c r="JV700" s="77"/>
      <c r="JW700" s="77"/>
      <c r="JX700" s="77"/>
      <c r="JY700" s="77"/>
      <c r="JZ700" s="77"/>
      <c r="KA700" s="77"/>
      <c r="KB700" s="77"/>
      <c r="KC700" s="77"/>
      <c r="KD700" s="77"/>
      <c r="KE700" s="77"/>
      <c r="KF700" s="77"/>
      <c r="KG700" s="77"/>
      <c r="KH700" s="77"/>
      <c r="KI700" s="77"/>
      <c r="KJ700" s="77"/>
      <c r="KK700" s="77"/>
      <c r="KL700" s="77"/>
      <c r="LL700" s="77"/>
      <c r="LM700" s="77"/>
      <c r="LN700" s="77"/>
      <c r="LO700" s="77"/>
      <c r="LP700" s="77"/>
      <c r="LQ700" s="77"/>
      <c r="LR700" s="77"/>
      <c r="LS700" s="77"/>
      <c r="LT700" s="77"/>
      <c r="LU700" s="77"/>
      <c r="LV700" s="77"/>
      <c r="LY700" s="77"/>
      <c r="LZ700" s="77"/>
      <c r="MA700" s="77"/>
      <c r="MB700" s="77"/>
      <c r="MC700" s="77"/>
      <c r="MD700" s="77"/>
      <c r="ME700" s="77"/>
      <c r="MF700" s="77"/>
      <c r="MG700" s="77"/>
      <c r="MH700" s="77"/>
      <c r="MI700" s="77"/>
      <c r="MJ700" s="77"/>
      <c r="MK700" s="77"/>
      <c r="ML700" s="77"/>
      <c r="MM700" s="77"/>
      <c r="MN700" s="77"/>
      <c r="MO700" s="77"/>
      <c r="MP700" s="77"/>
      <c r="MQ700" s="77"/>
      <c r="MR700" s="77"/>
      <c r="MS700" s="77"/>
    </row>
    <row r="701" spans="1:421" s="21" customFormat="1" ht="18.600000000000001" customHeight="1" x14ac:dyDescent="0.25">
      <c r="A701" s="119" t="s">
        <v>663</v>
      </c>
      <c r="B701" s="27" t="s">
        <v>663</v>
      </c>
      <c r="C701" s="27" t="s">
        <v>2668</v>
      </c>
      <c r="D701" s="30" t="str">
        <f>HYPERLINK("https://twitter.com/micwebTonga","https://twitter.com/micwebTonga")</f>
        <v>https://twitter.com/micwebTonga</v>
      </c>
      <c r="E701" s="30" t="str">
        <f>HYPERLINK("http://twiplomacy.com/info/oceania/Tonga","http://twiplomacy.com/info/oceania/Tonga")</f>
        <v>http://twiplomacy.com/info/oceania/Tonga</v>
      </c>
      <c r="F701" s="10" t="s">
        <v>643</v>
      </c>
      <c r="G701" s="10" t="s">
        <v>662</v>
      </c>
      <c r="H701" s="10" t="s">
        <v>788</v>
      </c>
      <c r="I701" s="10" t="s">
        <v>782</v>
      </c>
      <c r="J701" s="27" t="s">
        <v>789</v>
      </c>
      <c r="K701" s="10" t="s">
        <v>766</v>
      </c>
      <c r="L701" s="10" t="s">
        <v>771</v>
      </c>
      <c r="M701" s="10" t="s">
        <v>771</v>
      </c>
      <c r="N701" s="10"/>
      <c r="O701" s="13"/>
      <c r="P701" s="81"/>
      <c r="Q701" s="81"/>
      <c r="R701" s="27" t="s">
        <v>2995</v>
      </c>
      <c r="S701" s="10" t="s">
        <v>2669</v>
      </c>
      <c r="T701" s="10" t="s">
        <v>771</v>
      </c>
      <c r="U701" s="10" t="s">
        <v>771</v>
      </c>
      <c r="V701" s="10" t="s">
        <v>771</v>
      </c>
      <c r="W701" s="10"/>
      <c r="X701" s="27" t="s">
        <v>663</v>
      </c>
      <c r="Y701" s="27" t="s">
        <v>663</v>
      </c>
      <c r="Z701" s="80">
        <v>35</v>
      </c>
      <c r="AA701" s="27">
        <v>220</v>
      </c>
      <c r="AB701" s="80">
        <v>10</v>
      </c>
      <c r="AC701" s="27">
        <v>0</v>
      </c>
      <c r="AD701" s="27" t="s">
        <v>4107</v>
      </c>
      <c r="AE701" s="27">
        <v>467314261</v>
      </c>
      <c r="AF701" s="27" t="s">
        <v>2668</v>
      </c>
      <c r="AG701" s="27" t="s">
        <v>2670</v>
      </c>
      <c r="AH701" s="79"/>
      <c r="AI701" s="79"/>
      <c r="AJ701" s="79"/>
      <c r="AK701" s="79"/>
      <c r="AL701" s="13">
        <v>0</v>
      </c>
      <c r="AM701" s="99">
        <f>SUM(AL701/Z701)</f>
        <v>0</v>
      </c>
      <c r="AN701" s="27" t="s">
        <v>663</v>
      </c>
      <c r="AO701" s="27">
        <v>0</v>
      </c>
      <c r="AP701" s="27">
        <v>1</v>
      </c>
      <c r="AQ701" s="27">
        <v>0</v>
      </c>
      <c r="AR701" s="27">
        <f>SUM(AO701:AQ701)</f>
        <v>1</v>
      </c>
      <c r="AS701" s="27"/>
      <c r="AT701" s="27" t="s">
        <v>657</v>
      </c>
      <c r="AU701" s="84"/>
      <c r="AV701" s="77"/>
      <c r="AW701" s="77"/>
      <c r="AX701" s="77"/>
      <c r="AY701" s="77"/>
      <c r="AZ701" s="77"/>
      <c r="BA701" s="77"/>
      <c r="BB701" s="77"/>
      <c r="BC701" s="77"/>
      <c r="BD701" s="77"/>
      <c r="BE701" s="77"/>
      <c r="BF701" s="77"/>
      <c r="BG701" s="77"/>
      <c r="BH701" s="77"/>
      <c r="BI701" s="77"/>
      <c r="BJ701" s="77"/>
      <c r="BK701" s="77"/>
      <c r="BL701" s="77"/>
      <c r="BM701" s="77"/>
      <c r="BN701" s="77"/>
      <c r="BO701" s="77"/>
      <c r="BP701" s="77"/>
      <c r="CC701" s="16"/>
      <c r="CD701" s="16"/>
      <c r="CE701" s="16"/>
      <c r="CF701" s="16"/>
      <c r="CG701" s="16"/>
      <c r="CH701" s="16"/>
      <c r="CI701" s="16"/>
      <c r="CJ701" s="16"/>
      <c r="CK701" s="16"/>
      <c r="CL701" s="16"/>
      <c r="CM701" s="16"/>
      <c r="CN701" s="16"/>
      <c r="CO701" s="16"/>
      <c r="CP701" s="16"/>
      <c r="CQ701" s="16"/>
      <c r="CR701" s="16"/>
      <c r="CS701" s="16"/>
      <c r="CT701" s="16"/>
      <c r="CU701" s="16"/>
      <c r="CV701" s="16"/>
      <c r="CW701" s="16"/>
      <c r="CX701" s="16"/>
      <c r="CY701" s="16"/>
      <c r="CZ701" s="16"/>
      <c r="DA701" s="16"/>
      <c r="DB701" s="16"/>
      <c r="DC701" s="16"/>
      <c r="DD701" s="16"/>
      <c r="DE701" s="16"/>
      <c r="DF701" s="16"/>
      <c r="DG701" s="16"/>
      <c r="DH701" s="16"/>
      <c r="DI701" s="16"/>
      <c r="DJ701" s="16"/>
      <c r="DK701" s="16"/>
      <c r="DL701" s="16"/>
      <c r="DM701" s="16"/>
      <c r="DN701" s="16"/>
      <c r="DO701" s="16"/>
      <c r="DP701" s="16"/>
      <c r="DQ701" s="16"/>
      <c r="DR701" s="16"/>
      <c r="DS701" s="16"/>
      <c r="DT701" s="16"/>
      <c r="DU701" s="16"/>
      <c r="DV701" s="16"/>
      <c r="DW701" s="16"/>
      <c r="DX701" s="16"/>
      <c r="DY701" s="16"/>
      <c r="DZ701" s="16"/>
      <c r="EA701" s="16"/>
      <c r="EB701" s="16"/>
      <c r="EC701" s="16"/>
      <c r="ED701" s="16"/>
      <c r="EE701" s="16"/>
      <c r="EF701" s="16"/>
      <c r="EG701" s="16"/>
      <c r="EH701" s="16"/>
      <c r="EI701" s="16"/>
      <c r="EJ701" s="16"/>
      <c r="EK701" s="16"/>
      <c r="EL701" s="16"/>
      <c r="EM701" s="77"/>
      <c r="EN701" s="77"/>
      <c r="EO701" s="77"/>
      <c r="EP701" s="77"/>
      <c r="EQ701" s="77"/>
      <c r="ER701" s="77"/>
      <c r="ES701" s="77"/>
      <c r="ET701" s="77"/>
      <c r="EU701" s="77"/>
      <c r="EV701" s="77"/>
      <c r="EW701" s="77"/>
      <c r="EX701" s="77"/>
      <c r="EY701" s="77"/>
      <c r="EZ701" s="77"/>
      <c r="FA701" s="77"/>
      <c r="FB701" s="77"/>
      <c r="FC701" s="77"/>
      <c r="FD701" s="77"/>
      <c r="FE701" s="77"/>
      <c r="FF701" s="77"/>
      <c r="FG701" s="77"/>
      <c r="FH701" s="77"/>
      <c r="FI701" s="77"/>
      <c r="FJ701" s="77"/>
      <c r="FK701" s="77"/>
      <c r="FL701" s="77"/>
      <c r="FM701" s="77"/>
      <c r="FN701" s="77"/>
      <c r="FO701" s="77"/>
      <c r="FP701" s="77"/>
      <c r="FQ701" s="77"/>
      <c r="FR701" s="77"/>
      <c r="FS701" s="77"/>
      <c r="FT701" s="77"/>
      <c r="FU701" s="77"/>
      <c r="FV701" s="77"/>
      <c r="FW701" s="77"/>
      <c r="FX701" s="77"/>
      <c r="FY701" s="77"/>
      <c r="FZ701" s="77"/>
      <c r="GA701" s="77"/>
      <c r="GB701" s="77"/>
      <c r="GC701" s="77"/>
      <c r="GD701" s="77"/>
      <c r="GE701" s="77"/>
      <c r="GF701" s="77"/>
      <c r="GG701" s="77"/>
      <c r="GH701" s="77"/>
      <c r="GI701" s="77"/>
      <c r="GJ701" s="77"/>
      <c r="GK701" s="77"/>
      <c r="GL701" s="77"/>
      <c r="GM701" s="77"/>
      <c r="GN701" s="77"/>
      <c r="GO701" s="77"/>
      <c r="GP701" s="77"/>
      <c r="GQ701" s="77"/>
      <c r="GR701" s="77"/>
      <c r="GS701" s="77"/>
      <c r="GT701" s="77"/>
      <c r="GU701" s="77"/>
      <c r="GV701" s="77"/>
      <c r="GW701" s="77"/>
      <c r="GX701" s="77"/>
      <c r="GY701" s="77"/>
      <c r="GZ701" s="77"/>
      <c r="HA701" s="77"/>
      <c r="HB701" s="77"/>
      <c r="HC701" s="77"/>
      <c r="HD701" s="77"/>
      <c r="HE701" s="77"/>
      <c r="HF701" s="77"/>
      <c r="HG701" s="77"/>
      <c r="HH701" s="77"/>
      <c r="HI701" s="77"/>
      <c r="HJ701" s="77"/>
      <c r="HK701" s="77"/>
      <c r="ID701" s="77"/>
      <c r="IE701" s="77"/>
      <c r="IF701" s="77"/>
      <c r="IG701" s="77"/>
      <c r="IH701" s="77"/>
      <c r="II701" s="77"/>
      <c r="IJ701" s="77"/>
      <c r="IK701" s="77"/>
      <c r="IL701" s="77"/>
      <c r="IM701" s="77"/>
      <c r="IN701" s="77"/>
      <c r="IO701" s="77"/>
      <c r="IP701" s="77"/>
      <c r="IQ701" s="77"/>
      <c r="IR701" s="77"/>
      <c r="IS701" s="77"/>
      <c r="IT701" s="77"/>
      <c r="IU701" s="77"/>
      <c r="IV701" s="77"/>
      <c r="IW701" s="77"/>
      <c r="IX701" s="77"/>
      <c r="IY701" s="77"/>
      <c r="IZ701" s="77"/>
      <c r="JA701" s="77"/>
      <c r="JB701" s="77"/>
      <c r="JC701" s="77"/>
      <c r="JD701" s="77"/>
      <c r="JE701" s="77"/>
      <c r="JF701" s="77"/>
      <c r="JG701" s="77"/>
      <c r="JH701" s="77"/>
      <c r="JI701" s="77"/>
      <c r="JJ701" s="77"/>
      <c r="JK701" s="77"/>
      <c r="JL701" s="77"/>
      <c r="JM701" s="77"/>
      <c r="JN701" s="77"/>
      <c r="JO701" s="77"/>
      <c r="JP701" s="77"/>
      <c r="JQ701" s="77"/>
      <c r="JR701" s="77"/>
      <c r="JS701" s="77"/>
      <c r="JT701" s="77"/>
      <c r="JU701" s="77"/>
      <c r="JV701" s="77"/>
      <c r="JW701" s="77"/>
      <c r="JX701" s="77"/>
      <c r="JY701" s="77"/>
      <c r="JZ701" s="77"/>
      <c r="KA701" s="77"/>
      <c r="KB701" s="77"/>
      <c r="KC701" s="77"/>
      <c r="KD701" s="77"/>
      <c r="KE701" s="77"/>
      <c r="KF701" s="77"/>
      <c r="KG701" s="77"/>
      <c r="KH701" s="77"/>
      <c r="KI701" s="77"/>
      <c r="KJ701" s="77"/>
      <c r="KK701" s="77"/>
      <c r="KL701" s="77"/>
      <c r="LW701" s="77"/>
      <c r="LX701" s="77"/>
    </row>
    <row r="702" spans="1:421" s="21" customFormat="1" ht="18.600000000000001" customHeight="1" x14ac:dyDescent="0.25">
      <c r="A702" s="119" t="s">
        <v>1694</v>
      </c>
      <c r="B702" s="27" t="s">
        <v>1695</v>
      </c>
      <c r="C702" s="27"/>
      <c r="D702" s="30" t="str">
        <f>HYPERLINK("https://twitter.com/BujarNishani","https://twitter.com/BujarNishani")</f>
        <v>https://twitter.com/BujarNishani</v>
      </c>
      <c r="E702" s="30" t="str">
        <f>HYPERLINK("http://twiplomacy.com/info/europe/Albania","http://twiplomacy.com/info/europe/Albania")</f>
        <v>http://twiplomacy.com/info/europe/Albania</v>
      </c>
      <c r="F702" s="10" t="s">
        <v>332</v>
      </c>
      <c r="G702" s="10" t="s">
        <v>331</v>
      </c>
      <c r="H702" s="10" t="s">
        <v>772</v>
      </c>
      <c r="I702" s="10" t="s">
        <v>773</v>
      </c>
      <c r="J702" s="27" t="s">
        <v>814</v>
      </c>
      <c r="K702" s="10" t="s">
        <v>766</v>
      </c>
      <c r="L702" s="10" t="s">
        <v>771</v>
      </c>
      <c r="M702" s="10" t="s">
        <v>770</v>
      </c>
      <c r="N702" s="10"/>
      <c r="O702" s="13"/>
      <c r="P702" s="81"/>
      <c r="Q702" s="81"/>
      <c r="R702" s="27" t="s">
        <v>2995</v>
      </c>
      <c r="S702" s="30" t="str">
        <f>HYPERLINK("https://twitter.com/BujarNishani/lists","https://twitter.com/BujarNishani/lists")</f>
        <v>https://twitter.com/BujarNishani/lists</v>
      </c>
      <c r="T702" s="10" t="s">
        <v>771</v>
      </c>
      <c r="U702" s="10" t="s">
        <v>771</v>
      </c>
      <c r="V702" s="10" t="s">
        <v>771</v>
      </c>
      <c r="W702" s="10"/>
      <c r="X702" s="27" t="s">
        <v>1694</v>
      </c>
      <c r="Y702" s="27" t="s">
        <v>1695</v>
      </c>
      <c r="Z702" s="80">
        <v>34</v>
      </c>
      <c r="AA702" s="27">
        <v>0</v>
      </c>
      <c r="AB702" s="80">
        <v>1</v>
      </c>
      <c r="AC702" s="27">
        <v>0</v>
      </c>
      <c r="AD702" s="27" t="s">
        <v>3530</v>
      </c>
      <c r="AE702" s="27">
        <v>2437033225</v>
      </c>
      <c r="AF702" s="27"/>
      <c r="AG702" s="27"/>
      <c r="AH702" s="79"/>
      <c r="AI702" s="79"/>
      <c r="AJ702" s="79"/>
      <c r="AK702" s="79"/>
      <c r="AL702" s="13">
        <v>0</v>
      </c>
      <c r="AM702" s="99">
        <f>SUM(AL702/Z702)</f>
        <v>0</v>
      </c>
      <c r="AN702" s="27" t="s">
        <v>1694</v>
      </c>
      <c r="AO702" s="27">
        <v>0</v>
      </c>
      <c r="AP702" s="27">
        <v>0</v>
      </c>
      <c r="AQ702" s="27">
        <v>0</v>
      </c>
      <c r="AR702" s="27">
        <f>SUM(AO702:AQ702)</f>
        <v>0</v>
      </c>
      <c r="AS702" s="27"/>
      <c r="AT702" s="27"/>
      <c r="AU702" s="84"/>
      <c r="AV702" s="77"/>
      <c r="AW702" s="77"/>
      <c r="AX702" s="77"/>
      <c r="AY702" s="77"/>
      <c r="AZ702" s="77"/>
      <c r="BA702" s="77"/>
      <c r="BB702" s="77"/>
      <c r="BC702" s="77"/>
      <c r="BD702" s="77"/>
      <c r="BE702" s="77"/>
      <c r="BF702" s="77"/>
      <c r="BG702" s="77"/>
      <c r="BH702" s="77"/>
      <c r="BI702" s="77"/>
      <c r="BJ702" s="77"/>
      <c r="BK702" s="77"/>
      <c r="BL702" s="77"/>
      <c r="BM702" s="77"/>
      <c r="BN702" s="77"/>
      <c r="BO702" s="77"/>
      <c r="BP702" s="77"/>
      <c r="BQ702" s="77"/>
      <c r="BR702" s="77"/>
      <c r="BS702" s="77"/>
      <c r="BT702" s="77"/>
      <c r="BU702" s="77"/>
      <c r="BV702" s="77"/>
      <c r="BW702" s="77"/>
      <c r="BX702" s="77"/>
      <c r="BY702" s="77"/>
      <c r="BZ702" s="77"/>
      <c r="CA702" s="77"/>
      <c r="CB702" s="77"/>
      <c r="CC702" s="77"/>
      <c r="CD702" s="77"/>
      <c r="CE702" s="77"/>
      <c r="CF702" s="77"/>
      <c r="CG702" s="77"/>
      <c r="CH702" s="77"/>
      <c r="CI702" s="77"/>
      <c r="CJ702" s="77"/>
      <c r="CK702" s="77"/>
      <c r="CL702" s="77"/>
      <c r="CM702" s="77"/>
      <c r="CN702" s="77"/>
      <c r="CO702" s="77"/>
      <c r="CP702" s="77"/>
      <c r="CQ702" s="77"/>
      <c r="CR702" s="77"/>
      <c r="CS702" s="77"/>
      <c r="CT702" s="77"/>
      <c r="CU702" s="77"/>
      <c r="CV702" s="77"/>
      <c r="CW702" s="77"/>
      <c r="EM702" s="77"/>
      <c r="EN702" s="77"/>
      <c r="EO702" s="77"/>
      <c r="EP702" s="77"/>
      <c r="EQ702" s="77"/>
      <c r="ER702" s="77"/>
      <c r="ES702" s="77"/>
      <c r="ET702" s="77"/>
      <c r="EU702" s="77"/>
      <c r="EV702" s="77"/>
      <c r="EW702" s="77"/>
      <c r="EX702" s="77"/>
      <c r="EY702" s="77"/>
      <c r="EZ702" s="77"/>
      <c r="FA702" s="77"/>
      <c r="FB702" s="77"/>
      <c r="FC702" s="77"/>
      <c r="FD702" s="77"/>
      <c r="FE702" s="77"/>
      <c r="FF702" s="77"/>
      <c r="FG702" s="77"/>
      <c r="FH702" s="77"/>
      <c r="FI702" s="77"/>
      <c r="FJ702" s="77"/>
      <c r="FK702" s="77"/>
      <c r="FL702" s="77"/>
      <c r="FM702" s="77"/>
      <c r="FN702" s="77"/>
      <c r="FO702" s="77"/>
      <c r="FP702" s="77"/>
      <c r="FQ702" s="77"/>
      <c r="FR702" s="77"/>
      <c r="FS702" s="77"/>
      <c r="FT702" s="77"/>
      <c r="FU702" s="77"/>
      <c r="FV702" s="77"/>
      <c r="FW702" s="77"/>
      <c r="FX702" s="77"/>
      <c r="FY702" s="77"/>
      <c r="FZ702" s="77"/>
      <c r="GA702" s="77"/>
      <c r="GB702" s="77"/>
      <c r="GC702" s="77"/>
      <c r="GD702" s="77"/>
      <c r="GE702" s="77"/>
      <c r="GF702" s="77"/>
      <c r="GG702" s="77"/>
      <c r="GH702" s="77"/>
      <c r="GI702" s="77"/>
      <c r="GJ702" s="77"/>
      <c r="GK702" s="77"/>
      <c r="GL702" s="77"/>
      <c r="GM702" s="77"/>
      <c r="GN702" s="77"/>
      <c r="GO702" s="77"/>
      <c r="GP702" s="77"/>
      <c r="GQ702" s="77"/>
      <c r="GR702" s="77"/>
      <c r="GS702" s="77"/>
      <c r="GT702" s="77"/>
      <c r="GU702" s="77"/>
      <c r="GV702" s="77"/>
      <c r="GW702" s="77"/>
      <c r="GX702" s="77"/>
      <c r="GY702" s="77"/>
      <c r="GZ702" s="77"/>
      <c r="HA702" s="77"/>
      <c r="HB702" s="77"/>
      <c r="HC702" s="77"/>
      <c r="HD702" s="77"/>
      <c r="HE702" s="77"/>
      <c r="HF702" s="77"/>
      <c r="HG702" s="77"/>
      <c r="HH702" s="77"/>
      <c r="HI702" s="77"/>
      <c r="HJ702" s="77"/>
      <c r="HK702" s="77"/>
      <c r="IF702" s="77"/>
      <c r="IG702" s="77"/>
      <c r="IH702" s="77"/>
      <c r="II702" s="77"/>
      <c r="IJ702" s="77"/>
      <c r="IK702" s="77"/>
      <c r="IL702" s="77"/>
      <c r="IM702" s="77"/>
      <c r="IN702" s="77"/>
      <c r="IO702" s="77"/>
      <c r="IP702" s="77"/>
      <c r="IQ702" s="77"/>
      <c r="IR702" s="77"/>
      <c r="IS702" s="77"/>
      <c r="IT702" s="77"/>
      <c r="IU702" s="77"/>
      <c r="IV702" s="77"/>
      <c r="IW702" s="77"/>
      <c r="IX702" s="77"/>
      <c r="IY702" s="77"/>
      <c r="IZ702" s="77"/>
      <c r="JA702" s="77"/>
      <c r="JB702" s="77"/>
      <c r="JC702" s="77"/>
      <c r="JD702" s="77"/>
      <c r="JE702" s="77"/>
      <c r="JF702" s="77"/>
      <c r="JG702" s="77"/>
      <c r="JH702" s="77"/>
      <c r="JI702" s="77"/>
      <c r="JJ702" s="77"/>
      <c r="JK702" s="77"/>
      <c r="JL702" s="77"/>
      <c r="JM702" s="77"/>
      <c r="JN702" s="77"/>
      <c r="JO702" s="77"/>
      <c r="JP702" s="77"/>
      <c r="JQ702" s="77"/>
      <c r="JR702" s="77"/>
      <c r="JS702" s="77"/>
      <c r="JT702" s="77"/>
      <c r="JU702" s="77"/>
      <c r="JV702" s="77"/>
      <c r="JW702" s="77"/>
      <c r="JX702" s="77"/>
      <c r="KM702" s="77"/>
      <c r="KN702" s="77"/>
      <c r="KO702" s="77"/>
      <c r="KP702" s="77"/>
      <c r="KQ702" s="77"/>
      <c r="KR702" s="77"/>
      <c r="KS702" s="77"/>
      <c r="KT702" s="77"/>
      <c r="KU702" s="77"/>
      <c r="KV702" s="77"/>
      <c r="KW702" s="77"/>
      <c r="KX702" s="77"/>
      <c r="KY702" s="77"/>
      <c r="KZ702" s="77"/>
      <c r="LA702" s="77"/>
      <c r="LB702" s="77"/>
      <c r="LC702" s="77"/>
      <c r="LD702" s="77"/>
      <c r="LE702" s="77"/>
      <c r="LF702" s="77"/>
      <c r="LG702" s="77"/>
      <c r="LH702" s="77"/>
      <c r="LI702" s="77"/>
      <c r="LJ702" s="77"/>
      <c r="LK702" s="77"/>
      <c r="LL702" s="77"/>
      <c r="LM702" s="77"/>
      <c r="LN702" s="77"/>
      <c r="LO702" s="77"/>
      <c r="LP702" s="77"/>
      <c r="LQ702" s="77"/>
      <c r="LR702" s="77"/>
      <c r="LS702" s="77"/>
      <c r="LT702" s="77"/>
      <c r="LU702" s="77"/>
      <c r="LV702" s="77"/>
      <c r="LW702" s="77"/>
      <c r="LX702" s="77"/>
      <c r="MT702" s="77"/>
      <c r="MU702" s="77"/>
      <c r="MV702" s="77"/>
      <c r="MW702" s="77"/>
      <c r="MX702" s="77"/>
      <c r="MY702" s="77"/>
      <c r="MZ702" s="77"/>
      <c r="NA702" s="77"/>
      <c r="NB702" s="77"/>
      <c r="NC702" s="77"/>
    </row>
    <row r="703" spans="1:421" s="21" customFormat="1" ht="18.600000000000001" customHeight="1" x14ac:dyDescent="0.25">
      <c r="A703" s="119" t="s">
        <v>562</v>
      </c>
      <c r="B703" s="27" t="s">
        <v>2411</v>
      </c>
      <c r="C703" s="27" t="s">
        <v>2412</v>
      </c>
      <c r="D703" s="30" t="str">
        <f>HYPERLINK("https://twitter.com/pgchristie","https://twitter.com/pgchristie")</f>
        <v>https://twitter.com/pgchristie</v>
      </c>
      <c r="E703" s="30" t="str">
        <f>HYPERLINK("http://twiplomacy.com/info/north-america/Bahamas","http://twiplomacy.com/info/north-america/Bahamas")</f>
        <v>http://twiplomacy.com/info/north-america/Bahamas</v>
      </c>
      <c r="F703" s="10" t="s">
        <v>558</v>
      </c>
      <c r="G703" s="10" t="s">
        <v>561</v>
      </c>
      <c r="H703" s="10" t="s">
        <v>776</v>
      </c>
      <c r="I703" s="10" t="s">
        <v>773</v>
      </c>
      <c r="J703" s="27" t="s">
        <v>789</v>
      </c>
      <c r="K703" s="15" t="s">
        <v>2413</v>
      </c>
      <c r="L703" s="10" t="s">
        <v>770</v>
      </c>
      <c r="M703" s="10" t="s">
        <v>771</v>
      </c>
      <c r="N703" s="30" t="str">
        <f>HYPERLINK("https://twitter.com/pgchristie/statuses/157543861240078336","https://twitter.com/pgchristie/statuses/157543861240078336")</f>
        <v>https://twitter.com/pgchristie/statuses/157543861240078336</v>
      </c>
      <c r="O703" s="27" t="s">
        <v>2414</v>
      </c>
      <c r="P703" s="80">
        <v>8</v>
      </c>
      <c r="Q703" s="80">
        <v>1</v>
      </c>
      <c r="R703" s="27" t="s">
        <v>2995</v>
      </c>
      <c r="S703" s="10" t="s">
        <v>2415</v>
      </c>
      <c r="T703" s="10" t="s">
        <v>771</v>
      </c>
      <c r="U703" s="10" t="s">
        <v>771</v>
      </c>
      <c r="V703" s="10" t="s">
        <v>771</v>
      </c>
      <c r="W703" s="73"/>
      <c r="X703" s="27" t="s">
        <v>562</v>
      </c>
      <c r="Y703" s="27" t="s">
        <v>2411</v>
      </c>
      <c r="Z703" s="80">
        <v>34</v>
      </c>
      <c r="AA703" s="27">
        <v>15</v>
      </c>
      <c r="AB703" s="80">
        <v>453</v>
      </c>
      <c r="AC703" s="27">
        <v>0</v>
      </c>
      <c r="AD703" s="27" t="s">
        <v>4245</v>
      </c>
      <c r="AE703" s="27">
        <v>221961767</v>
      </c>
      <c r="AF703" s="27" t="s">
        <v>2412</v>
      </c>
      <c r="AG703" s="27" t="s">
        <v>561</v>
      </c>
      <c r="AH703" s="79">
        <v>1.71890798786653E-2</v>
      </c>
      <c r="AI703" s="83">
        <v>0.184782608695652</v>
      </c>
      <c r="AJ703" s="80">
        <v>0.81818181818181801</v>
      </c>
      <c r="AK703" s="80">
        <v>0.45454545454545497</v>
      </c>
      <c r="AL703" s="27">
        <v>1</v>
      </c>
      <c r="AM703" s="97">
        <f>SUM(AL703/Z703)</f>
        <v>2.9411764705882353E-2</v>
      </c>
      <c r="AN703" s="27" t="s">
        <v>562</v>
      </c>
      <c r="AO703" s="27">
        <v>0</v>
      </c>
      <c r="AP703" s="27">
        <v>4</v>
      </c>
      <c r="AQ703" s="27">
        <v>0</v>
      </c>
      <c r="AR703" s="27">
        <f>SUM(AO703:AQ703)</f>
        <v>4</v>
      </c>
      <c r="AS703" s="27"/>
      <c r="AT703" s="27" t="s">
        <v>5032</v>
      </c>
      <c r="AU703" s="84"/>
      <c r="AV703" s="77"/>
      <c r="AW703" s="77"/>
      <c r="AX703" s="77"/>
      <c r="AY703" s="77"/>
      <c r="AZ703" s="77"/>
      <c r="BA703" s="77"/>
      <c r="BB703" s="77"/>
      <c r="BC703" s="77"/>
      <c r="BD703" s="77"/>
      <c r="BE703" s="77"/>
      <c r="BF703" s="77"/>
      <c r="BG703" s="77"/>
      <c r="BH703" s="77"/>
      <c r="BI703" s="77"/>
      <c r="BJ703" s="77"/>
      <c r="BK703" s="77"/>
      <c r="BL703" s="77"/>
      <c r="BM703" s="77"/>
      <c r="BN703" s="77"/>
      <c r="BO703" s="77"/>
      <c r="BP703" s="77"/>
      <c r="BQ703" s="77"/>
      <c r="BR703" s="77"/>
      <c r="BS703" s="77"/>
      <c r="BT703" s="77"/>
      <c r="BU703" s="77"/>
      <c r="BV703" s="77"/>
      <c r="BW703" s="77"/>
      <c r="BX703" s="77"/>
      <c r="BY703" s="77"/>
      <c r="BZ703" s="77"/>
      <c r="CA703" s="77"/>
      <c r="CB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7"/>
      <c r="DV703" s="77"/>
      <c r="DW703" s="77"/>
      <c r="DX703" s="77"/>
      <c r="DY703" s="77"/>
      <c r="DZ703" s="77"/>
      <c r="EA703" s="77"/>
      <c r="EB703" s="77"/>
      <c r="EC703" s="77"/>
      <c r="ED703" s="77"/>
      <c r="EE703" s="77"/>
      <c r="EF703" s="77"/>
      <c r="EG703" s="77"/>
      <c r="EH703" s="77"/>
      <c r="EI703" s="77"/>
      <c r="EJ703" s="77"/>
      <c r="EK703" s="77"/>
      <c r="EL703" s="77"/>
      <c r="EP703" s="16"/>
      <c r="EQ703" s="77"/>
      <c r="ER703" s="77"/>
      <c r="ES703" s="77"/>
      <c r="ET703" s="77"/>
      <c r="EU703" s="77"/>
      <c r="EV703" s="77"/>
      <c r="EW703" s="77"/>
      <c r="EX703" s="77"/>
      <c r="EY703" s="77"/>
      <c r="EZ703" s="77"/>
      <c r="FA703" s="77"/>
      <c r="FB703" s="77"/>
      <c r="FC703" s="77"/>
      <c r="FD703" s="77"/>
      <c r="FE703" s="77"/>
      <c r="FF703" s="77"/>
      <c r="FG703" s="77"/>
      <c r="FH703" s="77"/>
      <c r="FI703" s="77"/>
      <c r="FJ703" s="77"/>
      <c r="FK703" s="77"/>
      <c r="FL703" s="77"/>
      <c r="FM703" s="77"/>
      <c r="FN703" s="77"/>
      <c r="FO703" s="77"/>
      <c r="FP703" s="77"/>
      <c r="FQ703" s="77"/>
      <c r="FR703" s="77"/>
      <c r="FS703" s="77"/>
      <c r="FT703" s="77"/>
      <c r="FU703" s="77"/>
      <c r="FV703" s="77"/>
      <c r="FW703" s="77"/>
      <c r="FX703" s="77"/>
      <c r="FY703" s="77"/>
      <c r="FZ703" s="77"/>
      <c r="GA703" s="77"/>
      <c r="GB703" s="77"/>
      <c r="GC703" s="77"/>
      <c r="GD703" s="77"/>
      <c r="GE703" s="77"/>
      <c r="GF703" s="77"/>
      <c r="GG703" s="77"/>
      <c r="GH703" s="77"/>
      <c r="GI703" s="77"/>
      <c r="GJ703" s="77"/>
      <c r="GK703" s="77"/>
      <c r="GL703" s="77"/>
      <c r="GM703" s="77"/>
      <c r="GN703" s="77"/>
      <c r="GO703" s="77"/>
      <c r="GP703" s="77"/>
      <c r="GQ703" s="77"/>
      <c r="GR703" s="77"/>
      <c r="GS703" s="77"/>
      <c r="GT703" s="77"/>
      <c r="GU703" s="77"/>
      <c r="GV703" s="77"/>
      <c r="GW703" s="77"/>
      <c r="GX703" s="77"/>
      <c r="GY703" s="77"/>
      <c r="GZ703" s="77"/>
      <c r="HA703" s="77"/>
      <c r="HB703" s="77"/>
      <c r="HC703" s="77"/>
      <c r="HD703" s="77"/>
      <c r="HE703" s="77"/>
      <c r="HF703" s="77"/>
      <c r="HG703" s="77"/>
      <c r="HH703" s="77"/>
      <c r="HI703" s="77"/>
      <c r="HJ703" s="77"/>
      <c r="HK703" s="77"/>
      <c r="HL703" s="77"/>
      <c r="HM703" s="77"/>
      <c r="HN703" s="77"/>
      <c r="HO703" s="77"/>
      <c r="HP703" s="77"/>
      <c r="HQ703" s="77"/>
      <c r="HR703" s="77"/>
      <c r="HS703" s="77"/>
      <c r="HT703" s="77"/>
      <c r="HU703" s="77"/>
      <c r="HV703" s="77"/>
      <c r="HW703" s="77"/>
      <c r="HX703" s="77"/>
      <c r="HY703" s="77"/>
      <c r="HZ703" s="77"/>
      <c r="IA703" s="77"/>
      <c r="IB703" s="77"/>
      <c r="IC703" s="77"/>
      <c r="ID703" s="77"/>
      <c r="IE703" s="77"/>
      <c r="IF703" s="77"/>
      <c r="IG703" s="77"/>
      <c r="IH703" s="77"/>
      <c r="II703" s="77"/>
      <c r="IJ703" s="77"/>
      <c r="IK703" s="77"/>
      <c r="IL703" s="77"/>
      <c r="IM703" s="77"/>
      <c r="IN703" s="77"/>
      <c r="IO703" s="77"/>
      <c r="IP703" s="77"/>
      <c r="IQ703" s="77"/>
      <c r="IR703" s="77"/>
      <c r="IS703" s="77"/>
      <c r="IT703" s="77"/>
      <c r="IU703" s="77"/>
      <c r="IV703" s="77"/>
      <c r="IW703" s="77"/>
      <c r="IX703" s="77"/>
      <c r="IY703" s="77"/>
      <c r="IZ703" s="77"/>
      <c r="JA703" s="77"/>
      <c r="JB703" s="77"/>
      <c r="JC703" s="77"/>
      <c r="JD703" s="77"/>
      <c r="JE703" s="77"/>
      <c r="JF703" s="77"/>
      <c r="JG703" s="77"/>
      <c r="JH703" s="77"/>
      <c r="JI703" s="77"/>
      <c r="JJ703" s="77"/>
      <c r="JK703" s="77"/>
      <c r="JL703" s="77"/>
      <c r="JM703" s="77"/>
      <c r="JN703" s="77"/>
      <c r="JO703" s="77"/>
      <c r="JP703" s="77"/>
      <c r="JQ703" s="77"/>
      <c r="JR703" s="77"/>
      <c r="JS703" s="77"/>
      <c r="JT703" s="77"/>
      <c r="JU703" s="77"/>
      <c r="JV703" s="77"/>
      <c r="JW703" s="77"/>
      <c r="JX703" s="77"/>
      <c r="JY703" s="77"/>
      <c r="JZ703" s="77"/>
      <c r="KA703" s="77"/>
      <c r="KB703" s="77"/>
      <c r="KC703" s="77"/>
      <c r="KD703" s="77"/>
      <c r="KE703" s="77"/>
      <c r="KF703" s="77"/>
      <c r="KG703" s="77"/>
      <c r="KH703" s="77"/>
      <c r="KI703" s="77"/>
      <c r="KJ703" s="77"/>
      <c r="KK703" s="77"/>
      <c r="KL703" s="77"/>
      <c r="LL703" s="77"/>
      <c r="LM703" s="77"/>
      <c r="LN703" s="77"/>
      <c r="LO703" s="77"/>
      <c r="LP703" s="77"/>
      <c r="LQ703" s="77"/>
      <c r="LR703" s="77"/>
      <c r="LS703" s="77"/>
      <c r="LT703" s="77"/>
      <c r="LU703" s="77"/>
      <c r="LV703" s="77"/>
    </row>
    <row r="704" spans="1:421" s="21" customFormat="1" ht="18.600000000000001" customHeight="1" x14ac:dyDescent="0.25">
      <c r="A704" s="119" t="s">
        <v>149</v>
      </c>
      <c r="B704" s="27" t="s">
        <v>1167</v>
      </c>
      <c r="C704" s="27" t="s">
        <v>1168</v>
      </c>
      <c r="D704" s="30" t="str">
        <f>HYPERLINK("https://twitter.com/StateHousePress","https://twitter.com/StateHousePress")</f>
        <v>https://twitter.com/StateHousePress</v>
      </c>
      <c r="E704" s="30" t="str">
        <f>HYPERLINK("http://twiplomacy.com/info/africa/Zambia","http://twiplomacy.com/info/africa/Zambia")</f>
        <v>http://twiplomacy.com/info/africa/Zambia</v>
      </c>
      <c r="F704" s="10" t="s">
        <v>1</v>
      </c>
      <c r="G704" s="10" t="s">
        <v>147</v>
      </c>
      <c r="H704" s="10" t="s">
        <v>781</v>
      </c>
      <c r="I704" s="10" t="s">
        <v>782</v>
      </c>
      <c r="J704" s="27" t="s">
        <v>789</v>
      </c>
      <c r="K704" s="15" t="s">
        <v>1169</v>
      </c>
      <c r="L704" s="10" t="s">
        <v>771</v>
      </c>
      <c r="M704" s="10" t="s">
        <v>771</v>
      </c>
      <c r="N704" s="30" t="str">
        <f>HYPERLINK("https://twitter.com/StateHousePress/statuses/180316329025355777","https://twitter.com/StateHousePress/statuses/180316329025355777")</f>
        <v>https://twitter.com/StateHousePress/statuses/180316329025355777</v>
      </c>
      <c r="O704" s="27" t="s">
        <v>6102</v>
      </c>
      <c r="P704" s="80">
        <v>3</v>
      </c>
      <c r="Q704" s="80">
        <v>1</v>
      </c>
      <c r="R704" s="27" t="s">
        <v>2995</v>
      </c>
      <c r="S704" s="10" t="s">
        <v>1170</v>
      </c>
      <c r="T704" s="10" t="s">
        <v>771</v>
      </c>
      <c r="U704" s="10" t="s">
        <v>771</v>
      </c>
      <c r="V704" s="10" t="s">
        <v>771</v>
      </c>
      <c r="W704" s="10"/>
      <c r="X704" s="27" t="s">
        <v>149</v>
      </c>
      <c r="Y704" s="27" t="s">
        <v>1167</v>
      </c>
      <c r="Z704" s="80">
        <v>29</v>
      </c>
      <c r="AA704" s="27">
        <v>143</v>
      </c>
      <c r="AB704" s="80">
        <v>899</v>
      </c>
      <c r="AC704" s="27">
        <v>0</v>
      </c>
      <c r="AD704" s="27" t="s">
        <v>4490</v>
      </c>
      <c r="AE704" s="27">
        <v>525120064</v>
      </c>
      <c r="AF704" s="27" t="s">
        <v>1168</v>
      </c>
      <c r="AG704" s="27" t="s">
        <v>1171</v>
      </c>
      <c r="AH704" s="79">
        <v>1.92180251822399E-2</v>
      </c>
      <c r="AI704" s="83">
        <v>0.172619047619048</v>
      </c>
      <c r="AJ704" s="80">
        <v>0.81481481481481499</v>
      </c>
      <c r="AK704" s="80">
        <v>0.22222222222222199</v>
      </c>
      <c r="AL704" s="27">
        <v>5</v>
      </c>
      <c r="AM704" s="97">
        <f>SUM(AL704/Z704)</f>
        <v>0.17241379310344829</v>
      </c>
      <c r="AN704" s="27" t="s">
        <v>149</v>
      </c>
      <c r="AO704" s="27">
        <v>0</v>
      </c>
      <c r="AP704" s="27">
        <v>5</v>
      </c>
      <c r="AQ704" s="27">
        <v>0</v>
      </c>
      <c r="AR704" s="27">
        <f>SUM(AO704:AQ704)</f>
        <v>5</v>
      </c>
      <c r="AS704" s="27"/>
      <c r="AT704" s="27" t="s">
        <v>5071</v>
      </c>
      <c r="AU704" s="84"/>
      <c r="AV704" s="77"/>
      <c r="AW704" s="77"/>
      <c r="AX704" s="77"/>
      <c r="AY704" s="77"/>
      <c r="AZ704" s="77"/>
      <c r="BA704" s="77"/>
      <c r="BB704" s="77"/>
      <c r="BC704" s="77"/>
      <c r="BD704" s="77"/>
      <c r="BE704" s="77"/>
      <c r="BF704" s="77"/>
      <c r="BG704" s="77"/>
      <c r="BH704" s="77"/>
      <c r="BI704" s="77"/>
      <c r="BJ704" s="77"/>
      <c r="BK704" s="77"/>
      <c r="BL704" s="77"/>
      <c r="BM704" s="77"/>
      <c r="BN704" s="77"/>
      <c r="BO704" s="77"/>
      <c r="BP704" s="77"/>
      <c r="BQ704" s="77"/>
      <c r="BR704" s="77"/>
      <c r="BS704" s="77"/>
      <c r="BT704" s="77"/>
      <c r="BU704" s="77"/>
      <c r="BV704" s="77"/>
      <c r="BW704" s="77"/>
      <c r="BX704" s="77"/>
      <c r="BY704" s="77"/>
      <c r="BZ704" s="77"/>
      <c r="CA704" s="77"/>
      <c r="CB704" s="77"/>
      <c r="CC704" s="77"/>
      <c r="CD704" s="77"/>
      <c r="CE704" s="77"/>
      <c r="CF704" s="77"/>
      <c r="CG704" s="77"/>
      <c r="CH704" s="77"/>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7"/>
      <c r="DV704" s="77"/>
      <c r="DW704" s="77"/>
      <c r="DX704" s="77"/>
      <c r="DY704" s="77"/>
      <c r="DZ704" s="77"/>
      <c r="EA704" s="77"/>
      <c r="EB704" s="77"/>
      <c r="EC704" s="77"/>
      <c r="ED704" s="77"/>
      <c r="EE704" s="77"/>
      <c r="EF704" s="77"/>
      <c r="EG704" s="77"/>
      <c r="EH704" s="77"/>
      <c r="EI704" s="77"/>
      <c r="EJ704" s="77"/>
      <c r="EK704" s="77"/>
      <c r="EL704" s="77"/>
      <c r="EM704" s="77"/>
      <c r="EN704" s="77"/>
      <c r="EO704" s="77"/>
      <c r="EP704" s="77"/>
      <c r="EQ704" s="77"/>
      <c r="ER704" s="77"/>
      <c r="ES704" s="77"/>
      <c r="ET704" s="77"/>
      <c r="EU704" s="77"/>
      <c r="EV704" s="77"/>
      <c r="EW704" s="77"/>
      <c r="EX704" s="77"/>
      <c r="EY704" s="77"/>
      <c r="EZ704" s="77"/>
      <c r="FA704" s="77"/>
      <c r="FB704" s="77"/>
      <c r="FC704" s="77"/>
      <c r="FD704" s="77"/>
      <c r="FE704" s="77"/>
      <c r="FF704" s="77"/>
      <c r="FG704" s="77"/>
      <c r="FH704" s="77"/>
      <c r="FI704" s="77"/>
      <c r="FJ704" s="77"/>
      <c r="FK704" s="77"/>
      <c r="FL704" s="77"/>
      <c r="FM704" s="77"/>
      <c r="FN704" s="77"/>
      <c r="FO704" s="77"/>
      <c r="FP704" s="77"/>
      <c r="FQ704" s="77"/>
      <c r="FR704" s="77"/>
      <c r="FS704" s="77"/>
      <c r="FT704" s="77"/>
      <c r="FU704" s="77"/>
      <c r="FV704" s="77"/>
      <c r="FW704" s="77"/>
      <c r="FX704" s="77"/>
      <c r="FY704" s="77"/>
      <c r="FZ704" s="77"/>
      <c r="GA704" s="77"/>
      <c r="GB704" s="77"/>
      <c r="GC704" s="77"/>
      <c r="GD704" s="77"/>
      <c r="GE704" s="77"/>
      <c r="GF704" s="77"/>
      <c r="GG704" s="77"/>
      <c r="GH704" s="77"/>
      <c r="GI704" s="77"/>
      <c r="GJ704" s="77"/>
      <c r="GK704" s="77"/>
      <c r="GL704" s="77"/>
      <c r="GM704" s="77"/>
      <c r="GN704" s="77"/>
      <c r="GO704" s="77"/>
      <c r="GP704" s="77"/>
      <c r="GQ704" s="77"/>
      <c r="GR704" s="77"/>
      <c r="GS704" s="77"/>
      <c r="GT704" s="77"/>
      <c r="GU704" s="77"/>
      <c r="GV704" s="77"/>
      <c r="GW704" s="77"/>
      <c r="GX704" s="77"/>
      <c r="GY704" s="77"/>
      <c r="GZ704" s="77"/>
      <c r="HA704" s="77"/>
      <c r="HB704" s="77"/>
      <c r="HC704" s="77"/>
      <c r="HD704" s="77"/>
      <c r="HE704" s="77"/>
      <c r="HF704" s="77"/>
      <c r="HG704" s="77"/>
      <c r="HH704" s="77"/>
      <c r="HI704" s="77"/>
      <c r="HJ704" s="77"/>
      <c r="HK704" s="77"/>
      <c r="ID704" s="77"/>
      <c r="IE704" s="77"/>
      <c r="JY704" s="77"/>
      <c r="JZ704" s="77"/>
      <c r="KA704" s="77"/>
      <c r="KB704" s="77"/>
      <c r="KC704" s="77"/>
      <c r="KD704" s="77"/>
      <c r="KE704" s="77"/>
      <c r="KF704" s="77"/>
      <c r="KG704" s="77"/>
      <c r="KH704" s="77"/>
      <c r="KI704" s="77"/>
      <c r="KJ704" s="77"/>
      <c r="KK704" s="77"/>
      <c r="KL704" s="77"/>
      <c r="KM704" s="77"/>
      <c r="KN704" s="77"/>
      <c r="KO704" s="77"/>
      <c r="KP704" s="77"/>
      <c r="KQ704" s="77"/>
      <c r="KR704" s="77"/>
      <c r="KS704" s="77"/>
      <c r="KT704" s="77"/>
      <c r="KU704" s="77"/>
      <c r="KV704" s="77"/>
      <c r="KW704" s="77"/>
      <c r="KX704" s="77"/>
      <c r="KY704" s="77"/>
      <c r="KZ704" s="77"/>
      <c r="LA704" s="77"/>
      <c r="LB704" s="77"/>
      <c r="LC704" s="77"/>
      <c r="LD704" s="77"/>
      <c r="LE704" s="77"/>
      <c r="LF704" s="77"/>
      <c r="LG704" s="77"/>
      <c r="LH704" s="77"/>
      <c r="LI704" s="77"/>
      <c r="LJ704" s="77"/>
      <c r="LK704" s="77"/>
      <c r="LL704" s="77"/>
      <c r="LM704" s="77"/>
      <c r="LN704" s="77"/>
      <c r="LO704" s="77"/>
      <c r="LP704" s="77"/>
      <c r="LQ704" s="77"/>
      <c r="LR704" s="77"/>
      <c r="LS704" s="77"/>
      <c r="LT704" s="77"/>
      <c r="LU704" s="77"/>
      <c r="LV704" s="77"/>
      <c r="LW704" s="77"/>
      <c r="LX704" s="77"/>
      <c r="LY704" s="77"/>
      <c r="LZ704" s="77"/>
      <c r="MA704" s="77"/>
      <c r="MB704" s="77"/>
      <c r="MC704" s="77"/>
      <c r="MD704" s="77"/>
      <c r="ME704" s="77"/>
      <c r="MF704" s="77"/>
      <c r="MG704" s="77"/>
      <c r="MH704" s="77"/>
      <c r="MI704" s="77"/>
      <c r="MJ704" s="77"/>
      <c r="MK704" s="77"/>
      <c r="ML704" s="77"/>
      <c r="MM704" s="77"/>
      <c r="MN704" s="77"/>
      <c r="MO704" s="77"/>
      <c r="MP704" s="77"/>
      <c r="MQ704" s="77"/>
      <c r="MR704" s="77"/>
      <c r="ND704" s="77"/>
    </row>
    <row r="705" spans="1:421" s="21" customFormat="1" ht="18.600000000000001" customHeight="1" x14ac:dyDescent="0.25">
      <c r="A705" s="119" t="s">
        <v>303</v>
      </c>
      <c r="B705" s="27" t="s">
        <v>2920</v>
      </c>
      <c r="C705" s="27" t="s">
        <v>2921</v>
      </c>
      <c r="D705" s="30" t="str">
        <f>HYPERLINK("https://twitter.com/CabinetSL","https://twitter.com/CabinetSL")</f>
        <v>https://twitter.com/CabinetSL</v>
      </c>
      <c r="E705" s="30" t="str">
        <f>HYPERLINK("http://twiplomacy.com/info/africa/Seychelles","http://twiplomacy.com/info/africa/Seychelles")</f>
        <v>http://twiplomacy.com/info/africa/Seychelles</v>
      </c>
      <c r="F705" s="14" t="s">
        <v>154</v>
      </c>
      <c r="G705" s="14" t="s">
        <v>299</v>
      </c>
      <c r="H705" s="14" t="s">
        <v>788</v>
      </c>
      <c r="I705" s="14" t="s">
        <v>782</v>
      </c>
      <c r="J705" s="27" t="s">
        <v>789</v>
      </c>
      <c r="K705" s="14" t="s">
        <v>2922</v>
      </c>
      <c r="L705" s="14" t="s">
        <v>771</v>
      </c>
      <c r="M705" s="14" t="s">
        <v>770</v>
      </c>
      <c r="N705" s="100" t="str">
        <f>HYPERLINK("https://twitter.com/CHOGMSriLanka/statuses/349748748924104704","https://twitter.com/CHOGMSriLanka/statuses/349748748924104704")</f>
        <v>https://twitter.com/CHOGMSriLanka/statuses/349748748924104704</v>
      </c>
      <c r="O705" s="27" t="s">
        <v>5725</v>
      </c>
      <c r="P705" s="80">
        <v>5</v>
      </c>
      <c r="Q705" s="80">
        <v>0</v>
      </c>
      <c r="R705" s="27" t="s">
        <v>2995</v>
      </c>
      <c r="S705" s="10" t="s">
        <v>2923</v>
      </c>
      <c r="T705" s="10" t="s">
        <v>771</v>
      </c>
      <c r="U705" s="10" t="s">
        <v>771</v>
      </c>
      <c r="V705" s="10" t="s">
        <v>771</v>
      </c>
      <c r="W705" s="14"/>
      <c r="X705" s="27" t="s">
        <v>303</v>
      </c>
      <c r="Y705" s="27" t="s">
        <v>2920</v>
      </c>
      <c r="Z705" s="80">
        <v>29</v>
      </c>
      <c r="AA705" s="27">
        <v>17</v>
      </c>
      <c r="AB705" s="80">
        <v>2857</v>
      </c>
      <c r="AC705" s="27">
        <v>0</v>
      </c>
      <c r="AD705" s="27" t="s">
        <v>3544</v>
      </c>
      <c r="AE705" s="27">
        <v>1531231261</v>
      </c>
      <c r="AF705" s="27" t="s">
        <v>2921</v>
      </c>
      <c r="AG705" s="27"/>
      <c r="AH705" s="79">
        <v>2.7671755725190799E-2</v>
      </c>
      <c r="AI705" s="83">
        <v>0.20138888888888901</v>
      </c>
      <c r="AJ705" s="80">
        <v>1.2</v>
      </c>
      <c r="AK705" s="80">
        <v>0.53333333333333299</v>
      </c>
      <c r="AL705" s="13">
        <v>0</v>
      </c>
      <c r="AM705" s="97">
        <f>SUM(AL705/Z705)</f>
        <v>0</v>
      </c>
      <c r="AN705" s="27" t="s">
        <v>303</v>
      </c>
      <c r="AO705" s="27">
        <v>0</v>
      </c>
      <c r="AP705" s="27">
        <v>2</v>
      </c>
      <c r="AQ705" s="27">
        <v>0</v>
      </c>
      <c r="AR705" s="27">
        <f>SUM(AO705:AQ705)</f>
        <v>2</v>
      </c>
      <c r="AS705" s="27"/>
      <c r="AT705" s="27" t="s">
        <v>5055</v>
      </c>
      <c r="AU705" s="84"/>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77"/>
      <c r="BR705" s="77"/>
      <c r="BS705" s="77"/>
      <c r="BT705" s="77"/>
      <c r="BU705" s="77"/>
      <c r="BV705" s="77"/>
      <c r="BW705" s="77"/>
      <c r="BX705" s="77"/>
      <c r="BY705" s="77"/>
      <c r="BZ705" s="77"/>
      <c r="CA705" s="77"/>
      <c r="CB705" s="77"/>
      <c r="CC705" s="77"/>
      <c r="CD705" s="77"/>
      <c r="CE705" s="77"/>
      <c r="CF705" s="77"/>
      <c r="CG705" s="77"/>
      <c r="CH705" s="77"/>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7"/>
      <c r="DV705" s="77"/>
      <c r="DW705" s="77"/>
      <c r="DX705" s="77"/>
      <c r="DY705" s="77"/>
      <c r="DZ705" s="77"/>
      <c r="EA705" s="77"/>
      <c r="EB705" s="77"/>
      <c r="EC705" s="77"/>
      <c r="ED705" s="77"/>
      <c r="EE705" s="77"/>
      <c r="EF705" s="77"/>
      <c r="EG705" s="77"/>
      <c r="EH705" s="77"/>
      <c r="EI705" s="77"/>
      <c r="EJ705" s="77"/>
      <c r="EK705" s="77"/>
      <c r="EL705" s="77"/>
      <c r="EM705" s="77"/>
      <c r="EN705" s="77"/>
      <c r="EO705" s="77"/>
      <c r="EP705" s="77"/>
      <c r="ER705" s="77"/>
      <c r="ES705" s="77"/>
      <c r="ET705" s="77"/>
      <c r="EU705" s="77"/>
      <c r="EV705" s="77"/>
      <c r="EW705" s="77"/>
      <c r="EX705" s="77"/>
      <c r="EY705" s="77"/>
      <c r="EZ705" s="77"/>
      <c r="FA705" s="77"/>
      <c r="FB705" s="77"/>
      <c r="FC705" s="77"/>
      <c r="FD705" s="77"/>
      <c r="FE705" s="77"/>
      <c r="FF705" s="77"/>
      <c r="FG705" s="77"/>
      <c r="FH705" s="77"/>
      <c r="FI705" s="77"/>
      <c r="FJ705" s="77"/>
      <c r="FK705" s="77"/>
      <c r="FL705" s="77"/>
      <c r="FM705" s="77"/>
      <c r="FN705" s="77"/>
      <c r="FO705" s="77"/>
      <c r="FP705" s="77"/>
      <c r="FQ705" s="77"/>
      <c r="FR705" s="77"/>
      <c r="FS705" s="77"/>
      <c r="FT705" s="77"/>
      <c r="FU705" s="77"/>
      <c r="FV705" s="77"/>
      <c r="FW705" s="77"/>
      <c r="FX705" s="77"/>
      <c r="FY705" s="77"/>
      <c r="FZ705" s="77"/>
      <c r="GA705" s="77"/>
      <c r="GB705" s="77"/>
      <c r="GC705" s="77"/>
      <c r="GD705" s="77"/>
      <c r="GE705" s="77"/>
      <c r="GF705" s="77"/>
      <c r="GG705" s="77"/>
      <c r="GH705" s="77"/>
      <c r="GI705" s="77"/>
      <c r="GJ705" s="77"/>
      <c r="GK705" s="77"/>
      <c r="GL705" s="77"/>
      <c r="GM705" s="77"/>
      <c r="GN705" s="77"/>
      <c r="GO705" s="77"/>
      <c r="GP705" s="77"/>
      <c r="GQ705" s="77"/>
      <c r="GR705" s="77"/>
      <c r="GS705" s="77"/>
      <c r="GT705" s="77"/>
      <c r="GU705" s="77"/>
      <c r="GV705" s="77"/>
      <c r="GW705" s="77"/>
      <c r="GX705" s="77"/>
      <c r="GY705" s="77"/>
      <c r="GZ705" s="77"/>
      <c r="HA705" s="77"/>
      <c r="HB705" s="77"/>
      <c r="HC705" s="77"/>
      <c r="HD705" s="77"/>
      <c r="HE705" s="77"/>
      <c r="HF705" s="77"/>
      <c r="HG705" s="77"/>
      <c r="HH705" s="77"/>
      <c r="HI705" s="77"/>
      <c r="HJ705" s="77"/>
      <c r="HK705" s="77"/>
      <c r="IF705" s="77"/>
      <c r="IG705" s="77"/>
      <c r="IH705" s="77"/>
      <c r="II705" s="77"/>
      <c r="IJ705" s="77"/>
      <c r="IK705" s="77"/>
      <c r="IL705" s="77"/>
      <c r="IM705" s="77"/>
      <c r="IN705" s="77"/>
      <c r="IO705" s="77"/>
      <c r="IP705" s="77"/>
      <c r="IQ705" s="77"/>
      <c r="IR705" s="77"/>
      <c r="IS705" s="77"/>
      <c r="IT705" s="77"/>
      <c r="IU705" s="77"/>
      <c r="IV705" s="77"/>
      <c r="IW705" s="77"/>
      <c r="IX705" s="77"/>
      <c r="IY705" s="77"/>
      <c r="IZ705" s="77"/>
      <c r="JA705" s="77"/>
      <c r="JB705" s="77"/>
      <c r="JC705" s="77"/>
      <c r="JD705" s="77"/>
      <c r="JE705" s="77"/>
      <c r="JF705" s="77"/>
      <c r="JG705" s="77"/>
      <c r="JH705" s="77"/>
      <c r="JI705" s="77"/>
      <c r="JJ705" s="77"/>
      <c r="JK705" s="77"/>
      <c r="JL705" s="77"/>
      <c r="JM705" s="77"/>
      <c r="JN705" s="77"/>
      <c r="JO705" s="77"/>
      <c r="JP705" s="77"/>
      <c r="JQ705" s="77"/>
      <c r="JR705" s="77"/>
      <c r="JS705" s="77"/>
      <c r="JT705" s="77"/>
      <c r="JU705" s="77"/>
      <c r="JV705" s="77"/>
      <c r="JW705" s="77"/>
      <c r="JX705" s="77"/>
      <c r="JY705" s="77"/>
      <c r="JZ705" s="77"/>
      <c r="KA705" s="77"/>
      <c r="KB705" s="77"/>
      <c r="KC705" s="77"/>
      <c r="KD705" s="77"/>
      <c r="KE705" s="77"/>
      <c r="KF705" s="77"/>
      <c r="KG705" s="77"/>
      <c r="KH705" s="77"/>
      <c r="KI705" s="77"/>
      <c r="KJ705" s="77"/>
      <c r="KK705" s="77"/>
      <c r="KL705" s="77"/>
      <c r="LL705" s="77"/>
      <c r="LM705" s="77"/>
      <c r="LN705" s="77"/>
      <c r="LO705" s="77"/>
      <c r="LP705" s="77"/>
      <c r="LQ705" s="77"/>
      <c r="LR705" s="77"/>
      <c r="LS705" s="77"/>
      <c r="LT705" s="77"/>
      <c r="LU705" s="77"/>
      <c r="LV705" s="77"/>
      <c r="MT705" s="16"/>
      <c r="MU705" s="16"/>
      <c r="MV705" s="16"/>
      <c r="MW705" s="16"/>
      <c r="MX705" s="16"/>
      <c r="MY705" s="16"/>
      <c r="MZ705" s="16"/>
      <c r="NA705" s="16"/>
      <c r="NB705" s="16"/>
      <c r="NC705" s="16"/>
    </row>
    <row r="706" spans="1:421" s="21" customFormat="1" ht="18.600000000000001" customHeight="1" x14ac:dyDescent="0.25">
      <c r="A706" s="119" t="s">
        <v>693</v>
      </c>
      <c r="B706" s="27" t="s">
        <v>4311</v>
      </c>
      <c r="C706" s="27"/>
      <c r="D706" s="34" t="s">
        <v>2736</v>
      </c>
      <c r="E706" s="34" t="s">
        <v>2735</v>
      </c>
      <c r="F706" s="38" t="s">
        <v>668</v>
      </c>
      <c r="G706" s="38" t="s">
        <v>692</v>
      </c>
      <c r="H706" s="38" t="s">
        <v>772</v>
      </c>
      <c r="I706" s="38" t="s">
        <v>773</v>
      </c>
      <c r="J706" s="27" t="s">
        <v>789</v>
      </c>
      <c r="K706" s="38" t="s">
        <v>777</v>
      </c>
      <c r="L706" s="10"/>
      <c r="M706" s="10" t="s">
        <v>770</v>
      </c>
      <c r="N706" s="48" t="s">
        <v>2737</v>
      </c>
      <c r="O706" s="27" t="s">
        <v>3174</v>
      </c>
      <c r="P706" s="80">
        <v>18</v>
      </c>
      <c r="Q706" s="80">
        <v>22</v>
      </c>
      <c r="R706" s="27" t="s">
        <v>2995</v>
      </c>
      <c r="S706" s="19" t="s">
        <v>2738</v>
      </c>
      <c r="T706" s="10" t="s">
        <v>771</v>
      </c>
      <c r="U706" s="10" t="s">
        <v>771</v>
      </c>
      <c r="V706" s="10" t="s">
        <v>771</v>
      </c>
      <c r="W706" s="38"/>
      <c r="X706" s="27" t="s">
        <v>693</v>
      </c>
      <c r="Y706" s="27" t="s">
        <v>4311</v>
      </c>
      <c r="Z706" s="80">
        <v>29</v>
      </c>
      <c r="AA706" s="27">
        <v>22</v>
      </c>
      <c r="AB706" s="80">
        <v>146</v>
      </c>
      <c r="AC706" s="27">
        <v>3</v>
      </c>
      <c r="AD706" s="27" t="s">
        <v>4312</v>
      </c>
      <c r="AE706" s="27">
        <v>3255110663</v>
      </c>
      <c r="AF706" s="27"/>
      <c r="AG706" s="27"/>
      <c r="AH706" s="79">
        <v>8.2152974504249299E-2</v>
      </c>
      <c r="AI706" s="83">
        <v>0.124463519313305</v>
      </c>
      <c r="AJ706" s="80">
        <v>1.5185185185185199</v>
      </c>
      <c r="AK706" s="80">
        <v>1.5925925925925899</v>
      </c>
      <c r="AL706" s="27">
        <v>8</v>
      </c>
      <c r="AM706" s="97">
        <f>SUM(AL706/Z706)</f>
        <v>0.27586206896551724</v>
      </c>
      <c r="AN706" s="27" t="s">
        <v>693</v>
      </c>
      <c r="AO706" s="27">
        <v>4</v>
      </c>
      <c r="AP706" s="27">
        <v>0</v>
      </c>
      <c r="AQ706" s="27">
        <v>0</v>
      </c>
      <c r="AR706" s="27">
        <f>SUM(AO706:AQ706)</f>
        <v>4</v>
      </c>
      <c r="AS706" s="27" t="s">
        <v>5418</v>
      </c>
      <c r="AT706" s="27"/>
      <c r="AU706" s="84"/>
      <c r="AV706" s="77"/>
      <c r="AW706" s="77"/>
      <c r="AX706" s="77"/>
      <c r="AY706" s="77"/>
      <c r="AZ706" s="77"/>
      <c r="BA706" s="77"/>
      <c r="BB706" s="77"/>
      <c r="BC706" s="77"/>
      <c r="BD706" s="77"/>
      <c r="BE706" s="77"/>
      <c r="BF706" s="77"/>
      <c r="BG706" s="77"/>
      <c r="BH706" s="77"/>
      <c r="BI706" s="77"/>
      <c r="BJ706" s="77"/>
      <c r="BK706" s="77"/>
      <c r="BL706" s="77"/>
      <c r="BM706" s="77"/>
      <c r="BN706" s="77"/>
      <c r="BO706" s="77"/>
      <c r="BP706" s="77"/>
      <c r="BQ706" s="77"/>
      <c r="BR706" s="77"/>
      <c r="BS706" s="77"/>
      <c r="BT706" s="77"/>
      <c r="BU706" s="77"/>
      <c r="BV706" s="77"/>
      <c r="BW706" s="77"/>
      <c r="BX706" s="77"/>
      <c r="BY706" s="77"/>
      <c r="BZ706" s="77"/>
      <c r="CA706" s="77"/>
      <c r="CB706" s="77"/>
      <c r="CC706" s="77"/>
      <c r="CD706" s="77"/>
      <c r="CE706" s="77"/>
      <c r="CF706" s="77"/>
      <c r="CG706" s="77"/>
      <c r="CH706" s="77"/>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7"/>
      <c r="DV706" s="77"/>
      <c r="DW706" s="77"/>
      <c r="DX706" s="77"/>
      <c r="DY706" s="77"/>
      <c r="DZ706" s="77"/>
      <c r="EA706" s="77"/>
      <c r="EB706" s="77"/>
      <c r="EC706" s="77"/>
      <c r="ED706" s="77"/>
      <c r="EE706" s="77"/>
      <c r="EF706" s="77"/>
      <c r="EG706" s="77"/>
      <c r="EH706" s="77"/>
      <c r="EI706" s="77"/>
      <c r="EJ706" s="77"/>
      <c r="EK706" s="77"/>
      <c r="EL706" s="77"/>
      <c r="EM706" s="77"/>
      <c r="EN706" s="77"/>
      <c r="EO706" s="77"/>
      <c r="ER706" s="77"/>
      <c r="ES706" s="77"/>
      <c r="ET706" s="77"/>
      <c r="EU706" s="77"/>
      <c r="EV706" s="77"/>
      <c r="EW706" s="77"/>
      <c r="EX706" s="77"/>
      <c r="EY706" s="77"/>
      <c r="EZ706" s="77"/>
      <c r="FA706" s="77"/>
      <c r="FB706" s="77"/>
      <c r="FC706" s="77"/>
      <c r="FD706" s="77"/>
      <c r="FE706" s="77"/>
      <c r="FF706" s="77"/>
      <c r="FG706" s="77"/>
      <c r="FH706" s="77"/>
      <c r="FI706" s="77"/>
      <c r="FJ706" s="77"/>
      <c r="FK706" s="77"/>
      <c r="FL706" s="77"/>
      <c r="FM706" s="77"/>
      <c r="FN706" s="77"/>
      <c r="FO706" s="77"/>
      <c r="FP706" s="77"/>
      <c r="FQ706" s="77"/>
      <c r="FR706" s="77"/>
      <c r="FS706" s="77"/>
      <c r="FT706" s="77"/>
      <c r="FU706" s="77"/>
      <c r="FV706" s="77"/>
      <c r="FW706" s="77"/>
      <c r="FX706" s="77"/>
      <c r="FY706" s="77"/>
      <c r="FZ706" s="77"/>
      <c r="GA706" s="77"/>
      <c r="GB706" s="77"/>
      <c r="GC706" s="77"/>
      <c r="GD706" s="77"/>
      <c r="GE706" s="77"/>
      <c r="GF706" s="77"/>
      <c r="GG706" s="77"/>
      <c r="GH706" s="77"/>
      <c r="GI706" s="77"/>
      <c r="GJ706" s="77"/>
      <c r="GK706" s="77"/>
      <c r="HL706" s="77"/>
      <c r="HM706" s="77"/>
      <c r="HN706" s="77"/>
      <c r="HO706" s="77"/>
      <c r="HP706" s="77"/>
      <c r="HQ706" s="77"/>
      <c r="HR706" s="77"/>
      <c r="HS706" s="77"/>
      <c r="HT706" s="77"/>
      <c r="HU706" s="77"/>
      <c r="HV706" s="77"/>
      <c r="HW706" s="77"/>
      <c r="HX706" s="77"/>
      <c r="HY706" s="77"/>
      <c r="HZ706" s="77"/>
      <c r="IA706" s="77"/>
      <c r="IB706" s="77"/>
      <c r="IC706" s="77"/>
      <c r="ID706" s="77"/>
      <c r="IE706" s="77"/>
      <c r="IF706" s="77"/>
      <c r="IG706" s="77"/>
      <c r="IH706" s="77"/>
      <c r="II706" s="77"/>
      <c r="IJ706" s="77"/>
      <c r="IK706" s="77"/>
      <c r="IL706" s="77"/>
      <c r="IM706" s="77"/>
      <c r="IN706" s="77"/>
      <c r="IO706" s="77"/>
      <c r="IP706" s="77"/>
      <c r="IQ706" s="77"/>
      <c r="IR706" s="77"/>
      <c r="IS706" s="77"/>
      <c r="IT706" s="77"/>
      <c r="IU706" s="77"/>
      <c r="IV706" s="77"/>
      <c r="IW706" s="77"/>
      <c r="IX706" s="77"/>
      <c r="IY706" s="77"/>
      <c r="IZ706" s="77"/>
      <c r="JA706" s="77"/>
      <c r="JB706" s="77"/>
      <c r="JC706" s="77"/>
      <c r="JD706" s="77"/>
      <c r="JE706" s="77"/>
      <c r="JF706" s="77"/>
      <c r="JG706" s="77"/>
      <c r="JH706" s="77"/>
      <c r="JI706" s="77"/>
      <c r="JJ706" s="77"/>
      <c r="JK706" s="77"/>
      <c r="JL706" s="77"/>
      <c r="JM706" s="77"/>
      <c r="JN706" s="77"/>
      <c r="JO706" s="77"/>
      <c r="JP706" s="77"/>
      <c r="JQ706" s="77"/>
      <c r="JR706" s="77"/>
      <c r="JS706" s="77"/>
      <c r="JT706" s="77"/>
      <c r="JU706" s="77"/>
      <c r="JV706" s="77"/>
      <c r="JW706" s="77"/>
      <c r="JX706" s="77"/>
      <c r="KM706" s="77"/>
      <c r="KN706" s="77"/>
      <c r="KO706" s="77"/>
      <c r="KP706" s="77"/>
      <c r="KQ706" s="77"/>
      <c r="KR706" s="77"/>
      <c r="KS706" s="77"/>
      <c r="KT706" s="77"/>
      <c r="KU706" s="77"/>
      <c r="KV706" s="77"/>
      <c r="KW706" s="77"/>
      <c r="KX706" s="77"/>
      <c r="KY706" s="77"/>
      <c r="KZ706" s="77"/>
      <c r="LA706" s="77"/>
      <c r="LB706" s="77"/>
      <c r="LC706" s="77"/>
      <c r="LD706" s="77"/>
      <c r="LE706" s="77"/>
      <c r="LF706" s="77"/>
      <c r="LG706" s="77"/>
      <c r="LH706" s="77"/>
      <c r="LI706" s="77"/>
      <c r="LJ706" s="77"/>
      <c r="LK706" s="77"/>
      <c r="LW706" s="77"/>
      <c r="LX706" s="77"/>
      <c r="LY706" s="77"/>
      <c r="LZ706" s="77"/>
      <c r="MA706" s="77"/>
      <c r="MB706" s="77"/>
      <c r="MC706" s="77"/>
      <c r="MD706" s="77"/>
      <c r="ME706" s="77"/>
      <c r="MF706" s="77"/>
      <c r="MG706" s="77"/>
      <c r="MH706" s="77"/>
      <c r="MI706" s="77"/>
      <c r="MJ706" s="77"/>
      <c r="MK706" s="77"/>
      <c r="ML706" s="77"/>
      <c r="MM706" s="77"/>
      <c r="MN706" s="77"/>
      <c r="MO706" s="77"/>
      <c r="MP706" s="77"/>
      <c r="MQ706" s="77"/>
      <c r="MR706" s="77"/>
    </row>
    <row r="707" spans="1:421" s="21" customFormat="1" ht="18.600000000000001" customHeight="1" x14ac:dyDescent="0.25">
      <c r="A707" s="119" t="s">
        <v>110</v>
      </c>
      <c r="B707" s="27" t="s">
        <v>1067</v>
      </c>
      <c r="C707" s="27" t="s">
        <v>1068</v>
      </c>
      <c r="D707" s="30" t="str">
        <f>HYPERLINK("https://twitter.com/ebkoroma","https://twitter.com/ebkoroma")</f>
        <v>https://twitter.com/ebkoroma</v>
      </c>
      <c r="E707" s="30" t="str">
        <f>HYPERLINK("http://twiplomacy.com/info/africa/Sierra-Leone","http://twiplomacy.com/info/africa/Sierra-Leone")</f>
        <v>http://twiplomacy.com/info/africa/Sierra-Leone</v>
      </c>
      <c r="F707" s="10" t="s">
        <v>1</v>
      </c>
      <c r="G707" s="10" t="s">
        <v>109</v>
      </c>
      <c r="H707" s="10" t="s">
        <v>772</v>
      </c>
      <c r="I707" s="10" t="s">
        <v>773</v>
      </c>
      <c r="J707" s="27" t="s">
        <v>789</v>
      </c>
      <c r="K707" s="15" t="s">
        <v>1069</v>
      </c>
      <c r="L707" s="10" t="s">
        <v>771</v>
      </c>
      <c r="M707" s="10" t="s">
        <v>770</v>
      </c>
      <c r="N707" s="30" t="str">
        <f>HYPERLINK("https://twitter.com/ebkoroma/statuses/288508042776047617","https://twitter.com/ebkoroma/statuses/288508042776047617")</f>
        <v>https://twitter.com/ebkoroma/statuses/288508042776047617</v>
      </c>
      <c r="O707" s="27" t="s">
        <v>5811</v>
      </c>
      <c r="P707" s="80">
        <v>13</v>
      </c>
      <c r="Q707" s="80">
        <v>6</v>
      </c>
      <c r="R707" s="27" t="s">
        <v>2995</v>
      </c>
      <c r="S707" s="10" t="s">
        <v>1070</v>
      </c>
      <c r="T707" s="10" t="s">
        <v>771</v>
      </c>
      <c r="U707" s="10" t="s">
        <v>771</v>
      </c>
      <c r="V707" s="10" t="s">
        <v>771</v>
      </c>
      <c r="W707" s="10"/>
      <c r="X707" s="27" t="s">
        <v>110</v>
      </c>
      <c r="Y707" s="27" t="s">
        <v>1067</v>
      </c>
      <c r="Z707" s="80">
        <v>28</v>
      </c>
      <c r="AA707" s="27">
        <v>11</v>
      </c>
      <c r="AB707" s="80">
        <v>791</v>
      </c>
      <c r="AC707" s="27">
        <v>0</v>
      </c>
      <c r="AD707" s="27" t="s">
        <v>3635</v>
      </c>
      <c r="AE707" s="27">
        <v>1069973798</v>
      </c>
      <c r="AF707" s="27" t="s">
        <v>1068</v>
      </c>
      <c r="AG707" s="27" t="s">
        <v>1071</v>
      </c>
      <c r="AH707" s="79">
        <v>2.3140495867768601E-2</v>
      </c>
      <c r="AI707" s="83">
        <v>0.2</v>
      </c>
      <c r="AJ707" s="80">
        <v>2.0526315789473699</v>
      </c>
      <c r="AK707" s="80">
        <v>1.1052631578947401</v>
      </c>
      <c r="AL707" s="27">
        <v>2</v>
      </c>
      <c r="AM707" s="97">
        <f>SUM(AL707/Z707)</f>
        <v>7.1428571428571425E-2</v>
      </c>
      <c r="AN707" s="27" t="s">
        <v>110</v>
      </c>
      <c r="AO707" s="27">
        <v>0</v>
      </c>
      <c r="AP707" s="27">
        <v>4</v>
      </c>
      <c r="AQ707" s="27">
        <v>2</v>
      </c>
      <c r="AR707" s="27">
        <f>SUM(AO707:AQ707)</f>
        <v>6</v>
      </c>
      <c r="AS707" s="27"/>
      <c r="AT707" s="27" t="s">
        <v>5063</v>
      </c>
      <c r="AU707" s="84" t="s">
        <v>4703</v>
      </c>
      <c r="AV707" s="76"/>
      <c r="AW707" s="76"/>
      <c r="AX707" s="76"/>
      <c r="AY707" s="76"/>
      <c r="AZ707" s="76"/>
      <c r="BA707" s="76"/>
      <c r="BB707" s="76"/>
      <c r="BC707" s="76"/>
      <c r="BD707" s="76"/>
      <c r="BE707" s="76"/>
      <c r="BF707" s="76"/>
      <c r="BG707" s="76"/>
      <c r="BH707" s="76"/>
      <c r="BI707" s="76"/>
      <c r="BJ707" s="76"/>
      <c r="BK707" s="76"/>
      <c r="BL707" s="76"/>
      <c r="BM707" s="76"/>
      <c r="BN707" s="76"/>
      <c r="BO707" s="76"/>
      <c r="BP707" s="76"/>
      <c r="BQ707" s="77"/>
      <c r="BR707" s="77"/>
      <c r="BS707" s="77"/>
      <c r="BT707" s="77"/>
      <c r="BU707" s="77"/>
      <c r="BV707" s="77"/>
      <c r="BW707" s="77"/>
      <c r="BX707" s="77"/>
      <c r="BY707" s="77"/>
      <c r="BZ707" s="77"/>
      <c r="CA707" s="77"/>
      <c r="CB707" s="77"/>
      <c r="CC707" s="77"/>
      <c r="CD707" s="77"/>
      <c r="CE707" s="77"/>
      <c r="CF707" s="77"/>
      <c r="CG707" s="77"/>
      <c r="CH707" s="77"/>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7"/>
      <c r="DV707" s="77"/>
      <c r="DW707" s="77"/>
      <c r="DX707" s="77"/>
      <c r="DY707" s="77"/>
      <c r="DZ707" s="77"/>
      <c r="EA707" s="77"/>
      <c r="EB707" s="77"/>
      <c r="EC707" s="77"/>
      <c r="ED707" s="77"/>
      <c r="EE707" s="77"/>
      <c r="EF707" s="77"/>
      <c r="EG707" s="77"/>
      <c r="EH707" s="77"/>
      <c r="EI707" s="77"/>
      <c r="EJ707" s="77"/>
      <c r="EK707" s="77"/>
      <c r="EL707" s="77"/>
      <c r="EP707" s="77"/>
      <c r="EQ707" s="77"/>
      <c r="ER707" s="77"/>
      <c r="ES707" s="77"/>
      <c r="ET707" s="77"/>
      <c r="EU707" s="77"/>
      <c r="EV707" s="77"/>
      <c r="EW707" s="77"/>
      <c r="EX707" s="77"/>
      <c r="EY707" s="77"/>
      <c r="EZ707" s="77"/>
      <c r="FA707" s="77"/>
      <c r="FB707" s="77"/>
      <c r="FC707" s="77"/>
      <c r="FD707" s="77"/>
      <c r="FE707" s="77"/>
      <c r="FF707" s="77"/>
      <c r="FG707" s="77"/>
      <c r="FH707" s="77"/>
      <c r="FI707" s="77"/>
      <c r="FJ707" s="77"/>
      <c r="FK707" s="77"/>
      <c r="FL707" s="77"/>
      <c r="FM707" s="77"/>
      <c r="FN707" s="77"/>
      <c r="FO707" s="77"/>
      <c r="FP707" s="77"/>
      <c r="FQ707" s="77"/>
      <c r="FR707" s="77"/>
      <c r="FS707" s="77"/>
      <c r="FT707" s="77"/>
      <c r="FU707" s="77"/>
      <c r="FV707" s="77"/>
      <c r="FW707" s="77"/>
      <c r="FX707" s="77"/>
      <c r="FY707" s="77"/>
      <c r="FZ707" s="77"/>
      <c r="GA707" s="77"/>
      <c r="GB707" s="77"/>
      <c r="GC707" s="77"/>
      <c r="GD707" s="77"/>
      <c r="GE707" s="77"/>
      <c r="GF707" s="77"/>
      <c r="GG707" s="77"/>
      <c r="GH707" s="77"/>
      <c r="GI707" s="77"/>
      <c r="GJ707" s="77"/>
      <c r="GK707" s="77"/>
      <c r="GL707" s="77"/>
      <c r="GM707" s="77"/>
      <c r="GN707" s="77"/>
      <c r="GO707" s="77"/>
      <c r="GP707" s="77"/>
      <c r="GQ707" s="77"/>
      <c r="GR707" s="77"/>
      <c r="GS707" s="77"/>
      <c r="GT707" s="77"/>
      <c r="GU707" s="77"/>
      <c r="GV707" s="77"/>
      <c r="GW707" s="77"/>
      <c r="GX707" s="77"/>
      <c r="GY707" s="77"/>
      <c r="GZ707" s="77"/>
      <c r="HA707" s="77"/>
      <c r="HB707" s="77"/>
      <c r="HC707" s="77"/>
      <c r="HD707" s="77"/>
      <c r="HE707" s="77"/>
      <c r="HF707" s="77"/>
      <c r="HG707" s="77"/>
      <c r="HH707" s="77"/>
      <c r="HI707" s="77"/>
      <c r="HJ707" s="77"/>
      <c r="HK707" s="77"/>
      <c r="ID707" s="77"/>
      <c r="IE707" s="77"/>
      <c r="IF707" s="77"/>
      <c r="IG707" s="77"/>
      <c r="IH707" s="77"/>
      <c r="II707" s="77"/>
      <c r="IJ707" s="77"/>
      <c r="IK707" s="77"/>
      <c r="IL707" s="77"/>
      <c r="IM707" s="77"/>
      <c r="IN707" s="77"/>
      <c r="IO707" s="77"/>
      <c r="IP707" s="77"/>
      <c r="IQ707" s="77"/>
      <c r="IR707" s="77"/>
      <c r="IS707" s="77"/>
      <c r="IT707" s="77"/>
      <c r="IU707" s="77"/>
      <c r="IV707" s="77"/>
      <c r="IW707" s="77"/>
      <c r="IX707" s="77"/>
      <c r="IY707" s="77"/>
      <c r="IZ707" s="77"/>
      <c r="JA707" s="77"/>
      <c r="JB707" s="77"/>
      <c r="JC707" s="77"/>
      <c r="JD707" s="77"/>
      <c r="JE707" s="77"/>
      <c r="JF707" s="77"/>
      <c r="JG707" s="77"/>
      <c r="JH707" s="77"/>
      <c r="JI707" s="77"/>
      <c r="JJ707" s="77"/>
      <c r="JK707" s="77"/>
      <c r="JL707" s="77"/>
      <c r="JM707" s="77"/>
      <c r="JN707" s="77"/>
      <c r="JO707" s="77"/>
      <c r="JP707" s="77"/>
      <c r="JQ707" s="77"/>
      <c r="JR707" s="77"/>
      <c r="JS707" s="77"/>
      <c r="JT707" s="77"/>
      <c r="JU707" s="77"/>
      <c r="JV707" s="77"/>
      <c r="JW707" s="77"/>
      <c r="JX707" s="77"/>
      <c r="JY707" s="77"/>
      <c r="JZ707" s="77"/>
      <c r="KA707" s="77"/>
      <c r="KB707" s="77"/>
      <c r="KC707" s="77"/>
      <c r="KD707" s="77"/>
      <c r="KE707" s="77"/>
      <c r="KF707" s="77"/>
      <c r="KG707" s="77"/>
      <c r="KH707" s="77"/>
      <c r="KI707" s="77"/>
      <c r="KJ707" s="77"/>
      <c r="KK707" s="77"/>
      <c r="KL707" s="77"/>
      <c r="KM707" s="77"/>
      <c r="KN707" s="77"/>
      <c r="KO707" s="77"/>
      <c r="KP707" s="77"/>
      <c r="KQ707" s="77"/>
      <c r="KR707" s="77"/>
      <c r="KS707" s="77"/>
      <c r="KT707" s="77"/>
      <c r="KU707" s="77"/>
      <c r="KV707" s="77"/>
      <c r="KW707" s="77"/>
      <c r="KX707" s="77"/>
      <c r="KY707" s="77"/>
      <c r="KZ707" s="77"/>
      <c r="LA707" s="77"/>
      <c r="LB707" s="77"/>
      <c r="LC707" s="77"/>
      <c r="LD707" s="77"/>
      <c r="LE707" s="77"/>
      <c r="LF707" s="77"/>
      <c r="LG707" s="77"/>
      <c r="LH707" s="77"/>
      <c r="LI707" s="77"/>
      <c r="LJ707" s="77"/>
      <c r="LK707" s="77"/>
      <c r="LL707" s="77"/>
      <c r="LM707" s="77"/>
      <c r="LN707" s="77"/>
      <c r="LO707" s="77"/>
      <c r="LP707" s="77"/>
      <c r="LQ707" s="77"/>
      <c r="LR707" s="77"/>
      <c r="LS707" s="77"/>
      <c r="LT707" s="77"/>
      <c r="LU707" s="77"/>
      <c r="LV707" s="77"/>
    </row>
    <row r="708" spans="1:421" s="21" customFormat="1" ht="18.600000000000001" customHeight="1" x14ac:dyDescent="0.25">
      <c r="A708" s="119" t="s">
        <v>3325</v>
      </c>
      <c r="B708" s="27" t="s">
        <v>1024</v>
      </c>
      <c r="C708" s="27" t="s">
        <v>3863</v>
      </c>
      <c r="D708" s="30" t="s">
        <v>3326</v>
      </c>
      <c r="E708" s="30" t="str">
        <f>HYPERLINK("http://twiplomacy.com/info/africa/Niger","http://twiplomacy.com/info/africa/Niger")</f>
        <v>http://twiplomacy.com/info/africa/Niger</v>
      </c>
      <c r="F708" s="10" t="s">
        <v>1</v>
      </c>
      <c r="G708" s="10" t="s">
        <v>94</v>
      </c>
      <c r="H708" s="10" t="s">
        <v>772</v>
      </c>
      <c r="I708" s="10" t="s">
        <v>773</v>
      </c>
      <c r="J708" s="27" t="s">
        <v>779</v>
      </c>
      <c r="K708" s="15" t="s">
        <v>777</v>
      </c>
      <c r="L708" s="15"/>
      <c r="M708" s="10" t="s">
        <v>770</v>
      </c>
      <c r="N708" s="30" t="s">
        <v>3328</v>
      </c>
      <c r="O708" s="27" t="s">
        <v>3329</v>
      </c>
      <c r="P708" s="80">
        <v>68</v>
      </c>
      <c r="Q708" s="80">
        <v>60</v>
      </c>
      <c r="R708" s="27" t="s">
        <v>2995</v>
      </c>
      <c r="S708" s="12" t="s">
        <v>3327</v>
      </c>
      <c r="T708" s="10" t="s">
        <v>771</v>
      </c>
      <c r="U708" s="10" t="s">
        <v>771</v>
      </c>
      <c r="V708" s="10" t="s">
        <v>771</v>
      </c>
      <c r="W708" s="10"/>
      <c r="X708" s="27" t="s">
        <v>3325</v>
      </c>
      <c r="Y708" s="27" t="s">
        <v>1024</v>
      </c>
      <c r="Z708" s="80">
        <v>27</v>
      </c>
      <c r="AA708" s="27">
        <v>14</v>
      </c>
      <c r="AB708" s="80">
        <v>1309</v>
      </c>
      <c r="AC708" s="27">
        <v>0</v>
      </c>
      <c r="AD708" s="27" t="s">
        <v>3864</v>
      </c>
      <c r="AE708" s="27">
        <v>4821435801</v>
      </c>
      <c r="AF708" s="27" t="s">
        <v>3863</v>
      </c>
      <c r="AG708" s="27" t="s">
        <v>94</v>
      </c>
      <c r="AH708" s="79">
        <v>0.25471698113207503</v>
      </c>
      <c r="AI708" s="83">
        <v>0.41538461538461502</v>
      </c>
      <c r="AJ708" s="80">
        <v>19.076923076923102</v>
      </c>
      <c r="AK708" s="80">
        <v>30.230769230769202</v>
      </c>
      <c r="AL708" s="13">
        <v>0</v>
      </c>
      <c r="AM708" s="97">
        <f>SUM(AL708/Z708)</f>
        <v>0</v>
      </c>
      <c r="AN708" s="27" t="s">
        <v>3325</v>
      </c>
      <c r="AO708" s="27">
        <v>7</v>
      </c>
      <c r="AP708" s="27">
        <v>2</v>
      </c>
      <c r="AQ708" s="27">
        <v>1</v>
      </c>
      <c r="AR708" s="27">
        <f>SUM(AO708:AQ708)</f>
        <v>10</v>
      </c>
      <c r="AS708" s="27" t="s">
        <v>5208</v>
      </c>
      <c r="AT708" s="27" t="s">
        <v>5185</v>
      </c>
      <c r="AU708" s="84" t="s">
        <v>4323</v>
      </c>
      <c r="AV708" s="77"/>
      <c r="AW708" s="77"/>
      <c r="AX708" s="77"/>
      <c r="AY708" s="77"/>
      <c r="AZ708" s="77"/>
      <c r="BA708" s="77"/>
      <c r="BB708" s="77"/>
      <c r="BC708" s="77"/>
      <c r="BD708" s="77"/>
      <c r="BE708" s="77"/>
      <c r="BF708" s="77"/>
      <c r="BG708" s="77"/>
      <c r="BH708" s="77"/>
      <c r="BI708" s="77"/>
      <c r="BJ708" s="77"/>
      <c r="BK708" s="77"/>
      <c r="BL708" s="77"/>
      <c r="BM708" s="77"/>
      <c r="BN708" s="77"/>
      <c r="BO708" s="77"/>
      <c r="BP708" s="77"/>
      <c r="BQ708" s="77"/>
      <c r="BR708" s="77"/>
      <c r="BS708" s="77"/>
      <c r="BT708" s="77"/>
      <c r="BU708" s="77"/>
      <c r="BV708" s="77"/>
      <c r="BW708" s="77"/>
      <c r="BX708" s="77"/>
      <c r="BY708" s="77"/>
      <c r="BZ708" s="77"/>
      <c r="CA708" s="77"/>
      <c r="CB708" s="77"/>
      <c r="CC708" s="77"/>
      <c r="CD708" s="77"/>
      <c r="CE708" s="77"/>
      <c r="CF708" s="77"/>
      <c r="CG708" s="77"/>
      <c r="CH708" s="77"/>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7"/>
      <c r="DV708" s="77"/>
      <c r="DW708" s="77"/>
      <c r="DX708" s="77"/>
      <c r="DY708" s="77"/>
      <c r="DZ708" s="77"/>
      <c r="EA708" s="77"/>
      <c r="EB708" s="77"/>
      <c r="EC708" s="77"/>
      <c r="ED708" s="77"/>
      <c r="EE708" s="77"/>
      <c r="EF708" s="77"/>
      <c r="EG708" s="77"/>
      <c r="EH708" s="77"/>
      <c r="EI708" s="77"/>
      <c r="EJ708" s="77"/>
      <c r="EK708" s="77"/>
      <c r="EL708" s="77"/>
      <c r="EM708" s="77"/>
      <c r="EN708" s="77"/>
      <c r="EO708" s="77"/>
      <c r="EP708" s="77"/>
      <c r="EQ708" s="77"/>
      <c r="ER708" s="77"/>
      <c r="ES708" s="77"/>
      <c r="ET708" s="77"/>
      <c r="EU708" s="77"/>
      <c r="EV708" s="77"/>
      <c r="EW708" s="77"/>
      <c r="EX708" s="77"/>
      <c r="EY708" s="77"/>
      <c r="EZ708" s="77"/>
      <c r="FA708" s="77"/>
      <c r="FB708" s="77"/>
      <c r="FC708" s="77"/>
      <c r="FD708" s="77"/>
      <c r="FE708" s="77"/>
      <c r="FF708" s="77"/>
      <c r="FG708" s="77"/>
      <c r="FH708" s="77"/>
      <c r="FI708" s="77"/>
      <c r="FJ708" s="77"/>
      <c r="FK708" s="77"/>
      <c r="FL708" s="77"/>
      <c r="FM708" s="77"/>
      <c r="FN708" s="77"/>
      <c r="FO708" s="77"/>
      <c r="FP708" s="77"/>
      <c r="FQ708" s="77"/>
      <c r="FR708" s="77"/>
      <c r="FS708" s="77"/>
      <c r="FT708" s="77"/>
      <c r="FU708" s="77"/>
      <c r="FV708" s="77"/>
      <c r="FW708" s="77"/>
      <c r="FX708" s="77"/>
      <c r="FY708" s="77"/>
      <c r="FZ708" s="77"/>
      <c r="GA708" s="77"/>
      <c r="GB708" s="77"/>
      <c r="GC708" s="77"/>
      <c r="GD708" s="77"/>
      <c r="GE708" s="77"/>
      <c r="GF708" s="77"/>
      <c r="GG708" s="77"/>
      <c r="GH708" s="77"/>
      <c r="GI708" s="77"/>
      <c r="GJ708" s="77"/>
      <c r="GK708" s="77"/>
      <c r="GL708" s="77"/>
      <c r="GM708" s="77"/>
      <c r="GN708" s="77"/>
      <c r="GO708" s="77"/>
      <c r="GP708" s="77"/>
      <c r="GQ708" s="77"/>
      <c r="GR708" s="77"/>
      <c r="GS708" s="77"/>
      <c r="GT708" s="77"/>
      <c r="GU708" s="77"/>
      <c r="GV708" s="77"/>
      <c r="GW708" s="77"/>
      <c r="GX708" s="77"/>
      <c r="GY708" s="77"/>
      <c r="GZ708" s="77"/>
      <c r="HA708" s="77"/>
      <c r="HB708" s="77"/>
      <c r="HC708" s="77"/>
      <c r="HD708" s="77"/>
      <c r="HE708" s="77"/>
      <c r="HF708" s="77"/>
      <c r="HG708" s="77"/>
      <c r="HH708" s="77"/>
      <c r="HI708" s="77"/>
      <c r="HJ708" s="77"/>
      <c r="HK708" s="77"/>
      <c r="ID708" s="77"/>
      <c r="IE708" s="77"/>
      <c r="JY708" s="77"/>
      <c r="JZ708" s="77"/>
      <c r="KA708" s="77"/>
      <c r="KB708" s="77"/>
      <c r="KC708" s="77"/>
      <c r="KD708" s="77"/>
      <c r="KE708" s="77"/>
      <c r="KF708" s="77"/>
      <c r="KG708" s="77"/>
      <c r="KH708" s="77"/>
      <c r="KI708" s="77"/>
      <c r="KJ708" s="77"/>
      <c r="KK708" s="77"/>
      <c r="KL708" s="77"/>
      <c r="KM708" s="77"/>
      <c r="KN708" s="77"/>
      <c r="KO708" s="77"/>
      <c r="KP708" s="77"/>
      <c r="KQ708" s="77"/>
      <c r="KR708" s="77"/>
      <c r="KS708" s="77"/>
      <c r="KT708" s="77"/>
      <c r="KU708" s="77"/>
      <c r="KV708" s="77"/>
      <c r="KW708" s="77"/>
      <c r="KX708" s="77"/>
      <c r="KY708" s="77"/>
      <c r="KZ708" s="77"/>
      <c r="LA708" s="77"/>
      <c r="LB708" s="77"/>
      <c r="LC708" s="77"/>
      <c r="LD708" s="77"/>
      <c r="LE708" s="77"/>
      <c r="LF708" s="77"/>
      <c r="LG708" s="77"/>
      <c r="LH708" s="77"/>
      <c r="LI708" s="77"/>
      <c r="LJ708" s="77"/>
      <c r="LK708" s="77"/>
      <c r="LL708" s="77"/>
      <c r="LM708" s="77"/>
      <c r="LN708" s="77"/>
      <c r="LO708" s="77"/>
      <c r="LP708" s="77"/>
      <c r="LQ708" s="77"/>
      <c r="LR708" s="77"/>
      <c r="LS708" s="77"/>
      <c r="LT708" s="77"/>
      <c r="LU708" s="77"/>
      <c r="LV708" s="77"/>
      <c r="LW708" s="77"/>
      <c r="LX708" s="77"/>
      <c r="LY708" s="77"/>
      <c r="LZ708" s="77"/>
      <c r="MA708" s="77"/>
      <c r="MB708" s="77"/>
      <c r="MC708" s="77"/>
      <c r="MD708" s="77"/>
      <c r="ME708" s="77"/>
      <c r="MF708" s="77"/>
      <c r="MG708" s="77"/>
      <c r="MH708" s="77"/>
      <c r="MI708" s="77"/>
      <c r="MJ708" s="77"/>
      <c r="MK708" s="77"/>
      <c r="ML708" s="77"/>
      <c r="MM708" s="77"/>
      <c r="MN708" s="77"/>
      <c r="MO708" s="77"/>
      <c r="MP708" s="77"/>
      <c r="MQ708" s="77"/>
      <c r="MR708" s="77"/>
    </row>
    <row r="709" spans="1:421" s="21" customFormat="1" ht="18.600000000000001" customHeight="1" x14ac:dyDescent="0.25">
      <c r="A709" s="119" t="s">
        <v>56</v>
      </c>
      <c r="B709" s="27" t="s">
        <v>911</v>
      </c>
      <c r="C709" s="27" t="s">
        <v>912</v>
      </c>
      <c r="D709" s="72" t="str">
        <f>HYPERLINK("https://twitter.com/Pr_Alpha_Conde","https://twitter.com/Pr_Alpha_Conde")</f>
        <v>https://twitter.com/Pr_Alpha_Conde</v>
      </c>
      <c r="E709" s="72" t="str">
        <f>HYPERLINK("http://twiplomacy.com/info/africa/Guinea","http://twiplomacy.com/info/africa/Guinea")</f>
        <v>http://twiplomacy.com/info/africa/Guinea</v>
      </c>
      <c r="F709" s="10" t="s">
        <v>1</v>
      </c>
      <c r="G709" s="10" t="s">
        <v>55</v>
      </c>
      <c r="H709" s="10" t="s">
        <v>772</v>
      </c>
      <c r="I709" s="10" t="s">
        <v>773</v>
      </c>
      <c r="J709" s="27" t="s">
        <v>779</v>
      </c>
      <c r="K709" s="15" t="s">
        <v>913</v>
      </c>
      <c r="L709" s="10" t="s">
        <v>771</v>
      </c>
      <c r="M709" s="10" t="s">
        <v>770</v>
      </c>
      <c r="N709" s="30" t="str">
        <f>HYPERLINK("https://twitter.com/Pr_Alpha_Conde/statuses/18153063631","https://twitter.com/Pr_Alpha_Conde/statuses/18153063631")</f>
        <v>https://twitter.com/Pr_Alpha_Conde/statuses/18153063631</v>
      </c>
      <c r="O709" s="27" t="s">
        <v>6025</v>
      </c>
      <c r="P709" s="80">
        <v>10</v>
      </c>
      <c r="Q709" s="80">
        <v>14</v>
      </c>
      <c r="R709" s="27" t="s">
        <v>2995</v>
      </c>
      <c r="S709" s="10" t="s">
        <v>914</v>
      </c>
      <c r="T709" s="10" t="s">
        <v>771</v>
      </c>
      <c r="U709" s="10" t="s">
        <v>771</v>
      </c>
      <c r="V709" s="10" t="s">
        <v>771</v>
      </c>
      <c r="W709" s="10"/>
      <c r="X709" s="27" t="s">
        <v>56</v>
      </c>
      <c r="Y709" s="27" t="s">
        <v>911</v>
      </c>
      <c r="Z709" s="80">
        <v>24</v>
      </c>
      <c r="AA709" s="27">
        <v>6</v>
      </c>
      <c r="AB709" s="80">
        <v>2395</v>
      </c>
      <c r="AC709" s="27">
        <v>3</v>
      </c>
      <c r="AD709" s="27" t="s">
        <v>4292</v>
      </c>
      <c r="AE709" s="27">
        <v>121556351</v>
      </c>
      <c r="AF709" s="27" t="s">
        <v>912</v>
      </c>
      <c r="AG709" s="27" t="s">
        <v>915</v>
      </c>
      <c r="AH709" s="79">
        <v>1.06904231625835E-2</v>
      </c>
      <c r="AI709" s="83">
        <v>1.9480519480519501E-2</v>
      </c>
      <c r="AJ709" s="80">
        <v>1.5833333333333299</v>
      </c>
      <c r="AK709" s="80">
        <v>4.4583333333333304</v>
      </c>
      <c r="AL709" s="13">
        <v>0</v>
      </c>
      <c r="AM709" s="97">
        <f>SUM(AL709/Z709)</f>
        <v>0</v>
      </c>
      <c r="AN709" s="27" t="s">
        <v>56</v>
      </c>
      <c r="AO709" s="27">
        <v>1</v>
      </c>
      <c r="AP709" s="27">
        <v>7</v>
      </c>
      <c r="AQ709" s="27">
        <v>0</v>
      </c>
      <c r="AR709" s="27">
        <f>SUM(AO709:AQ709)</f>
        <v>8</v>
      </c>
      <c r="AS709" s="27" t="s">
        <v>397</v>
      </c>
      <c r="AT709" s="27" t="s">
        <v>6826</v>
      </c>
      <c r="AU709" s="84"/>
      <c r="AV709" s="77"/>
      <c r="AW709" s="77"/>
      <c r="AX709" s="77"/>
      <c r="AY709" s="77"/>
      <c r="AZ709" s="77"/>
      <c r="BA709" s="77"/>
      <c r="BB709" s="77"/>
      <c r="BC709" s="77"/>
      <c r="BD709" s="77"/>
      <c r="BE709" s="77"/>
      <c r="BF709" s="77"/>
      <c r="BG709" s="77"/>
      <c r="BH709" s="77"/>
      <c r="BI709" s="77"/>
      <c r="BJ709" s="77"/>
      <c r="BK709" s="77"/>
      <c r="BL709" s="77"/>
      <c r="BM709" s="76"/>
      <c r="BN709" s="76"/>
      <c r="BO709" s="76"/>
      <c r="BP709" s="76"/>
      <c r="CC709" s="77"/>
      <c r="CD709" s="77"/>
      <c r="CE709" s="77"/>
      <c r="CF709" s="77"/>
      <c r="CG709" s="77"/>
      <c r="CH709" s="77"/>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7"/>
      <c r="DV709" s="77"/>
      <c r="DW709" s="77"/>
      <c r="DX709" s="77"/>
      <c r="DY709" s="77"/>
      <c r="DZ709" s="77"/>
      <c r="EA709" s="77"/>
      <c r="EB709" s="77"/>
      <c r="EC709" s="77"/>
      <c r="ED709" s="77"/>
      <c r="EE709" s="77"/>
      <c r="EF709" s="77"/>
      <c r="EG709" s="77"/>
      <c r="EH709" s="77"/>
      <c r="EI709" s="77"/>
      <c r="EJ709" s="77"/>
      <c r="EK709" s="77"/>
      <c r="EL709" s="77"/>
      <c r="EP709" s="77"/>
      <c r="EQ709" s="77"/>
      <c r="ER709" s="77"/>
      <c r="ES709" s="77"/>
      <c r="ET709" s="77"/>
      <c r="EU709" s="77"/>
      <c r="EV709" s="77"/>
      <c r="EW709" s="77"/>
      <c r="EX709" s="77"/>
      <c r="EY709" s="77"/>
      <c r="EZ709" s="77"/>
      <c r="FA709" s="77"/>
      <c r="FB709" s="77"/>
      <c r="FC709" s="77"/>
      <c r="FD709" s="77"/>
      <c r="FE709" s="77"/>
      <c r="FF709" s="77"/>
      <c r="FG709" s="77"/>
      <c r="FH709" s="77"/>
      <c r="FI709" s="77"/>
      <c r="FJ709" s="77"/>
      <c r="FK709" s="77"/>
      <c r="FL709" s="77"/>
      <c r="FM709" s="77"/>
      <c r="FN709" s="77"/>
      <c r="FO709" s="77"/>
      <c r="FP709" s="77"/>
      <c r="FQ709" s="77"/>
      <c r="FR709" s="77"/>
      <c r="FS709" s="77"/>
      <c r="FT709" s="77"/>
      <c r="FU709" s="77"/>
      <c r="FV709" s="77"/>
      <c r="FW709" s="77"/>
      <c r="FX709" s="77"/>
      <c r="FY709" s="77"/>
      <c r="FZ709" s="77"/>
      <c r="GA709" s="77"/>
      <c r="GB709" s="77"/>
      <c r="GC709" s="77"/>
      <c r="GD709" s="77"/>
      <c r="GE709" s="77"/>
      <c r="GF709" s="77"/>
      <c r="GG709" s="77"/>
      <c r="GH709" s="77"/>
      <c r="GI709" s="77"/>
      <c r="GJ709" s="77"/>
      <c r="GK709" s="77"/>
      <c r="GL709" s="77"/>
      <c r="GM709" s="77"/>
      <c r="GN709" s="77"/>
      <c r="GO709" s="77"/>
      <c r="GP709" s="77"/>
      <c r="GQ709" s="77"/>
      <c r="GR709" s="77"/>
      <c r="GS709" s="77"/>
      <c r="GT709" s="77"/>
      <c r="GU709" s="77"/>
      <c r="GV709" s="77"/>
      <c r="GW709" s="77"/>
      <c r="GX709" s="77"/>
      <c r="GY709" s="77"/>
      <c r="GZ709" s="77"/>
      <c r="HA709" s="77"/>
      <c r="HB709" s="77"/>
      <c r="HC709" s="77"/>
      <c r="HD709" s="77"/>
      <c r="HE709" s="77"/>
      <c r="HF709" s="77"/>
      <c r="HG709" s="77"/>
      <c r="HH709" s="77"/>
      <c r="HI709" s="77"/>
      <c r="HJ709" s="77"/>
      <c r="HK709" s="77"/>
      <c r="HL709" s="16"/>
      <c r="HM709" s="16"/>
      <c r="HN709" s="16"/>
      <c r="HO709" s="16"/>
      <c r="HP709" s="16"/>
      <c r="HQ709" s="16"/>
      <c r="HR709" s="16"/>
      <c r="HS709" s="16"/>
      <c r="HT709" s="16"/>
      <c r="HU709" s="16"/>
      <c r="HV709" s="16"/>
      <c r="HW709" s="16"/>
      <c r="HX709" s="16"/>
      <c r="HY709" s="16"/>
      <c r="HZ709" s="16"/>
      <c r="IA709" s="16"/>
      <c r="IB709" s="16"/>
      <c r="IC709" s="16"/>
      <c r="ID709" s="77"/>
      <c r="IE709" s="77"/>
      <c r="IF709" s="77"/>
      <c r="IG709" s="77"/>
      <c r="IH709" s="77"/>
      <c r="II709" s="77"/>
      <c r="IJ709" s="77"/>
      <c r="IK709" s="77"/>
      <c r="IL709" s="77"/>
      <c r="IM709" s="77"/>
      <c r="IN709" s="77"/>
      <c r="IO709" s="77"/>
      <c r="IP709" s="77"/>
      <c r="IQ709" s="77"/>
      <c r="IR709" s="77"/>
      <c r="IS709" s="77"/>
      <c r="IT709" s="77"/>
      <c r="IU709" s="77"/>
      <c r="IV709" s="77"/>
      <c r="IW709" s="77"/>
      <c r="IX709" s="77"/>
      <c r="IY709" s="77"/>
      <c r="IZ709" s="77"/>
      <c r="JA709" s="77"/>
      <c r="JB709" s="77"/>
      <c r="JC709" s="77"/>
      <c r="JD709" s="77"/>
      <c r="JE709" s="77"/>
      <c r="JF709" s="77"/>
      <c r="JG709" s="77"/>
      <c r="JH709" s="77"/>
      <c r="JI709" s="77"/>
      <c r="JJ709" s="77"/>
      <c r="JK709" s="77"/>
      <c r="JL709" s="77"/>
      <c r="JM709" s="77"/>
      <c r="JN709" s="77"/>
      <c r="JO709" s="77"/>
      <c r="JP709" s="77"/>
      <c r="JQ709" s="77"/>
      <c r="JR709" s="77"/>
      <c r="JS709" s="77"/>
      <c r="JT709" s="77"/>
      <c r="JU709" s="77"/>
      <c r="JV709" s="77"/>
      <c r="JW709" s="77"/>
      <c r="JX709" s="77"/>
      <c r="LL709" s="77"/>
      <c r="LM709" s="77"/>
      <c r="LN709" s="77"/>
      <c r="LO709" s="77"/>
      <c r="LP709" s="77"/>
      <c r="LQ709" s="77"/>
      <c r="LR709" s="77"/>
      <c r="LS709" s="77"/>
      <c r="LT709" s="77"/>
      <c r="LU709" s="77"/>
      <c r="LV709" s="77"/>
      <c r="LW709" s="77"/>
      <c r="LX709" s="77"/>
      <c r="MT709" s="77"/>
      <c r="MU709" s="77"/>
      <c r="MV709" s="77"/>
      <c r="MW709" s="77"/>
      <c r="MX709" s="77"/>
      <c r="MY709" s="77"/>
      <c r="MZ709" s="77"/>
      <c r="NA709" s="77"/>
      <c r="NB709" s="77"/>
      <c r="NC709" s="77"/>
    </row>
    <row r="710" spans="1:421" s="21" customFormat="1" ht="18.600000000000001" customHeight="1" x14ac:dyDescent="0.25">
      <c r="A710" s="119" t="s">
        <v>105</v>
      </c>
      <c r="B710" s="27" t="s">
        <v>1056</v>
      </c>
      <c r="C710" s="27" t="s">
        <v>6416</v>
      </c>
      <c r="D710" s="30" t="str">
        <f>HYPERLINK("https://twitter.com/MankeurNdiaye","https://twitter.com/MankeurNdiaye")</f>
        <v>https://twitter.com/MankeurNdiaye</v>
      </c>
      <c r="E710" s="30" t="str">
        <f>HYPERLINK("http://twiplomacy.com/info/africa/Senegal","http://twiplomacy.com/info/africa/Senegal")</f>
        <v>http://twiplomacy.com/info/africa/Senegal</v>
      </c>
      <c r="F710" s="10" t="s">
        <v>1</v>
      </c>
      <c r="G710" s="10" t="s">
        <v>103</v>
      </c>
      <c r="H710" s="10" t="s">
        <v>860</v>
      </c>
      <c r="I710" s="10" t="s">
        <v>773</v>
      </c>
      <c r="J710" s="27" t="s">
        <v>779</v>
      </c>
      <c r="K710" s="15" t="s">
        <v>777</v>
      </c>
      <c r="L710" s="15"/>
      <c r="M710" s="10" t="s">
        <v>771</v>
      </c>
      <c r="N710" s="30" t="str">
        <f>HYPERLINK("https://twitter.com/MankeurNdiaye/statuses/401289126936190976","https://twitter.com/MankeurNdiaye/statuses/401289126936190976")</f>
        <v>https://twitter.com/MankeurNdiaye/statuses/401289126936190976</v>
      </c>
      <c r="O710" s="27" t="s">
        <v>5921</v>
      </c>
      <c r="P710" s="80">
        <v>14</v>
      </c>
      <c r="Q710" s="80">
        <v>17</v>
      </c>
      <c r="R710" s="27" t="s">
        <v>2995</v>
      </c>
      <c r="S710" s="10" t="s">
        <v>1057</v>
      </c>
      <c r="T710" s="10" t="s">
        <v>771</v>
      </c>
      <c r="U710" s="10" t="s">
        <v>771</v>
      </c>
      <c r="V710" s="10" t="s">
        <v>771</v>
      </c>
      <c r="W710" s="10"/>
      <c r="X710" s="27" t="s">
        <v>105</v>
      </c>
      <c r="Y710" s="27" t="s">
        <v>1056</v>
      </c>
      <c r="Z710" s="80">
        <v>21</v>
      </c>
      <c r="AA710" s="27">
        <v>27</v>
      </c>
      <c r="AB710" s="80">
        <v>919</v>
      </c>
      <c r="AC710" s="27">
        <v>6</v>
      </c>
      <c r="AD710" s="27" t="s">
        <v>4021</v>
      </c>
      <c r="AE710" s="27">
        <v>2190018205</v>
      </c>
      <c r="AF710" s="27" t="s">
        <v>6416</v>
      </c>
      <c r="AG710" s="27" t="s">
        <v>1058</v>
      </c>
      <c r="AH710" s="79">
        <v>2.3281596452328201E-2</v>
      </c>
      <c r="AI710" s="83">
        <v>2.54854368932039E-2</v>
      </c>
      <c r="AJ710" s="80">
        <v>5.06666666666667</v>
      </c>
      <c r="AK710" s="80">
        <v>2.3333333333333299</v>
      </c>
      <c r="AL710" s="27">
        <v>4</v>
      </c>
      <c r="AM710" s="97">
        <f>SUM(AL710/Z710)</f>
        <v>0.19047619047619047</v>
      </c>
      <c r="AN710" s="27" t="s">
        <v>105</v>
      </c>
      <c r="AO710" s="27">
        <v>1</v>
      </c>
      <c r="AP710" s="27">
        <v>15</v>
      </c>
      <c r="AQ710" s="27">
        <v>1</v>
      </c>
      <c r="AR710" s="27">
        <f>SUM(AO710:AQ710)</f>
        <v>17</v>
      </c>
      <c r="AS710" s="27" t="s">
        <v>634</v>
      </c>
      <c r="AT710" s="27" t="s">
        <v>6779</v>
      </c>
      <c r="AU710" s="84" t="s">
        <v>718</v>
      </c>
      <c r="AV710" s="66"/>
      <c r="AW710" s="66"/>
      <c r="AX710" s="66"/>
      <c r="AY710" s="66"/>
      <c r="AZ710" s="66"/>
      <c r="BA710" s="66"/>
      <c r="BB710" s="66"/>
      <c r="BC710" s="66"/>
      <c r="BD710" s="66"/>
      <c r="BE710" s="66"/>
      <c r="BF710" s="66"/>
      <c r="BG710" s="66"/>
      <c r="BH710" s="66"/>
      <c r="BI710" s="66"/>
      <c r="BJ710" s="66"/>
      <c r="BK710" s="66"/>
      <c r="BL710" s="66"/>
      <c r="BM710" s="77"/>
      <c r="BN710" s="77"/>
      <c r="BO710" s="77"/>
      <c r="BP710" s="77"/>
      <c r="BQ710" s="77"/>
      <c r="BR710" s="77"/>
      <c r="BS710" s="77"/>
      <c r="BT710" s="77"/>
      <c r="BU710" s="77"/>
      <c r="BV710" s="77"/>
      <c r="BW710" s="77"/>
      <c r="BX710" s="77"/>
      <c r="BY710" s="77"/>
      <c r="BZ710" s="77"/>
      <c r="CA710" s="77"/>
      <c r="CB710" s="77"/>
      <c r="CC710" s="77"/>
      <c r="CD710" s="77"/>
      <c r="CE710" s="77"/>
      <c r="CF710" s="77"/>
      <c r="CG710" s="77"/>
      <c r="CH710" s="77"/>
      <c r="CI710" s="77"/>
      <c r="CJ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7"/>
      <c r="DV710" s="77"/>
      <c r="DW710" s="77"/>
      <c r="DX710" s="77"/>
      <c r="DY710" s="77"/>
      <c r="DZ710" s="77"/>
      <c r="EA710" s="77"/>
      <c r="EB710" s="77"/>
      <c r="EC710" s="77"/>
      <c r="ED710" s="77"/>
      <c r="EE710" s="77"/>
      <c r="EF710" s="77"/>
      <c r="EG710" s="77"/>
      <c r="EH710" s="77"/>
      <c r="EI710" s="77"/>
      <c r="EJ710" s="77"/>
      <c r="EK710" s="77"/>
      <c r="EL710" s="77"/>
      <c r="EM710" s="77"/>
      <c r="EN710" s="77"/>
      <c r="EO710" s="77"/>
      <c r="EP710" s="77"/>
      <c r="GL710" s="77"/>
      <c r="GM710" s="77"/>
      <c r="GN710" s="77"/>
      <c r="GO710" s="77"/>
      <c r="GP710" s="77"/>
      <c r="GQ710" s="77"/>
      <c r="GR710" s="77"/>
      <c r="GS710" s="77"/>
      <c r="GT710" s="77"/>
      <c r="GU710" s="77"/>
      <c r="GV710" s="77"/>
      <c r="GW710" s="77"/>
      <c r="GX710" s="77"/>
      <c r="GY710" s="77"/>
      <c r="GZ710" s="77"/>
      <c r="HA710" s="77"/>
      <c r="HB710" s="77"/>
      <c r="HC710" s="77"/>
      <c r="HD710" s="77"/>
      <c r="HE710" s="77"/>
      <c r="HF710" s="77"/>
      <c r="HG710" s="77"/>
      <c r="HH710" s="77"/>
      <c r="HI710" s="77"/>
      <c r="HJ710" s="77"/>
      <c r="HK710" s="77"/>
      <c r="HL710" s="77"/>
      <c r="HM710" s="77"/>
      <c r="HN710" s="77"/>
      <c r="HO710" s="77"/>
      <c r="HP710" s="77"/>
      <c r="HQ710" s="77"/>
      <c r="HR710" s="77"/>
      <c r="HS710" s="77"/>
      <c r="HT710" s="77"/>
      <c r="HU710" s="77"/>
      <c r="HV710" s="77"/>
      <c r="HW710" s="77"/>
      <c r="HX710" s="77"/>
      <c r="HY710" s="77"/>
      <c r="HZ710" s="77"/>
      <c r="IA710" s="77"/>
      <c r="IB710" s="77"/>
      <c r="IC710" s="77"/>
      <c r="ID710" s="77"/>
      <c r="IE710" s="77"/>
      <c r="IF710" s="77"/>
      <c r="IG710" s="77"/>
      <c r="IH710" s="77"/>
      <c r="II710" s="77"/>
      <c r="IJ710" s="77"/>
      <c r="IK710" s="77"/>
      <c r="IL710" s="77"/>
      <c r="IM710" s="77"/>
      <c r="IN710" s="77"/>
      <c r="IO710" s="77"/>
      <c r="IP710" s="77"/>
      <c r="IQ710" s="77"/>
      <c r="IR710" s="77"/>
      <c r="IS710" s="77"/>
      <c r="IT710" s="77"/>
      <c r="IU710" s="77"/>
      <c r="IV710" s="77"/>
      <c r="IW710" s="77"/>
      <c r="IX710" s="77"/>
      <c r="IY710" s="77"/>
      <c r="IZ710" s="77"/>
      <c r="JA710" s="77"/>
      <c r="JB710" s="77"/>
      <c r="JC710" s="77"/>
      <c r="JD710" s="77"/>
      <c r="JE710" s="77"/>
      <c r="JF710" s="77"/>
      <c r="JG710" s="77"/>
      <c r="JH710" s="77"/>
      <c r="JI710" s="77"/>
      <c r="JJ710" s="77"/>
      <c r="JK710" s="77"/>
      <c r="JL710" s="77"/>
      <c r="JM710" s="77"/>
      <c r="JN710" s="77"/>
      <c r="JO710" s="77"/>
      <c r="JP710" s="77"/>
      <c r="JQ710" s="77"/>
      <c r="JR710" s="77"/>
      <c r="JS710" s="77"/>
      <c r="JT710" s="77"/>
      <c r="JU710" s="77"/>
      <c r="JV710" s="77"/>
      <c r="JW710" s="77"/>
      <c r="JX710" s="77"/>
      <c r="JY710" s="77"/>
      <c r="JZ710" s="77"/>
      <c r="KA710" s="77"/>
      <c r="KB710" s="77"/>
      <c r="KC710" s="77"/>
      <c r="KD710" s="77"/>
      <c r="KE710" s="77"/>
      <c r="KF710" s="77"/>
      <c r="KG710" s="77"/>
      <c r="KH710" s="77"/>
      <c r="KI710" s="77"/>
      <c r="KJ710" s="77"/>
      <c r="KK710" s="77"/>
      <c r="KL710" s="77"/>
      <c r="KM710" s="77"/>
      <c r="KN710" s="77"/>
      <c r="KO710" s="77"/>
      <c r="KP710" s="77"/>
      <c r="KQ710" s="77"/>
      <c r="KR710" s="77"/>
      <c r="KS710" s="77"/>
      <c r="KT710" s="77"/>
      <c r="KU710" s="77"/>
      <c r="KV710" s="77"/>
      <c r="KW710" s="77"/>
      <c r="KX710" s="77"/>
      <c r="KY710" s="77"/>
      <c r="KZ710" s="77"/>
      <c r="LA710" s="77"/>
      <c r="LB710" s="77"/>
      <c r="LC710" s="77"/>
      <c r="LD710" s="77"/>
      <c r="LE710" s="77"/>
      <c r="LF710" s="77"/>
      <c r="LG710" s="77"/>
      <c r="LH710" s="77"/>
      <c r="LI710" s="77"/>
      <c r="LJ710" s="77"/>
      <c r="LK710" s="77"/>
      <c r="LL710" s="77"/>
      <c r="LM710" s="77"/>
      <c r="LN710" s="77"/>
      <c r="LO710" s="77"/>
      <c r="LP710" s="77"/>
      <c r="LQ710" s="77"/>
      <c r="LR710" s="77"/>
      <c r="LS710" s="77"/>
      <c r="LT710" s="77"/>
      <c r="LU710" s="77"/>
      <c r="LV710" s="77"/>
      <c r="LW710" s="77"/>
      <c r="LX710" s="77"/>
      <c r="LY710" s="16"/>
      <c r="LZ710" s="16"/>
      <c r="MA710" s="16"/>
      <c r="MB710" s="16"/>
      <c r="MC710" s="16"/>
      <c r="MD710" s="16"/>
      <c r="ME710" s="16"/>
      <c r="MF710" s="16"/>
      <c r="MG710" s="16"/>
      <c r="MH710" s="16"/>
      <c r="MI710" s="16"/>
      <c r="MJ710" s="16"/>
      <c r="MK710" s="16"/>
      <c r="ML710" s="16"/>
      <c r="MM710" s="16"/>
      <c r="MN710" s="16"/>
      <c r="MO710" s="16"/>
      <c r="MP710" s="16"/>
      <c r="MQ710" s="16"/>
      <c r="MR710" s="16"/>
    </row>
    <row r="711" spans="1:421" s="21" customFormat="1" ht="18.600000000000001" customHeight="1" x14ac:dyDescent="0.25">
      <c r="A711" s="119" t="s">
        <v>141</v>
      </c>
      <c r="B711" s="27" t="s">
        <v>2874</v>
      </c>
      <c r="C711" s="27"/>
      <c r="D711" s="30" t="str">
        <f>HYPERLINK("https://twitter.com/gov_tunisie","https://twitter.com/gov_tunisie")</f>
        <v>https://twitter.com/gov_tunisie</v>
      </c>
      <c r="E711" s="30" t="s">
        <v>1133</v>
      </c>
      <c r="F711" s="38" t="s">
        <v>1</v>
      </c>
      <c r="G711" s="14" t="s">
        <v>134</v>
      </c>
      <c r="H711" s="14" t="s">
        <v>788</v>
      </c>
      <c r="I711" s="14" t="s">
        <v>782</v>
      </c>
      <c r="J711" s="27" t="s">
        <v>779</v>
      </c>
      <c r="K711" s="14" t="s">
        <v>2875</v>
      </c>
      <c r="L711" s="14" t="s">
        <v>771</v>
      </c>
      <c r="M711" s="14" t="s">
        <v>770</v>
      </c>
      <c r="N711" s="100" t="str">
        <f>HYPERLINK("https://twitter.com/gov_tunisie/status/545582285786214403","https://twitter.com/gov_tunisie/status/545582285786214403")</f>
        <v>https://twitter.com/gov_tunisie/status/545582285786214403</v>
      </c>
      <c r="O711" s="27" t="s">
        <v>5827</v>
      </c>
      <c r="P711" s="80">
        <v>0</v>
      </c>
      <c r="Q711" s="80">
        <v>0</v>
      </c>
      <c r="R711" s="27" t="s">
        <v>2995</v>
      </c>
      <c r="S711" s="30" t="str">
        <f>HYPERLINK("https://twitter.com/gov_tunisie/lists","https://twitter.com/gov_tunisie/lists")</f>
        <v>https://twitter.com/gov_tunisie/lists</v>
      </c>
      <c r="T711" s="10" t="s">
        <v>771</v>
      </c>
      <c r="U711" s="10" t="s">
        <v>771</v>
      </c>
      <c r="V711" s="10" t="s">
        <v>771</v>
      </c>
      <c r="W711" s="14"/>
      <c r="X711" s="27" t="s">
        <v>141</v>
      </c>
      <c r="Y711" s="27" t="s">
        <v>2874</v>
      </c>
      <c r="Z711" s="80">
        <v>21</v>
      </c>
      <c r="AA711" s="27">
        <v>44</v>
      </c>
      <c r="AB711" s="80">
        <v>6</v>
      </c>
      <c r="AC711" s="27">
        <v>0</v>
      </c>
      <c r="AD711" s="27" t="s">
        <v>3748</v>
      </c>
      <c r="AE711" s="27">
        <v>2929567367</v>
      </c>
      <c r="AF711" s="27"/>
      <c r="AG711" s="27"/>
      <c r="AH711" s="79">
        <v>4.1916167664670698E-2</v>
      </c>
      <c r="AI711" s="83">
        <v>3</v>
      </c>
      <c r="AJ711" s="80">
        <v>0</v>
      </c>
      <c r="AK711" s="80">
        <v>0</v>
      </c>
      <c r="AL711" s="13">
        <v>0</v>
      </c>
      <c r="AM711" s="97">
        <f>SUM(AL711/Z711)</f>
        <v>0</v>
      </c>
      <c r="AN711" s="27" t="s">
        <v>141</v>
      </c>
      <c r="AO711" s="27">
        <v>0</v>
      </c>
      <c r="AP711" s="27">
        <v>0</v>
      </c>
      <c r="AQ711" s="27">
        <v>0</v>
      </c>
      <c r="AR711" s="27">
        <f>SUM(AO711:AQ711)</f>
        <v>0</v>
      </c>
      <c r="AS711" s="27"/>
      <c r="AT711" s="27"/>
      <c r="AU711" s="84"/>
      <c r="AV711" s="77"/>
      <c r="AW711" s="77"/>
      <c r="AX711" s="77"/>
      <c r="AY711" s="77"/>
      <c r="AZ711" s="77"/>
      <c r="BA711" s="77"/>
      <c r="BB711" s="77"/>
      <c r="BC711" s="77"/>
      <c r="BD711" s="77"/>
      <c r="BE711" s="77"/>
      <c r="BF711" s="77"/>
      <c r="BG711" s="77"/>
      <c r="BH711" s="77"/>
      <c r="BI711" s="77"/>
      <c r="BJ711" s="77"/>
      <c r="BK711" s="77"/>
      <c r="BL711" s="77"/>
      <c r="BN711" s="59"/>
      <c r="BO711" s="59"/>
      <c r="BP711" s="59"/>
      <c r="BQ711" s="77"/>
      <c r="BR711" s="77"/>
      <c r="BS711" s="77"/>
      <c r="BT711" s="77"/>
      <c r="BU711" s="77"/>
      <c r="BV711" s="77"/>
      <c r="BW711" s="77"/>
      <c r="BX711" s="77"/>
      <c r="BY711" s="77"/>
      <c r="BZ711" s="77"/>
      <c r="CA711" s="77"/>
      <c r="CB711" s="77"/>
      <c r="CC711" s="77"/>
      <c r="CD711" s="77"/>
      <c r="CE711" s="77"/>
      <c r="CF711" s="77"/>
      <c r="CG711" s="77"/>
      <c r="CH711" s="77"/>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7"/>
      <c r="DV711" s="77"/>
      <c r="DW711" s="77"/>
      <c r="DX711" s="77"/>
      <c r="DY711" s="77"/>
      <c r="DZ711" s="77"/>
      <c r="EA711" s="77"/>
      <c r="EB711" s="77"/>
      <c r="EC711" s="77"/>
      <c r="ED711" s="77"/>
      <c r="EE711" s="77"/>
      <c r="EF711" s="77"/>
      <c r="EG711" s="77"/>
      <c r="EH711" s="77"/>
      <c r="EI711" s="77"/>
      <c r="EJ711" s="77"/>
      <c r="EK711" s="77"/>
      <c r="EL711" s="77"/>
      <c r="EM711" s="77"/>
      <c r="EN711" s="77"/>
      <c r="EO711" s="77"/>
      <c r="EP711" s="16"/>
      <c r="ER711" s="77"/>
      <c r="ES711" s="77"/>
      <c r="ET711" s="77"/>
      <c r="EU711" s="77"/>
      <c r="EV711" s="77"/>
      <c r="EW711" s="77"/>
      <c r="EX711" s="77"/>
      <c r="EY711" s="77"/>
      <c r="EZ711" s="77"/>
      <c r="FA711" s="77"/>
      <c r="FB711" s="77"/>
      <c r="FC711" s="77"/>
      <c r="FD711" s="77"/>
      <c r="FE711" s="77"/>
      <c r="FF711" s="77"/>
      <c r="FG711" s="77"/>
      <c r="FH711" s="77"/>
      <c r="FI711" s="77"/>
      <c r="FJ711" s="77"/>
      <c r="FK711" s="77"/>
      <c r="FL711" s="77"/>
      <c r="FM711" s="77"/>
      <c r="FN711" s="77"/>
      <c r="FO711" s="77"/>
      <c r="FP711" s="77"/>
      <c r="FQ711" s="77"/>
      <c r="FR711" s="77"/>
      <c r="FS711" s="77"/>
      <c r="FT711" s="77"/>
      <c r="FU711" s="77"/>
      <c r="FV711" s="77"/>
      <c r="FW711" s="77"/>
      <c r="FX711" s="77"/>
      <c r="FY711" s="77"/>
      <c r="FZ711" s="77"/>
      <c r="GA711" s="77"/>
      <c r="GB711" s="77"/>
      <c r="GC711" s="77"/>
      <c r="GD711" s="77"/>
      <c r="GE711" s="77"/>
      <c r="GF711" s="77"/>
      <c r="GG711" s="77"/>
      <c r="GH711" s="77"/>
      <c r="GI711" s="77"/>
      <c r="GJ711" s="77"/>
      <c r="GK711" s="77"/>
      <c r="GL711" s="16"/>
      <c r="GM711" s="16"/>
      <c r="GN711" s="16"/>
      <c r="GO711" s="16"/>
      <c r="GP711" s="16"/>
      <c r="GQ711" s="16"/>
      <c r="GR711" s="16"/>
      <c r="GS711" s="16"/>
      <c r="GT711" s="16"/>
      <c r="GU711" s="16"/>
      <c r="GV711" s="16"/>
      <c r="GW711" s="16"/>
      <c r="GX711" s="16"/>
      <c r="GY711" s="16"/>
      <c r="GZ711" s="16"/>
      <c r="HA711" s="16"/>
      <c r="HB711" s="16"/>
      <c r="HC711" s="16"/>
      <c r="HD711" s="16"/>
      <c r="HE711" s="16"/>
      <c r="HF711" s="16"/>
      <c r="HG711" s="16"/>
      <c r="HH711" s="16"/>
      <c r="HI711" s="16"/>
      <c r="HJ711" s="16"/>
      <c r="HK711" s="16"/>
      <c r="HL711" s="77"/>
      <c r="HM711" s="77"/>
      <c r="HN711" s="77"/>
      <c r="HO711" s="77"/>
      <c r="HP711" s="77"/>
      <c r="HQ711" s="77"/>
      <c r="HR711" s="77"/>
      <c r="HS711" s="77"/>
      <c r="HT711" s="77"/>
      <c r="HU711" s="77"/>
      <c r="HV711" s="77"/>
      <c r="HW711" s="77"/>
      <c r="HX711" s="77"/>
      <c r="HY711" s="77"/>
      <c r="HZ711" s="77"/>
      <c r="IA711" s="77"/>
      <c r="IB711" s="77"/>
      <c r="IC711" s="77"/>
      <c r="ID711" s="77"/>
      <c r="IE711" s="77"/>
      <c r="IF711" s="77"/>
      <c r="IG711" s="77"/>
      <c r="IH711" s="77"/>
      <c r="II711" s="77"/>
      <c r="IJ711" s="77"/>
      <c r="IK711" s="77"/>
      <c r="IL711" s="77"/>
      <c r="IM711" s="77"/>
      <c r="IN711" s="77"/>
      <c r="IO711" s="77"/>
      <c r="IP711" s="77"/>
      <c r="IQ711" s="77"/>
      <c r="IR711" s="77"/>
      <c r="IS711" s="77"/>
      <c r="IT711" s="77"/>
      <c r="IU711" s="77"/>
      <c r="IV711" s="77"/>
      <c r="IW711" s="77"/>
      <c r="IX711" s="77"/>
      <c r="IY711" s="77"/>
      <c r="IZ711" s="77"/>
      <c r="JA711" s="77"/>
      <c r="JB711" s="77"/>
      <c r="JC711" s="77"/>
      <c r="JD711" s="77"/>
      <c r="JE711" s="77"/>
      <c r="JF711" s="77"/>
      <c r="JG711" s="77"/>
      <c r="JH711" s="77"/>
      <c r="JI711" s="77"/>
      <c r="JJ711" s="77"/>
      <c r="JK711" s="77"/>
      <c r="JL711" s="77"/>
      <c r="JM711" s="77"/>
      <c r="JN711" s="77"/>
      <c r="JO711" s="77"/>
      <c r="JP711" s="77"/>
      <c r="JQ711" s="77"/>
      <c r="JR711" s="77"/>
      <c r="JS711" s="77"/>
      <c r="JT711" s="77"/>
      <c r="JU711" s="77"/>
      <c r="JV711" s="77"/>
      <c r="JW711" s="77"/>
      <c r="JX711" s="77"/>
      <c r="JY711" s="77"/>
      <c r="JZ711" s="77"/>
      <c r="KA711" s="77"/>
      <c r="KB711" s="77"/>
      <c r="KC711" s="77"/>
      <c r="KD711" s="77"/>
      <c r="KE711" s="77"/>
      <c r="KF711" s="77"/>
      <c r="KG711" s="77"/>
      <c r="KH711" s="77"/>
      <c r="KI711" s="77"/>
      <c r="KJ711" s="77"/>
      <c r="KK711" s="77"/>
      <c r="KL711" s="77"/>
      <c r="LL711" s="77"/>
      <c r="LM711" s="77"/>
      <c r="LN711" s="77"/>
      <c r="LO711" s="77"/>
      <c r="LP711" s="77"/>
      <c r="LQ711" s="77"/>
      <c r="LR711" s="77"/>
      <c r="LS711" s="77"/>
      <c r="LT711" s="77"/>
      <c r="LU711" s="77"/>
      <c r="LV711" s="77"/>
      <c r="MS711" s="77"/>
    </row>
    <row r="712" spans="1:421" s="21" customFormat="1" ht="18.600000000000001" customHeight="1" x14ac:dyDescent="0.25">
      <c r="A712" s="119" t="s">
        <v>22</v>
      </c>
      <c r="B712" s="27" t="s">
        <v>2830</v>
      </c>
      <c r="C712" s="27"/>
      <c r="D712" s="30" t="str">
        <f>HYPERLINK("https://twitter.com/CathySambaPanza","https://twitter.com/CathySambaPanza")</f>
        <v>https://twitter.com/CathySambaPanza</v>
      </c>
      <c r="E712" s="30" t="s">
        <v>819</v>
      </c>
      <c r="F712" s="20" t="s">
        <v>1</v>
      </c>
      <c r="G712" s="10" t="s">
        <v>21</v>
      </c>
      <c r="H712" s="10" t="s">
        <v>772</v>
      </c>
      <c r="I712" s="10" t="s">
        <v>773</v>
      </c>
      <c r="J712" s="27" t="s">
        <v>779</v>
      </c>
      <c r="K712" s="15" t="s">
        <v>4617</v>
      </c>
      <c r="L712" s="10" t="s">
        <v>771</v>
      </c>
      <c r="M712" s="10" t="s">
        <v>770</v>
      </c>
      <c r="N712" s="30" t="str">
        <f>HYPERLINK("https://twitter.com/CathySambaPanza/status/434638990474354690","https://twitter.com/CathySambaPanza/status/434638990474354690")</f>
        <v>https://twitter.com/CathySambaPanza/status/434638990474354690</v>
      </c>
      <c r="O712" s="27" t="s">
        <v>5779</v>
      </c>
      <c r="P712" s="80">
        <v>6</v>
      </c>
      <c r="Q712" s="80">
        <v>2</v>
      </c>
      <c r="R712" s="27" t="s">
        <v>2995</v>
      </c>
      <c r="S712" s="30" t="str">
        <f>HYPERLINK("https://twitter.com/CathySambaPanza/lists","https://twitter.com/CathySambaPanza/lists")</f>
        <v>https://twitter.com/CathySambaPanza/lists</v>
      </c>
      <c r="T712" s="10" t="s">
        <v>771</v>
      </c>
      <c r="U712" s="10" t="s">
        <v>771</v>
      </c>
      <c r="V712" s="10" t="s">
        <v>771</v>
      </c>
      <c r="W712" s="10"/>
      <c r="X712" s="27" t="s">
        <v>22</v>
      </c>
      <c r="Y712" s="27" t="s">
        <v>2830</v>
      </c>
      <c r="Z712" s="80">
        <v>20</v>
      </c>
      <c r="AA712" s="27">
        <v>87</v>
      </c>
      <c r="AB712" s="80">
        <v>500</v>
      </c>
      <c r="AC712" s="27">
        <v>0</v>
      </c>
      <c r="AD712" s="27" t="s">
        <v>3576</v>
      </c>
      <c r="AE712" s="27">
        <v>2232713850</v>
      </c>
      <c r="AF712" s="27"/>
      <c r="AG712" s="27" t="s">
        <v>2831</v>
      </c>
      <c r="AH712" s="79">
        <v>2.2779043280182199E-2</v>
      </c>
      <c r="AI712" s="83">
        <v>5.4794520547945202E-2</v>
      </c>
      <c r="AJ712" s="80">
        <v>1.1499999999999999</v>
      </c>
      <c r="AK712" s="80">
        <v>1</v>
      </c>
      <c r="AL712" s="13">
        <v>0</v>
      </c>
      <c r="AM712" s="97">
        <f>SUM(AL712/Z712)</f>
        <v>0</v>
      </c>
      <c r="AN712" s="27" t="s">
        <v>22</v>
      </c>
      <c r="AO712" s="27">
        <v>2</v>
      </c>
      <c r="AP712" s="27">
        <v>1</v>
      </c>
      <c r="AQ712" s="27">
        <v>0</v>
      </c>
      <c r="AR712" s="27">
        <f>SUM(AO712:AQ712)</f>
        <v>3</v>
      </c>
      <c r="AS712" s="27" t="s">
        <v>5066</v>
      </c>
      <c r="AT712" s="27" t="s">
        <v>23</v>
      </c>
      <c r="AU712" s="84"/>
      <c r="AV712" s="77"/>
      <c r="AW712" s="77"/>
      <c r="AX712" s="77"/>
      <c r="AY712" s="77"/>
      <c r="AZ712" s="77"/>
      <c r="BA712" s="77"/>
      <c r="BB712" s="77"/>
      <c r="BC712" s="77"/>
      <c r="BD712" s="77"/>
      <c r="BE712" s="77"/>
      <c r="BF712" s="77"/>
      <c r="BG712" s="77"/>
      <c r="BH712" s="77"/>
      <c r="BI712" s="77"/>
      <c r="BJ712" s="77"/>
      <c r="BK712" s="77"/>
      <c r="BL712" s="77"/>
      <c r="BM712" s="77"/>
      <c r="BN712" s="77"/>
      <c r="BO712" s="77"/>
      <c r="BP712" s="77"/>
      <c r="BQ712" s="77"/>
      <c r="BR712" s="77"/>
      <c r="BS712" s="77"/>
      <c r="BT712" s="77"/>
      <c r="BU712" s="77"/>
      <c r="BV712" s="77"/>
      <c r="BW712" s="77"/>
      <c r="BX712" s="77"/>
      <c r="BY712" s="77"/>
      <c r="BZ712" s="77"/>
      <c r="CA712" s="77"/>
      <c r="CB712" s="77"/>
      <c r="CC712" s="77"/>
      <c r="CD712" s="77"/>
      <c r="CE712" s="77"/>
      <c r="CF712" s="77"/>
      <c r="CG712" s="77"/>
      <c r="CH712" s="77"/>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7"/>
      <c r="DV712" s="77"/>
      <c r="DW712" s="77"/>
      <c r="DX712" s="77"/>
      <c r="DY712" s="77"/>
      <c r="DZ712" s="77"/>
      <c r="EA712" s="77"/>
      <c r="EB712" s="77"/>
      <c r="EC712" s="77"/>
      <c r="ED712" s="77"/>
      <c r="EE712" s="77"/>
      <c r="EF712" s="77"/>
      <c r="EG712" s="77"/>
      <c r="EH712" s="77"/>
      <c r="EI712" s="77"/>
      <c r="EJ712" s="77"/>
      <c r="EK712" s="77"/>
      <c r="EL712" s="77"/>
      <c r="EM712" s="16"/>
      <c r="EN712" s="16"/>
      <c r="EO712" s="16"/>
      <c r="EP712" s="77"/>
      <c r="EQ712" s="77"/>
      <c r="ER712" s="77"/>
      <c r="ES712" s="77"/>
      <c r="ET712" s="77"/>
      <c r="EU712" s="77"/>
      <c r="EV712" s="77"/>
      <c r="EW712" s="77"/>
      <c r="EX712" s="77"/>
      <c r="EY712" s="77"/>
      <c r="EZ712" s="77"/>
      <c r="FA712" s="77"/>
      <c r="FB712" s="77"/>
      <c r="FC712" s="77"/>
      <c r="FD712" s="77"/>
      <c r="FE712" s="77"/>
      <c r="FF712" s="77"/>
      <c r="FG712" s="77"/>
      <c r="FH712" s="77"/>
      <c r="FI712" s="77"/>
      <c r="FJ712" s="77"/>
      <c r="FK712" s="77"/>
      <c r="FL712" s="77"/>
      <c r="FM712" s="77"/>
      <c r="FN712" s="77"/>
      <c r="FO712" s="77"/>
      <c r="FP712" s="77"/>
      <c r="FQ712" s="77"/>
      <c r="FR712" s="77"/>
      <c r="FS712" s="77"/>
      <c r="FT712" s="77"/>
      <c r="FU712" s="77"/>
      <c r="FV712" s="77"/>
      <c r="FW712" s="77"/>
      <c r="FX712" s="77"/>
      <c r="FY712" s="77"/>
      <c r="FZ712" s="77"/>
      <c r="GA712" s="77"/>
      <c r="GB712" s="77"/>
      <c r="GC712" s="77"/>
      <c r="GD712" s="77"/>
      <c r="GE712" s="77"/>
      <c r="GF712" s="77"/>
      <c r="GG712" s="77"/>
      <c r="GH712" s="77"/>
      <c r="GI712" s="77"/>
      <c r="GJ712" s="77"/>
      <c r="GK712" s="77"/>
      <c r="HL712" s="77"/>
      <c r="HM712" s="77"/>
      <c r="HN712" s="77"/>
      <c r="HO712" s="77"/>
      <c r="HP712" s="77"/>
      <c r="HQ712" s="77"/>
      <c r="HR712" s="77"/>
      <c r="HS712" s="77"/>
      <c r="HT712" s="77"/>
      <c r="HU712" s="77"/>
      <c r="HV712" s="77"/>
      <c r="HW712" s="77"/>
      <c r="HX712" s="77"/>
      <c r="HY712" s="77"/>
      <c r="HZ712" s="77"/>
      <c r="IA712" s="77"/>
      <c r="IB712" s="77"/>
      <c r="IC712" s="77"/>
      <c r="ID712" s="77"/>
      <c r="IE712" s="77"/>
      <c r="IF712" s="77"/>
      <c r="IG712" s="77"/>
      <c r="IH712" s="77"/>
      <c r="II712" s="77"/>
      <c r="IJ712" s="77"/>
      <c r="IK712" s="77"/>
      <c r="IL712" s="77"/>
      <c r="IM712" s="77"/>
      <c r="IN712" s="77"/>
      <c r="IO712" s="77"/>
      <c r="IP712" s="77"/>
      <c r="IQ712" s="77"/>
      <c r="IR712" s="77"/>
      <c r="IS712" s="77"/>
      <c r="IT712" s="77"/>
      <c r="IU712" s="77"/>
      <c r="IV712" s="77"/>
      <c r="IW712" s="77"/>
      <c r="IX712" s="77"/>
      <c r="IY712" s="77"/>
      <c r="IZ712" s="77"/>
      <c r="JA712" s="77"/>
      <c r="JB712" s="77"/>
      <c r="JC712" s="77"/>
      <c r="JD712" s="77"/>
      <c r="JE712" s="77"/>
      <c r="JF712" s="77"/>
      <c r="JG712" s="77"/>
      <c r="JH712" s="77"/>
      <c r="JI712" s="77"/>
      <c r="JJ712" s="77"/>
      <c r="JK712" s="77"/>
      <c r="JL712" s="77"/>
      <c r="JM712" s="77"/>
      <c r="JN712" s="77"/>
      <c r="JO712" s="77"/>
      <c r="JP712" s="77"/>
      <c r="JQ712" s="77"/>
      <c r="JR712" s="77"/>
      <c r="JS712" s="77"/>
      <c r="JT712" s="77"/>
      <c r="JU712" s="77"/>
      <c r="JV712" s="77"/>
      <c r="JW712" s="77"/>
      <c r="JX712" s="77"/>
      <c r="JY712" s="77"/>
      <c r="JZ712" s="77"/>
      <c r="KA712" s="77"/>
      <c r="KB712" s="77"/>
      <c r="KC712" s="77"/>
      <c r="KD712" s="77"/>
      <c r="KE712" s="77"/>
      <c r="KF712" s="77"/>
      <c r="KG712" s="77"/>
      <c r="KH712" s="77"/>
      <c r="KI712" s="77"/>
      <c r="KJ712" s="77"/>
      <c r="KK712" s="77"/>
      <c r="KL712" s="77"/>
      <c r="KM712" s="77"/>
      <c r="KN712" s="77"/>
      <c r="KO712" s="77"/>
      <c r="KP712" s="77"/>
      <c r="KQ712" s="77"/>
      <c r="KR712" s="77"/>
      <c r="KS712" s="77"/>
      <c r="KT712" s="77"/>
      <c r="KU712" s="77"/>
      <c r="KV712" s="77"/>
      <c r="KW712" s="77"/>
      <c r="KX712" s="77"/>
      <c r="KY712" s="77"/>
      <c r="KZ712" s="77"/>
      <c r="LA712" s="77"/>
      <c r="LB712" s="77"/>
      <c r="LC712" s="77"/>
      <c r="LD712" s="77"/>
      <c r="LE712" s="77"/>
      <c r="LF712" s="77"/>
      <c r="LG712" s="77"/>
      <c r="LH712" s="77"/>
      <c r="LI712" s="77"/>
      <c r="LJ712" s="77"/>
      <c r="LK712" s="77"/>
      <c r="MS712" s="77"/>
    </row>
    <row r="713" spans="1:421" s="21" customFormat="1" ht="18.600000000000001" customHeight="1" x14ac:dyDescent="0.25">
      <c r="A713" s="119" t="s">
        <v>3331</v>
      </c>
      <c r="B713" s="27" t="s">
        <v>3774</v>
      </c>
      <c r="C713" s="27"/>
      <c r="D713" s="30" t="s">
        <v>3330</v>
      </c>
      <c r="E713" s="19" t="s">
        <v>3347</v>
      </c>
      <c r="F713" s="10" t="s">
        <v>668</v>
      </c>
      <c r="G713" s="10" t="s">
        <v>715</v>
      </c>
      <c r="H713" s="10" t="s">
        <v>788</v>
      </c>
      <c r="I713" s="10" t="s">
        <v>782</v>
      </c>
      <c r="J713" s="27" t="s">
        <v>789</v>
      </c>
      <c r="K713" s="13" t="s">
        <v>777</v>
      </c>
      <c r="L713" s="10"/>
      <c r="M713" s="10"/>
      <c r="N713" s="30" t="s">
        <v>3396</v>
      </c>
      <c r="O713" s="27" t="s">
        <v>5843</v>
      </c>
      <c r="P713" s="80">
        <v>1</v>
      </c>
      <c r="Q713" s="80">
        <v>2</v>
      </c>
      <c r="R713" s="27" t="s">
        <v>2995</v>
      </c>
      <c r="S713" s="12" t="s">
        <v>3415</v>
      </c>
      <c r="T713" s="10" t="s">
        <v>771</v>
      </c>
      <c r="U713" s="10" t="s">
        <v>771</v>
      </c>
      <c r="V713" s="10" t="s">
        <v>771</v>
      </c>
      <c r="W713" s="10"/>
      <c r="X713" s="27" t="s">
        <v>3331</v>
      </c>
      <c r="Y713" s="27" t="s">
        <v>3774</v>
      </c>
      <c r="Z713" s="80">
        <v>20</v>
      </c>
      <c r="AA713" s="27">
        <v>3</v>
      </c>
      <c r="AB713" s="80">
        <v>28</v>
      </c>
      <c r="AC713" s="27">
        <v>0</v>
      </c>
      <c r="AD713" s="27" t="s">
        <v>3775</v>
      </c>
      <c r="AE713" s="27">
        <v>3293206373</v>
      </c>
      <c r="AF713" s="27"/>
      <c r="AG713" s="27"/>
      <c r="AH713" s="79">
        <v>5.7636887608069197E-2</v>
      </c>
      <c r="AI713" s="83">
        <v>0.114942528735632</v>
      </c>
      <c r="AJ713" s="80">
        <v>0.15</v>
      </c>
      <c r="AK713" s="80">
        <v>0.25</v>
      </c>
      <c r="AL713" s="27">
        <v>2</v>
      </c>
      <c r="AM713" s="97">
        <f>SUM(AL713/Z713)</f>
        <v>0.1</v>
      </c>
      <c r="AN713" s="27" t="s">
        <v>3331</v>
      </c>
      <c r="AO713" s="27">
        <v>0</v>
      </c>
      <c r="AP713" s="27">
        <v>1</v>
      </c>
      <c r="AQ713" s="27">
        <v>0</v>
      </c>
      <c r="AR713" s="27">
        <f>SUM(AO713:AQ713)</f>
        <v>1</v>
      </c>
      <c r="AS713" s="27"/>
      <c r="AT713" s="27" t="s">
        <v>705</v>
      </c>
      <c r="AU713" s="84"/>
      <c r="AV713" s="77"/>
      <c r="AW713" s="77"/>
      <c r="AX713" s="77"/>
      <c r="AY713" s="77"/>
      <c r="AZ713" s="77"/>
      <c r="BA713" s="77"/>
      <c r="BB713" s="77"/>
      <c r="BC713" s="77"/>
      <c r="BD713" s="77"/>
      <c r="BE713" s="77"/>
      <c r="BF713" s="77"/>
      <c r="BG713" s="77"/>
      <c r="BH713" s="77"/>
      <c r="BI713" s="77"/>
      <c r="BJ713" s="77"/>
      <c r="BK713" s="77"/>
      <c r="BL713" s="77"/>
      <c r="BM713" s="70"/>
      <c r="BN713" s="70"/>
      <c r="BO713" s="70"/>
      <c r="BP713" s="70"/>
      <c r="BQ713" s="77"/>
      <c r="BR713" s="77"/>
      <c r="BS713" s="77"/>
      <c r="BT713" s="77"/>
      <c r="BU713" s="77"/>
      <c r="BV713" s="77"/>
      <c r="BW713" s="77"/>
      <c r="BX713" s="77"/>
      <c r="BY713" s="77"/>
      <c r="BZ713" s="77"/>
      <c r="CA713" s="77"/>
      <c r="CB713" s="77"/>
      <c r="CC713" s="77"/>
      <c r="CD713" s="77"/>
      <c r="CE713" s="77"/>
      <c r="CF713" s="77"/>
      <c r="CG713" s="77"/>
      <c r="CH713" s="77"/>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7"/>
      <c r="DV713" s="77"/>
      <c r="DW713" s="77"/>
      <c r="DX713" s="77"/>
      <c r="DY713" s="77"/>
      <c r="DZ713" s="77"/>
      <c r="EA713" s="77"/>
      <c r="EB713" s="77"/>
      <c r="EC713" s="77"/>
      <c r="ED713" s="77"/>
      <c r="EE713" s="77"/>
      <c r="EF713" s="77"/>
      <c r="EG713" s="77"/>
      <c r="EH713" s="77"/>
      <c r="EI713" s="77"/>
      <c r="EJ713" s="77"/>
      <c r="EK713" s="77"/>
      <c r="EL713" s="77"/>
      <c r="EQ713" s="77"/>
      <c r="ER713" s="77"/>
      <c r="ES713" s="77"/>
      <c r="ET713" s="77"/>
      <c r="EU713" s="77"/>
      <c r="EV713" s="77"/>
      <c r="EW713" s="77"/>
      <c r="EX713" s="77"/>
      <c r="EY713" s="77"/>
      <c r="EZ713" s="77"/>
      <c r="FA713" s="77"/>
      <c r="FB713" s="77"/>
      <c r="FC713" s="77"/>
      <c r="FD713" s="77"/>
      <c r="FE713" s="77"/>
      <c r="FF713" s="77"/>
      <c r="FG713" s="77"/>
      <c r="FH713" s="77"/>
      <c r="FI713" s="77"/>
      <c r="FJ713" s="77"/>
      <c r="FK713" s="77"/>
      <c r="FL713" s="77"/>
      <c r="FM713" s="77"/>
      <c r="FN713" s="77"/>
      <c r="FO713" s="77"/>
      <c r="FP713" s="77"/>
      <c r="FQ713" s="77"/>
      <c r="FR713" s="77"/>
      <c r="FS713" s="77"/>
      <c r="FT713" s="77"/>
      <c r="FU713" s="77"/>
      <c r="FV713" s="77"/>
      <c r="FW713" s="77"/>
      <c r="FX713" s="77"/>
      <c r="FY713" s="77"/>
      <c r="FZ713" s="77"/>
      <c r="GA713" s="77"/>
      <c r="GB713" s="77"/>
      <c r="GC713" s="77"/>
      <c r="GD713" s="77"/>
      <c r="GE713" s="77"/>
      <c r="GF713" s="77"/>
      <c r="GG713" s="77"/>
      <c r="GH713" s="77"/>
      <c r="GI713" s="77"/>
      <c r="GJ713" s="77"/>
      <c r="GK713" s="77"/>
      <c r="HL713" s="77"/>
      <c r="HM713" s="77"/>
      <c r="HN713" s="77"/>
      <c r="HO713" s="77"/>
      <c r="HP713" s="77"/>
      <c r="HQ713" s="77"/>
      <c r="HR713" s="77"/>
      <c r="HS713" s="77"/>
      <c r="HT713" s="77"/>
      <c r="HU713" s="77"/>
      <c r="HV713" s="77"/>
      <c r="HW713" s="77"/>
      <c r="HX713" s="77"/>
      <c r="HY713" s="77"/>
      <c r="HZ713" s="77"/>
      <c r="IA713" s="77"/>
      <c r="IB713" s="77"/>
      <c r="IC713" s="77"/>
      <c r="ID713" s="77"/>
      <c r="IE713" s="77"/>
      <c r="IF713" s="77"/>
      <c r="IG713" s="77"/>
      <c r="IH713" s="77"/>
      <c r="II713" s="77"/>
      <c r="IJ713" s="77"/>
      <c r="IK713" s="77"/>
      <c r="IL713" s="77"/>
      <c r="IM713" s="77"/>
      <c r="IN713" s="77"/>
      <c r="IO713" s="77"/>
      <c r="IP713" s="77"/>
      <c r="IQ713" s="77"/>
      <c r="IR713" s="77"/>
      <c r="IS713" s="77"/>
      <c r="IT713" s="77"/>
      <c r="IU713" s="77"/>
      <c r="IV713" s="77"/>
      <c r="IW713" s="77"/>
      <c r="IX713" s="77"/>
      <c r="IY713" s="77"/>
      <c r="IZ713" s="77"/>
      <c r="JA713" s="77"/>
      <c r="JB713" s="77"/>
      <c r="JC713" s="77"/>
      <c r="JD713" s="77"/>
      <c r="JE713" s="77"/>
      <c r="JF713" s="77"/>
      <c r="JG713" s="77"/>
      <c r="JH713" s="77"/>
      <c r="JI713" s="77"/>
      <c r="JJ713" s="77"/>
      <c r="JK713" s="77"/>
      <c r="JL713" s="77"/>
      <c r="JM713" s="77"/>
      <c r="JN713" s="77"/>
      <c r="JO713" s="77"/>
      <c r="JP713" s="77"/>
      <c r="JQ713" s="77"/>
      <c r="JR713" s="77"/>
      <c r="JS713" s="77"/>
      <c r="JT713" s="77"/>
      <c r="JU713" s="77"/>
      <c r="JV713" s="77"/>
      <c r="JW713" s="77"/>
      <c r="JX713" s="77"/>
      <c r="JY713" s="16"/>
      <c r="JZ713" s="16"/>
      <c r="KA713" s="16"/>
      <c r="KB713" s="16"/>
      <c r="KC713" s="16"/>
      <c r="KD713" s="16"/>
      <c r="KE713" s="16"/>
      <c r="KF713" s="16"/>
      <c r="KG713" s="16"/>
      <c r="KH713" s="16"/>
      <c r="KI713" s="16"/>
      <c r="KJ713" s="16"/>
      <c r="KK713" s="16"/>
      <c r="KL713" s="16"/>
    </row>
    <row r="714" spans="1:421" s="21" customFormat="1" ht="18.600000000000001" customHeight="1" x14ac:dyDescent="0.25">
      <c r="A714" s="119" t="s">
        <v>2858</v>
      </c>
      <c r="B714" s="27" t="s">
        <v>2859</v>
      </c>
      <c r="C714" s="27" t="s">
        <v>6452</v>
      </c>
      <c r="D714" s="30" t="str">
        <f>HYPERLINK("https://twitter.com/Secradjib","https://twitter.com/Secradjib")</f>
        <v>https://twitter.com/Secradjib</v>
      </c>
      <c r="E714" s="30" t="str">
        <f>HYPERLINK("http://twiplomacy.com/info/africa/Djibouti","http://twiplomacy.com/info/africa/Djibouti")</f>
        <v>http://twiplomacy.com/info/africa/Djibouti</v>
      </c>
      <c r="F714" s="38" t="s">
        <v>1</v>
      </c>
      <c r="G714" s="14" t="s">
        <v>31</v>
      </c>
      <c r="H714" s="14" t="s">
        <v>788</v>
      </c>
      <c r="I714" s="14" t="s">
        <v>782</v>
      </c>
      <c r="J714" s="27" t="s">
        <v>789</v>
      </c>
      <c r="K714" s="14" t="s">
        <v>766</v>
      </c>
      <c r="L714" s="14" t="s">
        <v>771</v>
      </c>
      <c r="M714" s="14" t="s">
        <v>770</v>
      </c>
      <c r="N714" s="14"/>
      <c r="O714" s="13"/>
      <c r="P714" s="81"/>
      <c r="Q714" s="81"/>
      <c r="R714" s="27" t="s">
        <v>2995</v>
      </c>
      <c r="S714" s="30" t="str">
        <f>HYPERLINK("https://twitter.com/Secradjib/lists","https://twitter.com/Secradjib/lists")</f>
        <v>https://twitter.com/Secradjib/lists</v>
      </c>
      <c r="T714" s="10" t="s">
        <v>771</v>
      </c>
      <c r="U714" s="10" t="s">
        <v>771</v>
      </c>
      <c r="V714" s="10" t="s">
        <v>771</v>
      </c>
      <c r="W714" s="14"/>
      <c r="X714" s="27" t="s">
        <v>2858</v>
      </c>
      <c r="Y714" s="27" t="s">
        <v>2859</v>
      </c>
      <c r="Z714" s="80">
        <v>19</v>
      </c>
      <c r="AA714" s="27">
        <v>25</v>
      </c>
      <c r="AB714" s="80">
        <v>5</v>
      </c>
      <c r="AC714" s="27">
        <v>0</v>
      </c>
      <c r="AD714" s="27" t="s">
        <v>4466</v>
      </c>
      <c r="AE714" s="27">
        <v>2996340137</v>
      </c>
      <c r="AF714" s="27" t="s">
        <v>6452</v>
      </c>
      <c r="AG714" s="27"/>
      <c r="AH714" s="79"/>
      <c r="AI714" s="79"/>
      <c r="AJ714" s="79"/>
      <c r="AK714" s="79"/>
      <c r="AL714" s="13">
        <v>0</v>
      </c>
      <c r="AM714" s="99">
        <f>SUM(AL714/Z714)</f>
        <v>0</v>
      </c>
      <c r="AN714" s="27" t="s">
        <v>2858</v>
      </c>
      <c r="AO714" s="27">
        <v>0</v>
      </c>
      <c r="AP714" s="27">
        <v>0</v>
      </c>
      <c r="AQ714" s="27">
        <v>0</v>
      </c>
      <c r="AR714" s="27">
        <f>SUM(AO714:AQ714)</f>
        <v>0</v>
      </c>
      <c r="AS714" s="27"/>
      <c r="AT714" s="27"/>
      <c r="AU714" s="84"/>
      <c r="AV714" s="77"/>
      <c r="AW714" s="77"/>
      <c r="AX714" s="77"/>
      <c r="AY714" s="77"/>
      <c r="AZ714" s="77"/>
      <c r="BA714" s="77"/>
      <c r="BB714" s="77"/>
      <c r="BC714" s="77"/>
      <c r="BD714" s="77"/>
      <c r="BE714" s="77"/>
      <c r="BF714" s="77"/>
      <c r="BG714" s="77"/>
      <c r="BH714" s="77"/>
      <c r="BI714" s="77"/>
      <c r="BJ714" s="77"/>
      <c r="BK714" s="77"/>
      <c r="BL714" s="77"/>
      <c r="BM714" s="77"/>
      <c r="BN714" s="77"/>
      <c r="BO714" s="77"/>
      <c r="BP714" s="77"/>
      <c r="BQ714" s="77"/>
      <c r="BR714" s="77"/>
      <c r="BS714" s="77"/>
      <c r="BT714" s="77"/>
      <c r="BU714" s="77"/>
      <c r="BV714" s="77"/>
      <c r="BW714" s="77"/>
      <c r="BX714" s="77"/>
      <c r="BY714" s="77"/>
      <c r="BZ714" s="77"/>
      <c r="CA714" s="77"/>
      <c r="CB714" s="77"/>
      <c r="CC714" s="77"/>
      <c r="CD714" s="77"/>
      <c r="CE714" s="77"/>
      <c r="CF714" s="77"/>
      <c r="CG714" s="77"/>
      <c r="CH714" s="77"/>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7"/>
      <c r="DV714" s="77"/>
      <c r="DW714" s="77"/>
      <c r="DX714" s="77"/>
      <c r="DY714" s="77"/>
      <c r="DZ714" s="77"/>
      <c r="EA714" s="77"/>
      <c r="EB714" s="77"/>
      <c r="EC714" s="77"/>
      <c r="ED714" s="77"/>
      <c r="EE714" s="77"/>
      <c r="EF714" s="77"/>
      <c r="EG714" s="77"/>
      <c r="EH714" s="77"/>
      <c r="EI714" s="77"/>
      <c r="EJ714" s="77"/>
      <c r="EK714" s="77"/>
      <c r="EL714" s="77"/>
      <c r="EM714" s="77"/>
      <c r="EN714" s="77"/>
      <c r="EO714" s="77"/>
      <c r="EP714" s="77"/>
      <c r="EQ714" s="77"/>
      <c r="ER714" s="77"/>
      <c r="ES714" s="77"/>
      <c r="ET714" s="77"/>
      <c r="EU714" s="77"/>
      <c r="EV714" s="77"/>
      <c r="EW714" s="77"/>
      <c r="EX714" s="77"/>
      <c r="EY714" s="77"/>
      <c r="EZ714" s="77"/>
      <c r="FA714" s="77"/>
      <c r="FB714" s="77"/>
      <c r="FC714" s="77"/>
      <c r="FD714" s="77"/>
      <c r="FE714" s="77"/>
      <c r="FF714" s="77"/>
      <c r="FG714" s="77"/>
      <c r="FH714" s="77"/>
      <c r="FI714" s="77"/>
      <c r="FJ714" s="77"/>
      <c r="FK714" s="77"/>
      <c r="FL714" s="77"/>
      <c r="FM714" s="77"/>
      <c r="FN714" s="77"/>
      <c r="FO714" s="77"/>
      <c r="FP714" s="77"/>
      <c r="FQ714" s="77"/>
      <c r="FR714" s="77"/>
      <c r="FS714" s="77"/>
      <c r="FT714" s="77"/>
      <c r="FU714" s="77"/>
      <c r="FV714" s="77"/>
      <c r="FW714" s="77"/>
      <c r="FX714" s="77"/>
      <c r="FY714" s="77"/>
      <c r="FZ714" s="77"/>
      <c r="GA714" s="77"/>
      <c r="GB714" s="77"/>
      <c r="GC714" s="77"/>
      <c r="GD714" s="77"/>
      <c r="GE714" s="77"/>
      <c r="GF714" s="77"/>
      <c r="GG714" s="77"/>
      <c r="GH714" s="77"/>
      <c r="GI714" s="77"/>
      <c r="GJ714" s="77"/>
      <c r="GK714" s="77"/>
      <c r="ID714" s="77"/>
      <c r="IE714" s="77"/>
      <c r="IF714" s="77"/>
      <c r="IG714" s="77"/>
      <c r="IH714" s="77"/>
      <c r="II714" s="77"/>
      <c r="IJ714" s="77"/>
      <c r="IK714" s="77"/>
      <c r="IL714" s="77"/>
      <c r="IM714" s="77"/>
      <c r="IN714" s="77"/>
      <c r="IO714" s="77"/>
      <c r="IP714" s="77"/>
      <c r="IQ714" s="77"/>
      <c r="IR714" s="77"/>
      <c r="IS714" s="77"/>
      <c r="IT714" s="77"/>
      <c r="IU714" s="77"/>
      <c r="IV714" s="77"/>
      <c r="IW714" s="77"/>
      <c r="IX714" s="77"/>
      <c r="IY714" s="77"/>
      <c r="IZ714" s="77"/>
      <c r="JA714" s="77"/>
      <c r="JB714" s="77"/>
      <c r="JC714" s="77"/>
      <c r="JD714" s="77"/>
      <c r="JE714" s="77"/>
      <c r="JF714" s="77"/>
      <c r="JG714" s="77"/>
      <c r="JH714" s="77"/>
      <c r="JI714" s="77"/>
      <c r="JJ714" s="77"/>
      <c r="JK714" s="77"/>
      <c r="JL714" s="77"/>
      <c r="JM714" s="77"/>
      <c r="JN714" s="77"/>
      <c r="JO714" s="77"/>
      <c r="JP714" s="77"/>
      <c r="JQ714" s="77"/>
      <c r="JR714" s="77"/>
      <c r="JS714" s="77"/>
      <c r="JT714" s="77"/>
      <c r="JU714" s="77"/>
      <c r="JV714" s="77"/>
      <c r="JW714" s="77"/>
      <c r="JX714" s="77"/>
      <c r="LL714" s="77"/>
      <c r="LM714" s="77"/>
      <c r="LN714" s="77"/>
      <c r="LO714" s="77"/>
      <c r="LP714" s="77"/>
      <c r="LQ714" s="77"/>
      <c r="LR714" s="77"/>
      <c r="LS714" s="77"/>
      <c r="LT714" s="77"/>
      <c r="LU714" s="77"/>
      <c r="LV714" s="77"/>
      <c r="LW714" s="77"/>
      <c r="LX714" s="77"/>
    </row>
    <row r="715" spans="1:421" s="68" customFormat="1" ht="18.600000000000001" customHeight="1" x14ac:dyDescent="0.25">
      <c r="A715" s="119" t="s">
        <v>160</v>
      </c>
      <c r="B715" s="27" t="s">
        <v>1197</v>
      </c>
      <c r="C715" s="27" t="s">
        <v>1198</v>
      </c>
      <c r="D715" s="30" t="str">
        <f>HYPERLINK("https://twitter.com/PresidentAM_arm","https://twitter.com/PresidentAM_arm")</f>
        <v>https://twitter.com/PresidentAM_arm</v>
      </c>
      <c r="E715" s="30" t="str">
        <f>HYPERLINK("http://twiplomacy.com/info/asia/Armenia","http://twiplomacy.com/info/asia/Armenia")</f>
        <v>http://twiplomacy.com/info/asia/Armenia</v>
      </c>
      <c r="F715" s="10" t="s">
        <v>154</v>
      </c>
      <c r="G715" s="10" t="s">
        <v>159</v>
      </c>
      <c r="H715" s="10" t="s">
        <v>781</v>
      </c>
      <c r="I715" s="10" t="s">
        <v>782</v>
      </c>
      <c r="J715" s="27" t="s">
        <v>789</v>
      </c>
      <c r="K715" s="15" t="s">
        <v>1199</v>
      </c>
      <c r="L715" s="10" t="s">
        <v>771</v>
      </c>
      <c r="M715" s="10" t="s">
        <v>771</v>
      </c>
      <c r="N715" s="30" t="str">
        <f>HYPERLINK("https://twitter.com/PresidentAM_arm/statuses/245862931328270337","https://twitter.com/PresidentAM_arm/statuses/245862931328270337")</f>
        <v>https://twitter.com/PresidentAM_arm/statuses/245862931328270337</v>
      </c>
      <c r="O715" s="27" t="s">
        <v>1200</v>
      </c>
      <c r="P715" s="80">
        <v>4</v>
      </c>
      <c r="Q715" s="80">
        <v>5</v>
      </c>
      <c r="R715" s="27" t="s">
        <v>2995</v>
      </c>
      <c r="S715" s="10" t="s">
        <v>1201</v>
      </c>
      <c r="T715" s="10" t="s">
        <v>771</v>
      </c>
      <c r="U715" s="10" t="s">
        <v>771</v>
      </c>
      <c r="V715" s="10" t="s">
        <v>771</v>
      </c>
      <c r="W715" s="10"/>
      <c r="X715" s="27" t="s">
        <v>160</v>
      </c>
      <c r="Y715" s="27" t="s">
        <v>1197</v>
      </c>
      <c r="Z715" s="80">
        <v>19</v>
      </c>
      <c r="AA715" s="27">
        <v>4</v>
      </c>
      <c r="AB715" s="80">
        <v>556</v>
      </c>
      <c r="AC715" s="27">
        <v>0</v>
      </c>
      <c r="AD715" s="27" t="s">
        <v>4352</v>
      </c>
      <c r="AE715" s="27">
        <v>545885877</v>
      </c>
      <c r="AF715" s="27" t="s">
        <v>1198</v>
      </c>
      <c r="AG715" s="27" t="s">
        <v>1202</v>
      </c>
      <c r="AH715" s="79">
        <v>1.27688172043011E-2</v>
      </c>
      <c r="AI715" s="83">
        <v>4.27927927927928E-2</v>
      </c>
      <c r="AJ715" s="80">
        <v>0.78947368421052599</v>
      </c>
      <c r="AK715" s="80">
        <v>0.89473684210526305</v>
      </c>
      <c r="AL715" s="13">
        <v>0</v>
      </c>
      <c r="AM715" s="97">
        <f>SUM(AL715/Z715)</f>
        <v>0</v>
      </c>
      <c r="AN715" s="27" t="s">
        <v>160</v>
      </c>
      <c r="AO715" s="27">
        <v>0</v>
      </c>
      <c r="AP715" s="27">
        <v>4</v>
      </c>
      <c r="AQ715" s="27">
        <v>3</v>
      </c>
      <c r="AR715" s="27">
        <f>SUM(AO715:AQ715)</f>
        <v>7</v>
      </c>
      <c r="AS715" s="27"/>
      <c r="AT715" s="27" t="s">
        <v>5436</v>
      </c>
      <c r="AU715" s="84" t="s">
        <v>4919</v>
      </c>
      <c r="AV715" s="77"/>
      <c r="AW715" s="77"/>
      <c r="AX715" s="77"/>
      <c r="AY715" s="77"/>
      <c r="AZ715" s="77"/>
      <c r="BA715" s="77"/>
      <c r="BB715" s="77"/>
      <c r="BC715" s="77"/>
      <c r="BD715" s="77"/>
      <c r="BE715" s="77"/>
      <c r="BF715" s="77"/>
      <c r="BG715" s="77"/>
      <c r="BH715" s="77"/>
      <c r="BI715" s="77"/>
      <c r="BJ715" s="77"/>
      <c r="BK715" s="77"/>
      <c r="BL715" s="77"/>
      <c r="BM715" s="77"/>
      <c r="BN715" s="77"/>
      <c r="BO715" s="77"/>
      <c r="BP715" s="77"/>
      <c r="BQ715" s="16"/>
      <c r="BR715" s="16"/>
      <c r="BS715" s="16"/>
      <c r="BT715" s="16"/>
      <c r="BU715" s="16"/>
      <c r="BV715" s="16"/>
      <c r="BW715" s="16"/>
      <c r="BX715" s="16"/>
      <c r="BY715" s="16"/>
      <c r="BZ715" s="16"/>
      <c r="CA715" s="16"/>
      <c r="CB715" s="16"/>
      <c r="CC715" s="77"/>
      <c r="CD715" s="77"/>
      <c r="CE715" s="77"/>
      <c r="CF715" s="77"/>
      <c r="CG715" s="77"/>
      <c r="CH715" s="77"/>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7"/>
      <c r="DV715" s="77"/>
      <c r="DW715" s="77"/>
      <c r="DX715" s="77"/>
      <c r="DY715" s="77"/>
      <c r="DZ715" s="77"/>
      <c r="EA715" s="77"/>
      <c r="EB715" s="77"/>
      <c r="EC715" s="77"/>
      <c r="ED715" s="77"/>
      <c r="EE715" s="77"/>
      <c r="EF715" s="77"/>
      <c r="EG715" s="77"/>
      <c r="EH715" s="77"/>
      <c r="EI715" s="77"/>
      <c r="EJ715" s="77"/>
      <c r="EK715" s="77"/>
      <c r="EL715" s="77"/>
      <c r="EM715" s="77"/>
      <c r="EN715" s="77"/>
      <c r="EO715" s="77"/>
      <c r="EP715" s="77"/>
      <c r="EQ715" s="77"/>
      <c r="ER715" s="77"/>
      <c r="ES715" s="77"/>
      <c r="ET715" s="77"/>
      <c r="EU715" s="77"/>
      <c r="EV715" s="77"/>
      <c r="EW715" s="77"/>
      <c r="EX715" s="77"/>
      <c r="EY715" s="77"/>
      <c r="EZ715" s="77"/>
      <c r="FA715" s="77"/>
      <c r="FB715" s="77"/>
      <c r="FC715" s="77"/>
      <c r="FD715" s="77"/>
      <c r="FE715" s="77"/>
      <c r="FF715" s="77"/>
      <c r="FG715" s="77"/>
      <c r="FH715" s="77"/>
      <c r="FI715" s="77"/>
      <c r="FJ715" s="77"/>
      <c r="FK715" s="77"/>
      <c r="FL715" s="77"/>
      <c r="FM715" s="77"/>
      <c r="FN715" s="77"/>
      <c r="FO715" s="77"/>
      <c r="FP715" s="77"/>
      <c r="FQ715" s="77"/>
      <c r="FR715" s="77"/>
      <c r="FS715" s="77"/>
      <c r="FT715" s="77"/>
      <c r="FU715" s="77"/>
      <c r="FV715" s="77"/>
      <c r="FW715" s="77"/>
      <c r="FX715" s="77"/>
      <c r="FY715" s="77"/>
      <c r="FZ715" s="77"/>
      <c r="GA715" s="77"/>
      <c r="GB715" s="77"/>
      <c r="GC715" s="77"/>
      <c r="GD715" s="77"/>
      <c r="GE715" s="77"/>
      <c r="GF715" s="77"/>
      <c r="GG715" s="77"/>
      <c r="GH715" s="77"/>
      <c r="GI715" s="77"/>
      <c r="GJ715" s="77"/>
      <c r="GK715" s="77"/>
      <c r="ID715" s="77"/>
      <c r="IE715" s="77"/>
      <c r="JY715" s="77"/>
      <c r="JZ715" s="77"/>
      <c r="KA715" s="77"/>
      <c r="KB715" s="77"/>
      <c r="KC715" s="77"/>
      <c r="KD715" s="77"/>
      <c r="KE715" s="77"/>
      <c r="KF715" s="77"/>
      <c r="KG715" s="77"/>
      <c r="KH715" s="77"/>
      <c r="KI715" s="77"/>
      <c r="KJ715" s="77"/>
      <c r="KK715" s="77"/>
      <c r="KL715" s="77"/>
      <c r="KM715" s="77"/>
      <c r="KN715" s="77"/>
      <c r="KO715" s="77"/>
      <c r="KP715" s="77"/>
      <c r="KQ715" s="77"/>
      <c r="KR715" s="77"/>
      <c r="KS715" s="77"/>
      <c r="KT715" s="77"/>
      <c r="KU715" s="77"/>
      <c r="KV715" s="77"/>
      <c r="KW715" s="77"/>
      <c r="KX715" s="77"/>
      <c r="KY715" s="77"/>
      <c r="KZ715" s="77"/>
      <c r="LA715" s="77"/>
      <c r="LB715" s="77"/>
      <c r="LC715" s="77"/>
      <c r="LD715" s="77"/>
      <c r="LE715" s="77"/>
      <c r="LF715" s="77"/>
      <c r="LG715" s="77"/>
      <c r="LH715" s="77"/>
      <c r="LI715" s="77"/>
      <c r="LJ715" s="77"/>
      <c r="LK715" s="77"/>
      <c r="LL715" s="77"/>
      <c r="LM715" s="77"/>
      <c r="LN715" s="77"/>
      <c r="LO715" s="77"/>
      <c r="LP715" s="77"/>
      <c r="LQ715" s="77"/>
      <c r="LR715" s="77"/>
      <c r="LS715" s="77"/>
      <c r="LT715" s="77"/>
      <c r="LU715" s="77"/>
      <c r="LV715" s="77"/>
      <c r="LW715" s="77"/>
      <c r="LX715" s="77"/>
      <c r="ND715" s="77"/>
    </row>
    <row r="716" spans="1:421" s="68" customFormat="1" ht="18.600000000000001" customHeight="1" x14ac:dyDescent="0.25">
      <c r="A716" s="119" t="s">
        <v>390</v>
      </c>
      <c r="B716" s="27" t="s">
        <v>1868</v>
      </c>
      <c r="C716" s="27" t="s">
        <v>4196</v>
      </c>
      <c r="D716" s="30" t="str">
        <f>HYPERLINK("https://twitter.com/niinisto","https://twitter.com/niinisto")</f>
        <v>https://twitter.com/niinisto</v>
      </c>
      <c r="E716" s="30" t="str">
        <f>HYPERLINK("http://twiplomacy.com/info/europe/Finland","http://twiplomacy.com/info/europe/Finland")</f>
        <v>http://twiplomacy.com/info/europe/Finland</v>
      </c>
      <c r="F716" s="10" t="s">
        <v>332</v>
      </c>
      <c r="G716" s="10" t="s">
        <v>389</v>
      </c>
      <c r="H716" s="10" t="s">
        <v>772</v>
      </c>
      <c r="I716" s="10" t="s">
        <v>773</v>
      </c>
      <c r="J716" s="27" t="s">
        <v>789</v>
      </c>
      <c r="K716" s="10" t="s">
        <v>777</v>
      </c>
      <c r="L716" s="10" t="s">
        <v>1020</v>
      </c>
      <c r="M716" s="10" t="s">
        <v>771</v>
      </c>
      <c r="N716" s="30" t="s">
        <v>4626</v>
      </c>
      <c r="O716" s="27" t="s">
        <v>5988</v>
      </c>
      <c r="P716" s="80">
        <v>1109</v>
      </c>
      <c r="Q716" s="80">
        <v>2497</v>
      </c>
      <c r="R716" s="27" t="s">
        <v>2994</v>
      </c>
      <c r="S716" s="10" t="s">
        <v>1869</v>
      </c>
      <c r="T716" s="10" t="s">
        <v>771</v>
      </c>
      <c r="U716" s="10" t="s">
        <v>771</v>
      </c>
      <c r="V716" s="10" t="s">
        <v>771</v>
      </c>
      <c r="W716" s="10"/>
      <c r="X716" s="27" t="s">
        <v>390</v>
      </c>
      <c r="Y716" s="27" t="s">
        <v>1868</v>
      </c>
      <c r="Z716" s="80">
        <v>19</v>
      </c>
      <c r="AA716" s="27">
        <v>234</v>
      </c>
      <c r="AB716" s="80">
        <v>66537</v>
      </c>
      <c r="AC716" s="27">
        <v>15</v>
      </c>
      <c r="AD716" s="27" t="s">
        <v>4197</v>
      </c>
      <c r="AE716" s="27">
        <v>37665086</v>
      </c>
      <c r="AF716" s="27" t="s">
        <v>4196</v>
      </c>
      <c r="AG716" s="27" t="s">
        <v>1871</v>
      </c>
      <c r="AH716" s="79">
        <v>7.4363992172211298E-3</v>
      </c>
      <c r="AI716" s="83">
        <v>0.129251700680272</v>
      </c>
      <c r="AJ716" s="80">
        <v>180.666666666667</v>
      </c>
      <c r="AK716" s="80">
        <v>530.38888888888903</v>
      </c>
      <c r="AL716" s="13">
        <v>0</v>
      </c>
      <c r="AM716" s="97">
        <f>SUM(AL716/Z716)</f>
        <v>0</v>
      </c>
      <c r="AN716" s="27" t="s">
        <v>390</v>
      </c>
      <c r="AO716" s="27">
        <v>10</v>
      </c>
      <c r="AP716" s="27">
        <v>10</v>
      </c>
      <c r="AQ716" s="27">
        <v>2</v>
      </c>
      <c r="AR716" s="27">
        <f>SUM(AO716:AQ716)</f>
        <v>22</v>
      </c>
      <c r="AS716" s="27" t="s">
        <v>5363</v>
      </c>
      <c r="AT716" s="27" t="s">
        <v>6803</v>
      </c>
      <c r="AU716" s="84" t="s">
        <v>4880</v>
      </c>
      <c r="AV716" s="77"/>
      <c r="AW716" s="77"/>
      <c r="AX716" s="77"/>
      <c r="AY716" s="77"/>
      <c r="AZ716" s="77"/>
      <c r="BA716" s="77"/>
      <c r="BB716" s="77"/>
      <c r="BC716" s="77"/>
      <c r="BD716" s="77"/>
      <c r="BE716" s="77"/>
      <c r="BF716" s="77"/>
      <c r="BG716" s="77"/>
      <c r="BH716" s="77"/>
      <c r="BI716" s="77"/>
      <c r="BJ716" s="77"/>
      <c r="BK716" s="77"/>
      <c r="BL716" s="77"/>
      <c r="BM716" s="77"/>
      <c r="BN716" s="77"/>
      <c r="BO716" s="77"/>
      <c r="BP716" s="77"/>
      <c r="BQ716" s="71"/>
      <c r="BR716" s="71"/>
      <c r="BS716" s="71"/>
      <c r="BT716" s="71"/>
      <c r="BU716" s="71"/>
      <c r="BV716" s="71"/>
      <c r="BW716" s="71"/>
      <c r="BX716" s="71"/>
      <c r="BY716" s="71"/>
      <c r="BZ716" s="71"/>
      <c r="CA716" s="71"/>
      <c r="CB716" s="71"/>
      <c r="CC716" s="77"/>
      <c r="CD716" s="77"/>
      <c r="CE716" s="77"/>
      <c r="CF716" s="77"/>
      <c r="CG716" s="77"/>
      <c r="CH716" s="77"/>
      <c r="CI716" s="77"/>
      <c r="CJ716" s="77"/>
      <c r="CK716" s="77"/>
      <c r="CL716" s="77"/>
      <c r="CM716" s="77"/>
      <c r="CN716" s="77"/>
      <c r="CO716" s="77"/>
      <c r="CP716" s="77"/>
      <c r="CQ716" s="77"/>
      <c r="CR716" s="77"/>
      <c r="CS716" s="77"/>
      <c r="CT716" s="77"/>
      <c r="CU716" s="77"/>
      <c r="CV716" s="77"/>
      <c r="CW716" s="77"/>
      <c r="EM716" s="16"/>
      <c r="EN716" s="16"/>
      <c r="EO716" s="16"/>
      <c r="EP716" s="77"/>
      <c r="EQ716" s="77"/>
      <c r="ER716" s="77"/>
      <c r="ES716" s="77"/>
      <c r="ET716" s="77"/>
      <c r="EU716" s="77"/>
      <c r="EV716" s="77"/>
      <c r="EW716" s="77"/>
      <c r="EX716" s="77"/>
      <c r="EY716" s="77"/>
      <c r="EZ716" s="77"/>
      <c r="FA716" s="77"/>
      <c r="FB716" s="77"/>
      <c r="FC716" s="77"/>
      <c r="FD716" s="77"/>
      <c r="FE716" s="77"/>
      <c r="FF716" s="77"/>
      <c r="FG716" s="77"/>
      <c r="FH716" s="77"/>
      <c r="FI716" s="77"/>
      <c r="FJ716" s="77"/>
      <c r="FK716" s="77"/>
      <c r="FL716" s="77"/>
      <c r="FM716" s="77"/>
      <c r="FN716" s="77"/>
      <c r="FO716" s="77"/>
      <c r="FP716" s="77"/>
      <c r="FQ716" s="77"/>
      <c r="FR716" s="77"/>
      <c r="FS716" s="77"/>
      <c r="FT716" s="77"/>
      <c r="FU716" s="77"/>
      <c r="FV716" s="77"/>
      <c r="FW716" s="77"/>
      <c r="FX716" s="77"/>
      <c r="FY716" s="77"/>
      <c r="FZ716" s="77"/>
      <c r="GA716" s="77"/>
      <c r="GB716" s="77"/>
      <c r="GC716" s="77"/>
      <c r="GD716" s="77"/>
      <c r="GE716" s="77"/>
      <c r="GF716" s="77"/>
      <c r="GG716" s="77"/>
      <c r="GH716" s="77"/>
      <c r="GI716" s="77"/>
      <c r="GJ716" s="77"/>
      <c r="GK716" s="77"/>
      <c r="GL716" s="77"/>
      <c r="GM716" s="77"/>
      <c r="GN716" s="77"/>
      <c r="GO716" s="77"/>
      <c r="GP716" s="77"/>
      <c r="GQ716" s="77"/>
      <c r="GR716" s="77"/>
      <c r="GS716" s="77"/>
      <c r="GT716" s="77"/>
      <c r="GU716" s="77"/>
      <c r="GV716" s="77"/>
      <c r="GW716" s="77"/>
      <c r="GX716" s="77"/>
      <c r="GY716" s="77"/>
      <c r="GZ716" s="77"/>
      <c r="HA716" s="77"/>
      <c r="HB716" s="77"/>
      <c r="HC716" s="77"/>
      <c r="HD716" s="77"/>
      <c r="HE716" s="77"/>
      <c r="HF716" s="77"/>
      <c r="HG716" s="77"/>
      <c r="HH716" s="77"/>
      <c r="HI716" s="77"/>
      <c r="HJ716" s="77"/>
      <c r="HK716" s="77"/>
      <c r="HL716" s="77"/>
      <c r="HM716" s="77"/>
      <c r="HN716" s="77"/>
      <c r="HO716" s="77"/>
      <c r="HP716" s="77"/>
      <c r="HQ716" s="77"/>
      <c r="HR716" s="77"/>
      <c r="HS716" s="77"/>
      <c r="HT716" s="77"/>
      <c r="HU716" s="77"/>
      <c r="HV716" s="77"/>
      <c r="HW716" s="77"/>
      <c r="HX716" s="77"/>
      <c r="HY716" s="77"/>
      <c r="HZ716" s="77"/>
      <c r="IA716" s="77"/>
      <c r="IB716" s="77"/>
      <c r="IC716" s="77"/>
      <c r="ID716" s="16"/>
      <c r="IE716" s="16"/>
      <c r="JY716" s="16"/>
      <c r="JZ716" s="16"/>
      <c r="KA716" s="16"/>
      <c r="KB716" s="16"/>
      <c r="KC716" s="16"/>
      <c r="KD716" s="16"/>
      <c r="KE716" s="16"/>
      <c r="KF716" s="16"/>
      <c r="KG716" s="16"/>
      <c r="KH716" s="16"/>
      <c r="KI716" s="16"/>
      <c r="KJ716" s="16"/>
      <c r="KK716" s="16"/>
      <c r="KL716" s="16"/>
    </row>
    <row r="717" spans="1:421" s="68" customFormat="1" ht="18.600000000000001" customHeight="1" x14ac:dyDescent="0.25">
      <c r="A717" s="119" t="s">
        <v>73</v>
      </c>
      <c r="B717" s="27" t="s">
        <v>964</v>
      </c>
      <c r="C717" s="27" t="s">
        <v>965</v>
      </c>
      <c r="D717" s="30" t="str">
        <f>HYPERLINK("https://twitter.com/emansionliberia","https://twitter.com/emansionliberia")</f>
        <v>https://twitter.com/emansionliberia</v>
      </c>
      <c r="E717" s="30" t="str">
        <f>HYPERLINK("http://twiplomacy.com/info/africa/Liberia","http://twiplomacy.com/info/africa/Liberia")</f>
        <v>http://twiplomacy.com/info/africa/Liberia</v>
      </c>
      <c r="F717" s="10" t="s">
        <v>1</v>
      </c>
      <c r="G717" s="10" t="s">
        <v>72</v>
      </c>
      <c r="H717" s="10" t="s">
        <v>781</v>
      </c>
      <c r="I717" s="10" t="s">
        <v>782</v>
      </c>
      <c r="J717" s="27" t="s">
        <v>789</v>
      </c>
      <c r="K717" s="15" t="s">
        <v>4620</v>
      </c>
      <c r="L717" s="10" t="s">
        <v>771</v>
      </c>
      <c r="M717" s="10" t="s">
        <v>771</v>
      </c>
      <c r="N717" s="30" t="str">
        <f>HYPERLINK("https://twitter.com/emansionliberia/statuses/211375150766100480","https://twitter.com/emansionliberia/statuses/211375150766100480")</f>
        <v>https://twitter.com/emansionliberia/statuses/211375150766100480</v>
      </c>
      <c r="O717" s="27" t="s">
        <v>5740</v>
      </c>
      <c r="P717" s="80">
        <v>2</v>
      </c>
      <c r="Q717" s="80">
        <v>2</v>
      </c>
      <c r="R717" s="27" t="s">
        <v>2995</v>
      </c>
      <c r="S717" s="10" t="s">
        <v>966</v>
      </c>
      <c r="T717" s="10" t="s">
        <v>771</v>
      </c>
      <c r="U717" s="10" t="s">
        <v>771</v>
      </c>
      <c r="V717" s="10" t="s">
        <v>771</v>
      </c>
      <c r="W717" s="10"/>
      <c r="X717" s="27" t="s">
        <v>73</v>
      </c>
      <c r="Y717" s="27" t="s">
        <v>964</v>
      </c>
      <c r="Z717" s="80">
        <v>18</v>
      </c>
      <c r="AA717" s="27">
        <v>8</v>
      </c>
      <c r="AB717" s="80">
        <v>320</v>
      </c>
      <c r="AC717" s="27">
        <v>0</v>
      </c>
      <c r="AD717" s="27" t="s">
        <v>3648</v>
      </c>
      <c r="AE717" s="27">
        <v>603417503</v>
      </c>
      <c r="AF717" s="27" t="s">
        <v>965</v>
      </c>
      <c r="AG717" s="27" t="s">
        <v>967</v>
      </c>
      <c r="AH717" s="79">
        <v>1.26404494382022E-2</v>
      </c>
      <c r="AI717" s="83">
        <v>2.2194821208384698E-2</v>
      </c>
      <c r="AJ717" s="80">
        <v>0.27777777777777801</v>
      </c>
      <c r="AK717" s="80">
        <v>0.27777777777777801</v>
      </c>
      <c r="AL717" s="13">
        <v>0</v>
      </c>
      <c r="AM717" s="97">
        <f>SUM(AL717/Z717)</f>
        <v>0</v>
      </c>
      <c r="AN717" s="27" t="s">
        <v>73</v>
      </c>
      <c r="AO717" s="27">
        <v>1</v>
      </c>
      <c r="AP717" s="27">
        <v>7</v>
      </c>
      <c r="AQ717" s="27">
        <v>0</v>
      </c>
      <c r="AR717" s="27">
        <f>SUM(AO717:AQ717)</f>
        <v>8</v>
      </c>
      <c r="AS717" s="27" t="s">
        <v>635</v>
      </c>
      <c r="AT717" s="27" t="s">
        <v>6709</v>
      </c>
      <c r="AU717" s="84"/>
      <c r="AV717" s="77"/>
      <c r="AW717" s="77"/>
      <c r="AX717" s="77"/>
      <c r="AY717" s="77"/>
      <c r="AZ717" s="77"/>
      <c r="BA717" s="77"/>
      <c r="BB717" s="77"/>
      <c r="BC717" s="77"/>
      <c r="BD717" s="77"/>
      <c r="BE717" s="77"/>
      <c r="BF717" s="77"/>
      <c r="BG717" s="77"/>
      <c r="BH717" s="77"/>
      <c r="BI717" s="77"/>
      <c r="BJ717" s="77"/>
      <c r="BK717" s="77"/>
      <c r="BL717" s="77"/>
      <c r="BM717" s="77"/>
      <c r="BN717" s="77"/>
      <c r="BO717" s="77"/>
      <c r="BP717" s="77"/>
      <c r="BQ717" s="77"/>
      <c r="BR717" s="77"/>
      <c r="BS717" s="77"/>
      <c r="BT717" s="77"/>
      <c r="BU717" s="77"/>
      <c r="BV717" s="77"/>
      <c r="BW717" s="77"/>
      <c r="BX717" s="77"/>
      <c r="BY717" s="77"/>
      <c r="BZ717" s="77"/>
      <c r="CA717" s="77"/>
      <c r="CB717" s="77"/>
      <c r="CC717" s="77"/>
      <c r="CD717" s="77"/>
      <c r="CE717" s="77"/>
      <c r="CF717" s="77"/>
      <c r="CG717" s="77"/>
      <c r="CH717" s="77"/>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7"/>
      <c r="DV717" s="77"/>
      <c r="DW717" s="77"/>
      <c r="DX717" s="77"/>
      <c r="DY717" s="77"/>
      <c r="DZ717" s="77"/>
      <c r="EA717" s="77"/>
      <c r="EB717" s="77"/>
      <c r="EC717" s="77"/>
      <c r="ED717" s="77"/>
      <c r="EE717" s="77"/>
      <c r="EF717" s="77"/>
      <c r="EG717" s="77"/>
      <c r="EH717" s="77"/>
      <c r="EI717" s="77"/>
      <c r="EJ717" s="77"/>
      <c r="EK717" s="77"/>
      <c r="EL717" s="77"/>
      <c r="EP717" s="77"/>
      <c r="EQ717" s="77"/>
      <c r="ER717" s="77"/>
      <c r="ES717" s="77"/>
      <c r="ET717" s="77"/>
      <c r="EU717" s="77"/>
      <c r="EV717" s="77"/>
      <c r="EW717" s="77"/>
      <c r="EX717" s="77"/>
      <c r="EY717" s="77"/>
      <c r="EZ717" s="77"/>
      <c r="FA717" s="77"/>
      <c r="FB717" s="77"/>
      <c r="FC717" s="77"/>
      <c r="FD717" s="77"/>
      <c r="FE717" s="77"/>
      <c r="FF717" s="77"/>
      <c r="FG717" s="77"/>
      <c r="FH717" s="77"/>
      <c r="FI717" s="77"/>
      <c r="FJ717" s="77"/>
      <c r="FK717" s="77"/>
      <c r="FL717" s="77"/>
      <c r="FM717" s="77"/>
      <c r="FN717" s="77"/>
      <c r="FO717" s="77"/>
      <c r="FP717" s="77"/>
      <c r="FQ717" s="77"/>
      <c r="FR717" s="77"/>
      <c r="FS717" s="77"/>
      <c r="FT717" s="77"/>
      <c r="FU717" s="77"/>
      <c r="FV717" s="77"/>
      <c r="FW717" s="77"/>
      <c r="FX717" s="77"/>
      <c r="FY717" s="77"/>
      <c r="FZ717" s="77"/>
      <c r="GA717" s="77"/>
      <c r="GB717" s="77"/>
      <c r="GC717" s="77"/>
      <c r="GD717" s="77"/>
      <c r="GE717" s="77"/>
      <c r="GF717" s="77"/>
      <c r="GG717" s="77"/>
      <c r="GH717" s="77"/>
      <c r="GI717" s="77"/>
      <c r="GJ717" s="77"/>
      <c r="GK717" s="77"/>
      <c r="HL717" s="77"/>
      <c r="HM717" s="77"/>
      <c r="HN717" s="77"/>
      <c r="HO717" s="77"/>
      <c r="HP717" s="77"/>
      <c r="HQ717" s="77"/>
      <c r="HR717" s="77"/>
      <c r="HS717" s="77"/>
      <c r="HT717" s="77"/>
      <c r="HU717" s="77"/>
      <c r="HV717" s="77"/>
      <c r="HW717" s="77"/>
      <c r="HX717" s="77"/>
      <c r="HY717" s="77"/>
      <c r="HZ717" s="77"/>
      <c r="IA717" s="77"/>
      <c r="IB717" s="77"/>
      <c r="IC717" s="77"/>
      <c r="ID717" s="16"/>
      <c r="IE717" s="16"/>
      <c r="IF717" s="77"/>
      <c r="IG717" s="77"/>
      <c r="IH717" s="77"/>
      <c r="II717" s="77"/>
      <c r="IJ717" s="77"/>
      <c r="IK717" s="77"/>
      <c r="IL717" s="77"/>
      <c r="IM717" s="77"/>
      <c r="IN717" s="77"/>
      <c r="IO717" s="77"/>
      <c r="IP717" s="77"/>
      <c r="IQ717" s="77"/>
      <c r="IR717" s="77"/>
      <c r="IS717" s="77"/>
      <c r="IT717" s="77"/>
      <c r="IU717" s="77"/>
      <c r="IV717" s="77"/>
      <c r="IW717" s="77"/>
      <c r="IX717" s="77"/>
      <c r="IY717" s="77"/>
      <c r="IZ717" s="77"/>
      <c r="JA717" s="77"/>
      <c r="JB717" s="77"/>
      <c r="JC717" s="77"/>
      <c r="JD717" s="77"/>
      <c r="JE717" s="77"/>
      <c r="JF717" s="77"/>
      <c r="JG717" s="77"/>
      <c r="JH717" s="77"/>
      <c r="JI717" s="77"/>
      <c r="JJ717" s="77"/>
      <c r="JK717" s="77"/>
      <c r="JL717" s="77"/>
      <c r="JM717" s="77"/>
      <c r="JN717" s="77"/>
      <c r="JO717" s="77"/>
      <c r="JP717" s="77"/>
      <c r="JQ717" s="77"/>
      <c r="JR717" s="77"/>
      <c r="JS717" s="77"/>
      <c r="JT717" s="77"/>
      <c r="JU717" s="77"/>
      <c r="JV717" s="77"/>
      <c r="JW717" s="77"/>
      <c r="JX717" s="77"/>
      <c r="JY717" s="77"/>
      <c r="JZ717" s="77"/>
      <c r="KA717" s="77"/>
      <c r="KB717" s="77"/>
      <c r="KC717" s="77"/>
      <c r="KD717" s="77"/>
      <c r="KE717" s="77"/>
      <c r="KF717" s="77"/>
      <c r="KG717" s="77"/>
      <c r="KH717" s="77"/>
      <c r="KI717" s="77"/>
      <c r="KJ717" s="77"/>
      <c r="KK717" s="77"/>
      <c r="KL717" s="77"/>
      <c r="LL717" s="77"/>
      <c r="LM717" s="77"/>
      <c r="LN717" s="77"/>
      <c r="LO717" s="77"/>
      <c r="LP717" s="77"/>
      <c r="LQ717" s="77"/>
      <c r="LR717" s="77"/>
      <c r="LS717" s="77"/>
      <c r="LT717" s="77"/>
      <c r="LU717" s="77"/>
      <c r="LV717" s="77"/>
      <c r="LW717" s="77"/>
      <c r="LX717" s="77"/>
      <c r="MT717" s="77"/>
      <c r="MU717" s="77"/>
      <c r="MV717" s="77"/>
      <c r="MW717" s="77"/>
      <c r="MX717" s="77"/>
      <c r="MY717" s="77"/>
      <c r="MZ717" s="77"/>
      <c r="NA717" s="77"/>
      <c r="NB717" s="77"/>
      <c r="NC717" s="77"/>
    </row>
    <row r="718" spans="1:421" s="21" customFormat="1" ht="18.600000000000001" customHeight="1" x14ac:dyDescent="0.25">
      <c r="A718" s="119" t="s">
        <v>567</v>
      </c>
      <c r="B718" s="27" t="s">
        <v>2424</v>
      </c>
      <c r="C718" s="27" t="s">
        <v>2425</v>
      </c>
      <c r="D718" s="30" t="str">
        <f>HYPERLINK("https://twitter.com/belizegov","https://twitter.com/belizegov")</f>
        <v>https://twitter.com/belizegov</v>
      </c>
      <c r="E718" s="30" t="str">
        <f>HYPERLINK("http://twiplomacy.com/info/north-america/Belize","http://twiplomacy.com/info/north-america/Belize")</f>
        <v>http://twiplomacy.com/info/north-america/Belize</v>
      </c>
      <c r="F718" s="10" t="s">
        <v>558</v>
      </c>
      <c r="G718" s="10" t="s">
        <v>565</v>
      </c>
      <c r="H718" s="10" t="s">
        <v>788</v>
      </c>
      <c r="I718" s="10" t="s">
        <v>782</v>
      </c>
      <c r="J718" s="27" t="s">
        <v>789</v>
      </c>
      <c r="K718" s="15" t="s">
        <v>2426</v>
      </c>
      <c r="L718" s="10" t="s">
        <v>771</v>
      </c>
      <c r="M718" s="10" t="s">
        <v>771</v>
      </c>
      <c r="N718" s="30" t="str">
        <f>HYPERLINK("https://twitter.com/belizegov/statuses/16250314283","https://twitter.com/belizegov/statuses/16250314283")</f>
        <v>https://twitter.com/belizegov/statuses/16250314283</v>
      </c>
      <c r="O718" s="27" t="s">
        <v>5708</v>
      </c>
      <c r="P718" s="80">
        <v>2</v>
      </c>
      <c r="Q718" s="80">
        <v>1</v>
      </c>
      <c r="R718" s="27" t="s">
        <v>2995</v>
      </c>
      <c r="S718" s="30" t="str">
        <f>HYPERLINK("https://twitter.com/belizegov/lists","https://twitter.com/belizegov/lists")</f>
        <v>https://twitter.com/belizegov/lists</v>
      </c>
      <c r="T718" s="10">
        <v>1</v>
      </c>
      <c r="U718" s="10" t="s">
        <v>771</v>
      </c>
      <c r="V718" s="10" t="s">
        <v>771</v>
      </c>
      <c r="W718" s="10"/>
      <c r="X718" s="27" t="s">
        <v>567</v>
      </c>
      <c r="Y718" s="27" t="s">
        <v>2424</v>
      </c>
      <c r="Z718" s="80">
        <v>17</v>
      </c>
      <c r="AA718" s="27">
        <v>0</v>
      </c>
      <c r="AB718" s="80">
        <v>350</v>
      </c>
      <c r="AC718" s="27">
        <v>0</v>
      </c>
      <c r="AD718" s="27" t="s">
        <v>3514</v>
      </c>
      <c r="AE718" s="27">
        <v>155932163</v>
      </c>
      <c r="AF718" s="27" t="s">
        <v>2425</v>
      </c>
      <c r="AG718" s="27" t="s">
        <v>2427</v>
      </c>
      <c r="AH718" s="79">
        <v>7.9143389199255107E-3</v>
      </c>
      <c r="AI718" s="83">
        <v>8.5</v>
      </c>
      <c r="AJ718" s="80">
        <v>0.23529411764705899</v>
      </c>
      <c r="AK718" s="80">
        <v>0.23529411764705899</v>
      </c>
      <c r="AL718" s="13">
        <v>0</v>
      </c>
      <c r="AM718" s="97">
        <f>SUM(AL718/Z718)</f>
        <v>0</v>
      </c>
      <c r="AN718" s="27" t="s">
        <v>567</v>
      </c>
      <c r="AO718" s="27">
        <v>0</v>
      </c>
      <c r="AP718" s="27">
        <v>4</v>
      </c>
      <c r="AQ718" s="27">
        <v>0</v>
      </c>
      <c r="AR718" s="27">
        <f>SUM(AO718:AQ718)</f>
        <v>4</v>
      </c>
      <c r="AS718" s="27"/>
      <c r="AT718" s="27" t="s">
        <v>6679</v>
      </c>
      <c r="AU718" s="84"/>
      <c r="AV718" s="77"/>
      <c r="AW718" s="77"/>
      <c r="AX718" s="77"/>
      <c r="AY718" s="77"/>
      <c r="AZ718" s="77"/>
      <c r="BA718" s="77"/>
      <c r="BB718" s="77"/>
      <c r="BC718" s="77"/>
      <c r="BD718" s="77"/>
      <c r="BE718" s="77"/>
      <c r="BF718" s="77"/>
      <c r="BG718" s="77"/>
      <c r="BH718" s="77"/>
      <c r="BI718" s="77"/>
      <c r="BJ718" s="77"/>
      <c r="BK718" s="77"/>
      <c r="BL718" s="77"/>
      <c r="BM718" s="77"/>
      <c r="BN718" s="77"/>
      <c r="BO718" s="77"/>
      <c r="BP718" s="77"/>
      <c r="BQ718" s="77"/>
      <c r="BR718" s="77"/>
      <c r="BS718" s="77"/>
      <c r="BT718" s="77"/>
      <c r="BU718" s="77"/>
      <c r="BV718" s="77"/>
      <c r="BW718" s="77"/>
      <c r="BX718" s="77"/>
      <c r="BY718" s="77"/>
      <c r="BZ718" s="77"/>
      <c r="CA718" s="77"/>
      <c r="CB718" s="77"/>
      <c r="CC718" s="77"/>
      <c r="CD718" s="77"/>
      <c r="CE718" s="77"/>
      <c r="CF718" s="77"/>
      <c r="CG718" s="77"/>
      <c r="CH718" s="77"/>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7"/>
      <c r="DV718" s="77"/>
      <c r="DW718" s="77"/>
      <c r="DX718" s="77"/>
      <c r="DY718" s="77"/>
      <c r="DZ718" s="77"/>
      <c r="EA718" s="77"/>
      <c r="EB718" s="77"/>
      <c r="EC718" s="77"/>
      <c r="ED718" s="77"/>
      <c r="EE718" s="77"/>
      <c r="EF718" s="77"/>
      <c r="EG718" s="77"/>
      <c r="EH718" s="77"/>
      <c r="EI718" s="77"/>
      <c r="EJ718" s="77"/>
      <c r="EK718" s="77"/>
      <c r="EL718" s="77"/>
      <c r="EM718" s="77"/>
      <c r="EN718" s="77"/>
      <c r="EO718" s="77"/>
      <c r="EP718" s="77"/>
      <c r="EQ718" s="77"/>
      <c r="HL718" s="77"/>
      <c r="HM718" s="77"/>
      <c r="HN718" s="77"/>
      <c r="HO718" s="77"/>
      <c r="HP718" s="77"/>
      <c r="HQ718" s="77"/>
      <c r="HR718" s="77"/>
      <c r="HS718" s="77"/>
      <c r="HT718" s="77"/>
      <c r="HU718" s="77"/>
      <c r="HV718" s="77"/>
      <c r="HW718" s="77"/>
      <c r="HX718" s="77"/>
      <c r="HY718" s="77"/>
      <c r="HZ718" s="77"/>
      <c r="IA718" s="77"/>
      <c r="IB718" s="77"/>
      <c r="IC718" s="77"/>
      <c r="ID718" s="77"/>
      <c r="IE718" s="77"/>
      <c r="IF718" s="77"/>
      <c r="IG718" s="77"/>
      <c r="IH718" s="77"/>
      <c r="II718" s="77"/>
      <c r="IJ718" s="77"/>
      <c r="IK718" s="77"/>
      <c r="IL718" s="77"/>
      <c r="IM718" s="77"/>
      <c r="IN718" s="77"/>
      <c r="IO718" s="77"/>
      <c r="IP718" s="77"/>
      <c r="IQ718" s="77"/>
      <c r="IR718" s="77"/>
      <c r="IS718" s="77"/>
      <c r="IT718" s="77"/>
      <c r="IU718" s="77"/>
      <c r="IV718" s="77"/>
      <c r="IW718" s="77"/>
      <c r="IX718" s="77"/>
      <c r="IY718" s="77"/>
      <c r="IZ718" s="77"/>
      <c r="JA718" s="77"/>
      <c r="JB718" s="77"/>
      <c r="JC718" s="77"/>
      <c r="JD718" s="77"/>
      <c r="JE718" s="77"/>
      <c r="JF718" s="77"/>
      <c r="JG718" s="77"/>
      <c r="JH718" s="77"/>
      <c r="JI718" s="77"/>
      <c r="JJ718" s="77"/>
      <c r="JK718" s="77"/>
      <c r="JL718" s="77"/>
      <c r="JM718" s="77"/>
      <c r="JN718" s="77"/>
      <c r="JO718" s="77"/>
      <c r="JP718" s="77"/>
      <c r="JQ718" s="77"/>
      <c r="JR718" s="77"/>
      <c r="JS718" s="77"/>
      <c r="JT718" s="77"/>
      <c r="JU718" s="77"/>
      <c r="JV718" s="77"/>
      <c r="JW718" s="77"/>
      <c r="JX718" s="77"/>
      <c r="JY718" s="77"/>
      <c r="JZ718" s="77"/>
      <c r="KA718" s="77"/>
      <c r="KB718" s="77"/>
      <c r="KC718" s="77"/>
      <c r="KD718" s="77"/>
      <c r="KE718" s="77"/>
      <c r="KF718" s="77"/>
      <c r="KG718" s="77"/>
      <c r="KH718" s="77"/>
      <c r="KI718" s="77"/>
      <c r="KJ718" s="77"/>
      <c r="KK718" s="77"/>
      <c r="KL718" s="77"/>
      <c r="KM718" s="16"/>
      <c r="KN718" s="16"/>
      <c r="KO718" s="16"/>
      <c r="KP718" s="16"/>
      <c r="KQ718" s="16"/>
      <c r="KR718" s="16"/>
      <c r="KS718" s="16"/>
      <c r="KT718" s="16"/>
      <c r="KU718" s="16"/>
      <c r="KV718" s="16"/>
      <c r="KW718" s="16"/>
      <c r="KX718" s="16"/>
      <c r="KY718" s="16"/>
      <c r="KZ718" s="16"/>
      <c r="LA718" s="16"/>
      <c r="LB718" s="16"/>
      <c r="LC718" s="16"/>
      <c r="LD718" s="16"/>
      <c r="LE718" s="16"/>
      <c r="LF718" s="16"/>
      <c r="LG718" s="16"/>
      <c r="LH718" s="16"/>
      <c r="LI718" s="16"/>
      <c r="LJ718" s="16"/>
      <c r="LK718" s="16"/>
      <c r="LW718" s="77"/>
      <c r="LX718" s="77"/>
      <c r="ND718" s="16"/>
    </row>
    <row r="719" spans="1:421" s="21" customFormat="1" ht="18.600000000000001" customHeight="1" x14ac:dyDescent="0.25">
      <c r="A719" s="119" t="s">
        <v>32</v>
      </c>
      <c r="B719" s="27" t="s">
        <v>853</v>
      </c>
      <c r="C719" s="27"/>
      <c r="D719" s="72" t="str">
        <f>HYPERLINK("https://twitter.com/DjibPrimature","https://twitter.com/DjibPrimature")</f>
        <v>https://twitter.com/DjibPrimature</v>
      </c>
      <c r="E719" s="72" t="str">
        <f>HYPERLINK("http://twiplomacy.com/info/africa/Djibouti","http://twiplomacy.com/info/africa/Djibouti")</f>
        <v>http://twiplomacy.com/info/africa/Djibouti</v>
      </c>
      <c r="F719" s="20" t="s">
        <v>1</v>
      </c>
      <c r="G719" s="10" t="s">
        <v>31</v>
      </c>
      <c r="H719" s="10" t="s">
        <v>788</v>
      </c>
      <c r="I719" s="10" t="s">
        <v>782</v>
      </c>
      <c r="J719" s="27" t="s">
        <v>779</v>
      </c>
      <c r="K719" s="10" t="s">
        <v>854</v>
      </c>
      <c r="L719" s="10" t="s">
        <v>771</v>
      </c>
      <c r="M719" s="10" t="s">
        <v>771</v>
      </c>
      <c r="N719" s="30" t="str">
        <f>HYPERLINK("https://twitter.com/DjibPrimature/status/436177407557390336","https://twitter.com/DjibPrimature/status/436177407557390336")</f>
        <v>https://twitter.com/DjibPrimature/status/436177407557390336</v>
      </c>
      <c r="O719" s="27" t="s">
        <v>5806</v>
      </c>
      <c r="P719" s="80">
        <v>4</v>
      </c>
      <c r="Q719" s="80">
        <v>0</v>
      </c>
      <c r="R719" s="27" t="s">
        <v>2995</v>
      </c>
      <c r="S719" s="30" t="str">
        <f>HYPERLINK("https://twitter.com/DjibPrimature/lists","https://twitter.com/DjibPrimature/lists")</f>
        <v>https://twitter.com/DjibPrimature/lists</v>
      </c>
      <c r="T719" s="10" t="s">
        <v>771</v>
      </c>
      <c r="U719" s="10" t="s">
        <v>771</v>
      </c>
      <c r="V719" s="10" t="s">
        <v>771</v>
      </c>
      <c r="W719" s="10"/>
      <c r="X719" s="27" t="s">
        <v>32</v>
      </c>
      <c r="Y719" s="27" t="s">
        <v>853</v>
      </c>
      <c r="Z719" s="80">
        <v>16</v>
      </c>
      <c r="AA719" s="27">
        <v>12</v>
      </c>
      <c r="AB719" s="80">
        <v>229</v>
      </c>
      <c r="AC719" s="27">
        <v>2</v>
      </c>
      <c r="AD719" s="27" t="s">
        <v>3622</v>
      </c>
      <c r="AE719" s="27">
        <v>2334795486</v>
      </c>
      <c r="AF719" s="27"/>
      <c r="AG719" s="27"/>
      <c r="AH719" s="79">
        <v>1.9680196801967999E-2</v>
      </c>
      <c r="AI719" s="83">
        <v>0.168421052631579</v>
      </c>
      <c r="AJ719" s="80">
        <v>1.625</v>
      </c>
      <c r="AK719" s="80">
        <v>0.1875</v>
      </c>
      <c r="AL719" s="13">
        <v>0</v>
      </c>
      <c r="AM719" s="97">
        <f>SUM(AL719/Z719)</f>
        <v>0</v>
      </c>
      <c r="AN719" s="27" t="s">
        <v>32</v>
      </c>
      <c r="AO719" s="27">
        <v>0</v>
      </c>
      <c r="AP719" s="27">
        <v>1</v>
      </c>
      <c r="AQ719" s="27">
        <v>0</v>
      </c>
      <c r="AR719" s="27">
        <f>SUM(AO719:AQ719)</f>
        <v>1</v>
      </c>
      <c r="AS719" s="27"/>
      <c r="AT719" s="27" t="s">
        <v>33</v>
      </c>
      <c r="AU719" s="84"/>
      <c r="AV719" s="77"/>
      <c r="AW719" s="77"/>
      <c r="AX719" s="77"/>
      <c r="AY719" s="77"/>
      <c r="AZ719" s="77"/>
      <c r="BA719" s="77"/>
      <c r="BB719" s="77"/>
      <c r="BC719" s="77"/>
      <c r="BD719" s="77"/>
      <c r="BE719" s="77"/>
      <c r="BF719" s="77"/>
      <c r="BG719" s="77"/>
      <c r="BH719" s="77"/>
      <c r="BI719" s="77"/>
      <c r="BJ719" s="77"/>
      <c r="BK719" s="77"/>
      <c r="BL719" s="77"/>
      <c r="BM719" s="77"/>
      <c r="BN719" s="77"/>
      <c r="BO719" s="77"/>
      <c r="BP719" s="77"/>
      <c r="BQ719" s="77"/>
      <c r="BR719" s="77"/>
      <c r="BS719" s="77"/>
      <c r="BT719" s="77"/>
      <c r="BU719" s="77"/>
      <c r="BV719" s="77"/>
      <c r="BW719" s="77"/>
      <c r="BX719" s="77"/>
      <c r="BY719" s="77"/>
      <c r="BZ719" s="77"/>
      <c r="CA719" s="77"/>
      <c r="CB719" s="77"/>
      <c r="CC719" s="77"/>
      <c r="CD719" s="77"/>
      <c r="CE719" s="77"/>
      <c r="CF719" s="77"/>
      <c r="CG719" s="77"/>
      <c r="CH719" s="77"/>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7"/>
      <c r="DV719" s="77"/>
      <c r="DW719" s="77"/>
      <c r="DX719" s="77"/>
      <c r="DY719" s="77"/>
      <c r="DZ719" s="77"/>
      <c r="EA719" s="77"/>
      <c r="EB719" s="77"/>
      <c r="EC719" s="77"/>
      <c r="ED719" s="77"/>
      <c r="EE719" s="77"/>
      <c r="EF719" s="77"/>
      <c r="EG719" s="77"/>
      <c r="EH719" s="77"/>
      <c r="EI719" s="77"/>
      <c r="EJ719" s="77"/>
      <c r="EK719" s="77"/>
      <c r="EL719" s="77"/>
      <c r="EM719" s="77"/>
      <c r="EN719" s="77"/>
      <c r="EO719" s="77"/>
      <c r="GL719" s="77"/>
      <c r="GM719" s="77"/>
      <c r="GN719" s="77"/>
      <c r="GO719" s="77"/>
      <c r="GP719" s="77"/>
      <c r="GQ719" s="77"/>
      <c r="GR719" s="77"/>
      <c r="GS719" s="77"/>
      <c r="GT719" s="77"/>
      <c r="GU719" s="77"/>
      <c r="GV719" s="77"/>
      <c r="GW719" s="77"/>
      <c r="GX719" s="77"/>
      <c r="GY719" s="77"/>
      <c r="GZ719" s="77"/>
      <c r="HA719" s="77"/>
      <c r="HB719" s="77"/>
      <c r="HC719" s="77"/>
      <c r="HD719" s="77"/>
      <c r="HE719" s="77"/>
      <c r="HF719" s="77"/>
      <c r="HG719" s="77"/>
      <c r="HH719" s="77"/>
      <c r="HI719" s="77"/>
      <c r="HJ719" s="77"/>
      <c r="HK719" s="77"/>
      <c r="ID719" s="77"/>
      <c r="IE719" s="77"/>
      <c r="IF719" s="77"/>
      <c r="IG719" s="77"/>
      <c r="IH719" s="77"/>
      <c r="II719" s="77"/>
      <c r="IJ719" s="77"/>
      <c r="IK719" s="77"/>
      <c r="IL719" s="77"/>
      <c r="IM719" s="77"/>
      <c r="IN719" s="77"/>
      <c r="IO719" s="77"/>
      <c r="IP719" s="77"/>
      <c r="IQ719" s="77"/>
      <c r="IR719" s="77"/>
      <c r="IS719" s="77"/>
      <c r="IT719" s="77"/>
      <c r="IU719" s="77"/>
      <c r="IV719" s="77"/>
      <c r="IW719" s="77"/>
      <c r="IX719" s="77"/>
      <c r="IY719" s="77"/>
      <c r="IZ719" s="77"/>
      <c r="JA719" s="77"/>
      <c r="JB719" s="77"/>
      <c r="JC719" s="77"/>
      <c r="JD719" s="77"/>
      <c r="JE719" s="77"/>
      <c r="JF719" s="77"/>
      <c r="JG719" s="77"/>
      <c r="JH719" s="77"/>
      <c r="JI719" s="77"/>
      <c r="JJ719" s="77"/>
      <c r="JK719" s="77"/>
      <c r="JL719" s="77"/>
      <c r="JM719" s="77"/>
      <c r="JN719" s="77"/>
      <c r="JO719" s="77"/>
      <c r="JP719" s="77"/>
      <c r="JQ719" s="77"/>
      <c r="JR719" s="77"/>
      <c r="JS719" s="77"/>
      <c r="JT719" s="77"/>
      <c r="JU719" s="77"/>
      <c r="JV719" s="77"/>
      <c r="JW719" s="77"/>
      <c r="JX719" s="77"/>
      <c r="JY719" s="77"/>
      <c r="JZ719" s="77"/>
      <c r="KA719" s="77"/>
      <c r="KB719" s="77"/>
      <c r="KC719" s="77"/>
      <c r="KD719" s="77"/>
      <c r="KE719" s="77"/>
      <c r="KF719" s="77"/>
      <c r="KG719" s="77"/>
      <c r="KH719" s="77"/>
      <c r="KI719" s="77"/>
      <c r="KJ719" s="77"/>
      <c r="KK719" s="77"/>
      <c r="KL719" s="77"/>
      <c r="KM719" s="77"/>
      <c r="KN719" s="77"/>
      <c r="KO719" s="77"/>
      <c r="KP719" s="77"/>
      <c r="KQ719" s="77"/>
      <c r="KR719" s="77"/>
      <c r="KS719" s="77"/>
      <c r="KT719" s="77"/>
      <c r="KU719" s="77"/>
      <c r="KV719" s="77"/>
      <c r="KW719" s="77"/>
      <c r="KX719" s="77"/>
      <c r="KY719" s="77"/>
      <c r="KZ719" s="77"/>
      <c r="LA719" s="77"/>
      <c r="LB719" s="77"/>
      <c r="LC719" s="77"/>
      <c r="LD719" s="77"/>
      <c r="LE719" s="77"/>
      <c r="LF719" s="77"/>
      <c r="LG719" s="77"/>
      <c r="LH719" s="77"/>
      <c r="LI719" s="77"/>
      <c r="LJ719" s="77"/>
      <c r="LK719" s="77"/>
      <c r="LW719" s="77"/>
      <c r="LX719" s="77"/>
    </row>
    <row r="720" spans="1:421" s="16" customFormat="1" ht="18.600000000000001" customHeight="1" x14ac:dyDescent="0.25">
      <c r="A720" s="119" t="s">
        <v>64</v>
      </c>
      <c r="B720" s="27" t="s">
        <v>2864</v>
      </c>
      <c r="C720" s="27"/>
      <c r="D720" s="30" t="str">
        <f>HYPERLINK("https://twitter.com/primatureci","https://twitter.com/primatureci")</f>
        <v>https://twitter.com/primatureci</v>
      </c>
      <c r="E720" s="30" t="str">
        <f>HYPERLINK("http://twiplomacy.com/info/africa/Ivory-Coast","http://twiplomacy.com/info/africa/Ivory-Coast")</f>
        <v>http://twiplomacy.com/info/africa/Ivory-Coast</v>
      </c>
      <c r="F720" s="14" t="s">
        <v>1</v>
      </c>
      <c r="G720" s="14" t="s">
        <v>60</v>
      </c>
      <c r="H720" s="10" t="s">
        <v>788</v>
      </c>
      <c r="I720" s="14" t="s">
        <v>782</v>
      </c>
      <c r="J720" s="27" t="s">
        <v>779</v>
      </c>
      <c r="K720" s="98" t="s">
        <v>2865</v>
      </c>
      <c r="L720" s="14" t="s">
        <v>771</v>
      </c>
      <c r="M720" s="14" t="s">
        <v>770</v>
      </c>
      <c r="N720" s="100" t="str">
        <f>HYPERLINK("https://twitter.com/primatureci/statuses/272021017730363392","https://twitter.com/primatureci/statuses/272021017730363392")</f>
        <v>https://twitter.com/primatureci/statuses/272021017730363392</v>
      </c>
      <c r="O720" s="27" t="s">
        <v>2866</v>
      </c>
      <c r="P720" s="80">
        <v>2</v>
      </c>
      <c r="Q720" s="80">
        <v>3</v>
      </c>
      <c r="R720" s="27" t="s">
        <v>2995</v>
      </c>
      <c r="S720" s="10" t="s">
        <v>2867</v>
      </c>
      <c r="T720" s="10" t="s">
        <v>771</v>
      </c>
      <c r="U720" s="10" t="s">
        <v>771</v>
      </c>
      <c r="V720" s="10" t="s">
        <v>771</v>
      </c>
      <c r="W720" s="102"/>
      <c r="X720" s="27" t="s">
        <v>64</v>
      </c>
      <c r="Y720" s="27" t="s">
        <v>2864</v>
      </c>
      <c r="Z720" s="80">
        <v>16</v>
      </c>
      <c r="AA720" s="27">
        <v>14</v>
      </c>
      <c r="AB720" s="80">
        <v>253</v>
      </c>
      <c r="AC720" s="27">
        <v>0</v>
      </c>
      <c r="AD720" s="27" t="s">
        <v>4377</v>
      </c>
      <c r="AE720" s="27">
        <v>606309435</v>
      </c>
      <c r="AF720" s="27"/>
      <c r="AG720" s="27"/>
      <c r="AH720" s="79">
        <v>1.12676056338028E-2</v>
      </c>
      <c r="AI720" s="83">
        <v>1.3333333333333299</v>
      </c>
      <c r="AJ720" s="80">
        <v>0.875</v>
      </c>
      <c r="AK720" s="80">
        <v>0.5625</v>
      </c>
      <c r="AL720" s="13">
        <v>0</v>
      </c>
      <c r="AM720" s="97">
        <f>SUM(AL720/Z720)</f>
        <v>0</v>
      </c>
      <c r="AN720" s="27" t="s">
        <v>64</v>
      </c>
      <c r="AO720" s="27">
        <v>1</v>
      </c>
      <c r="AP720" s="27">
        <v>4</v>
      </c>
      <c r="AQ720" s="27">
        <v>0</v>
      </c>
      <c r="AR720" s="27">
        <f>SUM(AO720:AQ720)</f>
        <v>5</v>
      </c>
      <c r="AS720" s="27" t="s">
        <v>930</v>
      </c>
      <c r="AT720" s="27" t="s">
        <v>5447</v>
      </c>
      <c r="AU720" s="84"/>
      <c r="AV720" s="68"/>
      <c r="AW720" s="68"/>
      <c r="AX720" s="68"/>
      <c r="AY720" s="68"/>
      <c r="AZ720" s="68"/>
      <c r="BA720" s="68"/>
      <c r="BB720" s="68"/>
      <c r="BC720" s="68"/>
      <c r="BD720" s="68"/>
      <c r="BE720" s="68"/>
      <c r="BF720" s="68"/>
      <c r="BG720" s="68"/>
      <c r="BH720" s="68"/>
      <c r="BI720" s="68"/>
      <c r="BJ720" s="68"/>
      <c r="BK720" s="68"/>
      <c r="BL720" s="68"/>
      <c r="BM720" s="68"/>
      <c r="BN720" s="68"/>
      <c r="BO720" s="68"/>
      <c r="BP720" s="68"/>
      <c r="BQ720" s="77"/>
      <c r="BR720" s="77"/>
      <c r="BS720" s="77"/>
      <c r="BT720" s="77"/>
      <c r="BU720" s="77"/>
      <c r="BV720" s="77"/>
      <c r="BW720" s="77"/>
      <c r="BX720" s="77"/>
      <c r="BY720" s="77"/>
      <c r="BZ720" s="77"/>
      <c r="CA720" s="77"/>
      <c r="CB720" s="77"/>
      <c r="CC720" s="77"/>
      <c r="CD720" s="77"/>
      <c r="CE720" s="77"/>
      <c r="CF720" s="77"/>
      <c r="CG720" s="77"/>
      <c r="CH720" s="77"/>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7"/>
      <c r="DV720" s="77"/>
      <c r="DW720" s="77"/>
      <c r="DX720" s="77"/>
      <c r="DY720" s="77"/>
      <c r="DZ720" s="77"/>
      <c r="EA720" s="77"/>
      <c r="EB720" s="77"/>
      <c r="EC720" s="77"/>
      <c r="ED720" s="77"/>
      <c r="EE720" s="77"/>
      <c r="EF720" s="77"/>
      <c r="EG720" s="77"/>
      <c r="EH720" s="77"/>
      <c r="EI720" s="77"/>
      <c r="EJ720" s="77"/>
      <c r="EK720" s="77"/>
      <c r="EL720" s="77"/>
      <c r="EM720" s="77"/>
      <c r="EN720" s="77"/>
      <c r="EO720" s="77"/>
      <c r="EP720" s="77"/>
      <c r="EQ720" s="77"/>
      <c r="ER720" s="77"/>
      <c r="ES720" s="77"/>
      <c r="ET720" s="77"/>
      <c r="EU720" s="77"/>
      <c r="EV720" s="77"/>
      <c r="EW720" s="77"/>
      <c r="EX720" s="77"/>
      <c r="EY720" s="77"/>
      <c r="EZ720" s="77"/>
      <c r="FA720" s="77"/>
      <c r="FB720" s="77"/>
      <c r="FC720" s="77"/>
      <c r="FD720" s="77"/>
      <c r="FE720" s="77"/>
      <c r="FF720" s="77"/>
      <c r="FG720" s="77"/>
      <c r="FH720" s="77"/>
      <c r="FI720" s="77"/>
      <c r="FJ720" s="77"/>
      <c r="FK720" s="77"/>
      <c r="FL720" s="77"/>
      <c r="FM720" s="77"/>
      <c r="FN720" s="77"/>
      <c r="FO720" s="77"/>
      <c r="FP720" s="77"/>
      <c r="FQ720" s="77"/>
      <c r="FR720" s="77"/>
      <c r="FS720" s="77"/>
      <c r="FT720" s="77"/>
      <c r="FU720" s="77"/>
      <c r="FV720" s="77"/>
      <c r="FW720" s="77"/>
      <c r="FX720" s="77"/>
      <c r="FY720" s="77"/>
      <c r="FZ720" s="77"/>
      <c r="GA720" s="77"/>
      <c r="GB720" s="77"/>
      <c r="GC720" s="77"/>
      <c r="GD720" s="77"/>
      <c r="GE720" s="77"/>
      <c r="GF720" s="77"/>
      <c r="GG720" s="77"/>
      <c r="GH720" s="77"/>
      <c r="GI720" s="77"/>
      <c r="GJ720" s="77"/>
      <c r="GK720" s="77"/>
      <c r="GL720" s="77"/>
      <c r="GM720" s="77"/>
      <c r="GN720" s="77"/>
      <c r="GO720" s="77"/>
      <c r="GP720" s="77"/>
      <c r="GQ720" s="77"/>
      <c r="GR720" s="77"/>
      <c r="GS720" s="77"/>
      <c r="GT720" s="77"/>
      <c r="GU720" s="77"/>
      <c r="GV720" s="77"/>
      <c r="GW720" s="77"/>
      <c r="GX720" s="77"/>
      <c r="GY720" s="77"/>
      <c r="GZ720" s="77"/>
      <c r="HA720" s="77"/>
      <c r="HB720" s="77"/>
      <c r="HC720" s="77"/>
      <c r="HD720" s="77"/>
      <c r="HE720" s="77"/>
      <c r="HF720" s="77"/>
      <c r="HG720" s="77"/>
      <c r="HH720" s="77"/>
      <c r="HI720" s="77"/>
      <c r="HJ720" s="77"/>
      <c r="HK720" s="77"/>
      <c r="HL720" s="77"/>
      <c r="HM720" s="77"/>
      <c r="HN720" s="77"/>
      <c r="HO720" s="77"/>
      <c r="HP720" s="77"/>
      <c r="HQ720" s="77"/>
      <c r="HR720" s="77"/>
      <c r="HS720" s="77"/>
      <c r="HT720" s="77"/>
      <c r="HU720" s="77"/>
      <c r="HV720" s="77"/>
      <c r="HW720" s="77"/>
      <c r="HX720" s="77"/>
      <c r="HY720" s="77"/>
      <c r="HZ720" s="77"/>
      <c r="IA720" s="77"/>
      <c r="IB720" s="77"/>
      <c r="IC720" s="77"/>
      <c r="ID720" s="77"/>
      <c r="IE720" s="77"/>
      <c r="IF720" s="77"/>
      <c r="IG720" s="77"/>
      <c r="IH720" s="77"/>
      <c r="II720" s="77"/>
      <c r="IJ720" s="77"/>
      <c r="IK720" s="77"/>
      <c r="IL720" s="77"/>
      <c r="IM720" s="77"/>
      <c r="IN720" s="77"/>
      <c r="IO720" s="77"/>
      <c r="IP720" s="77"/>
      <c r="IQ720" s="77"/>
      <c r="IR720" s="77"/>
      <c r="IS720" s="77"/>
      <c r="IT720" s="77"/>
      <c r="IU720" s="77"/>
      <c r="IV720" s="77"/>
      <c r="IW720" s="77"/>
      <c r="IX720" s="77"/>
      <c r="IY720" s="77"/>
      <c r="IZ720" s="77"/>
      <c r="JA720" s="77"/>
      <c r="JB720" s="77"/>
      <c r="JC720" s="77"/>
      <c r="JD720" s="77"/>
      <c r="JE720" s="77"/>
      <c r="JF720" s="77"/>
      <c r="JG720" s="77"/>
      <c r="JH720" s="77"/>
      <c r="JI720" s="77"/>
      <c r="JJ720" s="77"/>
      <c r="JK720" s="77"/>
      <c r="JL720" s="77"/>
      <c r="JM720" s="77"/>
      <c r="JN720" s="77"/>
      <c r="JO720" s="77"/>
      <c r="JP720" s="77"/>
      <c r="JQ720" s="77"/>
      <c r="JR720" s="77"/>
      <c r="JS720" s="77"/>
      <c r="JT720" s="77"/>
      <c r="JU720" s="77"/>
      <c r="JV720" s="77"/>
      <c r="JW720" s="77"/>
      <c r="JX720" s="77"/>
      <c r="JY720" s="77"/>
      <c r="JZ720" s="77"/>
      <c r="KA720" s="77"/>
      <c r="KB720" s="77"/>
      <c r="KC720" s="77"/>
      <c r="KD720" s="77"/>
      <c r="KE720" s="77"/>
      <c r="KF720" s="77"/>
      <c r="KG720" s="77"/>
      <c r="KH720" s="77"/>
      <c r="KI720" s="77"/>
      <c r="KJ720" s="77"/>
      <c r="KK720" s="77"/>
      <c r="KL720" s="77"/>
      <c r="KM720" s="77"/>
      <c r="KN720" s="77"/>
      <c r="KO720" s="77"/>
      <c r="KP720" s="77"/>
      <c r="KQ720" s="77"/>
      <c r="KR720" s="77"/>
      <c r="KS720" s="77"/>
      <c r="KT720" s="77"/>
      <c r="KU720" s="77"/>
      <c r="KV720" s="77"/>
      <c r="KW720" s="77"/>
      <c r="KX720" s="77"/>
      <c r="KY720" s="77"/>
      <c r="KZ720" s="77"/>
      <c r="LA720" s="77"/>
      <c r="LB720" s="77"/>
      <c r="LC720" s="77"/>
      <c r="LD720" s="77"/>
      <c r="LE720" s="77"/>
      <c r="LF720" s="77"/>
      <c r="LG720" s="77"/>
      <c r="LH720" s="77"/>
      <c r="LI720" s="77"/>
      <c r="LJ720" s="77"/>
      <c r="LK720" s="77"/>
      <c r="LL720" s="77"/>
      <c r="LM720" s="77"/>
      <c r="LN720" s="77"/>
      <c r="LO720" s="77"/>
      <c r="LP720" s="77"/>
      <c r="LQ720" s="77"/>
      <c r="LR720" s="77"/>
      <c r="LS720" s="77"/>
      <c r="LT720" s="77"/>
      <c r="LU720" s="77"/>
      <c r="LV720" s="77"/>
      <c r="LW720" s="77"/>
      <c r="LX720" s="77"/>
      <c r="LY720" s="77"/>
      <c r="LZ720" s="77"/>
      <c r="MA720" s="77"/>
      <c r="MB720" s="77"/>
      <c r="MC720" s="77"/>
      <c r="MD720" s="77"/>
      <c r="ME720" s="77"/>
      <c r="MF720" s="77"/>
      <c r="MG720" s="77"/>
      <c r="MH720" s="77"/>
      <c r="MI720" s="77"/>
      <c r="MJ720" s="77"/>
      <c r="MK720" s="77"/>
      <c r="ML720" s="77"/>
      <c r="MM720" s="77"/>
      <c r="MN720" s="77"/>
      <c r="MO720" s="77"/>
      <c r="MP720" s="77"/>
      <c r="MQ720" s="77"/>
      <c r="MR720" s="77"/>
      <c r="MS720" s="77"/>
      <c r="MT720" s="77"/>
      <c r="MU720" s="77"/>
      <c r="MV720" s="77"/>
      <c r="MW720" s="77"/>
      <c r="MX720" s="77"/>
      <c r="MY720" s="77"/>
      <c r="MZ720" s="77"/>
      <c r="NA720" s="77"/>
      <c r="NB720" s="77"/>
      <c r="NC720" s="77"/>
      <c r="ND720" s="77"/>
      <c r="NE720" s="77"/>
      <c r="NF720" s="77"/>
      <c r="NG720" s="77"/>
      <c r="NH720" s="77"/>
      <c r="NI720" s="77"/>
      <c r="NJ720" s="77"/>
      <c r="NK720" s="77"/>
      <c r="NL720" s="77"/>
      <c r="NM720" s="77"/>
      <c r="NN720" s="77"/>
      <c r="NO720" s="77"/>
      <c r="NP720" s="77"/>
      <c r="NQ720" s="77"/>
      <c r="NR720" s="77"/>
      <c r="NS720" s="77"/>
      <c r="NT720" s="77"/>
      <c r="NU720" s="77"/>
      <c r="NV720" s="77"/>
      <c r="NW720" s="77"/>
      <c r="NX720" s="77"/>
      <c r="NY720" s="77"/>
      <c r="NZ720" s="77"/>
      <c r="OA720" s="77"/>
      <c r="OB720" s="77"/>
      <c r="OC720" s="77"/>
      <c r="OD720" s="77"/>
      <c r="OE720" s="77"/>
      <c r="OF720" s="77"/>
      <c r="OG720" s="77"/>
      <c r="OH720" s="77"/>
      <c r="OI720" s="77"/>
      <c r="OJ720" s="77"/>
      <c r="OK720" s="77"/>
      <c r="OL720" s="77"/>
      <c r="OM720" s="77"/>
      <c r="ON720" s="77"/>
      <c r="OO720" s="77"/>
      <c r="OP720" s="77"/>
      <c r="OQ720" s="77"/>
      <c r="OR720" s="77"/>
      <c r="OS720" s="77"/>
      <c r="OT720" s="77"/>
      <c r="OU720" s="77"/>
      <c r="OV720" s="77"/>
      <c r="OW720" s="77"/>
      <c r="OX720" s="77"/>
      <c r="OY720" s="77"/>
      <c r="OZ720" s="77"/>
      <c r="PA720" s="77"/>
      <c r="PB720" s="77"/>
      <c r="PC720" s="77"/>
      <c r="PD720" s="77"/>
      <c r="PE720" s="77"/>
    </row>
    <row r="721" spans="1:421" s="16" customFormat="1" ht="18.600000000000001" customHeight="1" x14ac:dyDescent="0.25">
      <c r="A721" s="119" t="s">
        <v>176</v>
      </c>
      <c r="B721" s="27" t="s">
        <v>1260</v>
      </c>
      <c r="C721" s="27" t="s">
        <v>1261</v>
      </c>
      <c r="D721" s="30" t="str">
        <f>HYPERLINK("https://twitter.com/TaurMatanRuak","https://twitter.com/TaurMatanRuak")</f>
        <v>https://twitter.com/TaurMatanRuak</v>
      </c>
      <c r="E721" s="30" t="str">
        <f>HYPERLINK("http://twiplomacy.com/info/asia/East-Timor","http://twiplomacy.com/info/asia/East-Timor")</f>
        <v>http://twiplomacy.com/info/asia/East-Timor</v>
      </c>
      <c r="F721" s="10" t="s">
        <v>154</v>
      </c>
      <c r="G721" s="10" t="s">
        <v>175</v>
      </c>
      <c r="H721" s="10" t="s">
        <v>772</v>
      </c>
      <c r="I721" s="10" t="s">
        <v>773</v>
      </c>
      <c r="J721" s="27" t="s">
        <v>789</v>
      </c>
      <c r="K721" s="15" t="s">
        <v>1262</v>
      </c>
      <c r="L721" s="10" t="s">
        <v>771</v>
      </c>
      <c r="M721" s="10" t="s">
        <v>771</v>
      </c>
      <c r="N721" s="30" t="str">
        <f>HYPERLINK("https://twitter.com/TaurMatanRuak/statuses/116068203456765952","https://twitter.com/TaurMatanRuak/statuses/116068203456765952")</f>
        <v>https://twitter.com/TaurMatanRuak/statuses/116068203456765952</v>
      </c>
      <c r="O721" s="27" t="s">
        <v>1263</v>
      </c>
      <c r="P721" s="80">
        <v>10</v>
      </c>
      <c r="Q721" s="80">
        <v>1</v>
      </c>
      <c r="R721" s="27" t="s">
        <v>2995</v>
      </c>
      <c r="S721" s="10" t="s">
        <v>1264</v>
      </c>
      <c r="T721" s="10" t="s">
        <v>771</v>
      </c>
      <c r="U721" s="10" t="s">
        <v>771</v>
      </c>
      <c r="V721" s="10" t="s">
        <v>771</v>
      </c>
      <c r="W721" s="10"/>
      <c r="X721" s="27" t="s">
        <v>176</v>
      </c>
      <c r="Y721" s="27" t="s">
        <v>1260</v>
      </c>
      <c r="Z721" s="80">
        <v>16</v>
      </c>
      <c r="AA721" s="27">
        <v>3</v>
      </c>
      <c r="AB721" s="80">
        <v>675</v>
      </c>
      <c r="AC721" s="27">
        <v>0</v>
      </c>
      <c r="AD721" s="27" t="s">
        <v>4513</v>
      </c>
      <c r="AE721" s="27">
        <v>376198296</v>
      </c>
      <c r="AF721" s="27" t="s">
        <v>1261</v>
      </c>
      <c r="AG721" s="27" t="s">
        <v>1265</v>
      </c>
      <c r="AH721" s="79">
        <v>9.4842916419679898E-3</v>
      </c>
      <c r="AI721" s="83">
        <v>6.5573770491803296E-2</v>
      </c>
      <c r="AJ721" s="80">
        <v>2</v>
      </c>
      <c r="AK721" s="80">
        <v>1</v>
      </c>
      <c r="AL721" s="13">
        <v>0</v>
      </c>
      <c r="AM721" s="97">
        <f>SUM(AL721/Z721)</f>
        <v>0</v>
      </c>
      <c r="AN721" s="27" t="s">
        <v>176</v>
      </c>
      <c r="AO721" s="27">
        <v>0</v>
      </c>
      <c r="AP721" s="27">
        <v>3</v>
      </c>
      <c r="AQ721" s="27">
        <v>0</v>
      </c>
      <c r="AR721" s="27">
        <f>SUM(AO721:AQ721)</f>
        <v>3</v>
      </c>
      <c r="AS721" s="27"/>
      <c r="AT721" s="27" t="s">
        <v>5047</v>
      </c>
      <c r="AU721" s="84"/>
      <c r="AV721" s="77"/>
      <c r="AW721" s="77"/>
      <c r="AX721" s="77"/>
      <c r="AY721" s="77"/>
      <c r="AZ721" s="77"/>
      <c r="BA721" s="77"/>
      <c r="BB721" s="77"/>
      <c r="BC721" s="77"/>
      <c r="BD721" s="77"/>
      <c r="BE721" s="77"/>
      <c r="BF721" s="77"/>
      <c r="BG721" s="77"/>
      <c r="BH721" s="77"/>
      <c r="BI721" s="77"/>
      <c r="BJ721" s="77"/>
      <c r="BK721" s="77"/>
      <c r="BL721" s="77"/>
      <c r="BM721" s="77"/>
      <c r="BN721" s="77"/>
      <c r="BO721" s="77"/>
      <c r="BP721" s="77"/>
      <c r="BQ721" s="71"/>
      <c r="BR721" s="71"/>
      <c r="BS721" s="71"/>
      <c r="BT721" s="71"/>
      <c r="BU721" s="71"/>
      <c r="BV721" s="71"/>
      <c r="BW721" s="71"/>
      <c r="BX721" s="71"/>
      <c r="BY721" s="71"/>
      <c r="BZ721" s="71"/>
      <c r="CA721" s="71"/>
      <c r="CB721" s="71"/>
      <c r="CC721" s="77"/>
      <c r="CD721" s="77"/>
      <c r="CE721" s="77"/>
      <c r="CF721" s="77"/>
      <c r="CG721" s="77"/>
      <c r="CH721" s="77"/>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7"/>
      <c r="DV721" s="77"/>
      <c r="DW721" s="77"/>
      <c r="DX721" s="77"/>
      <c r="DY721" s="77"/>
      <c r="DZ721" s="77"/>
      <c r="EA721" s="77"/>
      <c r="EB721" s="77"/>
      <c r="EC721" s="77"/>
      <c r="ED721" s="77"/>
      <c r="EE721" s="77"/>
      <c r="EF721" s="77"/>
      <c r="EG721" s="77"/>
      <c r="EH721" s="77"/>
      <c r="EI721" s="77"/>
      <c r="EJ721" s="77"/>
      <c r="EK721" s="77"/>
      <c r="EL721" s="77"/>
      <c r="EM721" s="77"/>
      <c r="EN721" s="77"/>
      <c r="EO721" s="77"/>
      <c r="EP721" s="77"/>
      <c r="EQ721" s="77"/>
      <c r="ER721" s="77"/>
      <c r="ES721" s="77"/>
      <c r="ET721" s="77"/>
      <c r="EU721" s="77"/>
      <c r="EV721" s="77"/>
      <c r="EW721" s="77"/>
      <c r="EX721" s="77"/>
      <c r="EY721" s="77"/>
      <c r="EZ721" s="77"/>
      <c r="FA721" s="77"/>
      <c r="FB721" s="77"/>
      <c r="FC721" s="77"/>
      <c r="FD721" s="77"/>
      <c r="FE721" s="77"/>
      <c r="FF721" s="77"/>
      <c r="FG721" s="77"/>
      <c r="FH721" s="77"/>
      <c r="FI721" s="77"/>
      <c r="FJ721" s="77"/>
      <c r="FK721" s="77"/>
      <c r="FL721" s="77"/>
      <c r="FM721" s="77"/>
      <c r="FN721" s="77"/>
      <c r="FO721" s="77"/>
      <c r="FP721" s="77"/>
      <c r="FQ721" s="77"/>
      <c r="FR721" s="77"/>
      <c r="FS721" s="77"/>
      <c r="FT721" s="77"/>
      <c r="FU721" s="77"/>
      <c r="FV721" s="77"/>
      <c r="FW721" s="77"/>
      <c r="FX721" s="77"/>
      <c r="FY721" s="77"/>
      <c r="FZ721" s="77"/>
      <c r="GA721" s="77"/>
      <c r="GB721" s="77"/>
      <c r="GC721" s="77"/>
      <c r="GD721" s="77"/>
      <c r="GE721" s="77"/>
      <c r="GF721" s="77"/>
      <c r="GG721" s="77"/>
      <c r="GH721" s="77"/>
      <c r="GI721" s="77"/>
      <c r="GJ721" s="77"/>
      <c r="GK721" s="77"/>
      <c r="GL721" s="77"/>
      <c r="GM721" s="77"/>
      <c r="GN721" s="77"/>
      <c r="GO721" s="77"/>
      <c r="GP721" s="77"/>
      <c r="GQ721" s="77"/>
      <c r="GR721" s="77"/>
      <c r="GS721" s="77"/>
      <c r="GT721" s="77"/>
      <c r="GU721" s="77"/>
      <c r="GV721" s="77"/>
      <c r="GW721" s="77"/>
      <c r="GX721" s="77"/>
      <c r="GY721" s="77"/>
      <c r="GZ721" s="77"/>
      <c r="HA721" s="77"/>
      <c r="HB721" s="77"/>
      <c r="HC721" s="77"/>
      <c r="HD721" s="77"/>
      <c r="HE721" s="77"/>
      <c r="HF721" s="77"/>
      <c r="HG721" s="77"/>
      <c r="HH721" s="77"/>
      <c r="HI721" s="77"/>
      <c r="HJ721" s="77"/>
      <c r="HK721" s="77"/>
      <c r="HL721" s="77"/>
      <c r="HM721" s="77"/>
      <c r="HN721" s="77"/>
      <c r="HO721" s="77"/>
      <c r="HP721" s="77"/>
      <c r="HQ721" s="77"/>
      <c r="HR721" s="77"/>
      <c r="HS721" s="77"/>
      <c r="HT721" s="77"/>
      <c r="HU721" s="77"/>
      <c r="HV721" s="77"/>
      <c r="HW721" s="77"/>
      <c r="HX721" s="77"/>
      <c r="HY721" s="77"/>
      <c r="HZ721" s="77"/>
      <c r="IA721" s="77"/>
      <c r="IB721" s="77"/>
      <c r="IC721" s="77"/>
      <c r="ID721" s="77"/>
      <c r="IE721" s="77"/>
      <c r="IF721" s="77"/>
      <c r="IG721" s="77"/>
      <c r="IH721" s="77"/>
      <c r="II721" s="77"/>
      <c r="IJ721" s="77"/>
      <c r="IK721" s="77"/>
      <c r="IL721" s="77"/>
      <c r="IM721" s="77"/>
      <c r="IN721" s="77"/>
      <c r="IO721" s="77"/>
      <c r="IP721" s="77"/>
      <c r="IQ721" s="77"/>
      <c r="IR721" s="77"/>
      <c r="IS721" s="77"/>
      <c r="IT721" s="77"/>
      <c r="IU721" s="77"/>
      <c r="IV721" s="77"/>
      <c r="IW721" s="77"/>
      <c r="IX721" s="77"/>
      <c r="IY721" s="77"/>
      <c r="IZ721" s="77"/>
      <c r="JA721" s="77"/>
      <c r="JB721" s="77"/>
      <c r="JC721" s="77"/>
      <c r="JD721" s="77"/>
      <c r="JE721" s="77"/>
      <c r="JF721" s="77"/>
      <c r="JG721" s="77"/>
      <c r="JH721" s="77"/>
      <c r="JI721" s="77"/>
      <c r="JJ721" s="77"/>
      <c r="JK721" s="77"/>
      <c r="JL721" s="77"/>
      <c r="JM721" s="77"/>
      <c r="JN721" s="77"/>
      <c r="JO721" s="77"/>
      <c r="JP721" s="77"/>
      <c r="JQ721" s="77"/>
      <c r="JR721" s="77"/>
      <c r="JS721" s="77"/>
      <c r="JT721" s="77"/>
      <c r="JU721" s="77"/>
      <c r="JV721" s="77"/>
      <c r="JW721" s="77"/>
      <c r="JX721" s="77"/>
      <c r="JY721" s="77"/>
      <c r="JZ721" s="77"/>
      <c r="KA721" s="77"/>
      <c r="KB721" s="77"/>
      <c r="KC721" s="77"/>
      <c r="KD721" s="77"/>
      <c r="KE721" s="77"/>
      <c r="KF721" s="77"/>
      <c r="KG721" s="77"/>
      <c r="KH721" s="77"/>
      <c r="KI721" s="77"/>
      <c r="KJ721" s="77"/>
      <c r="KK721" s="77"/>
      <c r="KL721" s="77"/>
      <c r="KM721" s="77"/>
      <c r="KN721" s="77"/>
      <c r="KO721" s="77"/>
      <c r="KP721" s="77"/>
      <c r="KQ721" s="77"/>
      <c r="KR721" s="77"/>
      <c r="KS721" s="77"/>
      <c r="KT721" s="77"/>
      <c r="KU721" s="77"/>
      <c r="KV721" s="77"/>
      <c r="KW721" s="77"/>
      <c r="KX721" s="77"/>
      <c r="KY721" s="77"/>
      <c r="KZ721" s="77"/>
      <c r="LA721" s="77"/>
      <c r="LB721" s="77"/>
      <c r="LC721" s="77"/>
      <c r="LD721" s="77"/>
      <c r="LE721" s="77"/>
      <c r="LF721" s="77"/>
      <c r="LG721" s="77"/>
      <c r="LH721" s="77"/>
      <c r="LI721" s="77"/>
      <c r="LJ721" s="77"/>
      <c r="LK721" s="77"/>
      <c r="LL721" s="77"/>
      <c r="LM721" s="77"/>
      <c r="LN721" s="77"/>
      <c r="LO721" s="77"/>
      <c r="LP721" s="77"/>
      <c r="LQ721" s="77"/>
      <c r="LR721" s="77"/>
      <c r="LS721" s="77"/>
      <c r="LT721" s="77"/>
      <c r="LU721" s="77"/>
      <c r="LV721" s="77"/>
      <c r="LW721" s="77"/>
      <c r="LX721" s="77"/>
      <c r="LY721" s="77"/>
      <c r="LZ721" s="77"/>
      <c r="MA721" s="77"/>
      <c r="MB721" s="77"/>
      <c r="MC721" s="77"/>
      <c r="MD721" s="77"/>
      <c r="ME721" s="77"/>
      <c r="MF721" s="77"/>
      <c r="MG721" s="77"/>
      <c r="MH721" s="77"/>
      <c r="MI721" s="77"/>
      <c r="MJ721" s="77"/>
      <c r="MK721" s="77"/>
      <c r="ML721" s="77"/>
      <c r="MM721" s="77"/>
      <c r="MN721" s="77"/>
      <c r="MO721" s="77"/>
      <c r="MP721" s="77"/>
      <c r="MQ721" s="77"/>
      <c r="MR721" s="77"/>
      <c r="MS721" s="77"/>
      <c r="MT721" s="77"/>
      <c r="MU721" s="77"/>
      <c r="MV721" s="77"/>
      <c r="MW721" s="77"/>
      <c r="MX721" s="77"/>
      <c r="MY721" s="77"/>
      <c r="MZ721" s="77"/>
      <c r="NA721" s="77"/>
      <c r="NB721" s="77"/>
      <c r="NC721" s="77"/>
      <c r="ND721" s="77"/>
      <c r="NE721" s="77"/>
      <c r="NF721" s="77"/>
      <c r="NG721" s="77"/>
      <c r="NH721" s="77"/>
      <c r="NI721" s="77"/>
      <c r="NJ721" s="77"/>
      <c r="NK721" s="77"/>
      <c r="NL721" s="77"/>
      <c r="NM721" s="77"/>
      <c r="NN721" s="77"/>
      <c r="NO721" s="77"/>
      <c r="NP721" s="77"/>
      <c r="NQ721" s="77"/>
      <c r="NR721" s="77"/>
      <c r="NS721" s="77"/>
      <c r="NT721" s="77"/>
      <c r="NU721" s="77"/>
      <c r="NV721" s="77"/>
      <c r="NW721" s="77"/>
      <c r="NX721" s="77"/>
      <c r="NY721" s="77"/>
      <c r="NZ721" s="77"/>
      <c r="OA721" s="77"/>
      <c r="OB721" s="77"/>
      <c r="OC721" s="77"/>
      <c r="OD721" s="77"/>
      <c r="OE721" s="77"/>
      <c r="OF721" s="77"/>
      <c r="OG721" s="77"/>
      <c r="OH721" s="77"/>
      <c r="OI721" s="77"/>
      <c r="OJ721" s="77"/>
      <c r="OK721" s="77"/>
      <c r="OL721" s="77"/>
      <c r="OM721" s="77"/>
      <c r="ON721" s="77"/>
      <c r="OO721" s="77"/>
      <c r="OP721" s="77"/>
      <c r="OQ721" s="77"/>
      <c r="OR721" s="77"/>
      <c r="OS721" s="77"/>
      <c r="OT721" s="77"/>
      <c r="OU721" s="77"/>
      <c r="OV721" s="77"/>
      <c r="OW721" s="77"/>
      <c r="OX721" s="77"/>
      <c r="OY721" s="77"/>
      <c r="OZ721" s="77"/>
      <c r="PA721" s="77"/>
      <c r="PB721" s="77"/>
      <c r="PC721" s="77"/>
      <c r="PD721" s="77"/>
      <c r="PE721" s="77"/>
    </row>
    <row r="722" spans="1:421" s="21" customFormat="1" ht="18.600000000000001" customHeight="1" x14ac:dyDescent="0.25">
      <c r="A722" s="119" t="s">
        <v>3225</v>
      </c>
      <c r="B722" s="27" t="s">
        <v>4234</v>
      </c>
      <c r="C722" s="27" t="s">
        <v>6436</v>
      </c>
      <c r="D722" s="19" t="s">
        <v>3226</v>
      </c>
      <c r="E722" s="34" t="s">
        <v>786</v>
      </c>
      <c r="F722" s="42" t="s">
        <v>1</v>
      </c>
      <c r="G722" s="42" t="s">
        <v>4</v>
      </c>
      <c r="H722" s="42" t="s">
        <v>772</v>
      </c>
      <c r="I722" s="42" t="s">
        <v>773</v>
      </c>
      <c r="J722" s="27" t="s">
        <v>779</v>
      </c>
      <c r="K722" s="98" t="s">
        <v>777</v>
      </c>
      <c r="L722" s="15"/>
      <c r="M722" s="10" t="s">
        <v>770</v>
      </c>
      <c r="N722" s="34" t="s">
        <v>3227</v>
      </c>
      <c r="O722" s="27" t="s">
        <v>3229</v>
      </c>
      <c r="P722" s="80">
        <v>20</v>
      </c>
      <c r="Q722" s="80">
        <v>30</v>
      </c>
      <c r="R722" s="27" t="s">
        <v>2995</v>
      </c>
      <c r="S722" s="86" t="s">
        <v>3228</v>
      </c>
      <c r="T722" s="10" t="s">
        <v>771</v>
      </c>
      <c r="U722" s="10" t="s">
        <v>771</v>
      </c>
      <c r="V722" s="10" t="s">
        <v>771</v>
      </c>
      <c r="W722" s="42"/>
      <c r="X722" s="27" t="s">
        <v>3225</v>
      </c>
      <c r="Y722" s="27" t="s">
        <v>4234</v>
      </c>
      <c r="Z722" s="80">
        <v>15</v>
      </c>
      <c r="AA722" s="27">
        <v>43</v>
      </c>
      <c r="AB722" s="80">
        <v>1147</v>
      </c>
      <c r="AC722" s="27">
        <v>4</v>
      </c>
      <c r="AD722" s="27" t="s">
        <v>4235</v>
      </c>
      <c r="AE722" s="27">
        <v>4513836633</v>
      </c>
      <c r="AF722" s="27" t="s">
        <v>6436</v>
      </c>
      <c r="AG722" s="27" t="s">
        <v>3738</v>
      </c>
      <c r="AH722" s="79">
        <v>0.109489051094891</v>
      </c>
      <c r="AI722" s="83">
        <v>0.78947368421052599</v>
      </c>
      <c r="AJ722" s="80">
        <v>4</v>
      </c>
      <c r="AK722" s="80">
        <v>8</v>
      </c>
      <c r="AL722" s="13">
        <v>0</v>
      </c>
      <c r="AM722" s="97">
        <f>SUM(AL722/Z722)</f>
        <v>0</v>
      </c>
      <c r="AN722" s="27" t="s">
        <v>3225</v>
      </c>
      <c r="AO722" s="27">
        <v>0</v>
      </c>
      <c r="AP722" s="27">
        <v>0</v>
      </c>
      <c r="AQ722" s="27">
        <v>0</v>
      </c>
      <c r="AR722" s="27">
        <f>SUM(AO722:AQ722)</f>
        <v>0</v>
      </c>
      <c r="AS722" s="27"/>
      <c r="AT722" s="27"/>
      <c r="AU722" s="84"/>
      <c r="AV722" s="77"/>
      <c r="AW722" s="77"/>
      <c r="AX722" s="77"/>
      <c r="AY722" s="77"/>
      <c r="AZ722" s="77"/>
      <c r="BA722" s="77"/>
      <c r="BB722" s="77"/>
      <c r="BC722" s="77"/>
      <c r="BD722" s="77"/>
      <c r="BE722" s="77"/>
      <c r="BF722" s="77"/>
      <c r="BG722" s="77"/>
      <c r="BH722" s="77"/>
      <c r="BI722" s="77"/>
      <c r="BJ722" s="77"/>
      <c r="BK722" s="77"/>
      <c r="BL722" s="77"/>
      <c r="BM722" s="71"/>
      <c r="BN722" s="71"/>
      <c r="BO722" s="71"/>
      <c r="BP722" s="71"/>
      <c r="BQ722" s="77"/>
      <c r="BR722" s="77"/>
      <c r="BS722" s="77"/>
      <c r="BT722" s="77"/>
      <c r="BU722" s="77"/>
      <c r="BV722" s="77"/>
      <c r="BW722" s="77"/>
      <c r="BX722" s="77"/>
      <c r="BY722" s="77"/>
      <c r="BZ722" s="77"/>
      <c r="CA722" s="77"/>
      <c r="CB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7"/>
      <c r="DV722" s="77"/>
      <c r="DW722" s="77"/>
      <c r="DX722" s="77"/>
      <c r="DY722" s="77"/>
      <c r="DZ722" s="77"/>
      <c r="EA722" s="77"/>
      <c r="EB722" s="77"/>
      <c r="EC722" s="77"/>
      <c r="ED722" s="77"/>
      <c r="EE722" s="77"/>
      <c r="EF722" s="77"/>
      <c r="EG722" s="77"/>
      <c r="EH722" s="77"/>
      <c r="EI722" s="77"/>
      <c r="EJ722" s="77"/>
      <c r="EK722" s="77"/>
      <c r="EL722" s="77"/>
      <c r="EM722" s="77"/>
      <c r="EN722" s="77"/>
      <c r="EO722" s="77"/>
      <c r="EP722" s="77"/>
      <c r="ER722" s="16"/>
      <c r="ES722" s="16"/>
      <c r="ET722" s="16"/>
      <c r="EU722" s="16"/>
      <c r="EV722" s="16"/>
      <c r="EW722" s="16"/>
      <c r="EX722" s="16"/>
      <c r="EY722" s="16"/>
      <c r="EZ722" s="16"/>
      <c r="FA722" s="16"/>
      <c r="FB722" s="16"/>
      <c r="FC722" s="16"/>
      <c r="FD722" s="16"/>
      <c r="FE722" s="16"/>
      <c r="FF722" s="16"/>
      <c r="FG722" s="16"/>
      <c r="FH722" s="16"/>
      <c r="FI722" s="16"/>
      <c r="FJ722" s="16"/>
      <c r="FK722" s="16"/>
      <c r="FL722" s="16"/>
      <c r="FM722" s="16"/>
      <c r="FN722" s="16"/>
      <c r="FO722" s="16"/>
      <c r="FP722" s="16"/>
      <c r="FQ722" s="16"/>
      <c r="FR722" s="16"/>
      <c r="FS722" s="16"/>
      <c r="FT722" s="16"/>
      <c r="FU722" s="16"/>
      <c r="FV722" s="16"/>
      <c r="FW722" s="16"/>
      <c r="FX722" s="16"/>
      <c r="FY722" s="16"/>
      <c r="FZ722" s="16"/>
      <c r="GA722" s="16"/>
      <c r="GB722" s="16"/>
      <c r="GC722" s="16"/>
      <c r="GD722" s="16"/>
      <c r="GE722" s="16"/>
      <c r="GF722" s="16"/>
      <c r="GG722" s="16"/>
      <c r="GH722" s="16"/>
      <c r="GI722" s="16"/>
      <c r="GJ722" s="16"/>
      <c r="GK722" s="16"/>
      <c r="GL722" s="77"/>
      <c r="GM722" s="77"/>
      <c r="GN722" s="77"/>
      <c r="GO722" s="77"/>
      <c r="GP722" s="77"/>
      <c r="GQ722" s="77"/>
      <c r="GR722" s="77"/>
      <c r="GS722" s="77"/>
      <c r="GT722" s="77"/>
      <c r="GU722" s="77"/>
      <c r="GV722" s="77"/>
      <c r="GW722" s="77"/>
      <c r="GX722" s="77"/>
      <c r="GY722" s="77"/>
      <c r="GZ722" s="77"/>
      <c r="HA722" s="77"/>
      <c r="HB722" s="77"/>
      <c r="HC722" s="77"/>
      <c r="HD722" s="77"/>
      <c r="HE722" s="77"/>
      <c r="HF722" s="77"/>
      <c r="HG722" s="77"/>
      <c r="HH722" s="77"/>
      <c r="HI722" s="77"/>
      <c r="HJ722" s="77"/>
      <c r="HK722" s="77"/>
      <c r="HL722" s="77"/>
      <c r="HM722" s="77"/>
      <c r="HN722" s="77"/>
      <c r="HO722" s="77"/>
      <c r="HP722" s="77"/>
      <c r="HQ722" s="77"/>
      <c r="HR722" s="77"/>
      <c r="HS722" s="77"/>
      <c r="HT722" s="77"/>
      <c r="HU722" s="77"/>
      <c r="HV722" s="77"/>
      <c r="HW722" s="77"/>
      <c r="HX722" s="77"/>
      <c r="HY722" s="77"/>
      <c r="HZ722" s="77"/>
      <c r="IA722" s="77"/>
      <c r="IB722" s="77"/>
      <c r="IC722" s="77"/>
      <c r="JY722" s="77"/>
      <c r="JZ722" s="77"/>
      <c r="KA722" s="77"/>
      <c r="KB722" s="77"/>
      <c r="KC722" s="77"/>
      <c r="KD722" s="77"/>
      <c r="KE722" s="77"/>
      <c r="KF722" s="77"/>
      <c r="KG722" s="77"/>
      <c r="KH722" s="77"/>
      <c r="KI722" s="77"/>
      <c r="KJ722" s="77"/>
      <c r="KK722" s="77"/>
      <c r="KL722" s="77"/>
      <c r="KM722" s="77"/>
      <c r="KN722" s="77"/>
      <c r="KO722" s="77"/>
      <c r="KP722" s="77"/>
      <c r="KQ722" s="77"/>
      <c r="KR722" s="77"/>
      <c r="KS722" s="77"/>
      <c r="KT722" s="77"/>
      <c r="KU722" s="77"/>
      <c r="KV722" s="77"/>
      <c r="KW722" s="77"/>
      <c r="KX722" s="77"/>
      <c r="KY722" s="77"/>
      <c r="KZ722" s="77"/>
      <c r="LA722" s="77"/>
      <c r="LB722" s="77"/>
      <c r="LC722" s="77"/>
      <c r="LD722" s="77"/>
      <c r="LE722" s="77"/>
      <c r="LF722" s="77"/>
      <c r="LG722" s="77"/>
      <c r="LH722" s="77"/>
      <c r="LI722" s="77"/>
      <c r="LJ722" s="77"/>
      <c r="LK722" s="77"/>
      <c r="LW722" s="77"/>
      <c r="LX722" s="77"/>
    </row>
    <row r="723" spans="1:421" s="21" customFormat="1" ht="18.600000000000001" customHeight="1" x14ac:dyDescent="0.25">
      <c r="A723" s="119" t="s">
        <v>2853</v>
      </c>
      <c r="B723" s="27" t="s">
        <v>2854</v>
      </c>
      <c r="C723" s="27" t="s">
        <v>2855</v>
      </c>
      <c r="D723" s="30" t="str">
        <f>HYPERLINK("https://twitter.com/RepdemCongo","https://twitter.com/RepdemCongo")</f>
        <v>https://twitter.com/RepdemCongo</v>
      </c>
      <c r="E723" s="30" t="s">
        <v>842</v>
      </c>
      <c r="F723" s="38" t="s">
        <v>1</v>
      </c>
      <c r="G723" s="14" t="s">
        <v>843</v>
      </c>
      <c r="H723" s="14" t="s">
        <v>788</v>
      </c>
      <c r="I723" s="14" t="s">
        <v>782</v>
      </c>
      <c r="J723" s="27" t="s">
        <v>779</v>
      </c>
      <c r="K723" s="14" t="s">
        <v>2856</v>
      </c>
      <c r="L723" s="14" t="s">
        <v>771</v>
      </c>
      <c r="M723" s="14" t="s">
        <v>771</v>
      </c>
      <c r="N723" s="100" t="str">
        <f>HYPERLINK("https://twitter.com/RepdemCongo/status/241491536997662720","https://twitter.com/RepdemCongo/status/241491536997662720")</f>
        <v>https://twitter.com/RepdemCongo/status/241491536997662720</v>
      </c>
      <c r="O723" s="27" t="s">
        <v>6068</v>
      </c>
      <c r="P723" s="80">
        <v>0</v>
      </c>
      <c r="Q723" s="80">
        <v>0</v>
      </c>
      <c r="R723" s="27" t="s">
        <v>2995</v>
      </c>
      <c r="S723" s="30" t="str">
        <f>HYPERLINK("https://twitter.com/RepdemCongo/lists","https://twitter.com/RepdemCongo/lists")</f>
        <v>https://twitter.com/RepdemCongo/lists</v>
      </c>
      <c r="T723" s="10" t="s">
        <v>771</v>
      </c>
      <c r="U723" s="10" t="s">
        <v>771</v>
      </c>
      <c r="V723" s="10" t="s">
        <v>771</v>
      </c>
      <c r="W723" s="14"/>
      <c r="X723" s="27" t="s">
        <v>2853</v>
      </c>
      <c r="Y723" s="27" t="s">
        <v>2854</v>
      </c>
      <c r="Z723" s="80">
        <v>15</v>
      </c>
      <c r="AA723" s="27">
        <v>0</v>
      </c>
      <c r="AB723" s="80">
        <v>62</v>
      </c>
      <c r="AC723" s="27">
        <v>0</v>
      </c>
      <c r="AD723" s="27" t="s">
        <v>4411</v>
      </c>
      <c r="AE723" s="27">
        <v>793601899</v>
      </c>
      <c r="AF723" s="27" t="s">
        <v>2855</v>
      </c>
      <c r="AG723" s="27" t="s">
        <v>2857</v>
      </c>
      <c r="AH723" s="79">
        <v>1.1194029850746299E-2</v>
      </c>
      <c r="AI723" s="83">
        <v>6.6371681415929196E-2</v>
      </c>
      <c r="AJ723" s="80">
        <v>0</v>
      </c>
      <c r="AK723" s="80">
        <v>6.6666666666666693E-2</v>
      </c>
      <c r="AL723" s="13">
        <v>0</v>
      </c>
      <c r="AM723" s="97">
        <f>SUM(AL723/Z723)</f>
        <v>0</v>
      </c>
      <c r="AN723" s="27" t="s">
        <v>2853</v>
      </c>
      <c r="AO723" s="27">
        <v>0</v>
      </c>
      <c r="AP723" s="27">
        <v>0</v>
      </c>
      <c r="AQ723" s="27">
        <v>0</v>
      </c>
      <c r="AR723" s="27">
        <f>SUM(AO723:AQ723)</f>
        <v>0</v>
      </c>
      <c r="AS723" s="27"/>
      <c r="AT723" s="27"/>
      <c r="AU723" s="84"/>
      <c r="AV723" s="77"/>
      <c r="AW723" s="77"/>
      <c r="AX723" s="77"/>
      <c r="AY723" s="77"/>
      <c r="AZ723" s="77"/>
      <c r="BA723" s="77"/>
      <c r="BB723" s="77"/>
      <c r="BC723" s="77"/>
      <c r="BD723" s="77"/>
      <c r="BE723" s="77"/>
      <c r="BF723" s="77"/>
      <c r="BG723" s="77"/>
      <c r="BH723" s="77"/>
      <c r="BI723" s="77"/>
      <c r="BJ723" s="77"/>
      <c r="BK723" s="77"/>
      <c r="BL723" s="77"/>
      <c r="BM723" s="77"/>
      <c r="BN723" s="77"/>
      <c r="BO723" s="77"/>
      <c r="BP723" s="77"/>
      <c r="BQ723" s="77"/>
      <c r="BR723" s="77"/>
      <c r="BS723" s="77"/>
      <c r="BT723" s="77"/>
      <c r="BU723" s="77"/>
      <c r="BV723" s="77"/>
      <c r="BW723" s="77"/>
      <c r="BX723" s="77"/>
      <c r="BY723" s="77"/>
      <c r="BZ723" s="77"/>
      <c r="CA723" s="77"/>
      <c r="CB723" s="77"/>
      <c r="CX723" s="16"/>
      <c r="CY723" s="16"/>
      <c r="CZ723" s="16"/>
      <c r="DA723" s="16"/>
      <c r="DB723" s="16"/>
      <c r="DC723" s="16"/>
      <c r="DD723" s="16"/>
      <c r="DE723" s="16"/>
      <c r="DF723" s="16"/>
      <c r="DG723" s="16"/>
      <c r="DH723" s="16"/>
      <c r="DI723" s="16"/>
      <c r="DJ723" s="16"/>
      <c r="DK723" s="16"/>
      <c r="DL723" s="16"/>
      <c r="DM723" s="16"/>
      <c r="DN723" s="16"/>
      <c r="DO723" s="16"/>
      <c r="DP723" s="16"/>
      <c r="DQ723" s="16"/>
      <c r="DR723" s="16"/>
      <c r="DS723" s="16"/>
      <c r="DT723" s="16"/>
      <c r="DU723" s="16"/>
      <c r="DV723" s="16"/>
      <c r="DW723" s="16"/>
      <c r="DX723" s="16"/>
      <c r="DY723" s="16"/>
      <c r="DZ723" s="16"/>
      <c r="EA723" s="16"/>
      <c r="EB723" s="16"/>
      <c r="EC723" s="16"/>
      <c r="ED723" s="16"/>
      <c r="EE723" s="16"/>
      <c r="EF723" s="16"/>
      <c r="EG723" s="16"/>
      <c r="EH723" s="16"/>
      <c r="EI723" s="16"/>
      <c r="EJ723" s="16"/>
      <c r="EK723" s="16"/>
      <c r="EL723" s="16"/>
      <c r="EM723" s="77"/>
      <c r="EN723" s="77"/>
      <c r="EO723" s="77"/>
      <c r="EP723" s="77"/>
      <c r="EQ723" s="77"/>
      <c r="ER723" s="77"/>
      <c r="ES723" s="77"/>
      <c r="ET723" s="77"/>
      <c r="EU723" s="77"/>
      <c r="EV723" s="77"/>
      <c r="EW723" s="77"/>
      <c r="EX723" s="77"/>
      <c r="EY723" s="77"/>
      <c r="EZ723" s="77"/>
      <c r="FA723" s="77"/>
      <c r="FB723" s="77"/>
      <c r="FC723" s="77"/>
      <c r="FD723" s="77"/>
      <c r="FE723" s="77"/>
      <c r="FF723" s="77"/>
      <c r="FG723" s="77"/>
      <c r="FH723" s="77"/>
      <c r="FI723" s="77"/>
      <c r="FJ723" s="77"/>
      <c r="FK723" s="77"/>
      <c r="FL723" s="77"/>
      <c r="FM723" s="77"/>
      <c r="FN723" s="77"/>
      <c r="FO723" s="77"/>
      <c r="FP723" s="77"/>
      <c r="FQ723" s="77"/>
      <c r="FR723" s="77"/>
      <c r="FS723" s="77"/>
      <c r="FT723" s="77"/>
      <c r="FU723" s="77"/>
      <c r="FV723" s="77"/>
      <c r="FW723" s="77"/>
      <c r="FX723" s="77"/>
      <c r="FY723" s="77"/>
      <c r="FZ723" s="77"/>
      <c r="GA723" s="77"/>
      <c r="GB723" s="77"/>
      <c r="GC723" s="77"/>
      <c r="GD723" s="77"/>
      <c r="GE723" s="77"/>
      <c r="GF723" s="77"/>
      <c r="GG723" s="77"/>
      <c r="GH723" s="77"/>
      <c r="GI723" s="77"/>
      <c r="GJ723" s="77"/>
      <c r="GK723" s="77"/>
      <c r="GL723" s="77"/>
      <c r="GM723" s="77"/>
      <c r="GN723" s="77"/>
      <c r="GO723" s="77"/>
      <c r="GP723" s="77"/>
      <c r="GQ723" s="77"/>
      <c r="GR723" s="77"/>
      <c r="GS723" s="77"/>
      <c r="GT723" s="77"/>
      <c r="GU723" s="77"/>
      <c r="GV723" s="77"/>
      <c r="GW723" s="77"/>
      <c r="GX723" s="77"/>
      <c r="GY723" s="77"/>
      <c r="GZ723" s="77"/>
      <c r="HA723" s="77"/>
      <c r="HB723" s="77"/>
      <c r="HC723" s="77"/>
      <c r="HD723" s="77"/>
      <c r="HE723" s="77"/>
      <c r="HF723" s="77"/>
      <c r="HG723" s="77"/>
      <c r="HH723" s="77"/>
      <c r="HI723" s="77"/>
      <c r="HJ723" s="77"/>
      <c r="HK723" s="77"/>
      <c r="ID723" s="77"/>
      <c r="IE723" s="77"/>
      <c r="JY723" s="16"/>
      <c r="JZ723" s="16"/>
      <c r="KA723" s="16"/>
      <c r="KB723" s="16"/>
      <c r="KC723" s="16"/>
      <c r="KD723" s="16"/>
      <c r="KE723" s="16"/>
      <c r="KF723" s="16"/>
      <c r="KG723" s="16"/>
      <c r="KH723" s="16"/>
      <c r="KI723" s="16"/>
      <c r="KJ723" s="16"/>
      <c r="KK723" s="16"/>
      <c r="KL723" s="16"/>
      <c r="LW723" s="77"/>
      <c r="LX723" s="77"/>
    </row>
    <row r="724" spans="1:421" s="21" customFormat="1" ht="18.600000000000001" customHeight="1" x14ac:dyDescent="0.25">
      <c r="A724" s="119" t="s">
        <v>560</v>
      </c>
      <c r="B724" s="27" t="s">
        <v>2403</v>
      </c>
      <c r="C724" s="27" t="s">
        <v>2410</v>
      </c>
      <c r="D724" s="30" t="str">
        <f>HYPERLINK("https://twitter.com/ABLPGastonbrown","https://twitter.com/ABLPGastonbrown")</f>
        <v>https://twitter.com/ABLPGastonbrown</v>
      </c>
      <c r="E724" s="30" t="str">
        <f>HYPERLINK("http://twiplomacy.com/info/north-america/Antigua-and-Barbuda","http://twiplomacy.com/info/north-america/Antigua-and-Barbuda")</f>
        <v>http://twiplomacy.com/info/north-america/Antigua-and-Barbuda</v>
      </c>
      <c r="F724" s="10" t="s">
        <v>558</v>
      </c>
      <c r="G724" s="10" t="s">
        <v>557</v>
      </c>
      <c r="H724" s="10" t="s">
        <v>776</v>
      </c>
      <c r="I724" s="10" t="s">
        <v>773</v>
      </c>
      <c r="J724" s="27" t="s">
        <v>789</v>
      </c>
      <c r="K724" s="15" t="s">
        <v>2408</v>
      </c>
      <c r="L724" s="10" t="s">
        <v>771</v>
      </c>
      <c r="M724" s="10" t="s">
        <v>770</v>
      </c>
      <c r="N724" s="30" t="s">
        <v>2409</v>
      </c>
      <c r="O724" s="27" t="s">
        <v>5669</v>
      </c>
      <c r="P724" s="80">
        <v>6</v>
      </c>
      <c r="Q724" s="80">
        <v>5</v>
      </c>
      <c r="R724" s="27" t="s">
        <v>2995</v>
      </c>
      <c r="S724" s="30" t="str">
        <f>HYPERLINK("https://twitter.com/ABLPGastonbrown/lists","https://twitter.com/ABLPGastonbrown/lists")</f>
        <v>https://twitter.com/ABLPGastonbrown/lists</v>
      </c>
      <c r="T724" s="10" t="s">
        <v>771</v>
      </c>
      <c r="U724" s="10" t="s">
        <v>771</v>
      </c>
      <c r="V724" s="10" t="s">
        <v>771</v>
      </c>
      <c r="W724" s="10"/>
      <c r="X724" s="27" t="s">
        <v>560</v>
      </c>
      <c r="Y724" s="27" t="s">
        <v>2403</v>
      </c>
      <c r="Z724" s="80">
        <v>14</v>
      </c>
      <c r="AA724" s="27">
        <v>11</v>
      </c>
      <c r="AB724" s="80">
        <v>123</v>
      </c>
      <c r="AC724" s="27">
        <v>0</v>
      </c>
      <c r="AD724" s="27" t="s">
        <v>3426</v>
      </c>
      <c r="AE724" s="27">
        <v>1106761688</v>
      </c>
      <c r="AF724" s="27" t="s">
        <v>2410</v>
      </c>
      <c r="AG724" s="27" t="s">
        <v>2406</v>
      </c>
      <c r="AH724" s="79">
        <v>1.1686143572621E-2</v>
      </c>
      <c r="AI724" s="83">
        <v>0.77777777777777801</v>
      </c>
      <c r="AJ724" s="80">
        <v>0.5</v>
      </c>
      <c r="AK724" s="80">
        <v>0.5</v>
      </c>
      <c r="AL724" s="13">
        <v>0</v>
      </c>
      <c r="AM724" s="97">
        <f>SUM(AL724/Z724)</f>
        <v>0</v>
      </c>
      <c r="AN724" s="27" t="s">
        <v>560</v>
      </c>
      <c r="AO724" s="27">
        <v>4</v>
      </c>
      <c r="AP724" s="27">
        <v>0</v>
      </c>
      <c r="AQ724" s="27">
        <v>0</v>
      </c>
      <c r="AR724" s="27">
        <f>SUM(AO724:AQ724)</f>
        <v>4</v>
      </c>
      <c r="AS724" s="27" t="s">
        <v>6197</v>
      </c>
      <c r="AT724" s="27"/>
      <c r="AU724" s="84"/>
      <c r="AV724" s="77"/>
      <c r="AW724" s="77"/>
      <c r="AX724" s="77"/>
      <c r="AY724" s="77"/>
      <c r="AZ724" s="77"/>
      <c r="BA724" s="77"/>
      <c r="BB724" s="77"/>
      <c r="BC724" s="77"/>
      <c r="BD724" s="77"/>
      <c r="BE724" s="77"/>
      <c r="BF724" s="77"/>
      <c r="BG724" s="77"/>
      <c r="BH724" s="77"/>
      <c r="BI724" s="77"/>
      <c r="BJ724" s="77"/>
      <c r="BK724" s="77"/>
      <c r="BL724" s="77"/>
      <c r="BM724" s="77"/>
      <c r="BN724" s="77"/>
      <c r="BO724" s="77"/>
      <c r="BP724" s="77"/>
      <c r="BQ724" s="77"/>
      <c r="BR724" s="77"/>
      <c r="BS724" s="77"/>
      <c r="BT724" s="77"/>
      <c r="BU724" s="77"/>
      <c r="BV724" s="77"/>
      <c r="BW724" s="77"/>
      <c r="BX724" s="77"/>
      <c r="BY724" s="77"/>
      <c r="BZ724" s="77"/>
      <c r="CA724" s="77"/>
      <c r="CB724" s="77"/>
      <c r="CC724" s="77"/>
      <c r="CD724" s="77"/>
      <c r="CE724" s="77"/>
      <c r="CF724" s="77"/>
      <c r="CG724" s="77"/>
      <c r="CH724" s="77"/>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7"/>
      <c r="DV724" s="77"/>
      <c r="DW724" s="77"/>
      <c r="DX724" s="77"/>
      <c r="DY724" s="77"/>
      <c r="DZ724" s="77"/>
      <c r="EA724" s="77"/>
      <c r="EB724" s="77"/>
      <c r="EC724" s="77"/>
      <c r="ED724" s="77"/>
      <c r="EE724" s="77"/>
      <c r="EF724" s="77"/>
      <c r="EG724" s="77"/>
      <c r="EH724" s="77"/>
      <c r="EI724" s="77"/>
      <c r="EJ724" s="77"/>
      <c r="EK724" s="77"/>
      <c r="EL724" s="77"/>
      <c r="EM724" s="77"/>
      <c r="EN724" s="77"/>
      <c r="EO724" s="77"/>
      <c r="EP724" s="77"/>
      <c r="EQ724" s="16"/>
      <c r="HL724" s="77"/>
      <c r="HM724" s="77"/>
      <c r="HN724" s="77"/>
      <c r="HO724" s="77"/>
      <c r="HP724" s="77"/>
      <c r="HQ724" s="77"/>
      <c r="HR724" s="77"/>
      <c r="HS724" s="77"/>
      <c r="HT724" s="77"/>
      <c r="HU724" s="77"/>
      <c r="HV724" s="77"/>
      <c r="HW724" s="77"/>
      <c r="HX724" s="77"/>
      <c r="HY724" s="77"/>
      <c r="HZ724" s="77"/>
      <c r="IA724" s="77"/>
      <c r="IB724" s="77"/>
      <c r="IC724" s="77"/>
      <c r="ID724" s="77"/>
      <c r="IE724" s="77"/>
      <c r="IF724" s="77"/>
      <c r="IG724" s="77"/>
      <c r="IH724" s="77"/>
      <c r="II724" s="77"/>
      <c r="IJ724" s="77"/>
      <c r="IK724" s="77"/>
      <c r="IL724" s="77"/>
      <c r="IM724" s="77"/>
      <c r="IN724" s="77"/>
      <c r="IO724" s="77"/>
      <c r="IP724" s="77"/>
      <c r="IQ724" s="77"/>
      <c r="IR724" s="77"/>
      <c r="IS724" s="77"/>
      <c r="IT724" s="77"/>
      <c r="IU724" s="77"/>
      <c r="IV724" s="77"/>
      <c r="IW724" s="77"/>
      <c r="IX724" s="77"/>
      <c r="IY724" s="77"/>
      <c r="IZ724" s="77"/>
      <c r="JA724" s="77"/>
      <c r="JB724" s="77"/>
      <c r="JC724" s="77"/>
      <c r="JD724" s="77"/>
      <c r="JE724" s="77"/>
      <c r="JF724" s="77"/>
      <c r="JG724" s="77"/>
      <c r="JH724" s="77"/>
      <c r="JI724" s="77"/>
      <c r="JJ724" s="77"/>
      <c r="JK724" s="77"/>
      <c r="JL724" s="77"/>
      <c r="JM724" s="77"/>
      <c r="JN724" s="77"/>
      <c r="JO724" s="77"/>
      <c r="JP724" s="77"/>
      <c r="JQ724" s="77"/>
      <c r="JR724" s="77"/>
      <c r="JS724" s="77"/>
      <c r="JT724" s="77"/>
      <c r="JU724" s="77"/>
      <c r="JV724" s="77"/>
      <c r="JW724" s="77"/>
      <c r="JX724" s="77"/>
      <c r="JY724" s="77"/>
      <c r="JZ724" s="77"/>
      <c r="KA724" s="77"/>
      <c r="KB724" s="77"/>
      <c r="KC724" s="77"/>
      <c r="KD724" s="77"/>
      <c r="KE724" s="77"/>
      <c r="KF724" s="77"/>
      <c r="KG724" s="77"/>
      <c r="KH724" s="77"/>
      <c r="KI724" s="77"/>
      <c r="KJ724" s="77"/>
      <c r="KK724" s="77"/>
      <c r="KL724" s="77"/>
      <c r="LY724" s="77"/>
      <c r="LZ724" s="77"/>
      <c r="MA724" s="77"/>
      <c r="MB724" s="77"/>
      <c r="MC724" s="77"/>
      <c r="MD724" s="77"/>
      <c r="ME724" s="77"/>
      <c r="MF724" s="77"/>
      <c r="MG724" s="77"/>
      <c r="MH724" s="77"/>
      <c r="MI724" s="77"/>
      <c r="MJ724" s="77"/>
      <c r="MK724" s="77"/>
      <c r="ML724" s="77"/>
      <c r="MM724" s="77"/>
      <c r="MN724" s="77"/>
      <c r="MO724" s="77"/>
      <c r="MP724" s="77"/>
      <c r="MQ724" s="77"/>
      <c r="MR724" s="77"/>
    </row>
    <row r="725" spans="1:421" s="21" customFormat="1" ht="18.600000000000001" customHeight="1" x14ac:dyDescent="0.25">
      <c r="A725" s="119" t="s">
        <v>2671</v>
      </c>
      <c r="B725" s="27" t="s">
        <v>2672</v>
      </c>
      <c r="C725" s="27" t="s">
        <v>2673</v>
      </c>
      <c r="D725" s="30" t="str">
        <f>HYPERLINK("https://twitter.com/IakobaItaleli","https://twitter.com/IakobaItaleli")</f>
        <v>https://twitter.com/IakobaItaleli</v>
      </c>
      <c r="E725" s="30" t="str">
        <f>HYPERLINK("http://twiplomacy.com/info/oceania/Tuvalu","http://twiplomacy.com/info/oceania/Tuvalu")</f>
        <v>http://twiplomacy.com/info/oceania/Tuvalu</v>
      </c>
      <c r="F725" s="20" t="s">
        <v>643</v>
      </c>
      <c r="G725" s="10" t="s">
        <v>666</v>
      </c>
      <c r="H725" s="10" t="s">
        <v>2674</v>
      </c>
      <c r="I725" s="10" t="s">
        <v>773</v>
      </c>
      <c r="J725" s="27" t="s">
        <v>789</v>
      </c>
      <c r="K725" s="15" t="s">
        <v>5585</v>
      </c>
      <c r="L725" s="10" t="s">
        <v>1114</v>
      </c>
      <c r="M725" s="10" t="s">
        <v>770</v>
      </c>
      <c r="N725" s="30" t="str">
        <f>HYPERLINK("https://twitter.com/IakobaItaleli/status/546780522048159744","https://twitter.com/IakobaItaleli/status/546780522048159744")</f>
        <v>https://twitter.com/IakobaItaleli/status/546780522048159744</v>
      </c>
      <c r="O725" s="27" t="s">
        <v>5866</v>
      </c>
      <c r="P725" s="80">
        <v>0</v>
      </c>
      <c r="Q725" s="80">
        <v>0</v>
      </c>
      <c r="R725" s="27" t="s">
        <v>2995</v>
      </c>
      <c r="S725" s="30" t="str">
        <f>HYPERLINK("https://twitter.com/IakobaItaleli/lists","https://twitter.com/IakobaItaleli/lists")</f>
        <v>https://twitter.com/IakobaItaleli/lists</v>
      </c>
      <c r="T725" s="10" t="s">
        <v>771</v>
      </c>
      <c r="U725" s="10" t="s">
        <v>771</v>
      </c>
      <c r="V725" s="10" t="s">
        <v>771</v>
      </c>
      <c r="W725" s="10"/>
      <c r="X725" s="27" t="s">
        <v>2671</v>
      </c>
      <c r="Y725" s="27" t="s">
        <v>2672</v>
      </c>
      <c r="Z725" s="80">
        <v>14</v>
      </c>
      <c r="AA725" s="27">
        <v>46</v>
      </c>
      <c r="AB725" s="80">
        <v>28</v>
      </c>
      <c r="AC725" s="27">
        <v>0</v>
      </c>
      <c r="AD725" s="27" t="s">
        <v>3821</v>
      </c>
      <c r="AE725" s="27">
        <v>2935885169</v>
      </c>
      <c r="AF725" s="27" t="s">
        <v>2673</v>
      </c>
      <c r="AG725" s="27" t="s">
        <v>666</v>
      </c>
      <c r="AH725" s="79">
        <v>2.8169014084507001E-2</v>
      </c>
      <c r="AI725" s="83">
        <v>0.77777777777777801</v>
      </c>
      <c r="AJ725" s="80">
        <v>0</v>
      </c>
      <c r="AK725" s="80">
        <v>0</v>
      </c>
      <c r="AL725" s="27">
        <v>1</v>
      </c>
      <c r="AM725" s="97">
        <f>SUM(AL725/Z725)</f>
        <v>7.1428571428571425E-2</v>
      </c>
      <c r="AN725" s="27" t="s">
        <v>2671</v>
      </c>
      <c r="AO725" s="27">
        <v>8</v>
      </c>
      <c r="AP725" s="27">
        <v>0</v>
      </c>
      <c r="AQ725" s="27">
        <v>0</v>
      </c>
      <c r="AR725" s="27">
        <f>SUM(AO725:AQ725)</f>
        <v>8</v>
      </c>
      <c r="AS725" s="27" t="s">
        <v>6569</v>
      </c>
      <c r="AT725" s="27"/>
      <c r="AU725" s="84"/>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77"/>
      <c r="BR725" s="77"/>
      <c r="BS725" s="77"/>
      <c r="BT725" s="77"/>
      <c r="BU725" s="77"/>
      <c r="BV725" s="77"/>
      <c r="BW725" s="77"/>
      <c r="BX725" s="77"/>
      <c r="BY725" s="77"/>
      <c r="BZ725" s="77"/>
      <c r="CA725" s="77"/>
      <c r="CB725" s="77"/>
      <c r="CC725" s="77"/>
      <c r="CD725" s="77"/>
      <c r="CE725" s="77"/>
      <c r="CF725" s="77"/>
      <c r="CG725" s="77"/>
      <c r="CH725" s="77"/>
      <c r="CI725" s="77"/>
      <c r="CJ725" s="77"/>
      <c r="CK725" s="77"/>
      <c r="CL725" s="77"/>
      <c r="CM725" s="77"/>
      <c r="CN725" s="77"/>
      <c r="CO725" s="77"/>
      <c r="CP725" s="77"/>
      <c r="CQ725" s="77"/>
      <c r="CR725" s="77"/>
      <c r="CS725" s="77"/>
      <c r="CT725" s="77"/>
      <c r="CU725" s="77"/>
      <c r="CV725" s="77"/>
      <c r="CW725" s="77"/>
      <c r="EM725" s="77"/>
      <c r="EN725" s="77"/>
      <c r="EO725" s="77"/>
      <c r="EP725" s="77"/>
      <c r="EQ725" s="77"/>
      <c r="ER725" s="77"/>
      <c r="ES725" s="77"/>
      <c r="ET725" s="77"/>
      <c r="EU725" s="77"/>
      <c r="EV725" s="77"/>
      <c r="EW725" s="77"/>
      <c r="EX725" s="77"/>
      <c r="EY725" s="77"/>
      <c r="EZ725" s="77"/>
      <c r="FA725" s="77"/>
      <c r="FB725" s="77"/>
      <c r="FC725" s="77"/>
      <c r="FD725" s="77"/>
      <c r="FE725" s="77"/>
      <c r="FF725" s="77"/>
      <c r="FG725" s="77"/>
      <c r="FH725" s="77"/>
      <c r="FI725" s="77"/>
      <c r="FJ725" s="77"/>
      <c r="FK725" s="77"/>
      <c r="FL725" s="77"/>
      <c r="FM725" s="77"/>
      <c r="FN725" s="77"/>
      <c r="FO725" s="77"/>
      <c r="FP725" s="77"/>
      <c r="FQ725" s="77"/>
      <c r="FR725" s="77"/>
      <c r="FS725" s="77"/>
      <c r="FT725" s="77"/>
      <c r="FU725" s="77"/>
      <c r="FV725" s="77"/>
      <c r="FW725" s="77"/>
      <c r="FX725" s="77"/>
      <c r="FY725" s="77"/>
      <c r="FZ725" s="77"/>
      <c r="GA725" s="77"/>
      <c r="GB725" s="77"/>
      <c r="GC725" s="77"/>
      <c r="GD725" s="77"/>
      <c r="GE725" s="77"/>
      <c r="GF725" s="77"/>
      <c r="GG725" s="77"/>
      <c r="GH725" s="77"/>
      <c r="GI725" s="77"/>
      <c r="GJ725" s="77"/>
      <c r="GK725" s="77"/>
      <c r="GL725" s="77"/>
      <c r="GM725" s="77"/>
      <c r="GN725" s="77"/>
      <c r="GO725" s="77"/>
      <c r="GP725" s="77"/>
      <c r="GQ725" s="77"/>
      <c r="GR725" s="77"/>
      <c r="GS725" s="77"/>
      <c r="GT725" s="77"/>
      <c r="GU725" s="77"/>
      <c r="GV725" s="77"/>
      <c r="GW725" s="77"/>
      <c r="GX725" s="77"/>
      <c r="GY725" s="77"/>
      <c r="GZ725" s="77"/>
      <c r="HA725" s="77"/>
      <c r="HB725" s="77"/>
      <c r="HC725" s="77"/>
      <c r="HD725" s="77"/>
      <c r="HE725" s="77"/>
      <c r="HF725" s="77"/>
      <c r="HG725" s="77"/>
      <c r="HH725" s="77"/>
      <c r="HI725" s="77"/>
      <c r="HJ725" s="77"/>
      <c r="HK725" s="77"/>
      <c r="HL725" s="77"/>
      <c r="HM725" s="77"/>
      <c r="HN725" s="77"/>
      <c r="HO725" s="77"/>
      <c r="HP725" s="77"/>
      <c r="HQ725" s="77"/>
      <c r="HR725" s="77"/>
      <c r="HS725" s="77"/>
      <c r="HT725" s="77"/>
      <c r="HU725" s="77"/>
      <c r="HV725" s="77"/>
      <c r="HW725" s="77"/>
      <c r="HX725" s="77"/>
      <c r="HY725" s="77"/>
      <c r="HZ725" s="77"/>
      <c r="IA725" s="77"/>
      <c r="IB725" s="77"/>
      <c r="IC725" s="77"/>
      <c r="ID725" s="77"/>
      <c r="IE725" s="77"/>
      <c r="JY725" s="77"/>
      <c r="JZ725" s="77"/>
      <c r="KA725" s="77"/>
      <c r="KB725" s="77"/>
      <c r="KC725" s="77"/>
      <c r="KD725" s="77"/>
      <c r="KE725" s="77"/>
      <c r="KF725" s="77"/>
      <c r="KG725" s="77"/>
      <c r="KH725" s="77"/>
      <c r="KI725" s="77"/>
      <c r="KJ725" s="77"/>
      <c r="KK725" s="77"/>
      <c r="KL725" s="77"/>
      <c r="KM725" s="77"/>
      <c r="KN725" s="77"/>
      <c r="KO725" s="77"/>
      <c r="KP725" s="77"/>
      <c r="KQ725" s="77"/>
      <c r="KR725" s="77"/>
      <c r="KS725" s="77"/>
      <c r="KT725" s="77"/>
      <c r="KU725" s="77"/>
      <c r="KV725" s="77"/>
      <c r="KW725" s="77"/>
      <c r="KX725" s="77"/>
      <c r="KY725" s="77"/>
      <c r="KZ725" s="77"/>
      <c r="LA725" s="77"/>
      <c r="LB725" s="77"/>
      <c r="LC725" s="77"/>
      <c r="LD725" s="77"/>
      <c r="LE725" s="77"/>
      <c r="LF725" s="77"/>
      <c r="LG725" s="77"/>
      <c r="LH725" s="77"/>
      <c r="LI725" s="77"/>
      <c r="LJ725" s="77"/>
      <c r="LK725" s="77"/>
    </row>
    <row r="726" spans="1:421" s="21" customFormat="1" ht="18.600000000000001" customHeight="1" x14ac:dyDescent="0.25">
      <c r="A726" s="119" t="s">
        <v>26</v>
      </c>
      <c r="B726" s="27" t="s">
        <v>824</v>
      </c>
      <c r="C726" s="27" t="s">
        <v>825</v>
      </c>
      <c r="D726" s="72" t="str">
        <f>HYPERLINK("https://twitter.com/ID_Itno","https://twitter.com/ID_Itno")</f>
        <v>https://twitter.com/ID_Itno</v>
      </c>
      <c r="E726" s="72" t="str">
        <f>HYPERLINK("http://twiplomacy.com/info/africa/Chad","http://twiplomacy.com/info/africa/Chad")</f>
        <v>http://twiplomacy.com/info/africa/Chad</v>
      </c>
      <c r="F726" s="10" t="s">
        <v>1</v>
      </c>
      <c r="G726" s="10" t="s">
        <v>25</v>
      </c>
      <c r="H726" s="10" t="s">
        <v>772</v>
      </c>
      <c r="I726" s="10" t="s">
        <v>773</v>
      </c>
      <c r="J726" s="27" t="s">
        <v>779</v>
      </c>
      <c r="K726" s="15" t="s">
        <v>777</v>
      </c>
      <c r="L726" s="15"/>
      <c r="M726" s="10" t="s">
        <v>771</v>
      </c>
      <c r="N726" s="30" t="str">
        <f>HYPERLINK("https://twitter.com/ID_Itno/statuses/439116871770849280","https://twitter.com/ID_Itno/statuses/439116871770849280")</f>
        <v>https://twitter.com/ID_Itno/statuses/439116871770849280</v>
      </c>
      <c r="O726" s="27" t="s">
        <v>5868</v>
      </c>
      <c r="P726" s="80">
        <v>2</v>
      </c>
      <c r="Q726" s="80">
        <v>4</v>
      </c>
      <c r="R726" s="27" t="s">
        <v>2995</v>
      </c>
      <c r="S726" s="10" t="s">
        <v>826</v>
      </c>
      <c r="T726" s="10" t="s">
        <v>771</v>
      </c>
      <c r="U726" s="10" t="s">
        <v>771</v>
      </c>
      <c r="V726" s="10" t="s">
        <v>771</v>
      </c>
      <c r="W726" s="10"/>
      <c r="X726" s="27" t="s">
        <v>26</v>
      </c>
      <c r="Y726" s="27" t="s">
        <v>824</v>
      </c>
      <c r="Z726" s="80">
        <v>13</v>
      </c>
      <c r="AA726" s="27">
        <v>0</v>
      </c>
      <c r="AB726" s="80">
        <v>802</v>
      </c>
      <c r="AC726" s="27">
        <v>0</v>
      </c>
      <c r="AD726" s="27" t="s">
        <v>3823</v>
      </c>
      <c r="AE726" s="27">
        <v>2364531150</v>
      </c>
      <c r="AF726" s="27" t="s">
        <v>825</v>
      </c>
      <c r="AG726" s="27"/>
      <c r="AH726" s="79">
        <v>1.6372795969773299E-2</v>
      </c>
      <c r="AI726" s="83">
        <v>2.12071778140294E-2</v>
      </c>
      <c r="AJ726" s="80">
        <v>0.92307692307692302</v>
      </c>
      <c r="AK726" s="80">
        <v>2</v>
      </c>
      <c r="AL726" s="13">
        <v>0</v>
      </c>
      <c r="AM726" s="97">
        <f>SUM(AL726/Z726)</f>
        <v>0</v>
      </c>
      <c r="AN726" s="27" t="s">
        <v>26</v>
      </c>
      <c r="AO726" s="27">
        <v>0</v>
      </c>
      <c r="AP726" s="27">
        <v>2</v>
      </c>
      <c r="AQ726" s="27">
        <v>0</v>
      </c>
      <c r="AR726" s="27">
        <f>SUM(AO726:AQ726)</f>
        <v>2</v>
      </c>
      <c r="AS726" s="27"/>
      <c r="AT726" s="27" t="s">
        <v>5187</v>
      </c>
      <c r="AU726" s="84"/>
      <c r="AV726" s="77"/>
      <c r="AW726" s="77"/>
      <c r="AX726" s="77"/>
      <c r="AY726" s="77"/>
      <c r="AZ726" s="77"/>
      <c r="BA726" s="77"/>
      <c r="BB726" s="77"/>
      <c r="BC726" s="77"/>
      <c r="BD726" s="77"/>
      <c r="BE726" s="77"/>
      <c r="BF726" s="77"/>
      <c r="BG726" s="77"/>
      <c r="BH726" s="77"/>
      <c r="BI726" s="77"/>
      <c r="BJ726" s="77"/>
      <c r="BK726" s="77"/>
      <c r="BL726" s="77"/>
      <c r="BM726" s="77"/>
      <c r="BN726" s="77"/>
      <c r="BO726" s="77"/>
      <c r="BP726" s="77"/>
      <c r="BQ726" s="77"/>
      <c r="BR726" s="77"/>
      <c r="BS726" s="77"/>
      <c r="BT726" s="77"/>
      <c r="BU726" s="77"/>
      <c r="BV726" s="77"/>
      <c r="BW726" s="77"/>
      <c r="BX726" s="77"/>
      <c r="BY726" s="77"/>
      <c r="BZ726" s="77"/>
      <c r="CA726" s="77"/>
      <c r="CB726" s="77"/>
      <c r="CX726" s="16"/>
      <c r="CY726" s="16"/>
      <c r="CZ726" s="16"/>
      <c r="DA726" s="16"/>
      <c r="DB726" s="16"/>
      <c r="DC726" s="16"/>
      <c r="DD726" s="16"/>
      <c r="DE726" s="16"/>
      <c r="DF726" s="16"/>
      <c r="DG726" s="16"/>
      <c r="DH726" s="16"/>
      <c r="DI726" s="16"/>
      <c r="DJ726" s="16"/>
      <c r="DK726" s="16"/>
      <c r="DL726" s="16"/>
      <c r="DM726" s="16"/>
      <c r="DN726" s="16"/>
      <c r="DO726" s="16"/>
      <c r="DP726" s="16"/>
      <c r="DQ726" s="16"/>
      <c r="DR726" s="16"/>
      <c r="DS726" s="16"/>
      <c r="DT726" s="16"/>
      <c r="DU726" s="16"/>
      <c r="DV726" s="16"/>
      <c r="DW726" s="16"/>
      <c r="DX726" s="16"/>
      <c r="DY726" s="16"/>
      <c r="DZ726" s="16"/>
      <c r="EA726" s="16"/>
      <c r="EB726" s="16"/>
      <c r="EC726" s="16"/>
      <c r="ED726" s="16"/>
      <c r="EE726" s="16"/>
      <c r="EF726" s="16"/>
      <c r="EG726" s="16"/>
      <c r="EH726" s="16"/>
      <c r="EI726" s="16"/>
      <c r="EJ726" s="16"/>
      <c r="EK726" s="16"/>
      <c r="EL726" s="16"/>
      <c r="EQ726" s="77"/>
      <c r="ER726" s="77"/>
      <c r="ES726" s="77"/>
      <c r="ET726" s="77"/>
      <c r="EU726" s="77"/>
      <c r="EV726" s="77"/>
      <c r="EW726" s="77"/>
      <c r="EX726" s="77"/>
      <c r="EY726" s="77"/>
      <c r="EZ726" s="77"/>
      <c r="FA726" s="77"/>
      <c r="FB726" s="77"/>
      <c r="FC726" s="77"/>
      <c r="FD726" s="77"/>
      <c r="FE726" s="77"/>
      <c r="FF726" s="77"/>
      <c r="FG726" s="77"/>
      <c r="FH726" s="77"/>
      <c r="FI726" s="77"/>
      <c r="FJ726" s="77"/>
      <c r="FK726" s="77"/>
      <c r="FL726" s="77"/>
      <c r="FM726" s="77"/>
      <c r="FN726" s="77"/>
      <c r="FO726" s="77"/>
      <c r="FP726" s="77"/>
      <c r="FQ726" s="77"/>
      <c r="FR726" s="77"/>
      <c r="FS726" s="77"/>
      <c r="FT726" s="77"/>
      <c r="FU726" s="77"/>
      <c r="FV726" s="77"/>
      <c r="FW726" s="77"/>
      <c r="FX726" s="77"/>
      <c r="FY726" s="77"/>
      <c r="FZ726" s="77"/>
      <c r="GA726" s="77"/>
      <c r="GB726" s="77"/>
      <c r="GC726" s="77"/>
      <c r="GD726" s="77"/>
      <c r="GE726" s="77"/>
      <c r="GF726" s="77"/>
      <c r="GG726" s="77"/>
      <c r="GH726" s="77"/>
      <c r="GI726" s="77"/>
      <c r="GJ726" s="77"/>
      <c r="GK726" s="77"/>
      <c r="GL726" s="77"/>
      <c r="GM726" s="77"/>
      <c r="GN726" s="77"/>
      <c r="GO726" s="77"/>
      <c r="GP726" s="77"/>
      <c r="GQ726" s="77"/>
      <c r="GR726" s="77"/>
      <c r="GS726" s="77"/>
      <c r="GT726" s="77"/>
      <c r="GU726" s="77"/>
      <c r="GV726" s="77"/>
      <c r="GW726" s="77"/>
      <c r="GX726" s="77"/>
      <c r="GY726" s="77"/>
      <c r="GZ726" s="77"/>
      <c r="HA726" s="77"/>
      <c r="HB726" s="77"/>
      <c r="HC726" s="77"/>
      <c r="HD726" s="77"/>
      <c r="HE726" s="77"/>
      <c r="HF726" s="77"/>
      <c r="HG726" s="77"/>
      <c r="HH726" s="77"/>
      <c r="HI726" s="77"/>
      <c r="HJ726" s="77"/>
      <c r="HK726" s="77"/>
      <c r="ID726" s="77"/>
      <c r="IE726" s="77"/>
      <c r="IF726" s="77"/>
      <c r="IG726" s="77"/>
      <c r="IH726" s="77"/>
      <c r="II726" s="77"/>
      <c r="IJ726" s="77"/>
      <c r="IK726" s="77"/>
      <c r="IL726" s="77"/>
      <c r="IM726" s="77"/>
      <c r="IN726" s="77"/>
      <c r="IO726" s="77"/>
      <c r="IP726" s="77"/>
      <c r="IQ726" s="77"/>
      <c r="IR726" s="77"/>
      <c r="IS726" s="77"/>
      <c r="IT726" s="77"/>
      <c r="IU726" s="77"/>
      <c r="IV726" s="77"/>
      <c r="IW726" s="77"/>
      <c r="IX726" s="77"/>
      <c r="IY726" s="77"/>
      <c r="IZ726" s="77"/>
      <c r="JA726" s="77"/>
      <c r="JB726" s="77"/>
      <c r="JC726" s="77"/>
      <c r="JD726" s="77"/>
      <c r="JE726" s="77"/>
      <c r="JF726" s="77"/>
      <c r="JG726" s="77"/>
      <c r="JH726" s="77"/>
      <c r="JI726" s="77"/>
      <c r="JJ726" s="77"/>
      <c r="JK726" s="77"/>
      <c r="JL726" s="77"/>
      <c r="JM726" s="77"/>
      <c r="JN726" s="77"/>
      <c r="JO726" s="77"/>
      <c r="JP726" s="77"/>
      <c r="JQ726" s="77"/>
      <c r="JR726" s="77"/>
      <c r="JS726" s="77"/>
      <c r="JT726" s="77"/>
      <c r="JU726" s="77"/>
      <c r="JV726" s="77"/>
      <c r="JW726" s="77"/>
      <c r="JX726" s="77"/>
      <c r="JY726" s="77"/>
      <c r="JZ726" s="77"/>
      <c r="KA726" s="77"/>
      <c r="KB726" s="77"/>
      <c r="KC726" s="77"/>
      <c r="KD726" s="77"/>
      <c r="KE726" s="77"/>
      <c r="KF726" s="77"/>
      <c r="KG726" s="77"/>
      <c r="KH726" s="77"/>
      <c r="KI726" s="77"/>
      <c r="KJ726" s="77"/>
      <c r="KK726" s="77"/>
      <c r="KL726" s="77"/>
      <c r="KM726" s="77"/>
      <c r="KN726" s="77"/>
      <c r="KO726" s="77"/>
      <c r="KP726" s="77"/>
      <c r="KQ726" s="77"/>
      <c r="KR726" s="77"/>
      <c r="KS726" s="77"/>
      <c r="KT726" s="77"/>
      <c r="KU726" s="77"/>
      <c r="KV726" s="77"/>
      <c r="KW726" s="77"/>
      <c r="KX726" s="77"/>
      <c r="KY726" s="77"/>
      <c r="KZ726" s="77"/>
      <c r="LA726" s="77"/>
      <c r="LB726" s="77"/>
      <c r="LC726" s="77"/>
      <c r="LD726" s="77"/>
      <c r="LE726" s="77"/>
      <c r="LF726" s="77"/>
      <c r="LG726" s="77"/>
      <c r="LH726" s="77"/>
      <c r="LI726" s="77"/>
      <c r="LJ726" s="77"/>
      <c r="LK726" s="77"/>
    </row>
    <row r="727" spans="1:421" s="21" customFormat="1" ht="18.600000000000001" customHeight="1" x14ac:dyDescent="0.25">
      <c r="A727" s="119" t="s">
        <v>27</v>
      </c>
      <c r="B727" s="27" t="s">
        <v>827</v>
      </c>
      <c r="C727" s="27" t="s">
        <v>828</v>
      </c>
      <c r="D727" s="72" t="str">
        <f>HYPERLINK("https://twitter.com/PMTCHAD","https://twitter.com/PMTCHAD")</f>
        <v>https://twitter.com/PMTCHAD</v>
      </c>
      <c r="E727" s="72" t="str">
        <f>HYPERLINK("http://twiplomacy.com/info/africa/Chad","http://twiplomacy.com/info/africa/Chad")</f>
        <v>http://twiplomacy.com/info/africa/Chad</v>
      </c>
      <c r="F727" s="10" t="s">
        <v>1</v>
      </c>
      <c r="G727" s="10" t="s">
        <v>25</v>
      </c>
      <c r="H727" s="10" t="s">
        <v>788</v>
      </c>
      <c r="I727" s="10" t="s">
        <v>782</v>
      </c>
      <c r="J727" s="27" t="s">
        <v>779</v>
      </c>
      <c r="K727" s="10" t="s">
        <v>830</v>
      </c>
      <c r="L727" s="10" t="s">
        <v>771</v>
      </c>
      <c r="M727" s="10" t="s">
        <v>771</v>
      </c>
      <c r="N727" s="30" t="str">
        <f>HYPERLINK("https://twitter.com/PMTCHAD/statuses/183359023490400256","https://twitter.com/PMTCHAD/statuses/183359023490400256")</f>
        <v>https://twitter.com/PMTCHAD/statuses/183359023490400256</v>
      </c>
      <c r="O727" s="27" t="s">
        <v>831</v>
      </c>
      <c r="P727" s="80">
        <v>1</v>
      </c>
      <c r="Q727" s="80">
        <v>0</v>
      </c>
      <c r="R727" s="27" t="s">
        <v>2995</v>
      </c>
      <c r="S727" s="10" t="s">
        <v>832</v>
      </c>
      <c r="T727" s="10" t="s">
        <v>771</v>
      </c>
      <c r="U727" s="10" t="s">
        <v>771</v>
      </c>
      <c r="V727" s="10" t="s">
        <v>771</v>
      </c>
      <c r="W727" s="10"/>
      <c r="X727" s="27" t="s">
        <v>27</v>
      </c>
      <c r="Y727" s="27" t="s">
        <v>827</v>
      </c>
      <c r="Z727" s="80">
        <v>13</v>
      </c>
      <c r="AA727" s="27">
        <v>0</v>
      </c>
      <c r="AB727" s="80">
        <v>748</v>
      </c>
      <c r="AC727" s="27">
        <v>0</v>
      </c>
      <c r="AD727" s="27" t="s">
        <v>4274</v>
      </c>
      <c r="AE727" s="27">
        <v>532423452</v>
      </c>
      <c r="AF727" s="27" t="s">
        <v>828</v>
      </c>
      <c r="AG727" s="27" t="s">
        <v>833</v>
      </c>
      <c r="AH727" s="79">
        <v>8.6493679308050596E-3</v>
      </c>
      <c r="AI727" s="83">
        <v>0.46428571428571402</v>
      </c>
      <c r="AJ727" s="80">
        <v>0.15384615384615399</v>
      </c>
      <c r="AK727" s="80">
        <v>0.46153846153846201</v>
      </c>
      <c r="AL727" s="13">
        <v>0</v>
      </c>
      <c r="AM727" s="97">
        <f>SUM(AL727/Z727)</f>
        <v>0</v>
      </c>
      <c r="AN727" s="27" t="s">
        <v>27</v>
      </c>
      <c r="AO727" s="27">
        <v>0</v>
      </c>
      <c r="AP727" s="27">
        <v>4</v>
      </c>
      <c r="AQ727" s="27">
        <v>0</v>
      </c>
      <c r="AR727" s="27">
        <f>SUM(AO727:AQ727)</f>
        <v>4</v>
      </c>
      <c r="AS727" s="27"/>
      <c r="AT727" s="27" t="s">
        <v>5063</v>
      </c>
      <c r="AU727" s="84"/>
      <c r="AV727" s="77"/>
      <c r="AW727" s="77"/>
      <c r="AX727" s="77"/>
      <c r="AY727" s="77"/>
      <c r="AZ727" s="77"/>
      <c r="BA727" s="77"/>
      <c r="BB727" s="77"/>
      <c r="BC727" s="77"/>
      <c r="BD727" s="77"/>
      <c r="BE727" s="77"/>
      <c r="BF727" s="77"/>
      <c r="BG727" s="77"/>
      <c r="BH727" s="77"/>
      <c r="BI727" s="77"/>
      <c r="BJ727" s="77"/>
      <c r="BK727" s="77"/>
      <c r="BL727" s="77"/>
      <c r="BM727" s="77"/>
      <c r="BN727" s="77"/>
      <c r="BO727" s="77"/>
      <c r="BP727" s="77"/>
      <c r="BQ727" s="77"/>
      <c r="BR727" s="77"/>
      <c r="BS727" s="77"/>
      <c r="BT727" s="77"/>
      <c r="BU727" s="77"/>
      <c r="BV727" s="77"/>
      <c r="BW727" s="77"/>
      <c r="BX727" s="77"/>
      <c r="BY727" s="77"/>
      <c r="BZ727" s="77"/>
      <c r="CA727" s="77"/>
      <c r="CB727" s="77"/>
      <c r="CC727" s="77"/>
      <c r="CD727" s="77"/>
      <c r="CE727" s="77"/>
      <c r="CF727" s="77"/>
      <c r="CG727" s="77"/>
      <c r="CH727" s="77"/>
      <c r="CI727" s="77"/>
      <c r="CJ727" s="77"/>
      <c r="CK727" s="77"/>
      <c r="CL727" s="77"/>
      <c r="CM727" s="77"/>
      <c r="CN727" s="77"/>
      <c r="CO727" s="77"/>
      <c r="CP727" s="77"/>
      <c r="CQ727" s="77"/>
      <c r="CR727" s="77"/>
      <c r="CS727" s="77"/>
      <c r="CT727" s="77"/>
      <c r="CU727" s="77"/>
      <c r="CV727" s="77"/>
      <c r="CW727" s="77"/>
      <c r="EM727" s="77"/>
      <c r="EN727" s="77"/>
      <c r="EO727" s="77"/>
      <c r="EP727" s="77"/>
      <c r="EQ727" s="77"/>
      <c r="ER727" s="77"/>
      <c r="ES727" s="77"/>
      <c r="ET727" s="77"/>
      <c r="EU727" s="77"/>
      <c r="EV727" s="77"/>
      <c r="EW727" s="77"/>
      <c r="EX727" s="77"/>
      <c r="EY727" s="77"/>
      <c r="EZ727" s="77"/>
      <c r="FA727" s="77"/>
      <c r="FB727" s="77"/>
      <c r="FC727" s="77"/>
      <c r="FD727" s="77"/>
      <c r="FE727" s="77"/>
      <c r="FF727" s="77"/>
      <c r="FG727" s="77"/>
      <c r="FH727" s="77"/>
      <c r="FI727" s="77"/>
      <c r="FJ727" s="77"/>
      <c r="FK727" s="77"/>
      <c r="FL727" s="77"/>
      <c r="FM727" s="77"/>
      <c r="FN727" s="77"/>
      <c r="FO727" s="77"/>
      <c r="FP727" s="77"/>
      <c r="FQ727" s="77"/>
      <c r="FR727" s="77"/>
      <c r="FS727" s="77"/>
      <c r="FT727" s="77"/>
      <c r="FU727" s="77"/>
      <c r="FV727" s="77"/>
      <c r="FW727" s="77"/>
      <c r="FX727" s="77"/>
      <c r="FY727" s="77"/>
      <c r="FZ727" s="77"/>
      <c r="GA727" s="77"/>
      <c r="GB727" s="77"/>
      <c r="GC727" s="77"/>
      <c r="GD727" s="77"/>
      <c r="GE727" s="77"/>
      <c r="GF727" s="77"/>
      <c r="GG727" s="77"/>
      <c r="GH727" s="77"/>
      <c r="GI727" s="77"/>
      <c r="GJ727" s="77"/>
      <c r="GK727" s="77"/>
      <c r="GL727" s="77"/>
      <c r="GM727" s="77"/>
      <c r="GN727" s="77"/>
      <c r="GO727" s="77"/>
      <c r="GP727" s="77"/>
      <c r="GQ727" s="77"/>
      <c r="GR727" s="77"/>
      <c r="GS727" s="77"/>
      <c r="GT727" s="77"/>
      <c r="GU727" s="77"/>
      <c r="GV727" s="77"/>
      <c r="GW727" s="77"/>
      <c r="GX727" s="77"/>
      <c r="GY727" s="77"/>
      <c r="GZ727" s="77"/>
      <c r="HA727" s="77"/>
      <c r="HB727" s="77"/>
      <c r="HC727" s="77"/>
      <c r="HD727" s="77"/>
      <c r="HE727" s="77"/>
      <c r="HF727" s="77"/>
      <c r="HG727" s="77"/>
      <c r="HH727" s="77"/>
      <c r="HI727" s="77"/>
      <c r="HJ727" s="77"/>
      <c r="HK727" s="77"/>
      <c r="IF727" s="77"/>
      <c r="IG727" s="77"/>
      <c r="IH727" s="77"/>
      <c r="II727" s="77"/>
      <c r="IJ727" s="77"/>
      <c r="IK727" s="77"/>
      <c r="IL727" s="77"/>
      <c r="IM727" s="77"/>
      <c r="IN727" s="77"/>
      <c r="IO727" s="77"/>
      <c r="IP727" s="77"/>
      <c r="IQ727" s="77"/>
      <c r="IR727" s="77"/>
      <c r="IS727" s="77"/>
      <c r="IT727" s="77"/>
      <c r="IU727" s="77"/>
      <c r="IV727" s="77"/>
      <c r="IW727" s="77"/>
      <c r="IX727" s="77"/>
      <c r="IY727" s="77"/>
      <c r="IZ727" s="77"/>
      <c r="JA727" s="77"/>
      <c r="JB727" s="77"/>
      <c r="JC727" s="77"/>
      <c r="JD727" s="77"/>
      <c r="JE727" s="77"/>
      <c r="JF727" s="77"/>
      <c r="JG727" s="77"/>
      <c r="JH727" s="77"/>
      <c r="JI727" s="77"/>
      <c r="JJ727" s="77"/>
      <c r="JK727" s="77"/>
      <c r="JL727" s="77"/>
      <c r="JM727" s="77"/>
      <c r="JN727" s="77"/>
      <c r="JO727" s="77"/>
      <c r="JP727" s="77"/>
      <c r="JQ727" s="77"/>
      <c r="JR727" s="77"/>
      <c r="JS727" s="77"/>
      <c r="JT727" s="77"/>
      <c r="JU727" s="77"/>
      <c r="JV727" s="77"/>
      <c r="JW727" s="77"/>
      <c r="JX727" s="77"/>
      <c r="JY727" s="77"/>
      <c r="JZ727" s="77"/>
      <c r="KA727" s="77"/>
      <c r="KB727" s="77"/>
      <c r="KC727" s="77"/>
      <c r="KD727" s="77"/>
      <c r="KE727" s="77"/>
      <c r="KF727" s="77"/>
      <c r="KG727" s="77"/>
      <c r="KH727" s="77"/>
      <c r="KI727" s="77"/>
      <c r="KJ727" s="77"/>
      <c r="KK727" s="77"/>
      <c r="KL727" s="77"/>
      <c r="KM727" s="77"/>
      <c r="KN727" s="77"/>
      <c r="KO727" s="77"/>
      <c r="KP727" s="77"/>
      <c r="KQ727" s="77"/>
      <c r="KR727" s="77"/>
      <c r="KS727" s="77"/>
      <c r="KT727" s="77"/>
      <c r="KU727" s="77"/>
      <c r="KV727" s="77"/>
      <c r="KW727" s="77"/>
      <c r="KX727" s="77"/>
      <c r="KY727" s="77"/>
      <c r="KZ727" s="77"/>
      <c r="LA727" s="77"/>
      <c r="LB727" s="77"/>
      <c r="LC727" s="77"/>
      <c r="LD727" s="77"/>
      <c r="LE727" s="77"/>
      <c r="LF727" s="77"/>
      <c r="LG727" s="77"/>
      <c r="LH727" s="77"/>
      <c r="LI727" s="77"/>
      <c r="LJ727" s="77"/>
      <c r="LK727" s="77"/>
      <c r="LL727" s="16"/>
      <c r="LM727" s="16"/>
      <c r="LN727" s="16"/>
      <c r="LO727" s="16"/>
      <c r="LP727" s="16"/>
      <c r="LQ727" s="16"/>
      <c r="LR727" s="16"/>
      <c r="LS727" s="16"/>
      <c r="LT727" s="16"/>
      <c r="LU727" s="16"/>
      <c r="LV727" s="16"/>
      <c r="LW727" s="77"/>
      <c r="LX727" s="77"/>
      <c r="LY727" s="77"/>
      <c r="LZ727" s="77"/>
      <c r="MA727" s="77"/>
      <c r="MB727" s="77"/>
      <c r="MC727" s="77"/>
      <c r="MD727" s="77"/>
      <c r="ME727" s="77"/>
      <c r="MF727" s="77"/>
      <c r="MG727" s="77"/>
      <c r="MH727" s="77"/>
      <c r="MI727" s="77"/>
      <c r="MJ727" s="77"/>
      <c r="MK727" s="77"/>
      <c r="ML727" s="77"/>
      <c r="MM727" s="77"/>
      <c r="MN727" s="77"/>
      <c r="MO727" s="77"/>
      <c r="MP727" s="77"/>
      <c r="MQ727" s="77"/>
      <c r="MR727" s="77"/>
    </row>
    <row r="728" spans="1:421" s="21" customFormat="1" ht="18.600000000000001" customHeight="1" x14ac:dyDescent="0.25">
      <c r="A728" s="119" t="s">
        <v>2849</v>
      </c>
      <c r="B728" s="27" t="s">
        <v>2850</v>
      </c>
      <c r="C728" s="27" t="s">
        <v>2851</v>
      </c>
      <c r="D728" s="30" t="str">
        <f>HYPERLINK("https://twitter.com/Gouvrdcongo","https://twitter.com/Gouvrdcongo")</f>
        <v>https://twitter.com/Gouvrdcongo</v>
      </c>
      <c r="E728" s="30" t="s">
        <v>842</v>
      </c>
      <c r="F728" s="38" t="s">
        <v>1</v>
      </c>
      <c r="G728" s="14" t="s">
        <v>843</v>
      </c>
      <c r="H728" s="14" t="s">
        <v>788</v>
      </c>
      <c r="I728" s="14" t="s">
        <v>782</v>
      </c>
      <c r="J728" s="27" t="s">
        <v>779</v>
      </c>
      <c r="K728" s="14" t="s">
        <v>2852</v>
      </c>
      <c r="L728" s="14" t="s">
        <v>771</v>
      </c>
      <c r="M728" s="14" t="s">
        <v>771</v>
      </c>
      <c r="N728" s="100" t="str">
        <f>HYPERLINK("https://twitter.com/Gouvrdcongo/status/270410415064883200","https://twitter.com/Gouvrdcongo/status/270410415064883200")</f>
        <v>https://twitter.com/Gouvrdcongo/status/270410415064883200</v>
      </c>
      <c r="O728" s="27" t="s">
        <v>5825</v>
      </c>
      <c r="P728" s="80">
        <v>3</v>
      </c>
      <c r="Q728" s="80">
        <v>2</v>
      </c>
      <c r="R728" s="27" t="s">
        <v>2995</v>
      </c>
      <c r="S728" s="30" t="str">
        <f>HYPERLINK("https://twitter.com/Gouvrdcongo/lists","https://twitter.com/Gouvrdcongo/lists")</f>
        <v>https://twitter.com/Gouvrdcongo/lists</v>
      </c>
      <c r="T728" s="10" t="s">
        <v>771</v>
      </c>
      <c r="U728" s="10" t="s">
        <v>771</v>
      </c>
      <c r="V728" s="10" t="s">
        <v>771</v>
      </c>
      <c r="W728" s="14"/>
      <c r="X728" s="27" t="s">
        <v>2849</v>
      </c>
      <c r="Y728" s="27" t="s">
        <v>2850</v>
      </c>
      <c r="Z728" s="80">
        <v>13</v>
      </c>
      <c r="AA728" s="27">
        <v>16</v>
      </c>
      <c r="AB728" s="80">
        <v>588</v>
      </c>
      <c r="AC728" s="27">
        <v>0</v>
      </c>
      <c r="AD728" s="27" t="s">
        <v>3746</v>
      </c>
      <c r="AE728" s="27">
        <v>956425728</v>
      </c>
      <c r="AF728" s="27" t="s">
        <v>2851</v>
      </c>
      <c r="AG728" s="27" t="s">
        <v>846</v>
      </c>
      <c r="AH728" s="79">
        <v>1.03174603174603E-2</v>
      </c>
      <c r="AI728" s="83">
        <v>6.5</v>
      </c>
      <c r="AJ728" s="80">
        <v>1.6</v>
      </c>
      <c r="AK728" s="80">
        <v>0.3</v>
      </c>
      <c r="AL728" s="27">
        <v>1</v>
      </c>
      <c r="AM728" s="97">
        <f>SUM(AL728/Z728)</f>
        <v>7.6923076923076927E-2</v>
      </c>
      <c r="AN728" s="27" t="s">
        <v>2849</v>
      </c>
      <c r="AO728" s="27">
        <v>3</v>
      </c>
      <c r="AP728" s="27">
        <v>1</v>
      </c>
      <c r="AQ728" s="27">
        <v>0</v>
      </c>
      <c r="AR728" s="27">
        <f>SUM(AO728:AQ728)</f>
        <v>4</v>
      </c>
      <c r="AS728" s="27" t="s">
        <v>5146</v>
      </c>
      <c r="AT728" s="27" t="s">
        <v>533</v>
      </c>
      <c r="AU728" s="84"/>
      <c r="AV728" s="77"/>
      <c r="AW728" s="77"/>
      <c r="AX728" s="77"/>
      <c r="AY728" s="77"/>
      <c r="AZ728" s="77"/>
      <c r="BA728" s="77"/>
      <c r="BB728" s="77"/>
      <c r="BC728" s="77"/>
      <c r="BD728" s="77"/>
      <c r="BE728" s="77"/>
      <c r="BF728" s="77"/>
      <c r="BG728" s="77"/>
      <c r="BH728" s="77"/>
      <c r="BI728" s="77"/>
      <c r="BJ728" s="77"/>
      <c r="BK728" s="77"/>
      <c r="BL728" s="77"/>
      <c r="BM728" s="77"/>
      <c r="BN728" s="77"/>
      <c r="BO728" s="77"/>
      <c r="BP728" s="77"/>
      <c r="BQ728" s="77"/>
      <c r="BR728" s="77"/>
      <c r="BS728" s="77"/>
      <c r="BT728" s="77"/>
      <c r="BU728" s="77"/>
      <c r="BV728" s="77"/>
      <c r="BW728" s="77"/>
      <c r="BX728" s="77"/>
      <c r="BY728" s="77"/>
      <c r="BZ728" s="77"/>
      <c r="CA728" s="77"/>
      <c r="CB728" s="77"/>
      <c r="CC728" s="77"/>
      <c r="CD728" s="77"/>
      <c r="CE728" s="77"/>
      <c r="CF728" s="77"/>
      <c r="CG728" s="77"/>
      <c r="CH728" s="77"/>
      <c r="CI728" s="77"/>
      <c r="CJ728" s="77"/>
      <c r="CK728" s="77"/>
      <c r="CL728" s="77"/>
      <c r="CM728" s="77"/>
      <c r="CN728" s="77"/>
      <c r="CO728" s="77"/>
      <c r="CP728" s="77"/>
      <c r="CQ728" s="77"/>
      <c r="CR728" s="77"/>
      <c r="CS728" s="77"/>
      <c r="CT728" s="77"/>
      <c r="CU728" s="77"/>
      <c r="CV728" s="77"/>
      <c r="CW728" s="77"/>
      <c r="EM728" s="16"/>
      <c r="EN728" s="16"/>
      <c r="EO728" s="16"/>
      <c r="EP728" s="77"/>
      <c r="EQ728" s="77"/>
      <c r="GL728" s="77"/>
      <c r="GM728" s="77"/>
      <c r="GN728" s="77"/>
      <c r="GO728" s="77"/>
      <c r="GP728" s="77"/>
      <c r="GQ728" s="77"/>
      <c r="GR728" s="77"/>
      <c r="GS728" s="77"/>
      <c r="GT728" s="77"/>
      <c r="GU728" s="77"/>
      <c r="GV728" s="77"/>
      <c r="GW728" s="77"/>
      <c r="GX728" s="77"/>
      <c r="GY728" s="77"/>
      <c r="GZ728" s="77"/>
      <c r="HA728" s="77"/>
      <c r="HB728" s="77"/>
      <c r="HC728" s="77"/>
      <c r="HD728" s="77"/>
      <c r="HE728" s="77"/>
      <c r="HF728" s="77"/>
      <c r="HG728" s="77"/>
      <c r="HH728" s="77"/>
      <c r="HI728" s="77"/>
      <c r="HJ728" s="77"/>
      <c r="HK728" s="77"/>
      <c r="ID728" s="77"/>
      <c r="IE728" s="77"/>
      <c r="IF728" s="77"/>
      <c r="IG728" s="77"/>
      <c r="IH728" s="77"/>
      <c r="II728" s="77"/>
      <c r="IJ728" s="77"/>
      <c r="IK728" s="77"/>
      <c r="IL728" s="77"/>
      <c r="IM728" s="77"/>
      <c r="IN728" s="77"/>
      <c r="IO728" s="77"/>
      <c r="IP728" s="77"/>
      <c r="IQ728" s="77"/>
      <c r="IR728" s="77"/>
      <c r="IS728" s="77"/>
      <c r="IT728" s="77"/>
      <c r="IU728" s="77"/>
      <c r="IV728" s="77"/>
      <c r="IW728" s="77"/>
      <c r="IX728" s="77"/>
      <c r="IY728" s="77"/>
      <c r="IZ728" s="77"/>
      <c r="JA728" s="77"/>
      <c r="JB728" s="77"/>
      <c r="JC728" s="77"/>
      <c r="JD728" s="77"/>
      <c r="JE728" s="77"/>
      <c r="JF728" s="77"/>
      <c r="JG728" s="77"/>
      <c r="JH728" s="77"/>
      <c r="JI728" s="77"/>
      <c r="JJ728" s="77"/>
      <c r="JK728" s="77"/>
      <c r="JL728" s="77"/>
      <c r="JM728" s="77"/>
      <c r="JN728" s="77"/>
      <c r="JO728" s="77"/>
      <c r="JP728" s="77"/>
      <c r="JQ728" s="77"/>
      <c r="JR728" s="77"/>
      <c r="JS728" s="77"/>
      <c r="JT728" s="77"/>
      <c r="JU728" s="77"/>
      <c r="JV728" s="77"/>
      <c r="JW728" s="77"/>
      <c r="JX728" s="77"/>
      <c r="JY728" s="77"/>
      <c r="JZ728" s="77"/>
      <c r="KA728" s="77"/>
      <c r="KB728" s="77"/>
      <c r="KC728" s="77"/>
      <c r="KD728" s="77"/>
      <c r="KE728" s="77"/>
      <c r="KF728" s="77"/>
      <c r="KG728" s="77"/>
      <c r="KH728" s="77"/>
      <c r="KI728" s="77"/>
      <c r="KJ728" s="77"/>
      <c r="KK728" s="77"/>
      <c r="KL728" s="77"/>
      <c r="KM728" s="77"/>
      <c r="KN728" s="77"/>
      <c r="KO728" s="77"/>
      <c r="KP728" s="77"/>
      <c r="KQ728" s="77"/>
      <c r="KR728" s="77"/>
      <c r="KS728" s="77"/>
      <c r="KT728" s="77"/>
      <c r="KU728" s="77"/>
      <c r="KV728" s="77"/>
      <c r="KW728" s="77"/>
      <c r="KX728" s="77"/>
      <c r="KY728" s="77"/>
      <c r="KZ728" s="77"/>
      <c r="LA728" s="77"/>
      <c r="LB728" s="77"/>
      <c r="LC728" s="77"/>
      <c r="LD728" s="77"/>
      <c r="LE728" s="77"/>
      <c r="LF728" s="77"/>
      <c r="LG728" s="77"/>
      <c r="LH728" s="77"/>
      <c r="LI728" s="77"/>
      <c r="LJ728" s="77"/>
      <c r="LK728" s="77"/>
      <c r="LL728" s="77"/>
      <c r="LM728" s="77"/>
      <c r="LN728" s="77"/>
      <c r="LO728" s="77"/>
      <c r="LP728" s="77"/>
      <c r="LQ728" s="77"/>
      <c r="LR728" s="77"/>
      <c r="LS728" s="77"/>
      <c r="LT728" s="77"/>
      <c r="LU728" s="77"/>
      <c r="LV728" s="77"/>
      <c r="ND728" s="77"/>
    </row>
    <row r="729" spans="1:421" s="21" customFormat="1" ht="18.600000000000001" customHeight="1" x14ac:dyDescent="0.25">
      <c r="A729" s="119" t="s">
        <v>368</v>
      </c>
      <c r="B729" s="27" t="s">
        <v>1788</v>
      </c>
      <c r="C729" s="27"/>
      <c r="D729" s="30" t="str">
        <f>HYPERLINK("https://twitter.com/MZemanOficialni","https://twitter.com/MZemanOficialni")</f>
        <v>https://twitter.com/MZemanOficialni</v>
      </c>
      <c r="E729" s="30" t="str">
        <f>HYPERLINK("http://twiplomacy.com/info/europe/Czech-Republic","http://twiplomacy.com/info/europe/Czech-Republic")</f>
        <v>http://twiplomacy.com/info/europe/Czech-Republic</v>
      </c>
      <c r="F729" s="10" t="s">
        <v>332</v>
      </c>
      <c r="G729" s="10" t="s">
        <v>5647</v>
      </c>
      <c r="H729" s="10" t="s">
        <v>772</v>
      </c>
      <c r="I729" s="10" t="s">
        <v>773</v>
      </c>
      <c r="J729" s="27" t="s">
        <v>1792</v>
      </c>
      <c r="K729" s="15" t="s">
        <v>1789</v>
      </c>
      <c r="L729" s="10"/>
      <c r="M729" s="10" t="s">
        <v>771</v>
      </c>
      <c r="N729" s="30" t="str">
        <f>HYPERLINK("https://twitter.com/MZemanOficialni/statuses/360329736561496064","https://twitter.com/MZemanOficialni/statuses/360329736561496064")</f>
        <v>https://twitter.com/MZemanOficialni/statuses/360329736561496064</v>
      </c>
      <c r="O729" s="27" t="s">
        <v>5982</v>
      </c>
      <c r="P729" s="80">
        <v>8</v>
      </c>
      <c r="Q729" s="80">
        <v>22</v>
      </c>
      <c r="R729" s="27" t="s">
        <v>2995</v>
      </c>
      <c r="S729" s="10" t="s">
        <v>1790</v>
      </c>
      <c r="T729" s="10" t="s">
        <v>771</v>
      </c>
      <c r="U729" s="10" t="s">
        <v>771</v>
      </c>
      <c r="V729" s="10" t="s">
        <v>771</v>
      </c>
      <c r="W729" s="10"/>
      <c r="X729" s="27" t="s">
        <v>368</v>
      </c>
      <c r="Y729" s="27" t="s">
        <v>1788</v>
      </c>
      <c r="Z729" s="80">
        <v>13</v>
      </c>
      <c r="AA729" s="27">
        <v>0</v>
      </c>
      <c r="AB729" s="80">
        <v>4772</v>
      </c>
      <c r="AC729" s="27">
        <v>0</v>
      </c>
      <c r="AD729" s="27" t="s">
        <v>4178</v>
      </c>
      <c r="AE729" s="27">
        <v>1618506558</v>
      </c>
      <c r="AF729" s="27"/>
      <c r="AG729" s="27" t="s">
        <v>1791</v>
      </c>
      <c r="AH729" s="79">
        <v>1.28458498023715E-2</v>
      </c>
      <c r="AI729" s="83">
        <v>0.17567567567567599</v>
      </c>
      <c r="AJ729" s="80">
        <v>3.3076923076923102</v>
      </c>
      <c r="AK729" s="80">
        <v>11.384615384615399</v>
      </c>
      <c r="AL729" s="13">
        <v>0</v>
      </c>
      <c r="AM729" s="97">
        <f>SUM(AL729/Z729)</f>
        <v>0</v>
      </c>
      <c r="AN729" s="27" t="s">
        <v>368</v>
      </c>
      <c r="AO729" s="27">
        <v>0</v>
      </c>
      <c r="AP729" s="27">
        <v>10</v>
      </c>
      <c r="AQ729" s="27">
        <v>0</v>
      </c>
      <c r="AR729" s="27">
        <f>SUM(AO729:AQ729)</f>
        <v>10</v>
      </c>
      <c r="AS729" s="27"/>
      <c r="AT729" s="27" t="s">
        <v>5355</v>
      </c>
      <c r="AU729" s="84"/>
      <c r="AV729" s="77"/>
      <c r="AW729" s="77"/>
      <c r="AX729" s="77"/>
      <c r="AY729" s="77"/>
      <c r="AZ729" s="77"/>
      <c r="BA729" s="77"/>
      <c r="BB729" s="77"/>
      <c r="BC729" s="77"/>
      <c r="BD729" s="77"/>
      <c r="BE729" s="77"/>
      <c r="BF729" s="77"/>
      <c r="BG729" s="77"/>
      <c r="BH729" s="77"/>
      <c r="BI729" s="77"/>
      <c r="BJ729" s="77"/>
      <c r="BK729" s="77"/>
      <c r="BL729" s="77"/>
      <c r="BM729" s="77"/>
      <c r="BN729" s="77"/>
      <c r="BO729" s="77"/>
      <c r="BP729" s="77"/>
      <c r="BQ729" s="71"/>
      <c r="BR729" s="71"/>
      <c r="BS729" s="71"/>
      <c r="BT729" s="71"/>
      <c r="BU729" s="71"/>
      <c r="BV729" s="71"/>
      <c r="BW729" s="71"/>
      <c r="BX729" s="71"/>
      <c r="BY729" s="71"/>
      <c r="BZ729" s="71"/>
      <c r="CA729" s="71"/>
      <c r="CB729" s="71"/>
      <c r="CC729" s="77"/>
      <c r="CD729" s="77"/>
      <c r="CE729" s="77"/>
      <c r="CF729" s="77"/>
      <c r="CG729" s="77"/>
      <c r="CH729" s="77"/>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7"/>
      <c r="DV729" s="77"/>
      <c r="DW729" s="77"/>
      <c r="DX729" s="77"/>
      <c r="DY729" s="77"/>
      <c r="DZ729" s="77"/>
      <c r="EA729" s="77"/>
      <c r="EB729" s="77"/>
      <c r="EC729" s="77"/>
      <c r="ED729" s="77"/>
      <c r="EE729" s="77"/>
      <c r="EF729" s="77"/>
      <c r="EG729" s="77"/>
      <c r="EH729" s="77"/>
      <c r="EI729" s="77"/>
      <c r="EJ729" s="77"/>
      <c r="EK729" s="77"/>
      <c r="EL729" s="77"/>
      <c r="EM729" s="77"/>
      <c r="EN729" s="77"/>
      <c r="EO729" s="77"/>
      <c r="EP729" s="77"/>
      <c r="EQ729" s="77"/>
      <c r="HL729" s="77"/>
      <c r="HM729" s="77"/>
      <c r="HN729" s="77"/>
      <c r="HO729" s="77"/>
      <c r="HP729" s="77"/>
      <c r="HQ729" s="77"/>
      <c r="HR729" s="77"/>
      <c r="HS729" s="77"/>
      <c r="HT729" s="77"/>
      <c r="HU729" s="77"/>
      <c r="HV729" s="77"/>
      <c r="HW729" s="77"/>
      <c r="HX729" s="77"/>
      <c r="HY729" s="77"/>
      <c r="HZ729" s="77"/>
      <c r="IA729" s="77"/>
      <c r="IB729" s="77"/>
      <c r="IC729" s="77"/>
      <c r="IF729" s="16"/>
      <c r="IG729" s="16"/>
      <c r="IH729" s="16"/>
      <c r="II729" s="16"/>
      <c r="IJ729" s="16"/>
      <c r="IK729" s="16"/>
      <c r="IL729" s="16"/>
      <c r="IM729" s="16"/>
      <c r="IN729" s="16"/>
      <c r="IO729" s="16"/>
      <c r="IP729" s="16"/>
      <c r="IQ729" s="16"/>
      <c r="IR729" s="16"/>
      <c r="IS729" s="16"/>
      <c r="IT729" s="16"/>
      <c r="IU729" s="16"/>
      <c r="IV729" s="16"/>
      <c r="IW729" s="16"/>
      <c r="IX729" s="16"/>
      <c r="IY729" s="16"/>
      <c r="IZ729" s="16"/>
      <c r="JA729" s="16"/>
      <c r="JB729" s="16"/>
      <c r="JC729" s="16"/>
      <c r="JD729" s="16"/>
      <c r="JE729" s="16"/>
      <c r="JF729" s="16"/>
      <c r="JG729" s="16"/>
      <c r="JH729" s="16"/>
      <c r="JI729" s="16"/>
      <c r="JJ729" s="16"/>
      <c r="JK729" s="16"/>
      <c r="JL729" s="16"/>
      <c r="JM729" s="16"/>
      <c r="JN729" s="16"/>
      <c r="JO729" s="16"/>
      <c r="JP729" s="16"/>
      <c r="JQ729" s="16"/>
      <c r="JR729" s="16"/>
      <c r="JS729" s="16"/>
      <c r="JT729" s="16"/>
      <c r="JU729" s="16"/>
      <c r="JV729" s="16"/>
      <c r="JW729" s="16"/>
      <c r="JX729" s="16"/>
      <c r="JY729" s="77"/>
      <c r="JZ729" s="77"/>
      <c r="KA729" s="77"/>
      <c r="KB729" s="77"/>
      <c r="KC729" s="77"/>
      <c r="KD729" s="77"/>
      <c r="KE729" s="77"/>
      <c r="KF729" s="77"/>
      <c r="KG729" s="77"/>
      <c r="KH729" s="77"/>
      <c r="KI729" s="77"/>
      <c r="KJ729" s="77"/>
      <c r="KK729" s="77"/>
      <c r="KL729" s="77"/>
      <c r="LL729" s="77"/>
      <c r="LM729" s="77"/>
      <c r="LN729" s="77"/>
      <c r="LO729" s="77"/>
      <c r="LP729" s="77"/>
      <c r="LQ729" s="77"/>
      <c r="LR729" s="77"/>
      <c r="LS729" s="77"/>
      <c r="LT729" s="77"/>
      <c r="LU729" s="77"/>
      <c r="LV729" s="77"/>
      <c r="LY729" s="77"/>
      <c r="LZ729" s="77"/>
      <c r="MA729" s="77"/>
      <c r="MB729" s="77"/>
      <c r="MC729" s="77"/>
      <c r="MD729" s="77"/>
      <c r="ME729" s="77"/>
      <c r="MF729" s="77"/>
      <c r="MG729" s="77"/>
      <c r="MH729" s="77"/>
      <c r="MI729" s="77"/>
      <c r="MJ729" s="77"/>
      <c r="MK729" s="77"/>
      <c r="ML729" s="77"/>
      <c r="MM729" s="77"/>
      <c r="MN729" s="77"/>
      <c r="MO729" s="77"/>
      <c r="MP729" s="77"/>
      <c r="MQ729" s="77"/>
      <c r="MR729" s="77"/>
      <c r="MT729" s="77"/>
      <c r="MU729" s="77"/>
      <c r="MV729" s="77"/>
      <c r="MW729" s="77"/>
      <c r="MX729" s="77"/>
      <c r="MY729" s="77"/>
      <c r="MZ729" s="77"/>
      <c r="NA729" s="77"/>
      <c r="NB729" s="77"/>
      <c r="NC729" s="77"/>
    </row>
    <row r="730" spans="1:421" s="21" customFormat="1" ht="18.600000000000001" customHeight="1" x14ac:dyDescent="0.25">
      <c r="A730" s="119" t="s">
        <v>2770</v>
      </c>
      <c r="B730" s="27" t="s">
        <v>2771</v>
      </c>
      <c r="C730" s="27"/>
      <c r="D730" s="30" t="str">
        <f>HYPERLINK("https://twitter.com/Bouterse2015","https://twitter.com/Bouterse2015")</f>
        <v>https://twitter.com/Bouterse2015</v>
      </c>
      <c r="E730" s="19" t="s">
        <v>3347</v>
      </c>
      <c r="F730" s="20" t="s">
        <v>668</v>
      </c>
      <c r="G730" s="10" t="s">
        <v>715</v>
      </c>
      <c r="H730" s="10" t="s">
        <v>772</v>
      </c>
      <c r="I730" s="10" t="s">
        <v>773</v>
      </c>
      <c r="J730" s="27" t="s">
        <v>789</v>
      </c>
      <c r="K730" s="10" t="s">
        <v>4611</v>
      </c>
      <c r="L730" s="10" t="s">
        <v>771</v>
      </c>
      <c r="M730" s="10" t="s">
        <v>770</v>
      </c>
      <c r="N730" s="30" t="str">
        <f>HYPERLINK("https://twitter.com/Bouterse2015/status/573194897156673536","https://twitter.com/Bouterse2015/status/573194897156673536")</f>
        <v>https://twitter.com/Bouterse2015/status/573194897156673536</v>
      </c>
      <c r="O730" s="27" t="s">
        <v>5714</v>
      </c>
      <c r="P730" s="80">
        <v>0</v>
      </c>
      <c r="Q730" s="80">
        <v>0</v>
      </c>
      <c r="R730" s="27" t="s">
        <v>2995</v>
      </c>
      <c r="S730" s="30" t="str">
        <f>HYPERLINK("https://twitter.com/Bouterse2015/lists","https://twitter.com/Bouterse2015/lists")</f>
        <v>https://twitter.com/Bouterse2015/lists</v>
      </c>
      <c r="T730" s="10" t="s">
        <v>771</v>
      </c>
      <c r="U730" s="10" t="s">
        <v>771</v>
      </c>
      <c r="V730" s="10" t="s">
        <v>771</v>
      </c>
      <c r="W730" s="10"/>
      <c r="X730" s="27" t="s">
        <v>2770</v>
      </c>
      <c r="Y730" s="27" t="s">
        <v>2771</v>
      </c>
      <c r="Z730" s="80">
        <v>13</v>
      </c>
      <c r="AA730" s="27">
        <v>0</v>
      </c>
      <c r="AB730" s="80">
        <v>10</v>
      </c>
      <c r="AC730" s="27">
        <v>0</v>
      </c>
      <c r="AD730" s="27" t="s">
        <v>3522</v>
      </c>
      <c r="AE730" s="27">
        <v>3070456505</v>
      </c>
      <c r="AF730" s="27"/>
      <c r="AG730" s="27" t="s">
        <v>715</v>
      </c>
      <c r="AH730" s="79">
        <v>3.05882352941176E-2</v>
      </c>
      <c r="AI730" s="83">
        <v>6.5</v>
      </c>
      <c r="AJ730" s="80">
        <v>0</v>
      </c>
      <c r="AK730" s="80">
        <v>0</v>
      </c>
      <c r="AL730" s="13">
        <v>0</v>
      </c>
      <c r="AM730" s="97">
        <f>SUM(AL730/Z730)</f>
        <v>0</v>
      </c>
      <c r="AN730" s="27" t="s">
        <v>2770</v>
      </c>
      <c r="AO730" s="27">
        <v>0</v>
      </c>
      <c r="AP730" s="27">
        <v>0</v>
      </c>
      <c r="AQ730" s="27">
        <v>0</v>
      </c>
      <c r="AR730" s="27">
        <f>SUM(AO730:AQ730)</f>
        <v>0</v>
      </c>
      <c r="AS730" s="27"/>
      <c r="AT730" s="27"/>
      <c r="AU730" s="84"/>
      <c r="AV730" s="77"/>
      <c r="AW730" s="77"/>
      <c r="AX730" s="77"/>
      <c r="AY730" s="77"/>
      <c r="AZ730" s="77"/>
      <c r="BA730" s="77"/>
      <c r="BB730" s="77"/>
      <c r="BC730" s="77"/>
      <c r="BD730" s="77"/>
      <c r="BE730" s="77"/>
      <c r="BF730" s="77"/>
      <c r="BG730" s="77"/>
      <c r="BH730" s="77"/>
      <c r="BI730" s="77"/>
      <c r="BJ730" s="77"/>
      <c r="BK730" s="77"/>
      <c r="BL730" s="77"/>
      <c r="BM730" s="77"/>
      <c r="BN730" s="77"/>
      <c r="BO730" s="77"/>
      <c r="BP730" s="77"/>
      <c r="BQ730" s="77"/>
      <c r="BR730" s="77"/>
      <c r="BS730" s="77"/>
      <c r="BT730" s="77"/>
      <c r="BU730" s="77"/>
      <c r="BV730" s="77"/>
      <c r="BW730" s="77"/>
      <c r="BX730" s="77"/>
      <c r="BY730" s="77"/>
      <c r="BZ730" s="77"/>
      <c r="CA730" s="77"/>
      <c r="CB730" s="77"/>
      <c r="CC730" s="77"/>
      <c r="CD730" s="77"/>
      <c r="CE730" s="77"/>
      <c r="CF730" s="77"/>
      <c r="CG730" s="77"/>
      <c r="CH730" s="77"/>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7"/>
      <c r="DV730" s="77"/>
      <c r="DW730" s="77"/>
      <c r="DX730" s="77"/>
      <c r="DY730" s="77"/>
      <c r="DZ730" s="77"/>
      <c r="EA730" s="77"/>
      <c r="EB730" s="77"/>
      <c r="EC730" s="77"/>
      <c r="ED730" s="77"/>
      <c r="EE730" s="77"/>
      <c r="EF730" s="77"/>
      <c r="EG730" s="77"/>
      <c r="EH730" s="77"/>
      <c r="EI730" s="77"/>
      <c r="EJ730" s="77"/>
      <c r="EK730" s="77"/>
      <c r="EL730" s="77"/>
      <c r="EM730" s="77"/>
      <c r="EN730" s="77"/>
      <c r="EO730" s="77"/>
      <c r="ER730" s="77"/>
      <c r="ES730" s="77"/>
      <c r="ET730" s="77"/>
      <c r="EU730" s="77"/>
      <c r="EV730" s="77"/>
      <c r="EW730" s="77"/>
      <c r="EX730" s="77"/>
      <c r="EY730" s="77"/>
      <c r="EZ730" s="77"/>
      <c r="FA730" s="77"/>
      <c r="FB730" s="77"/>
      <c r="FC730" s="77"/>
      <c r="FD730" s="77"/>
      <c r="FE730" s="77"/>
      <c r="FF730" s="77"/>
      <c r="FG730" s="77"/>
      <c r="FH730" s="77"/>
      <c r="FI730" s="77"/>
      <c r="FJ730" s="77"/>
      <c r="FK730" s="77"/>
      <c r="FL730" s="77"/>
      <c r="FM730" s="77"/>
      <c r="FN730" s="77"/>
      <c r="FO730" s="77"/>
      <c r="FP730" s="77"/>
      <c r="FQ730" s="77"/>
      <c r="FR730" s="77"/>
      <c r="FS730" s="77"/>
      <c r="FT730" s="77"/>
      <c r="FU730" s="77"/>
      <c r="FV730" s="77"/>
      <c r="FW730" s="77"/>
      <c r="FX730" s="77"/>
      <c r="FY730" s="77"/>
      <c r="FZ730" s="77"/>
      <c r="GA730" s="77"/>
      <c r="GB730" s="77"/>
      <c r="GC730" s="77"/>
      <c r="GD730" s="77"/>
      <c r="GE730" s="77"/>
      <c r="GF730" s="77"/>
      <c r="GG730" s="77"/>
      <c r="GH730" s="77"/>
      <c r="GI730" s="77"/>
      <c r="GJ730" s="77"/>
      <c r="GK730" s="77"/>
      <c r="HL730" s="77"/>
      <c r="HM730" s="77"/>
      <c r="HN730" s="77"/>
      <c r="HO730" s="77"/>
      <c r="HP730" s="77"/>
      <c r="HQ730" s="77"/>
      <c r="HR730" s="77"/>
      <c r="HS730" s="77"/>
      <c r="HT730" s="77"/>
      <c r="HU730" s="77"/>
      <c r="HV730" s="77"/>
      <c r="HW730" s="77"/>
      <c r="HX730" s="77"/>
      <c r="HY730" s="77"/>
      <c r="HZ730" s="77"/>
      <c r="IA730" s="77"/>
      <c r="IB730" s="77"/>
      <c r="IC730" s="77"/>
      <c r="ID730" s="77"/>
      <c r="IE730" s="77"/>
      <c r="IF730" s="77"/>
      <c r="IG730" s="77"/>
      <c r="IH730" s="77"/>
      <c r="II730" s="77"/>
      <c r="IJ730" s="77"/>
      <c r="IK730" s="77"/>
      <c r="IL730" s="77"/>
      <c r="IM730" s="77"/>
      <c r="IN730" s="77"/>
      <c r="IO730" s="77"/>
      <c r="IP730" s="77"/>
      <c r="IQ730" s="77"/>
      <c r="IR730" s="77"/>
      <c r="IS730" s="77"/>
      <c r="IT730" s="77"/>
      <c r="IU730" s="77"/>
      <c r="IV730" s="77"/>
      <c r="IW730" s="77"/>
      <c r="IX730" s="77"/>
      <c r="IY730" s="77"/>
      <c r="IZ730" s="77"/>
      <c r="JA730" s="77"/>
      <c r="JB730" s="77"/>
      <c r="JC730" s="77"/>
      <c r="JD730" s="77"/>
      <c r="JE730" s="77"/>
      <c r="JF730" s="77"/>
      <c r="JG730" s="77"/>
      <c r="JH730" s="77"/>
      <c r="JI730" s="77"/>
      <c r="JJ730" s="77"/>
      <c r="JK730" s="77"/>
      <c r="JL730" s="77"/>
      <c r="JM730" s="77"/>
      <c r="JN730" s="77"/>
      <c r="JO730" s="77"/>
      <c r="JP730" s="77"/>
      <c r="JQ730" s="77"/>
      <c r="JR730" s="77"/>
      <c r="JS730" s="77"/>
      <c r="JT730" s="77"/>
      <c r="JU730" s="77"/>
      <c r="JV730" s="77"/>
      <c r="JW730" s="77"/>
      <c r="JX730" s="77"/>
      <c r="JY730" s="77"/>
      <c r="JZ730" s="77"/>
      <c r="KA730" s="77"/>
      <c r="KB730" s="77"/>
      <c r="KC730" s="77"/>
      <c r="KD730" s="77"/>
      <c r="KE730" s="77"/>
      <c r="KF730" s="77"/>
      <c r="KG730" s="77"/>
      <c r="KH730" s="77"/>
      <c r="KI730" s="77"/>
      <c r="KJ730" s="77"/>
      <c r="KK730" s="77"/>
      <c r="KL730" s="77"/>
      <c r="LL730" s="77"/>
      <c r="LM730" s="77"/>
      <c r="LN730" s="77"/>
      <c r="LO730" s="77"/>
      <c r="LP730" s="77"/>
      <c r="LQ730" s="77"/>
      <c r="LR730" s="77"/>
      <c r="LS730" s="77"/>
      <c r="LT730" s="77"/>
      <c r="LU730" s="77"/>
      <c r="LV730" s="77"/>
    </row>
    <row r="731" spans="1:421" s="21" customFormat="1" ht="18.600000000000001" customHeight="1" x14ac:dyDescent="0.25">
      <c r="A731" s="119" t="s">
        <v>96</v>
      </c>
      <c r="B731" s="27" t="s">
        <v>1034</v>
      </c>
      <c r="C731" s="27"/>
      <c r="D731" s="32" t="str">
        <f>HYPERLINK("https://twitter.com/foreignaffairng","https://twitter.com/foreignaffairng")</f>
        <v>https://twitter.com/foreignaffairng</v>
      </c>
      <c r="E731" s="30" t="str">
        <f>HYPERLINK("http://twiplomacy.com/info/africa/Nigeria","http://twiplomacy.com/info/africa/Nigeria")</f>
        <v>http://twiplomacy.com/info/africa/Nigeria</v>
      </c>
      <c r="F731" s="10" t="s">
        <v>1</v>
      </c>
      <c r="G731" s="10" t="s">
        <v>95</v>
      </c>
      <c r="H731" s="10" t="s">
        <v>795</v>
      </c>
      <c r="I731" s="10" t="s">
        <v>782</v>
      </c>
      <c r="J731" s="27" t="s">
        <v>814</v>
      </c>
      <c r="K731" s="15" t="s">
        <v>3101</v>
      </c>
      <c r="L731" s="10" t="s">
        <v>771</v>
      </c>
      <c r="M731" s="10" t="s">
        <v>771</v>
      </c>
      <c r="N731" s="30" t="s">
        <v>3111</v>
      </c>
      <c r="O731" s="27" t="s">
        <v>5766</v>
      </c>
      <c r="P731" s="80">
        <v>1</v>
      </c>
      <c r="Q731" s="80">
        <v>1</v>
      </c>
      <c r="R731" s="27" t="s">
        <v>2995</v>
      </c>
      <c r="S731" s="12" t="s">
        <v>3093</v>
      </c>
      <c r="T731" s="10" t="s">
        <v>771</v>
      </c>
      <c r="U731" s="10" t="s">
        <v>771</v>
      </c>
      <c r="V731" s="10" t="s">
        <v>771</v>
      </c>
      <c r="W731" s="20"/>
      <c r="X731" s="27" t="s">
        <v>96</v>
      </c>
      <c r="Y731" s="27" t="s">
        <v>1034</v>
      </c>
      <c r="Z731" s="80">
        <v>12</v>
      </c>
      <c r="AA731" s="27">
        <v>257</v>
      </c>
      <c r="AB731" s="80">
        <v>71</v>
      </c>
      <c r="AC731" s="27">
        <v>0</v>
      </c>
      <c r="AD731" s="27" t="s">
        <v>3692</v>
      </c>
      <c r="AE731" s="27">
        <v>1702385306</v>
      </c>
      <c r="AF731" s="27"/>
      <c r="AG731" s="27"/>
      <c r="AH731" s="79">
        <v>1.2244897959183701E-2</v>
      </c>
      <c r="AI731" s="83">
        <v>2.0033388981636101E-2</v>
      </c>
      <c r="AJ731" s="80">
        <v>0.58333333333333304</v>
      </c>
      <c r="AK731" s="80">
        <v>0.25</v>
      </c>
      <c r="AL731" s="13">
        <v>0</v>
      </c>
      <c r="AM731" s="97">
        <f>SUM(AL731/Z731)</f>
        <v>0</v>
      </c>
      <c r="AN731" s="27" t="s">
        <v>96</v>
      </c>
      <c r="AO731" s="27">
        <v>10</v>
      </c>
      <c r="AP731" s="27">
        <v>1</v>
      </c>
      <c r="AQ731" s="27">
        <v>0</v>
      </c>
      <c r="AR731" s="27">
        <f>SUM(AO731:AQ731)</f>
        <v>11</v>
      </c>
      <c r="AS731" s="27" t="s">
        <v>5120</v>
      </c>
      <c r="AT731" s="27" t="s">
        <v>444</v>
      </c>
      <c r="AU731" s="84"/>
      <c r="AV731" s="77"/>
      <c r="AW731" s="77"/>
      <c r="AX731" s="77"/>
      <c r="AY731" s="77"/>
      <c r="AZ731" s="77"/>
      <c r="BA731" s="77"/>
      <c r="BB731" s="77"/>
      <c r="BC731" s="77"/>
      <c r="BD731" s="77"/>
      <c r="BE731" s="77"/>
      <c r="BF731" s="77"/>
      <c r="BG731" s="77"/>
      <c r="BH731" s="77"/>
      <c r="BI731" s="77"/>
      <c r="BJ731" s="77"/>
      <c r="BK731" s="77"/>
      <c r="BL731" s="77"/>
      <c r="BM731" s="77"/>
      <c r="BN731" s="77"/>
      <c r="BO731" s="77"/>
      <c r="BP731" s="77"/>
      <c r="BQ731" s="77"/>
      <c r="BR731" s="77"/>
      <c r="BS731" s="77"/>
      <c r="BT731" s="77"/>
      <c r="BU731" s="77"/>
      <c r="BV731" s="77"/>
      <c r="BW731" s="77"/>
      <c r="BX731" s="77"/>
      <c r="BY731" s="77"/>
      <c r="BZ731" s="77"/>
      <c r="CA731" s="77"/>
      <c r="CB731" s="77"/>
      <c r="CC731" s="77"/>
      <c r="CD731" s="77"/>
      <c r="CE731" s="77"/>
      <c r="CF731" s="77"/>
      <c r="CG731" s="77"/>
      <c r="CH731" s="77"/>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7"/>
      <c r="DV731" s="77"/>
      <c r="DW731" s="77"/>
      <c r="DX731" s="77"/>
      <c r="DY731" s="77"/>
      <c r="DZ731" s="77"/>
      <c r="EA731" s="77"/>
      <c r="EB731" s="77"/>
      <c r="EC731" s="77"/>
      <c r="ED731" s="77"/>
      <c r="EE731" s="77"/>
      <c r="EF731" s="77"/>
      <c r="EG731" s="77"/>
      <c r="EH731" s="77"/>
      <c r="EI731" s="77"/>
      <c r="EJ731" s="77"/>
      <c r="EK731" s="77"/>
      <c r="EL731" s="77"/>
      <c r="EM731" s="77"/>
      <c r="EN731" s="77"/>
      <c r="EO731" s="77"/>
      <c r="EP731" s="77"/>
      <c r="EQ731" s="77"/>
      <c r="ER731" s="77"/>
      <c r="ES731" s="77"/>
      <c r="ET731" s="77"/>
      <c r="EU731" s="77"/>
      <c r="EV731" s="77"/>
      <c r="EW731" s="77"/>
      <c r="EX731" s="77"/>
      <c r="EY731" s="77"/>
      <c r="EZ731" s="77"/>
      <c r="FA731" s="77"/>
      <c r="FB731" s="77"/>
      <c r="FC731" s="77"/>
      <c r="FD731" s="77"/>
      <c r="FE731" s="77"/>
      <c r="FF731" s="77"/>
      <c r="FG731" s="77"/>
      <c r="FH731" s="77"/>
      <c r="FI731" s="77"/>
      <c r="FJ731" s="77"/>
      <c r="FK731" s="77"/>
      <c r="FL731" s="77"/>
      <c r="FM731" s="77"/>
      <c r="FN731" s="77"/>
      <c r="FO731" s="77"/>
      <c r="FP731" s="77"/>
      <c r="FQ731" s="77"/>
      <c r="FR731" s="77"/>
      <c r="FS731" s="77"/>
      <c r="FT731" s="77"/>
      <c r="FU731" s="77"/>
      <c r="FV731" s="77"/>
      <c r="FW731" s="77"/>
      <c r="FX731" s="77"/>
      <c r="FY731" s="77"/>
      <c r="FZ731" s="77"/>
      <c r="GA731" s="77"/>
      <c r="GB731" s="77"/>
      <c r="GC731" s="77"/>
      <c r="GD731" s="77"/>
      <c r="GE731" s="77"/>
      <c r="GF731" s="77"/>
      <c r="GG731" s="77"/>
      <c r="GH731" s="77"/>
      <c r="GI731" s="77"/>
      <c r="GJ731" s="77"/>
      <c r="GK731" s="77"/>
      <c r="GL731" s="77"/>
      <c r="GM731" s="77"/>
      <c r="GN731" s="77"/>
      <c r="GO731" s="77"/>
      <c r="GP731" s="77"/>
      <c r="GQ731" s="77"/>
      <c r="GR731" s="77"/>
      <c r="GS731" s="77"/>
      <c r="GT731" s="77"/>
      <c r="GU731" s="77"/>
      <c r="GV731" s="77"/>
      <c r="GW731" s="77"/>
      <c r="GX731" s="77"/>
      <c r="GY731" s="77"/>
      <c r="GZ731" s="77"/>
      <c r="HA731" s="77"/>
      <c r="HB731" s="77"/>
      <c r="HC731" s="77"/>
      <c r="HD731" s="77"/>
      <c r="HE731" s="77"/>
      <c r="HF731" s="77"/>
      <c r="HG731" s="77"/>
      <c r="HH731" s="77"/>
      <c r="HI731" s="77"/>
      <c r="HJ731" s="77"/>
      <c r="HK731" s="77"/>
      <c r="HL731" s="77"/>
      <c r="HM731" s="77"/>
      <c r="HN731" s="77"/>
      <c r="HO731" s="77"/>
      <c r="HP731" s="77"/>
      <c r="HQ731" s="77"/>
      <c r="HR731" s="77"/>
      <c r="HS731" s="77"/>
      <c r="HT731" s="77"/>
      <c r="HU731" s="77"/>
      <c r="HV731" s="77"/>
      <c r="HW731" s="77"/>
      <c r="HX731" s="77"/>
      <c r="HY731" s="77"/>
      <c r="HZ731" s="77"/>
      <c r="IA731" s="77"/>
      <c r="IB731" s="77"/>
      <c r="IC731" s="77"/>
      <c r="ID731" s="77"/>
      <c r="IE731" s="77"/>
      <c r="IF731" s="77"/>
      <c r="IG731" s="77"/>
      <c r="IH731" s="77"/>
      <c r="II731" s="77"/>
      <c r="IJ731" s="77"/>
      <c r="IK731" s="77"/>
      <c r="IL731" s="77"/>
      <c r="IM731" s="77"/>
      <c r="IN731" s="77"/>
      <c r="IO731" s="77"/>
      <c r="IP731" s="77"/>
      <c r="IQ731" s="77"/>
      <c r="IR731" s="77"/>
      <c r="IS731" s="77"/>
      <c r="IT731" s="77"/>
      <c r="IU731" s="77"/>
      <c r="IV731" s="77"/>
      <c r="IW731" s="77"/>
      <c r="IX731" s="77"/>
      <c r="IY731" s="77"/>
      <c r="IZ731" s="77"/>
      <c r="JA731" s="77"/>
      <c r="JB731" s="77"/>
      <c r="JC731" s="77"/>
      <c r="JD731" s="77"/>
      <c r="JE731" s="77"/>
      <c r="JF731" s="77"/>
      <c r="JG731" s="77"/>
      <c r="JH731" s="77"/>
      <c r="JI731" s="77"/>
      <c r="JJ731" s="77"/>
      <c r="JK731" s="77"/>
      <c r="JL731" s="77"/>
      <c r="JM731" s="77"/>
      <c r="JN731" s="77"/>
      <c r="JO731" s="77"/>
      <c r="JP731" s="77"/>
      <c r="JQ731" s="77"/>
      <c r="JR731" s="77"/>
      <c r="JS731" s="77"/>
      <c r="JT731" s="77"/>
      <c r="JU731" s="77"/>
      <c r="JV731" s="77"/>
      <c r="JW731" s="77"/>
      <c r="JX731" s="77"/>
      <c r="JY731" s="16"/>
      <c r="JZ731" s="16"/>
      <c r="KA731" s="16"/>
      <c r="KB731" s="16"/>
      <c r="KC731" s="16"/>
      <c r="KD731" s="16"/>
      <c r="KE731" s="16"/>
      <c r="KF731" s="16"/>
      <c r="KG731" s="16"/>
      <c r="KH731" s="16"/>
      <c r="KI731" s="16"/>
      <c r="KJ731" s="16"/>
      <c r="KK731" s="16"/>
      <c r="KL731" s="16"/>
      <c r="LL731" s="16"/>
      <c r="LM731" s="16"/>
      <c r="LN731" s="16"/>
      <c r="LO731" s="16"/>
      <c r="LP731" s="16"/>
      <c r="LQ731" s="16"/>
      <c r="LR731" s="16"/>
      <c r="LS731" s="16"/>
      <c r="LT731" s="16"/>
      <c r="LU731" s="16"/>
      <c r="LV731" s="16"/>
      <c r="LY731" s="77"/>
      <c r="LZ731" s="77"/>
      <c r="MA731" s="77"/>
      <c r="MB731" s="77"/>
      <c r="MC731" s="77"/>
      <c r="MD731" s="77"/>
      <c r="ME731" s="77"/>
      <c r="MF731" s="77"/>
      <c r="MG731" s="77"/>
      <c r="MH731" s="77"/>
      <c r="MI731" s="77"/>
      <c r="MJ731" s="77"/>
      <c r="MK731" s="77"/>
      <c r="ML731" s="77"/>
      <c r="MM731" s="77"/>
      <c r="MN731" s="77"/>
      <c r="MO731" s="77"/>
      <c r="MP731" s="77"/>
      <c r="MQ731" s="77"/>
      <c r="MR731" s="77"/>
    </row>
    <row r="732" spans="1:421" s="21" customFormat="1" ht="18.600000000000001" customHeight="1" x14ac:dyDescent="0.25">
      <c r="A732" s="119" t="s">
        <v>630</v>
      </c>
      <c r="B732" s="27" t="s">
        <v>4224</v>
      </c>
      <c r="C732" s="27"/>
      <c r="D732" s="34" t="s">
        <v>2555</v>
      </c>
      <c r="E732" s="34" t="s">
        <v>2554</v>
      </c>
      <c r="F732" s="38" t="s">
        <v>558</v>
      </c>
      <c r="G732" s="38" t="s">
        <v>629</v>
      </c>
      <c r="H732" s="38" t="s">
        <v>781</v>
      </c>
      <c r="I732" s="38" t="s">
        <v>782</v>
      </c>
      <c r="J732" s="27" t="s">
        <v>789</v>
      </c>
      <c r="K732" s="15" t="s">
        <v>777</v>
      </c>
      <c r="L732" s="10" t="s">
        <v>771</v>
      </c>
      <c r="M732" s="10" t="s">
        <v>770</v>
      </c>
      <c r="N732" s="34" t="s">
        <v>2556</v>
      </c>
      <c r="O732" s="27" t="s">
        <v>6001</v>
      </c>
      <c r="P732" s="80">
        <v>1</v>
      </c>
      <c r="Q732" s="80">
        <v>0</v>
      </c>
      <c r="R732" s="27" t="s">
        <v>2995</v>
      </c>
      <c r="S732" s="19" t="s">
        <v>2557</v>
      </c>
      <c r="T732" s="10" t="s">
        <v>771</v>
      </c>
      <c r="U732" s="10" t="s">
        <v>771</v>
      </c>
      <c r="V732" s="10" t="s">
        <v>771</v>
      </c>
      <c r="W732" s="38"/>
      <c r="X732" s="27" t="s">
        <v>630</v>
      </c>
      <c r="Y732" s="27" t="s">
        <v>4224</v>
      </c>
      <c r="Z732" s="80">
        <v>11</v>
      </c>
      <c r="AA732" s="27">
        <v>0</v>
      </c>
      <c r="AB732" s="80">
        <v>16</v>
      </c>
      <c r="AC732" s="27">
        <v>0</v>
      </c>
      <c r="AD732" s="27" t="s">
        <v>4225</v>
      </c>
      <c r="AE732" s="27">
        <v>2469756924</v>
      </c>
      <c r="AF732" s="27"/>
      <c r="AG732" s="27"/>
      <c r="AH732" s="79">
        <v>1.5006821282401101E-2</v>
      </c>
      <c r="AI732" s="83">
        <v>1.6516516516516502E-2</v>
      </c>
      <c r="AJ732" s="80">
        <v>0.18181818181818199</v>
      </c>
      <c r="AK732" s="80">
        <v>0</v>
      </c>
      <c r="AL732" s="13">
        <v>0</v>
      </c>
      <c r="AM732" s="97">
        <f>SUM(AL732/Z732)</f>
        <v>0</v>
      </c>
      <c r="AN732" s="27" t="s">
        <v>630</v>
      </c>
      <c r="AO732" s="27">
        <v>0</v>
      </c>
      <c r="AP732" s="27">
        <v>0</v>
      </c>
      <c r="AQ732" s="27">
        <v>0</v>
      </c>
      <c r="AR732" s="27">
        <f>SUM(AO732:AQ732)</f>
        <v>0</v>
      </c>
      <c r="AS732" s="27"/>
      <c r="AT732" s="27"/>
      <c r="AU732" s="84"/>
      <c r="AV732" s="77"/>
      <c r="AW732" s="77"/>
      <c r="AX732" s="77"/>
      <c r="AY732" s="77"/>
      <c r="AZ732" s="77"/>
      <c r="BA732" s="77"/>
      <c r="BB732" s="77"/>
      <c r="BC732" s="77"/>
      <c r="BD732" s="77"/>
      <c r="BE732" s="77"/>
      <c r="BF732" s="77"/>
      <c r="BG732" s="77"/>
      <c r="BH732" s="77"/>
      <c r="BI732" s="77"/>
      <c r="BJ732" s="77"/>
      <c r="BK732" s="77"/>
      <c r="BL732" s="77"/>
      <c r="BM732" s="77"/>
      <c r="BN732" s="77"/>
      <c r="BO732" s="77"/>
      <c r="BP732" s="77"/>
      <c r="BQ732" s="77"/>
      <c r="BR732" s="77"/>
      <c r="BS732" s="77"/>
      <c r="BT732" s="77"/>
      <c r="BU732" s="77"/>
      <c r="BV732" s="77"/>
      <c r="BW732" s="77"/>
      <c r="BX732" s="77"/>
      <c r="BY732" s="77"/>
      <c r="BZ732" s="77"/>
      <c r="CA732" s="77"/>
      <c r="CB732" s="77"/>
      <c r="CC732" s="77"/>
      <c r="CD732" s="77"/>
      <c r="CE732" s="77"/>
      <c r="CF732" s="77"/>
      <c r="CG732" s="77"/>
      <c r="CH732" s="77"/>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7"/>
      <c r="DV732" s="77"/>
      <c r="DW732" s="77"/>
      <c r="DX732" s="77"/>
      <c r="DY732" s="77"/>
      <c r="DZ732" s="77"/>
      <c r="EA732" s="77"/>
      <c r="EB732" s="77"/>
      <c r="EC732" s="77"/>
      <c r="ED732" s="77"/>
      <c r="EE732" s="77"/>
      <c r="EF732" s="77"/>
      <c r="EG732" s="77"/>
      <c r="EH732" s="77"/>
      <c r="EI732" s="77"/>
      <c r="EJ732" s="77"/>
      <c r="EK732" s="77"/>
      <c r="EL732" s="77"/>
      <c r="EM732" s="77"/>
      <c r="EN732" s="77"/>
      <c r="EO732" s="77"/>
      <c r="EP732" s="77"/>
      <c r="EQ732" s="77"/>
      <c r="ER732" s="77"/>
      <c r="ES732" s="77"/>
      <c r="ET732" s="77"/>
      <c r="EU732" s="77"/>
      <c r="EV732" s="77"/>
      <c r="EW732" s="77"/>
      <c r="EX732" s="77"/>
      <c r="EY732" s="77"/>
      <c r="EZ732" s="77"/>
      <c r="FA732" s="77"/>
      <c r="FB732" s="77"/>
      <c r="FC732" s="77"/>
      <c r="FD732" s="77"/>
      <c r="FE732" s="77"/>
      <c r="FF732" s="77"/>
      <c r="FG732" s="77"/>
      <c r="FH732" s="77"/>
      <c r="FI732" s="77"/>
      <c r="FJ732" s="77"/>
      <c r="FK732" s="77"/>
      <c r="FL732" s="77"/>
      <c r="FM732" s="77"/>
      <c r="FN732" s="77"/>
      <c r="FO732" s="77"/>
      <c r="FP732" s="77"/>
      <c r="FQ732" s="77"/>
      <c r="FR732" s="77"/>
      <c r="FS732" s="77"/>
      <c r="FT732" s="77"/>
      <c r="FU732" s="77"/>
      <c r="FV732" s="77"/>
      <c r="FW732" s="77"/>
      <c r="FX732" s="77"/>
      <c r="FY732" s="77"/>
      <c r="FZ732" s="77"/>
      <c r="GA732" s="77"/>
      <c r="GB732" s="77"/>
      <c r="GC732" s="77"/>
      <c r="GD732" s="77"/>
      <c r="GE732" s="77"/>
      <c r="GF732" s="77"/>
      <c r="GG732" s="77"/>
      <c r="GH732" s="77"/>
      <c r="GI732" s="77"/>
      <c r="GJ732" s="77"/>
      <c r="GK732" s="77"/>
      <c r="GL732" s="77"/>
      <c r="GM732" s="77"/>
      <c r="GN732" s="77"/>
      <c r="GO732" s="77"/>
      <c r="GP732" s="77"/>
      <c r="GQ732" s="77"/>
      <c r="GR732" s="77"/>
      <c r="GS732" s="77"/>
      <c r="GT732" s="77"/>
      <c r="GU732" s="77"/>
      <c r="GV732" s="77"/>
      <c r="GW732" s="77"/>
      <c r="GX732" s="77"/>
      <c r="GY732" s="77"/>
      <c r="GZ732" s="77"/>
      <c r="HA732" s="77"/>
      <c r="HB732" s="77"/>
      <c r="HC732" s="77"/>
      <c r="HD732" s="77"/>
      <c r="HE732" s="77"/>
      <c r="HF732" s="77"/>
      <c r="HG732" s="77"/>
      <c r="HH732" s="77"/>
      <c r="HI732" s="77"/>
      <c r="HJ732" s="77"/>
      <c r="HK732" s="77"/>
      <c r="HL732" s="77"/>
      <c r="HM732" s="77"/>
      <c r="HN732" s="77"/>
      <c r="HO732" s="77"/>
      <c r="HP732" s="77"/>
      <c r="HQ732" s="77"/>
      <c r="HR732" s="77"/>
      <c r="HS732" s="77"/>
      <c r="HT732" s="77"/>
      <c r="HU732" s="77"/>
      <c r="HV732" s="77"/>
      <c r="HW732" s="77"/>
      <c r="HX732" s="77"/>
      <c r="HY732" s="77"/>
      <c r="HZ732" s="77"/>
      <c r="IA732" s="77"/>
      <c r="IB732" s="77"/>
      <c r="IC732" s="77"/>
      <c r="ID732" s="77"/>
      <c r="IE732" s="77"/>
      <c r="JY732" s="77"/>
      <c r="JZ732" s="77"/>
      <c r="KA732" s="77"/>
      <c r="KB732" s="77"/>
      <c r="KC732" s="77"/>
      <c r="KD732" s="77"/>
      <c r="KE732" s="77"/>
      <c r="KF732" s="77"/>
      <c r="KG732" s="77"/>
      <c r="KH732" s="77"/>
      <c r="KI732" s="77"/>
      <c r="KJ732" s="77"/>
      <c r="KK732" s="77"/>
      <c r="KL732" s="77"/>
      <c r="LW732" s="77"/>
      <c r="LX732" s="77"/>
    </row>
    <row r="733" spans="1:421" s="21" customFormat="1" ht="18.600000000000001" customHeight="1" x14ac:dyDescent="0.25">
      <c r="A733" s="119" t="s">
        <v>3035</v>
      </c>
      <c r="B733" s="27" t="s">
        <v>3808</v>
      </c>
      <c r="C733" s="27" t="s">
        <v>3809</v>
      </c>
      <c r="D733" s="31" t="s">
        <v>3034</v>
      </c>
      <c r="E733" s="30" t="str">
        <f>HYPERLINK("http://twiplomacy.com/info/oceania/MarshallIslands","http://twiplomacy.com/info/oceania/MarshallIslands")</f>
        <v>http://twiplomacy.com/info/oceania/MarshallIslands</v>
      </c>
      <c r="F733" s="10" t="s">
        <v>643</v>
      </c>
      <c r="G733" s="20" t="s">
        <v>653</v>
      </c>
      <c r="H733" s="10" t="s">
        <v>772</v>
      </c>
      <c r="I733" s="10" t="s">
        <v>773</v>
      </c>
      <c r="J733" s="27" t="s">
        <v>779</v>
      </c>
      <c r="K733" s="98" t="s">
        <v>777</v>
      </c>
      <c r="L733" s="15" t="s">
        <v>771</v>
      </c>
      <c r="M733" s="10" t="s">
        <v>770</v>
      </c>
      <c r="N733" s="100" t="s">
        <v>3036</v>
      </c>
      <c r="O733" s="27" t="s">
        <v>3185</v>
      </c>
      <c r="P733" s="80">
        <v>66</v>
      </c>
      <c r="Q733" s="80">
        <v>73</v>
      </c>
      <c r="R733" s="27" t="s">
        <v>2995</v>
      </c>
      <c r="S733" s="10" t="s">
        <v>3064</v>
      </c>
      <c r="T733" s="10" t="s">
        <v>771</v>
      </c>
      <c r="U733" s="10" t="s">
        <v>771</v>
      </c>
      <c r="V733" s="10" t="s">
        <v>771</v>
      </c>
      <c r="W733" s="10"/>
      <c r="X733" s="27" t="s">
        <v>3035</v>
      </c>
      <c r="Y733" s="27" t="s">
        <v>3808</v>
      </c>
      <c r="Z733" s="80">
        <v>11</v>
      </c>
      <c r="AA733" s="27">
        <v>985</v>
      </c>
      <c r="AB733" s="80">
        <v>404</v>
      </c>
      <c r="AC733" s="27">
        <v>28</v>
      </c>
      <c r="AD733" s="27" t="s">
        <v>3810</v>
      </c>
      <c r="AE733" s="27">
        <v>4866634259</v>
      </c>
      <c r="AF733" s="27" t="s">
        <v>3809</v>
      </c>
      <c r="AG733" s="27" t="s">
        <v>3811</v>
      </c>
      <c r="AH733" s="79">
        <v>0.119565217391304</v>
      </c>
      <c r="AI733" s="83">
        <v>0.22448979591836701</v>
      </c>
      <c r="AJ733" s="80">
        <v>15.8</v>
      </c>
      <c r="AK733" s="80">
        <v>22.8</v>
      </c>
      <c r="AL733" s="27">
        <v>2</v>
      </c>
      <c r="AM733" s="97">
        <f>SUM(AL733/Z733)</f>
        <v>0.18181818181818182</v>
      </c>
      <c r="AN733" s="27" t="s">
        <v>3035</v>
      </c>
      <c r="AO733" s="27">
        <v>37</v>
      </c>
      <c r="AP733" s="27">
        <v>0</v>
      </c>
      <c r="AQ733" s="27">
        <v>0</v>
      </c>
      <c r="AR733" s="27">
        <f>SUM(AO733:AQ733)</f>
        <v>37</v>
      </c>
      <c r="AS733" s="27" t="s">
        <v>6568</v>
      </c>
      <c r="AT733" s="27"/>
      <c r="AU733" s="84"/>
      <c r="BN733" s="77"/>
      <c r="BO733" s="77"/>
      <c r="BP733" s="77"/>
      <c r="BQ733" s="77"/>
      <c r="BR733" s="77"/>
      <c r="BS733" s="77"/>
      <c r="BT733" s="77"/>
      <c r="BU733" s="77"/>
      <c r="BV733" s="77"/>
      <c r="BW733" s="77"/>
      <c r="BX733" s="77"/>
      <c r="BY733" s="77"/>
      <c r="BZ733" s="77"/>
      <c r="CA733" s="77"/>
      <c r="CB733" s="77"/>
      <c r="CC733" s="77"/>
      <c r="CD733" s="77"/>
      <c r="CE733" s="77"/>
      <c r="CF733" s="77"/>
      <c r="CG733" s="77"/>
      <c r="CH733" s="77"/>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7"/>
      <c r="DV733" s="77"/>
      <c r="DW733" s="77"/>
      <c r="DX733" s="77"/>
      <c r="DY733" s="77"/>
      <c r="DZ733" s="77"/>
      <c r="EA733" s="77"/>
      <c r="EB733" s="77"/>
      <c r="EC733" s="77"/>
      <c r="ED733" s="77"/>
      <c r="EE733" s="77"/>
      <c r="EF733" s="77"/>
      <c r="EG733" s="77"/>
      <c r="EH733" s="77"/>
      <c r="EI733" s="77"/>
      <c r="EJ733" s="77"/>
      <c r="EK733" s="77"/>
      <c r="EL733" s="77"/>
      <c r="EM733" s="77"/>
      <c r="EN733" s="77"/>
      <c r="EO733" s="77"/>
      <c r="EP733" s="77"/>
      <c r="GL733" s="77"/>
      <c r="GM733" s="77"/>
      <c r="GN733" s="77"/>
      <c r="GO733" s="77"/>
      <c r="GP733" s="77"/>
      <c r="GQ733" s="77"/>
      <c r="GR733" s="77"/>
      <c r="GS733" s="77"/>
      <c r="GT733" s="77"/>
      <c r="GU733" s="77"/>
      <c r="GV733" s="77"/>
      <c r="GW733" s="77"/>
      <c r="GX733" s="77"/>
      <c r="GY733" s="77"/>
      <c r="GZ733" s="77"/>
      <c r="HA733" s="77"/>
      <c r="HB733" s="77"/>
      <c r="HC733" s="77"/>
      <c r="HD733" s="77"/>
      <c r="HE733" s="77"/>
      <c r="HF733" s="77"/>
      <c r="HG733" s="77"/>
      <c r="HH733" s="77"/>
      <c r="HI733" s="77"/>
      <c r="HJ733" s="77"/>
      <c r="HK733" s="77"/>
      <c r="HL733" s="77"/>
      <c r="HM733" s="77"/>
      <c r="HN733" s="77"/>
      <c r="HO733" s="77"/>
      <c r="HP733" s="77"/>
      <c r="HQ733" s="77"/>
      <c r="HR733" s="77"/>
      <c r="HS733" s="77"/>
      <c r="HT733" s="77"/>
      <c r="HU733" s="77"/>
      <c r="HV733" s="77"/>
      <c r="HW733" s="77"/>
      <c r="HX733" s="77"/>
      <c r="HY733" s="77"/>
      <c r="HZ733" s="77"/>
      <c r="IA733" s="77"/>
      <c r="IB733" s="77"/>
      <c r="IC733" s="77"/>
      <c r="ID733" s="77"/>
      <c r="IE733" s="77"/>
      <c r="IF733" s="77"/>
      <c r="IG733" s="77"/>
      <c r="IH733" s="77"/>
      <c r="II733" s="77"/>
      <c r="IJ733" s="77"/>
      <c r="IK733" s="77"/>
      <c r="IL733" s="77"/>
      <c r="IM733" s="77"/>
      <c r="IN733" s="77"/>
      <c r="IO733" s="77"/>
      <c r="IP733" s="77"/>
      <c r="IQ733" s="77"/>
      <c r="IR733" s="77"/>
      <c r="IS733" s="77"/>
      <c r="IT733" s="77"/>
      <c r="IU733" s="77"/>
      <c r="IV733" s="77"/>
      <c r="IW733" s="77"/>
      <c r="IX733" s="77"/>
      <c r="IY733" s="77"/>
      <c r="IZ733" s="77"/>
      <c r="JA733" s="77"/>
      <c r="JB733" s="77"/>
      <c r="JC733" s="77"/>
      <c r="JD733" s="77"/>
      <c r="JE733" s="77"/>
      <c r="JF733" s="77"/>
      <c r="JG733" s="77"/>
      <c r="JH733" s="77"/>
      <c r="JI733" s="77"/>
      <c r="JJ733" s="77"/>
      <c r="JK733" s="77"/>
      <c r="JL733" s="77"/>
      <c r="JM733" s="77"/>
      <c r="JN733" s="77"/>
      <c r="JO733" s="77"/>
      <c r="JP733" s="77"/>
      <c r="JQ733" s="77"/>
      <c r="JR733" s="77"/>
      <c r="JS733" s="77"/>
      <c r="JT733" s="77"/>
      <c r="JU733" s="77"/>
      <c r="JV733" s="77"/>
      <c r="JW733" s="77"/>
      <c r="JX733" s="77"/>
      <c r="KM733" s="77"/>
      <c r="KN733" s="77"/>
      <c r="KO733" s="77"/>
      <c r="KP733" s="77"/>
      <c r="KQ733" s="77"/>
      <c r="KR733" s="77"/>
      <c r="KS733" s="77"/>
      <c r="KT733" s="77"/>
      <c r="KU733" s="77"/>
      <c r="KV733" s="77"/>
      <c r="KW733" s="77"/>
      <c r="KX733" s="77"/>
      <c r="KY733" s="77"/>
      <c r="KZ733" s="77"/>
      <c r="LA733" s="77"/>
      <c r="LB733" s="77"/>
      <c r="LC733" s="77"/>
      <c r="LD733" s="77"/>
      <c r="LE733" s="77"/>
      <c r="LF733" s="77"/>
      <c r="LG733" s="77"/>
      <c r="LH733" s="77"/>
      <c r="LI733" s="77"/>
      <c r="LJ733" s="77"/>
      <c r="LK733" s="77"/>
      <c r="LL733" s="77"/>
      <c r="LM733" s="77"/>
      <c r="LN733" s="77"/>
      <c r="LO733" s="77"/>
      <c r="LP733" s="77"/>
      <c r="LQ733" s="77"/>
      <c r="LR733" s="77"/>
      <c r="LS733" s="77"/>
      <c r="LT733" s="77"/>
      <c r="LU733" s="77"/>
      <c r="LV733" s="77"/>
      <c r="LY733" s="77"/>
      <c r="LZ733" s="77"/>
      <c r="MA733" s="77"/>
      <c r="MB733" s="77"/>
      <c r="MC733" s="77"/>
      <c r="MD733" s="77"/>
      <c r="ME733" s="77"/>
      <c r="MF733" s="77"/>
      <c r="MG733" s="77"/>
      <c r="MH733" s="77"/>
      <c r="MI733" s="77"/>
      <c r="MJ733" s="77"/>
      <c r="MK733" s="77"/>
      <c r="ML733" s="77"/>
      <c r="MM733" s="77"/>
      <c r="MN733" s="77"/>
      <c r="MO733" s="77"/>
      <c r="MP733" s="77"/>
      <c r="MQ733" s="77"/>
      <c r="MR733" s="77"/>
    </row>
    <row r="734" spans="1:421" s="21" customFormat="1" ht="18.600000000000001" customHeight="1" x14ac:dyDescent="0.25">
      <c r="A734" s="119" t="s">
        <v>3054</v>
      </c>
      <c r="B734" s="27" t="s">
        <v>4011</v>
      </c>
      <c r="C734" s="27" t="s">
        <v>4012</v>
      </c>
      <c r="D734" s="12" t="s">
        <v>3053</v>
      </c>
      <c r="E734" s="30" t="str">
        <f>HYPERLINK("http://twiplomacy.com/info/africa/Tanzania","http://twiplomacy.com/info/africa/Tanzania")</f>
        <v>http://twiplomacy.com/info/africa/Tanzania</v>
      </c>
      <c r="F734" s="10" t="s">
        <v>1</v>
      </c>
      <c r="G734" s="10" t="s">
        <v>127</v>
      </c>
      <c r="H734" s="10" t="s">
        <v>776</v>
      </c>
      <c r="I734" s="10" t="s">
        <v>773</v>
      </c>
      <c r="J734" s="27" t="s">
        <v>789</v>
      </c>
      <c r="K734" s="15" t="s">
        <v>777</v>
      </c>
      <c r="L734" s="10"/>
      <c r="M734" s="10" t="s">
        <v>770</v>
      </c>
      <c r="N734" s="30" t="s">
        <v>3140</v>
      </c>
      <c r="O734" s="27" t="s">
        <v>3207</v>
      </c>
      <c r="P734" s="80">
        <v>101</v>
      </c>
      <c r="Q734" s="80">
        <v>152</v>
      </c>
      <c r="R734" s="27" t="s">
        <v>2995</v>
      </c>
      <c r="S734" s="10" t="s">
        <v>3061</v>
      </c>
      <c r="T734" s="10" t="s">
        <v>771</v>
      </c>
      <c r="U734" s="10" t="s">
        <v>771</v>
      </c>
      <c r="V734" s="10" t="s">
        <v>771</v>
      </c>
      <c r="W734" s="10"/>
      <c r="X734" s="27" t="s">
        <v>3054</v>
      </c>
      <c r="Y734" s="27" t="s">
        <v>4011</v>
      </c>
      <c r="Z734" s="80">
        <v>10</v>
      </c>
      <c r="AA734" s="27">
        <v>5</v>
      </c>
      <c r="AB734" s="80">
        <v>3871</v>
      </c>
      <c r="AC734" s="27">
        <v>3</v>
      </c>
      <c r="AD734" s="27" t="s">
        <v>4013</v>
      </c>
      <c r="AE734" s="27">
        <v>4582061975</v>
      </c>
      <c r="AF734" s="27" t="s">
        <v>4012</v>
      </c>
      <c r="AG734" s="27" t="s">
        <v>127</v>
      </c>
      <c r="AH734" s="79">
        <v>7.69230769230769E-2</v>
      </c>
      <c r="AI734" s="83">
        <v>0.135135135135135</v>
      </c>
      <c r="AJ734" s="80">
        <v>45.2</v>
      </c>
      <c r="AK734" s="80">
        <v>81.5</v>
      </c>
      <c r="AL734" s="13">
        <v>0</v>
      </c>
      <c r="AM734" s="97">
        <f>SUM(AL734/Z734)</f>
        <v>0</v>
      </c>
      <c r="AN734" s="27" t="s">
        <v>3054</v>
      </c>
      <c r="AO734" s="27">
        <v>1</v>
      </c>
      <c r="AP734" s="27">
        <v>1</v>
      </c>
      <c r="AQ734" s="27">
        <v>0</v>
      </c>
      <c r="AR734" s="27">
        <f>SUM(AO734:AQ734)</f>
        <v>2</v>
      </c>
      <c r="AS734" s="27" t="s">
        <v>3050</v>
      </c>
      <c r="AT734" s="27" t="s">
        <v>705</v>
      </c>
      <c r="AU734" s="84"/>
      <c r="AV734" s="77"/>
      <c r="AW734" s="77"/>
      <c r="AX734" s="77"/>
      <c r="AY734" s="77"/>
      <c r="AZ734" s="77"/>
      <c r="BA734" s="77"/>
      <c r="BB734" s="77"/>
      <c r="BC734" s="77"/>
      <c r="BD734" s="77"/>
      <c r="BE734" s="77"/>
      <c r="BF734" s="77"/>
      <c r="BG734" s="77"/>
      <c r="BH734" s="77"/>
      <c r="BI734" s="77"/>
      <c r="BJ734" s="77"/>
      <c r="BK734" s="77"/>
      <c r="BL734" s="77"/>
      <c r="BM734" s="77"/>
      <c r="BN734" s="77"/>
      <c r="BO734" s="77"/>
      <c r="BP734" s="77"/>
      <c r="BQ734" s="77"/>
      <c r="BR734" s="77"/>
      <c r="BS734" s="77"/>
      <c r="BT734" s="77"/>
      <c r="BU734" s="77"/>
      <c r="BV734" s="77"/>
      <c r="BW734" s="77"/>
      <c r="BX734" s="77"/>
      <c r="BY734" s="77"/>
      <c r="BZ734" s="77"/>
      <c r="CA734" s="77"/>
      <c r="CB734" s="77"/>
      <c r="CC734" s="77"/>
      <c r="CD734" s="77"/>
      <c r="CE734" s="77"/>
      <c r="CF734" s="77"/>
      <c r="CG734" s="77"/>
      <c r="CH734" s="77"/>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7"/>
      <c r="DV734" s="77"/>
      <c r="DW734" s="77"/>
      <c r="DX734" s="77"/>
      <c r="DY734" s="77"/>
      <c r="DZ734" s="77"/>
      <c r="EA734" s="77"/>
      <c r="EB734" s="77"/>
      <c r="EC734" s="77"/>
      <c r="ED734" s="77"/>
      <c r="EE734" s="77"/>
      <c r="EF734" s="77"/>
      <c r="EG734" s="77"/>
      <c r="EH734" s="77"/>
      <c r="EI734" s="77"/>
      <c r="EJ734" s="77"/>
      <c r="EK734" s="77"/>
      <c r="EL734" s="77"/>
      <c r="EM734" s="77"/>
      <c r="EN734" s="77"/>
      <c r="EO734" s="77"/>
      <c r="EP734" s="77"/>
      <c r="HL734" s="77"/>
      <c r="HM734" s="77"/>
      <c r="HN734" s="77"/>
      <c r="HO734" s="77"/>
      <c r="HP734" s="77"/>
      <c r="HQ734" s="77"/>
      <c r="HR734" s="77"/>
      <c r="HS734" s="77"/>
      <c r="HT734" s="77"/>
      <c r="HU734" s="77"/>
      <c r="HV734" s="77"/>
      <c r="HW734" s="77"/>
      <c r="HX734" s="77"/>
      <c r="HY734" s="77"/>
      <c r="HZ734" s="77"/>
      <c r="IA734" s="77"/>
      <c r="IB734" s="77"/>
      <c r="IC734" s="77"/>
      <c r="KM734" s="77"/>
      <c r="KN734" s="77"/>
      <c r="KO734" s="77"/>
      <c r="KP734" s="77"/>
      <c r="KQ734" s="77"/>
      <c r="KR734" s="77"/>
      <c r="KS734" s="77"/>
      <c r="KT734" s="77"/>
      <c r="KU734" s="77"/>
      <c r="KV734" s="77"/>
      <c r="KW734" s="77"/>
      <c r="KX734" s="77"/>
      <c r="KY734" s="77"/>
      <c r="KZ734" s="77"/>
      <c r="LA734" s="77"/>
      <c r="LB734" s="77"/>
      <c r="LC734" s="77"/>
      <c r="LD734" s="77"/>
      <c r="LE734" s="77"/>
      <c r="LF734" s="77"/>
      <c r="LG734" s="77"/>
      <c r="LH734" s="77"/>
      <c r="LI734" s="77"/>
      <c r="LJ734" s="77"/>
      <c r="LK734" s="77"/>
      <c r="LL734" s="77"/>
      <c r="LM734" s="77"/>
      <c r="LN734" s="77"/>
      <c r="LO734" s="77"/>
      <c r="LP734" s="77"/>
      <c r="LQ734" s="77"/>
      <c r="LR734" s="77"/>
      <c r="LS734" s="77"/>
      <c r="LT734" s="77"/>
      <c r="LU734" s="77"/>
      <c r="LV734" s="77"/>
      <c r="MT734" s="77"/>
      <c r="MU734" s="77"/>
      <c r="MV734" s="77"/>
      <c r="MW734" s="77"/>
      <c r="MX734" s="77"/>
      <c r="MY734" s="77"/>
      <c r="MZ734" s="77"/>
      <c r="NA734" s="77"/>
      <c r="NB734" s="77"/>
      <c r="NC734" s="77"/>
    </row>
    <row r="735" spans="1:421" s="67" customFormat="1" ht="18.600000000000001" customHeight="1" x14ac:dyDescent="0.25">
      <c r="A735" s="119" t="s">
        <v>3824</v>
      </c>
      <c r="B735" s="27" t="s">
        <v>2892</v>
      </c>
      <c r="C735" s="27"/>
      <c r="D735" s="30" t="str">
        <f>HYPERLINK("https://twitter.com/Iembassy","https://twitter.com/Iembassy")</f>
        <v>https://twitter.com/Iembassy</v>
      </c>
      <c r="E735" s="30" t="str">
        <f>HYPERLINK("http://twiplomacy.com/info/asia/Iraq","http://twiplomacy.com/info/asia/Iraq")</f>
        <v>http://twiplomacy.com/info/asia/Iraq</v>
      </c>
      <c r="F735" s="10" t="s">
        <v>154</v>
      </c>
      <c r="G735" s="10" t="s">
        <v>201</v>
      </c>
      <c r="H735" s="10" t="s">
        <v>795</v>
      </c>
      <c r="I735" s="10" t="s">
        <v>782</v>
      </c>
      <c r="J735" s="27" t="s">
        <v>789</v>
      </c>
      <c r="K735" s="98" t="s">
        <v>2893</v>
      </c>
      <c r="L735" s="14" t="s">
        <v>771</v>
      </c>
      <c r="M735" s="14" t="s">
        <v>771</v>
      </c>
      <c r="N735" s="100" t="str">
        <f>HYPERLINK("https://twitter.com/IEmbassy/statuses/312234041715871744","https://twitter.com/IEmbassy/statuses/312234041715871744")</f>
        <v>https://twitter.com/IEmbassy/statuses/312234041715871744</v>
      </c>
      <c r="O735" s="27" t="s">
        <v>5869</v>
      </c>
      <c r="P735" s="80">
        <v>1</v>
      </c>
      <c r="Q735" s="80">
        <v>0</v>
      </c>
      <c r="R735" s="27" t="s">
        <v>2995</v>
      </c>
      <c r="S735" s="10" t="s">
        <v>2894</v>
      </c>
      <c r="T735" s="10" t="s">
        <v>771</v>
      </c>
      <c r="U735" s="10" t="s">
        <v>771</v>
      </c>
      <c r="V735" s="10" t="s">
        <v>771</v>
      </c>
      <c r="W735" s="102"/>
      <c r="X735" s="27" t="s">
        <v>3824</v>
      </c>
      <c r="Y735" s="27" t="s">
        <v>2892</v>
      </c>
      <c r="Z735" s="80">
        <v>10</v>
      </c>
      <c r="AA735" s="27">
        <v>23</v>
      </c>
      <c r="AB735" s="80">
        <v>46</v>
      </c>
      <c r="AC735" s="27">
        <v>0</v>
      </c>
      <c r="AD735" s="27" t="s">
        <v>3825</v>
      </c>
      <c r="AE735" s="27">
        <v>869385529</v>
      </c>
      <c r="AF735" s="27"/>
      <c r="AG735" s="27"/>
      <c r="AH735" s="79">
        <v>7.6863950807071497E-3</v>
      </c>
      <c r="AI735" s="83">
        <v>10</v>
      </c>
      <c r="AJ735" s="80">
        <v>0.4</v>
      </c>
      <c r="AK735" s="80">
        <v>0.1</v>
      </c>
      <c r="AL735" s="13">
        <v>0</v>
      </c>
      <c r="AM735" s="97">
        <f>SUM(AL735/Z735)</f>
        <v>0</v>
      </c>
      <c r="AN735" s="27" t="s">
        <v>3824</v>
      </c>
      <c r="AO735" s="27">
        <v>1</v>
      </c>
      <c r="AP735" s="27">
        <v>1</v>
      </c>
      <c r="AQ735" s="27">
        <v>0</v>
      </c>
      <c r="AR735" s="27">
        <f>SUM(AO735:AQ735)</f>
        <v>2</v>
      </c>
      <c r="AS735" s="27" t="s">
        <v>206</v>
      </c>
      <c r="AT735" s="27" t="s">
        <v>360</v>
      </c>
      <c r="AU735" s="84"/>
      <c r="AV735" s="77"/>
      <c r="AW735" s="77"/>
      <c r="AX735" s="77"/>
      <c r="AY735" s="77"/>
      <c r="AZ735" s="77"/>
      <c r="BA735" s="77"/>
      <c r="BB735" s="77"/>
      <c r="BC735" s="77"/>
      <c r="BD735" s="77"/>
      <c r="BE735" s="77"/>
      <c r="BF735" s="77"/>
      <c r="BG735" s="77"/>
      <c r="BH735" s="77"/>
      <c r="BI735" s="77"/>
      <c r="BJ735" s="77"/>
      <c r="BK735" s="77"/>
      <c r="BL735" s="77"/>
      <c r="BM735" s="77"/>
      <c r="BN735" s="77"/>
      <c r="BO735" s="77"/>
      <c r="BP735" s="77"/>
      <c r="BQ735" s="77"/>
      <c r="BR735" s="77"/>
      <c r="BS735" s="77"/>
      <c r="BT735" s="77"/>
      <c r="BU735" s="77"/>
      <c r="BV735" s="77"/>
      <c r="BW735" s="77"/>
      <c r="BX735" s="77"/>
      <c r="BY735" s="77"/>
      <c r="BZ735" s="77"/>
      <c r="CA735" s="77"/>
      <c r="CB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7"/>
      <c r="DV735" s="77"/>
      <c r="DW735" s="77"/>
      <c r="DX735" s="77"/>
      <c r="DY735" s="77"/>
      <c r="DZ735" s="77"/>
      <c r="EA735" s="77"/>
      <c r="EB735" s="77"/>
      <c r="EC735" s="77"/>
      <c r="ED735" s="77"/>
      <c r="EE735" s="77"/>
      <c r="EF735" s="77"/>
      <c r="EG735" s="77"/>
      <c r="EH735" s="77"/>
      <c r="EI735" s="77"/>
      <c r="EJ735" s="77"/>
      <c r="EK735" s="77"/>
      <c r="EL735" s="77"/>
      <c r="EP735" s="77"/>
      <c r="EQ735" s="77"/>
      <c r="HL735" s="77"/>
      <c r="HM735" s="77"/>
      <c r="HN735" s="77"/>
      <c r="HO735" s="77"/>
      <c r="HP735" s="77"/>
      <c r="HQ735" s="77"/>
      <c r="HR735" s="77"/>
      <c r="HS735" s="77"/>
      <c r="HT735" s="77"/>
      <c r="HU735" s="77"/>
      <c r="HV735" s="77"/>
      <c r="HW735" s="77"/>
      <c r="HX735" s="77"/>
      <c r="HY735" s="77"/>
      <c r="HZ735" s="77"/>
      <c r="IA735" s="77"/>
      <c r="IB735" s="77"/>
      <c r="IC735" s="77"/>
      <c r="ID735" s="77"/>
      <c r="IE735" s="77"/>
      <c r="IF735" s="77"/>
      <c r="IG735" s="77"/>
      <c r="IH735" s="77"/>
      <c r="II735" s="77"/>
      <c r="IJ735" s="77"/>
      <c r="IK735" s="77"/>
      <c r="IL735" s="77"/>
      <c r="IM735" s="77"/>
      <c r="IN735" s="77"/>
      <c r="IO735" s="77"/>
      <c r="IP735" s="77"/>
      <c r="IQ735" s="77"/>
      <c r="IR735" s="77"/>
      <c r="IS735" s="77"/>
      <c r="IT735" s="77"/>
      <c r="IU735" s="77"/>
      <c r="IV735" s="77"/>
      <c r="IW735" s="77"/>
      <c r="IX735" s="77"/>
      <c r="IY735" s="77"/>
      <c r="IZ735" s="77"/>
      <c r="JA735" s="77"/>
      <c r="JB735" s="77"/>
      <c r="JC735" s="77"/>
      <c r="JD735" s="77"/>
      <c r="JE735" s="77"/>
      <c r="JF735" s="77"/>
      <c r="JG735" s="77"/>
      <c r="JH735" s="77"/>
      <c r="JI735" s="77"/>
      <c r="JJ735" s="77"/>
      <c r="JK735" s="77"/>
      <c r="JL735" s="77"/>
      <c r="JM735" s="77"/>
      <c r="JN735" s="77"/>
      <c r="JO735" s="77"/>
      <c r="JP735" s="77"/>
      <c r="JQ735" s="77"/>
      <c r="JR735" s="77"/>
      <c r="JS735" s="77"/>
      <c r="JT735" s="77"/>
      <c r="JU735" s="77"/>
      <c r="JV735" s="77"/>
      <c r="JW735" s="77"/>
      <c r="JX735" s="77"/>
      <c r="LL735" s="77"/>
      <c r="LM735" s="77"/>
      <c r="LN735" s="77"/>
      <c r="LO735" s="77"/>
      <c r="LP735" s="77"/>
      <c r="LQ735" s="77"/>
      <c r="LR735" s="77"/>
      <c r="LS735" s="77"/>
      <c r="LT735" s="77"/>
      <c r="LU735" s="77"/>
      <c r="LV735" s="77"/>
      <c r="LW735" s="77"/>
      <c r="LX735" s="77"/>
      <c r="MS735" s="16"/>
    </row>
    <row r="736" spans="1:421" s="21" customFormat="1" ht="18.600000000000001" customHeight="1" x14ac:dyDescent="0.25">
      <c r="A736" s="119" t="s">
        <v>12</v>
      </c>
      <c r="B736" s="27" t="s">
        <v>797</v>
      </c>
      <c r="C736" s="27" t="s">
        <v>6401</v>
      </c>
      <c r="D736" s="72" t="str">
        <f>HYPERLINK("https://twitter.com/isaacyzida","https://twitter.com/isaacyzida")</f>
        <v>https://twitter.com/isaacyzida</v>
      </c>
      <c r="E736" s="72" t="str">
        <f>HYPERLINK("http://twiplomacy.com/info/africa/Burkina-Faso","http://twiplomacy.com/info/africa/Burkina-Faso")</f>
        <v>http://twiplomacy.com/info/africa/Burkina-Faso</v>
      </c>
      <c r="F736" s="10" t="s">
        <v>1</v>
      </c>
      <c r="G736" s="10" t="s">
        <v>11</v>
      </c>
      <c r="H736" s="10" t="s">
        <v>776</v>
      </c>
      <c r="I736" s="10" t="s">
        <v>773</v>
      </c>
      <c r="J736" s="27" t="s">
        <v>789</v>
      </c>
      <c r="K736" s="15" t="s">
        <v>5586</v>
      </c>
      <c r="L736" s="10" t="s">
        <v>771</v>
      </c>
      <c r="M736" s="10" t="s">
        <v>771</v>
      </c>
      <c r="N736" s="72" t="str">
        <f>HYPERLINK("https://twitter.com/isaacyzida/status/528977435547533312","https://twitter.com/isaacyzida/status/528977435547533312")</f>
        <v>https://twitter.com/isaacyzida/status/528977435547533312</v>
      </c>
      <c r="O736" s="27" t="s">
        <v>5879</v>
      </c>
      <c r="P736" s="80">
        <v>78</v>
      </c>
      <c r="Q736" s="80">
        <v>8</v>
      </c>
      <c r="R736" s="27" t="s">
        <v>2995</v>
      </c>
      <c r="S736" s="30" t="str">
        <f>HYPERLINK("https://twitter.com/isaacyzida/lists","https://twitter.com/isaacyzida/lists")</f>
        <v>https://twitter.com/isaacyzida/lists</v>
      </c>
      <c r="T736" s="10" t="s">
        <v>771</v>
      </c>
      <c r="U736" s="10" t="s">
        <v>771</v>
      </c>
      <c r="V736" s="10" t="s">
        <v>771</v>
      </c>
      <c r="W736" s="10"/>
      <c r="X736" s="27" t="s">
        <v>12</v>
      </c>
      <c r="Y736" s="27" t="s">
        <v>797</v>
      </c>
      <c r="Z736" s="80">
        <v>9</v>
      </c>
      <c r="AA736" s="27">
        <v>21</v>
      </c>
      <c r="AB736" s="80">
        <v>1661</v>
      </c>
      <c r="AC736" s="27">
        <v>0</v>
      </c>
      <c r="AD736" s="27" t="s">
        <v>3844</v>
      </c>
      <c r="AE736" s="27">
        <v>2886644144</v>
      </c>
      <c r="AF736" s="27" t="s">
        <v>6401</v>
      </c>
      <c r="AG736" s="27" t="s">
        <v>798</v>
      </c>
      <c r="AH736" s="79">
        <v>1.6453382084095101E-2</v>
      </c>
      <c r="AI736" s="83">
        <v>2.76923076923077E-2</v>
      </c>
      <c r="AJ736" s="80">
        <v>34.625</v>
      </c>
      <c r="AK736" s="80">
        <v>7.875</v>
      </c>
      <c r="AL736" s="27">
        <v>1</v>
      </c>
      <c r="AM736" s="97">
        <f>SUM(AL736/Z736)</f>
        <v>0.1111111111111111</v>
      </c>
      <c r="AN736" s="27" t="s">
        <v>12</v>
      </c>
      <c r="AO736" s="27">
        <v>0</v>
      </c>
      <c r="AP736" s="27">
        <v>1</v>
      </c>
      <c r="AQ736" s="27">
        <v>0</v>
      </c>
      <c r="AR736" s="27">
        <f>SUM(AO736:AQ736)</f>
        <v>1</v>
      </c>
      <c r="AS736" s="27"/>
      <c r="AT736" s="27" t="s">
        <v>705</v>
      </c>
      <c r="AU736" s="84"/>
      <c r="AV736" s="77"/>
      <c r="AW736" s="77"/>
      <c r="AX736" s="77"/>
      <c r="AY736" s="77"/>
      <c r="AZ736" s="77"/>
      <c r="BA736" s="77"/>
      <c r="BB736" s="77"/>
      <c r="BC736" s="77"/>
      <c r="BD736" s="77"/>
      <c r="BE736" s="77"/>
      <c r="BF736" s="77"/>
      <c r="BG736" s="77"/>
      <c r="BH736" s="77"/>
      <c r="BI736" s="77"/>
      <c r="BJ736" s="77"/>
      <c r="BK736" s="77"/>
      <c r="BL736" s="77"/>
      <c r="BM736" s="77"/>
      <c r="BN736" s="77"/>
      <c r="BO736" s="77"/>
      <c r="BP736" s="77"/>
      <c r="BQ736" s="77"/>
      <c r="BR736" s="77"/>
      <c r="BS736" s="77"/>
      <c r="BT736" s="77"/>
      <c r="BU736" s="77"/>
      <c r="BV736" s="77"/>
      <c r="BW736" s="77"/>
      <c r="BX736" s="77"/>
      <c r="BY736" s="77"/>
      <c r="BZ736" s="77"/>
      <c r="CA736" s="77"/>
      <c r="CB736" s="77"/>
      <c r="CC736" s="77"/>
      <c r="CD736" s="77"/>
      <c r="CE736" s="77"/>
      <c r="CF736" s="77"/>
      <c r="CG736" s="77"/>
      <c r="CH736" s="77"/>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7"/>
      <c r="DV736" s="77"/>
      <c r="DW736" s="77"/>
      <c r="DX736" s="77"/>
      <c r="DY736" s="77"/>
      <c r="DZ736" s="77"/>
      <c r="EA736" s="77"/>
      <c r="EB736" s="77"/>
      <c r="EC736" s="77"/>
      <c r="ED736" s="77"/>
      <c r="EE736" s="77"/>
      <c r="EF736" s="77"/>
      <c r="EG736" s="77"/>
      <c r="EH736" s="77"/>
      <c r="EI736" s="77"/>
      <c r="EJ736" s="77"/>
      <c r="EK736" s="77"/>
      <c r="EL736" s="77"/>
      <c r="EM736" s="77"/>
      <c r="EN736" s="77"/>
      <c r="EO736" s="77"/>
      <c r="EQ736" s="77"/>
      <c r="ER736" s="77"/>
      <c r="ES736" s="77"/>
      <c r="ET736" s="77"/>
      <c r="EU736" s="77"/>
      <c r="EV736" s="77"/>
      <c r="EW736" s="77"/>
      <c r="EX736" s="77"/>
      <c r="EY736" s="77"/>
      <c r="EZ736" s="77"/>
      <c r="FA736" s="77"/>
      <c r="FB736" s="77"/>
      <c r="FC736" s="77"/>
      <c r="FD736" s="77"/>
      <c r="FE736" s="77"/>
      <c r="FF736" s="77"/>
      <c r="FG736" s="77"/>
      <c r="FH736" s="77"/>
      <c r="FI736" s="77"/>
      <c r="FJ736" s="77"/>
      <c r="FK736" s="77"/>
      <c r="FL736" s="77"/>
      <c r="FM736" s="77"/>
      <c r="FN736" s="77"/>
      <c r="FO736" s="77"/>
      <c r="FP736" s="77"/>
      <c r="FQ736" s="77"/>
      <c r="FR736" s="77"/>
      <c r="FS736" s="77"/>
      <c r="FT736" s="77"/>
      <c r="FU736" s="77"/>
      <c r="FV736" s="77"/>
      <c r="FW736" s="77"/>
      <c r="FX736" s="77"/>
      <c r="FY736" s="77"/>
      <c r="FZ736" s="77"/>
      <c r="GA736" s="77"/>
      <c r="GB736" s="77"/>
      <c r="GC736" s="77"/>
      <c r="GD736" s="77"/>
      <c r="GE736" s="77"/>
      <c r="GF736" s="77"/>
      <c r="GG736" s="77"/>
      <c r="GH736" s="77"/>
      <c r="GI736" s="77"/>
      <c r="GJ736" s="77"/>
      <c r="GK736" s="77"/>
      <c r="HL736" s="77"/>
      <c r="HM736" s="77"/>
      <c r="HN736" s="77"/>
      <c r="HO736" s="77"/>
      <c r="HP736" s="77"/>
      <c r="HQ736" s="77"/>
      <c r="HR736" s="77"/>
      <c r="HS736" s="77"/>
      <c r="HT736" s="77"/>
      <c r="HU736" s="77"/>
      <c r="HV736" s="77"/>
      <c r="HW736" s="77"/>
      <c r="HX736" s="77"/>
      <c r="HY736" s="77"/>
      <c r="HZ736" s="77"/>
      <c r="IA736" s="77"/>
      <c r="IB736" s="77"/>
      <c r="IC736" s="77"/>
      <c r="ID736" s="77"/>
      <c r="IE736" s="77"/>
      <c r="JY736" s="77"/>
      <c r="JZ736" s="77"/>
      <c r="KA736" s="77"/>
      <c r="KB736" s="77"/>
      <c r="KC736" s="77"/>
      <c r="KD736" s="77"/>
      <c r="KE736" s="77"/>
      <c r="KF736" s="77"/>
      <c r="KG736" s="77"/>
      <c r="KH736" s="77"/>
      <c r="KI736" s="77"/>
      <c r="KJ736" s="77"/>
      <c r="KK736" s="77"/>
      <c r="KL736" s="77"/>
      <c r="KM736" s="77"/>
      <c r="KN736" s="77"/>
      <c r="KO736" s="77"/>
      <c r="KP736" s="77"/>
      <c r="KQ736" s="77"/>
      <c r="KR736" s="77"/>
      <c r="KS736" s="77"/>
      <c r="KT736" s="77"/>
      <c r="KU736" s="77"/>
      <c r="KV736" s="77"/>
      <c r="KW736" s="77"/>
      <c r="KX736" s="77"/>
      <c r="KY736" s="77"/>
      <c r="KZ736" s="77"/>
      <c r="LA736" s="77"/>
      <c r="LB736" s="77"/>
      <c r="LC736" s="77"/>
      <c r="LD736" s="77"/>
      <c r="LE736" s="77"/>
      <c r="LF736" s="77"/>
      <c r="LG736" s="77"/>
      <c r="LH736" s="77"/>
      <c r="LI736" s="77"/>
      <c r="LJ736" s="77"/>
      <c r="LK736" s="77"/>
      <c r="LW736" s="77"/>
      <c r="LX736" s="77"/>
      <c r="MS736" s="77"/>
    </row>
    <row r="737" spans="1:421" s="21" customFormat="1" ht="18.600000000000001" customHeight="1" x14ac:dyDescent="0.25">
      <c r="A737" s="119" t="s">
        <v>658</v>
      </c>
      <c r="B737" s="27" t="s">
        <v>2652</v>
      </c>
      <c r="C737" s="27"/>
      <c r="D737" s="30" t="str">
        <f>HYPERLINK("https://twitter.com/murray_mccully","https://twitter.com/murray_mccully")</f>
        <v>https://twitter.com/murray_mccully</v>
      </c>
      <c r="E737" s="30" t="str">
        <f>HYPERLINK("http://twiplomacy.com/info/oceania/New-Zealand","http://twiplomacy.com/info/oceania/New-Zealand")</f>
        <v>http://twiplomacy.com/info/oceania/New-Zealand</v>
      </c>
      <c r="F737" s="10" t="s">
        <v>643</v>
      </c>
      <c r="G737" s="10" t="s">
        <v>656</v>
      </c>
      <c r="H737" s="10" t="s">
        <v>860</v>
      </c>
      <c r="I737" s="10" t="s">
        <v>773</v>
      </c>
      <c r="J737" s="27" t="s">
        <v>789</v>
      </c>
      <c r="K737" s="15" t="s">
        <v>2653</v>
      </c>
      <c r="L737" s="10" t="s">
        <v>771</v>
      </c>
      <c r="M737" s="10" t="s">
        <v>771</v>
      </c>
      <c r="N737" s="30" t="str">
        <f>HYPERLINK("https://twitter.com/murray_mccully/status/1657500431","https://twitter.com/murray_mccully/status/1657500431")</f>
        <v>https://twitter.com/murray_mccully/status/1657500431</v>
      </c>
      <c r="O737" s="27" t="s">
        <v>2654</v>
      </c>
      <c r="P737" s="80">
        <v>1</v>
      </c>
      <c r="Q737" s="80">
        <v>0</v>
      </c>
      <c r="R737" s="27" t="s">
        <v>2995</v>
      </c>
      <c r="S737" s="30" t="str">
        <f>HYPERLINK("https://twitter.com/murray_mccully/lists","https://twitter.com/murray_mccully/lists")</f>
        <v>https://twitter.com/murray_mccully/lists</v>
      </c>
      <c r="T737" s="10" t="s">
        <v>771</v>
      </c>
      <c r="U737" s="10" t="s">
        <v>771</v>
      </c>
      <c r="V737" s="10" t="s">
        <v>771</v>
      </c>
      <c r="W737" s="10"/>
      <c r="X737" s="27" t="s">
        <v>658</v>
      </c>
      <c r="Y737" s="27" t="s">
        <v>2652</v>
      </c>
      <c r="Z737" s="80">
        <v>9</v>
      </c>
      <c r="AA737" s="27">
        <v>5</v>
      </c>
      <c r="AB737" s="80">
        <v>457</v>
      </c>
      <c r="AC737" s="27">
        <v>0</v>
      </c>
      <c r="AD737" s="27" t="s">
        <v>4175</v>
      </c>
      <c r="AE737" s="27">
        <v>36625458</v>
      </c>
      <c r="AF737" s="27"/>
      <c r="AG737" s="27"/>
      <c r="AH737" s="79">
        <v>3.5169988276670598E-3</v>
      </c>
      <c r="AI737" s="83">
        <v>0.1</v>
      </c>
      <c r="AJ737" s="80">
        <v>0.11111111111111099</v>
      </c>
      <c r="AK737" s="80">
        <v>0</v>
      </c>
      <c r="AL737" s="27">
        <v>4</v>
      </c>
      <c r="AM737" s="97">
        <f>SUM(AL737/Z737)</f>
        <v>0.44444444444444442</v>
      </c>
      <c r="AN737" s="27" t="s">
        <v>658</v>
      </c>
      <c r="AO737" s="27">
        <v>0</v>
      </c>
      <c r="AP737" s="27">
        <v>2</v>
      </c>
      <c r="AQ737" s="27">
        <v>0</v>
      </c>
      <c r="AR737" s="27">
        <f>SUM(AO737:AQ737)</f>
        <v>2</v>
      </c>
      <c r="AS737" s="27"/>
      <c r="AT737" s="27" t="s">
        <v>5354</v>
      </c>
      <c r="AU737" s="84"/>
      <c r="AV737" s="41"/>
      <c r="AW737" s="41"/>
      <c r="AX737" s="41"/>
      <c r="AY737" s="41"/>
      <c r="AZ737" s="41"/>
      <c r="BA737" s="41"/>
      <c r="BB737" s="41"/>
      <c r="BC737" s="41"/>
      <c r="BD737" s="41"/>
      <c r="BE737" s="41"/>
      <c r="BF737" s="41"/>
      <c r="BG737" s="41"/>
      <c r="BH737" s="41"/>
      <c r="BI737" s="41"/>
      <c r="BJ737" s="41"/>
      <c r="BK737" s="41"/>
      <c r="BL737" s="41"/>
      <c r="BM737" s="77"/>
      <c r="BN737" s="71"/>
      <c r="BO737" s="71"/>
      <c r="BP737" s="71"/>
      <c r="BQ737" s="71"/>
      <c r="BR737" s="71"/>
      <c r="BS737" s="71"/>
      <c r="BT737" s="71"/>
      <c r="BU737" s="71"/>
      <c r="BV737" s="71"/>
      <c r="BW737" s="71"/>
      <c r="BX737" s="71"/>
      <c r="BY737" s="71"/>
      <c r="BZ737" s="71"/>
      <c r="CA737" s="71"/>
      <c r="CB737" s="71"/>
      <c r="CC737" s="77"/>
      <c r="CD737" s="77"/>
      <c r="CE737" s="77"/>
      <c r="CF737" s="77"/>
      <c r="CG737" s="77"/>
      <c r="CH737" s="77"/>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7"/>
      <c r="DV737" s="77"/>
      <c r="DW737" s="77"/>
      <c r="DX737" s="77"/>
      <c r="DY737" s="77"/>
      <c r="DZ737" s="77"/>
      <c r="EA737" s="77"/>
      <c r="EB737" s="77"/>
      <c r="EC737" s="77"/>
      <c r="ED737" s="77"/>
      <c r="EE737" s="77"/>
      <c r="EF737" s="77"/>
      <c r="EG737" s="77"/>
      <c r="EH737" s="77"/>
      <c r="EI737" s="77"/>
      <c r="EJ737" s="77"/>
      <c r="EK737" s="77"/>
      <c r="EL737" s="77"/>
      <c r="EM737" s="77"/>
      <c r="EN737" s="77"/>
      <c r="EO737" s="77"/>
      <c r="EP737" s="77"/>
      <c r="ER737" s="77"/>
      <c r="ES737" s="77"/>
      <c r="ET737" s="77"/>
      <c r="EU737" s="77"/>
      <c r="EV737" s="77"/>
      <c r="EW737" s="77"/>
      <c r="EX737" s="77"/>
      <c r="EY737" s="77"/>
      <c r="EZ737" s="77"/>
      <c r="FA737" s="77"/>
      <c r="FB737" s="77"/>
      <c r="FC737" s="77"/>
      <c r="FD737" s="77"/>
      <c r="FE737" s="77"/>
      <c r="FF737" s="77"/>
      <c r="FG737" s="77"/>
      <c r="FH737" s="77"/>
      <c r="FI737" s="77"/>
      <c r="FJ737" s="77"/>
      <c r="FK737" s="77"/>
      <c r="FL737" s="77"/>
      <c r="FM737" s="77"/>
      <c r="FN737" s="77"/>
      <c r="FO737" s="77"/>
      <c r="FP737" s="77"/>
      <c r="FQ737" s="77"/>
      <c r="FR737" s="77"/>
      <c r="FS737" s="77"/>
      <c r="FT737" s="77"/>
      <c r="FU737" s="77"/>
      <c r="FV737" s="77"/>
      <c r="FW737" s="77"/>
      <c r="FX737" s="77"/>
      <c r="FY737" s="77"/>
      <c r="FZ737" s="77"/>
      <c r="GA737" s="77"/>
      <c r="GB737" s="77"/>
      <c r="GC737" s="77"/>
      <c r="GD737" s="77"/>
      <c r="GE737" s="77"/>
      <c r="GF737" s="77"/>
      <c r="GG737" s="77"/>
      <c r="GH737" s="77"/>
      <c r="GI737" s="77"/>
      <c r="GJ737" s="77"/>
      <c r="GK737" s="77"/>
      <c r="GL737" s="77"/>
      <c r="GM737" s="77"/>
      <c r="GN737" s="77"/>
      <c r="GO737" s="77"/>
      <c r="GP737" s="77"/>
      <c r="GQ737" s="77"/>
      <c r="GR737" s="77"/>
      <c r="GS737" s="77"/>
      <c r="GT737" s="77"/>
      <c r="GU737" s="77"/>
      <c r="GV737" s="77"/>
      <c r="GW737" s="77"/>
      <c r="GX737" s="77"/>
      <c r="GY737" s="77"/>
      <c r="GZ737" s="77"/>
      <c r="HA737" s="77"/>
      <c r="HB737" s="77"/>
      <c r="HC737" s="77"/>
      <c r="HD737" s="77"/>
      <c r="HE737" s="77"/>
      <c r="HF737" s="77"/>
      <c r="HG737" s="77"/>
      <c r="HH737" s="77"/>
      <c r="HI737" s="77"/>
      <c r="HJ737" s="77"/>
      <c r="HK737" s="77"/>
      <c r="HL737" s="77"/>
      <c r="HM737" s="77"/>
      <c r="HN737" s="77"/>
      <c r="HO737" s="77"/>
      <c r="HP737" s="77"/>
      <c r="HQ737" s="77"/>
      <c r="HR737" s="77"/>
      <c r="HS737" s="77"/>
      <c r="HT737" s="77"/>
      <c r="HU737" s="77"/>
      <c r="HV737" s="77"/>
      <c r="HW737" s="77"/>
      <c r="HX737" s="77"/>
      <c r="HY737" s="77"/>
      <c r="HZ737" s="77"/>
      <c r="IA737" s="77"/>
      <c r="IB737" s="77"/>
      <c r="IC737" s="77"/>
      <c r="ID737" s="77"/>
      <c r="IE737" s="77"/>
      <c r="IF737" s="77"/>
      <c r="IG737" s="77"/>
      <c r="IH737" s="77"/>
      <c r="II737" s="77"/>
      <c r="IJ737" s="77"/>
      <c r="IK737" s="77"/>
      <c r="IL737" s="77"/>
      <c r="IM737" s="77"/>
      <c r="IN737" s="77"/>
      <c r="IO737" s="77"/>
      <c r="IP737" s="77"/>
      <c r="IQ737" s="77"/>
      <c r="IR737" s="77"/>
      <c r="IS737" s="77"/>
      <c r="IT737" s="77"/>
      <c r="IU737" s="77"/>
      <c r="IV737" s="77"/>
      <c r="IW737" s="77"/>
      <c r="IX737" s="77"/>
      <c r="IY737" s="77"/>
      <c r="IZ737" s="77"/>
      <c r="JA737" s="77"/>
      <c r="JB737" s="77"/>
      <c r="JC737" s="77"/>
      <c r="JD737" s="77"/>
      <c r="JE737" s="77"/>
      <c r="JF737" s="77"/>
      <c r="JG737" s="77"/>
      <c r="JH737" s="77"/>
      <c r="JI737" s="77"/>
      <c r="JJ737" s="77"/>
      <c r="JK737" s="77"/>
      <c r="JL737" s="77"/>
      <c r="JM737" s="77"/>
      <c r="JN737" s="77"/>
      <c r="JO737" s="77"/>
      <c r="JP737" s="77"/>
      <c r="JQ737" s="77"/>
      <c r="JR737" s="77"/>
      <c r="JS737" s="77"/>
      <c r="JT737" s="77"/>
      <c r="JU737" s="77"/>
      <c r="JV737" s="77"/>
      <c r="JW737" s="77"/>
      <c r="JX737" s="77"/>
      <c r="KM737" s="77"/>
      <c r="KN737" s="77"/>
      <c r="KO737" s="77"/>
      <c r="KP737" s="77"/>
      <c r="KQ737" s="77"/>
      <c r="KR737" s="77"/>
      <c r="KS737" s="77"/>
      <c r="KT737" s="77"/>
      <c r="KU737" s="77"/>
      <c r="KV737" s="77"/>
      <c r="KW737" s="77"/>
      <c r="KX737" s="77"/>
      <c r="KY737" s="77"/>
      <c r="KZ737" s="77"/>
      <c r="LA737" s="77"/>
      <c r="LB737" s="77"/>
      <c r="LC737" s="77"/>
      <c r="LD737" s="77"/>
      <c r="LE737" s="77"/>
      <c r="LF737" s="77"/>
      <c r="LG737" s="77"/>
      <c r="LH737" s="77"/>
      <c r="LI737" s="77"/>
      <c r="LJ737" s="77"/>
      <c r="LK737" s="77"/>
      <c r="LL737" s="77"/>
      <c r="LM737" s="77"/>
      <c r="LN737" s="77"/>
      <c r="LO737" s="77"/>
      <c r="LP737" s="77"/>
      <c r="LQ737" s="77"/>
      <c r="LR737" s="77"/>
      <c r="LS737" s="77"/>
      <c r="LT737" s="77"/>
      <c r="LU737" s="77"/>
      <c r="LV737" s="77"/>
      <c r="MS737" s="77"/>
    </row>
    <row r="738" spans="1:421" s="21" customFormat="1" ht="18.600000000000001" customHeight="1" x14ac:dyDescent="0.25">
      <c r="A738" s="119" t="s">
        <v>77</v>
      </c>
      <c r="B738" s="27" t="s">
        <v>3610</v>
      </c>
      <c r="C738" s="27" t="s">
        <v>3611</v>
      </c>
      <c r="D738" s="30" t="s">
        <v>975</v>
      </c>
      <c r="E738" s="30" t="str">
        <f>HYPERLINK("http://twiplomacy.com/info/africa/Madagascar","http://twiplomacy.com/info/africa/Madagascar")</f>
        <v>http://twiplomacy.com/info/africa/Madagascar</v>
      </c>
      <c r="F738" s="10" t="s">
        <v>1</v>
      </c>
      <c r="G738" s="10" t="s">
        <v>75</v>
      </c>
      <c r="H738" s="10" t="s">
        <v>776</v>
      </c>
      <c r="I738" s="10" t="s">
        <v>773</v>
      </c>
      <c r="J738" s="27" t="s">
        <v>779</v>
      </c>
      <c r="K738" s="15" t="s">
        <v>3104</v>
      </c>
      <c r="L738" s="10" t="s">
        <v>771</v>
      </c>
      <c r="M738" s="10" t="s">
        <v>770</v>
      </c>
      <c r="N738" s="30" t="s">
        <v>976</v>
      </c>
      <c r="O738" s="27" t="s">
        <v>5799</v>
      </c>
      <c r="P738" s="80">
        <v>0</v>
      </c>
      <c r="Q738" s="80">
        <v>0</v>
      </c>
      <c r="R738" s="27" t="s">
        <v>2995</v>
      </c>
      <c r="S738" s="30" t="s">
        <v>977</v>
      </c>
      <c r="T738" s="10" t="s">
        <v>771</v>
      </c>
      <c r="U738" s="10" t="s">
        <v>771</v>
      </c>
      <c r="V738" s="10" t="s">
        <v>771</v>
      </c>
      <c r="W738" s="10"/>
      <c r="X738" s="27" t="s">
        <v>77</v>
      </c>
      <c r="Y738" s="27" t="s">
        <v>3610</v>
      </c>
      <c r="Z738" s="80">
        <v>8</v>
      </c>
      <c r="AA738" s="27">
        <v>157</v>
      </c>
      <c r="AB738" s="80">
        <v>234</v>
      </c>
      <c r="AC738" s="27">
        <v>0</v>
      </c>
      <c r="AD738" s="27" t="s">
        <v>3612</v>
      </c>
      <c r="AE738" s="27">
        <v>1586172553</v>
      </c>
      <c r="AF738" s="27" t="s">
        <v>3611</v>
      </c>
      <c r="AG738" s="27" t="s">
        <v>3613</v>
      </c>
      <c r="AH738" s="79">
        <v>7.7972709551656898E-3</v>
      </c>
      <c r="AI738" s="83">
        <v>4.81927710843374E-2</v>
      </c>
      <c r="AJ738" s="80">
        <v>0</v>
      </c>
      <c r="AK738" s="80">
        <v>0</v>
      </c>
      <c r="AL738" s="27">
        <v>2</v>
      </c>
      <c r="AM738" s="97">
        <f>SUM(AL738/Z738)</f>
        <v>0.25</v>
      </c>
      <c r="AN738" s="27" t="s">
        <v>77</v>
      </c>
      <c r="AO738" s="27">
        <v>0</v>
      </c>
      <c r="AP738" s="27">
        <v>1</v>
      </c>
      <c r="AQ738" s="27">
        <v>0</v>
      </c>
      <c r="AR738" s="27">
        <f>SUM(AO738:AQ738)</f>
        <v>1</v>
      </c>
      <c r="AS738" s="27"/>
      <c r="AT738" s="27" t="s">
        <v>705</v>
      </c>
      <c r="AU738" s="84"/>
      <c r="AV738" s="77"/>
      <c r="AW738" s="77"/>
      <c r="AX738" s="77"/>
      <c r="AY738" s="77"/>
      <c r="AZ738" s="77"/>
      <c r="BA738" s="77"/>
      <c r="BB738" s="77"/>
      <c r="BC738" s="77"/>
      <c r="BD738" s="77"/>
      <c r="BE738" s="77"/>
      <c r="BF738" s="77"/>
      <c r="BG738" s="77"/>
      <c r="BH738" s="77"/>
      <c r="BI738" s="77"/>
      <c r="BJ738" s="77"/>
      <c r="BK738" s="77"/>
      <c r="BL738" s="77"/>
      <c r="BM738" s="77"/>
      <c r="BN738" s="77"/>
      <c r="BO738" s="77"/>
      <c r="BP738" s="77"/>
      <c r="BQ738" s="77"/>
      <c r="BR738" s="77"/>
      <c r="BS738" s="77"/>
      <c r="BT738" s="77"/>
      <c r="BU738" s="77"/>
      <c r="BV738" s="77"/>
      <c r="BW738" s="77"/>
      <c r="BX738" s="77"/>
      <c r="BY738" s="77"/>
      <c r="BZ738" s="77"/>
      <c r="CA738" s="77"/>
      <c r="CB738" s="77"/>
      <c r="CC738" s="77"/>
      <c r="CD738" s="77"/>
      <c r="CE738" s="77"/>
      <c r="CF738" s="77"/>
      <c r="CG738" s="77"/>
      <c r="CH738" s="77"/>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7"/>
      <c r="DV738" s="77"/>
      <c r="DW738" s="77"/>
      <c r="DX738" s="77"/>
      <c r="DY738" s="77"/>
      <c r="DZ738" s="77"/>
      <c r="EA738" s="77"/>
      <c r="EB738" s="77"/>
      <c r="EC738" s="77"/>
      <c r="ED738" s="77"/>
      <c r="EE738" s="77"/>
      <c r="EF738" s="77"/>
      <c r="EG738" s="77"/>
      <c r="EH738" s="77"/>
      <c r="EI738" s="77"/>
      <c r="EJ738" s="77"/>
      <c r="EK738" s="77"/>
      <c r="EL738" s="77"/>
      <c r="EM738" s="77"/>
      <c r="EN738" s="77"/>
      <c r="EO738" s="77"/>
      <c r="EP738" s="77"/>
      <c r="EQ738" s="77"/>
      <c r="ER738" s="77"/>
      <c r="ES738" s="77"/>
      <c r="ET738" s="77"/>
      <c r="EU738" s="77"/>
      <c r="EV738" s="77"/>
      <c r="EW738" s="77"/>
      <c r="EX738" s="77"/>
      <c r="EY738" s="77"/>
      <c r="EZ738" s="77"/>
      <c r="FA738" s="77"/>
      <c r="FB738" s="77"/>
      <c r="FC738" s="77"/>
      <c r="FD738" s="77"/>
      <c r="FE738" s="77"/>
      <c r="FF738" s="77"/>
      <c r="FG738" s="77"/>
      <c r="FH738" s="77"/>
      <c r="FI738" s="77"/>
      <c r="FJ738" s="77"/>
      <c r="FK738" s="77"/>
      <c r="FL738" s="77"/>
      <c r="FM738" s="77"/>
      <c r="FN738" s="77"/>
      <c r="FO738" s="77"/>
      <c r="FP738" s="77"/>
      <c r="FQ738" s="77"/>
      <c r="FR738" s="77"/>
      <c r="FS738" s="77"/>
      <c r="FT738" s="77"/>
      <c r="FU738" s="77"/>
      <c r="FV738" s="77"/>
      <c r="FW738" s="77"/>
      <c r="FX738" s="77"/>
      <c r="FY738" s="77"/>
      <c r="FZ738" s="77"/>
      <c r="GA738" s="77"/>
      <c r="GB738" s="77"/>
      <c r="GC738" s="77"/>
      <c r="GD738" s="77"/>
      <c r="GE738" s="77"/>
      <c r="GF738" s="77"/>
      <c r="GG738" s="77"/>
      <c r="GH738" s="77"/>
      <c r="GI738" s="77"/>
      <c r="GJ738" s="77"/>
      <c r="GK738" s="77"/>
      <c r="GL738" s="77"/>
      <c r="GM738" s="77"/>
      <c r="GN738" s="77"/>
      <c r="GO738" s="77"/>
      <c r="GP738" s="77"/>
      <c r="GQ738" s="77"/>
      <c r="GR738" s="77"/>
      <c r="GS738" s="77"/>
      <c r="GT738" s="77"/>
      <c r="GU738" s="77"/>
      <c r="GV738" s="77"/>
      <c r="GW738" s="77"/>
      <c r="GX738" s="77"/>
      <c r="GY738" s="77"/>
      <c r="GZ738" s="77"/>
      <c r="HA738" s="77"/>
      <c r="HB738" s="77"/>
      <c r="HC738" s="77"/>
      <c r="HD738" s="77"/>
      <c r="HE738" s="77"/>
      <c r="HF738" s="77"/>
      <c r="HG738" s="77"/>
      <c r="HH738" s="77"/>
      <c r="HI738" s="77"/>
      <c r="HJ738" s="77"/>
      <c r="HK738" s="77"/>
      <c r="ID738" s="77"/>
      <c r="IE738" s="77"/>
      <c r="IF738" s="77"/>
      <c r="IG738" s="77"/>
      <c r="IH738" s="77"/>
      <c r="II738" s="77"/>
      <c r="IJ738" s="77"/>
      <c r="IK738" s="77"/>
      <c r="IL738" s="77"/>
      <c r="IM738" s="77"/>
      <c r="IN738" s="77"/>
      <c r="IO738" s="77"/>
      <c r="IP738" s="77"/>
      <c r="IQ738" s="77"/>
      <c r="IR738" s="77"/>
      <c r="IS738" s="77"/>
      <c r="IT738" s="77"/>
      <c r="IU738" s="77"/>
      <c r="IV738" s="77"/>
      <c r="IW738" s="77"/>
      <c r="IX738" s="77"/>
      <c r="IY738" s="77"/>
      <c r="IZ738" s="77"/>
      <c r="JA738" s="77"/>
      <c r="JB738" s="77"/>
      <c r="JC738" s="77"/>
      <c r="JD738" s="77"/>
      <c r="JE738" s="77"/>
      <c r="JF738" s="77"/>
      <c r="JG738" s="77"/>
      <c r="JH738" s="77"/>
      <c r="JI738" s="77"/>
      <c r="JJ738" s="77"/>
      <c r="JK738" s="77"/>
      <c r="JL738" s="77"/>
      <c r="JM738" s="77"/>
      <c r="JN738" s="77"/>
      <c r="JO738" s="77"/>
      <c r="JP738" s="77"/>
      <c r="JQ738" s="77"/>
      <c r="JR738" s="77"/>
      <c r="JS738" s="77"/>
      <c r="JT738" s="77"/>
      <c r="JU738" s="77"/>
      <c r="JV738" s="77"/>
      <c r="JW738" s="77"/>
      <c r="JX738" s="77"/>
      <c r="JY738" s="77"/>
      <c r="JZ738" s="77"/>
      <c r="KA738" s="77"/>
      <c r="KB738" s="77"/>
      <c r="KC738" s="77"/>
      <c r="KD738" s="77"/>
      <c r="KE738" s="77"/>
      <c r="KF738" s="77"/>
      <c r="KG738" s="77"/>
      <c r="KH738" s="77"/>
      <c r="KI738" s="77"/>
      <c r="KJ738" s="77"/>
      <c r="KK738" s="77"/>
      <c r="KL738" s="77"/>
      <c r="KM738" s="77"/>
      <c r="KN738" s="77"/>
      <c r="KO738" s="77"/>
      <c r="KP738" s="77"/>
      <c r="KQ738" s="77"/>
      <c r="KR738" s="77"/>
      <c r="KS738" s="77"/>
      <c r="KT738" s="77"/>
      <c r="KU738" s="77"/>
      <c r="KV738" s="77"/>
      <c r="KW738" s="77"/>
      <c r="KX738" s="77"/>
      <c r="KY738" s="77"/>
      <c r="KZ738" s="77"/>
      <c r="LA738" s="77"/>
      <c r="LB738" s="77"/>
      <c r="LC738" s="77"/>
      <c r="LD738" s="77"/>
      <c r="LE738" s="77"/>
      <c r="LF738" s="77"/>
      <c r="LG738" s="77"/>
      <c r="LH738" s="77"/>
      <c r="LI738" s="77"/>
      <c r="LJ738" s="77"/>
      <c r="LK738" s="77"/>
      <c r="LY738" s="16"/>
      <c r="LZ738" s="16"/>
      <c r="MA738" s="16"/>
      <c r="MB738" s="16"/>
      <c r="MC738" s="16"/>
      <c r="MD738" s="16"/>
      <c r="ME738" s="16"/>
      <c r="MF738" s="16"/>
      <c r="MG738" s="16"/>
      <c r="MH738" s="16"/>
      <c r="MI738" s="16"/>
      <c r="MJ738" s="16"/>
      <c r="MK738" s="16"/>
      <c r="ML738" s="16"/>
      <c r="MM738" s="16"/>
      <c r="MN738" s="16"/>
      <c r="MO738" s="16"/>
      <c r="MP738" s="16"/>
      <c r="MQ738" s="16"/>
      <c r="MR738" s="16"/>
      <c r="MS738" s="77"/>
      <c r="MT738" s="77"/>
      <c r="MU738" s="77"/>
      <c r="MV738" s="77"/>
      <c r="MW738" s="77"/>
      <c r="MX738" s="77"/>
      <c r="MY738" s="77"/>
      <c r="MZ738" s="77"/>
      <c r="NA738" s="77"/>
      <c r="NB738" s="77"/>
      <c r="NC738" s="77"/>
    </row>
    <row r="739" spans="1:421" s="21" customFormat="1" ht="18.600000000000001" customHeight="1" x14ac:dyDescent="0.25">
      <c r="A739" s="119" t="s">
        <v>3052</v>
      </c>
      <c r="B739" s="27" t="s">
        <v>3498</v>
      </c>
      <c r="C739" s="27" t="s">
        <v>3499</v>
      </c>
      <c r="D739" s="31" t="s">
        <v>3051</v>
      </c>
      <c r="E739" s="30" t="str">
        <f>HYPERLINK("http://twiplomacy.com/info/africa/Tanzania","http://twiplomacy.com/info/africa/Tanzania")</f>
        <v>http://twiplomacy.com/info/africa/Tanzania</v>
      </c>
      <c r="F739" s="10" t="s">
        <v>1</v>
      </c>
      <c r="G739" s="10" t="s">
        <v>127</v>
      </c>
      <c r="H739" s="10" t="s">
        <v>860</v>
      </c>
      <c r="I739" s="10" t="s">
        <v>773</v>
      </c>
      <c r="J739" s="27" t="s">
        <v>789</v>
      </c>
      <c r="K739" s="15" t="s">
        <v>970</v>
      </c>
      <c r="L739" s="10"/>
      <c r="M739" s="10" t="s">
        <v>770</v>
      </c>
      <c r="N739" s="30" t="s">
        <v>3135</v>
      </c>
      <c r="O739" s="27" t="s">
        <v>5700</v>
      </c>
      <c r="P739" s="80">
        <v>1</v>
      </c>
      <c r="Q739" s="80">
        <v>0</v>
      </c>
      <c r="R739" s="27" t="s">
        <v>2995</v>
      </c>
      <c r="S739" s="12" t="s">
        <v>3142</v>
      </c>
      <c r="T739" s="10" t="s">
        <v>771</v>
      </c>
      <c r="U739" s="10" t="s">
        <v>771</v>
      </c>
      <c r="V739" s="10" t="s">
        <v>771</v>
      </c>
      <c r="W739" s="10"/>
      <c r="X739" s="27" t="s">
        <v>3052</v>
      </c>
      <c r="Y739" s="27" t="s">
        <v>3498</v>
      </c>
      <c r="Z739" s="80">
        <v>7</v>
      </c>
      <c r="AA739" s="27">
        <v>10</v>
      </c>
      <c r="AB739" s="80">
        <v>282</v>
      </c>
      <c r="AC739" s="27">
        <v>0</v>
      </c>
      <c r="AD739" s="27" t="s">
        <v>3500</v>
      </c>
      <c r="AE739" s="27">
        <v>3315452885</v>
      </c>
      <c r="AF739" s="27" t="s">
        <v>3499</v>
      </c>
      <c r="AG739" s="27" t="s">
        <v>1112</v>
      </c>
      <c r="AH739" s="79">
        <v>2.1341463414634099E-2</v>
      </c>
      <c r="AI739" s="83">
        <v>0.77777777777777801</v>
      </c>
      <c r="AJ739" s="80">
        <v>0.2</v>
      </c>
      <c r="AK739" s="80">
        <v>0.2</v>
      </c>
      <c r="AL739" s="13">
        <v>0</v>
      </c>
      <c r="AM739" s="97">
        <f>SUM(AL739/Z739)</f>
        <v>0</v>
      </c>
      <c r="AN739" s="27" t="s">
        <v>3052</v>
      </c>
      <c r="AO739" s="27">
        <v>0</v>
      </c>
      <c r="AP739" s="27">
        <v>1</v>
      </c>
      <c r="AQ739" s="27">
        <v>0</v>
      </c>
      <c r="AR739" s="27">
        <f>SUM(AO739:AQ739)</f>
        <v>1</v>
      </c>
      <c r="AS739" s="27"/>
      <c r="AT739" s="27" t="s">
        <v>116</v>
      </c>
      <c r="AU739" s="84"/>
      <c r="AV739" s="77"/>
      <c r="AW739" s="77"/>
      <c r="AX739" s="77"/>
      <c r="AY739" s="77"/>
      <c r="AZ739" s="77"/>
      <c r="BA739" s="77"/>
      <c r="BB739" s="77"/>
      <c r="BC739" s="77"/>
      <c r="BD739" s="77"/>
      <c r="BE739" s="77"/>
      <c r="BF739" s="77"/>
      <c r="BG739" s="77"/>
      <c r="BH739" s="77"/>
      <c r="BI739" s="77"/>
      <c r="BJ739" s="77"/>
      <c r="BK739" s="77"/>
      <c r="BL739" s="77"/>
      <c r="BM739" s="77"/>
      <c r="BN739" s="77"/>
      <c r="BO739" s="77"/>
      <c r="BP739" s="77"/>
      <c r="BQ739" s="77"/>
      <c r="BR739" s="77"/>
      <c r="BS739" s="77"/>
      <c r="BT739" s="77"/>
      <c r="BU739" s="77"/>
      <c r="BV739" s="77"/>
      <c r="BW739" s="77"/>
      <c r="BX739" s="77"/>
      <c r="BY739" s="77"/>
      <c r="BZ739" s="77"/>
      <c r="CA739" s="77"/>
      <c r="CB739" s="77"/>
      <c r="CC739" s="77"/>
      <c r="CD739" s="77"/>
      <c r="CE739" s="77"/>
      <c r="CF739" s="77"/>
      <c r="CG739" s="77"/>
      <c r="CH739" s="77"/>
      <c r="CI739" s="77"/>
      <c r="CJ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7"/>
      <c r="DV739" s="77"/>
      <c r="DW739" s="77"/>
      <c r="DX739" s="77"/>
      <c r="DY739" s="77"/>
      <c r="DZ739" s="77"/>
      <c r="EA739" s="77"/>
      <c r="EB739" s="77"/>
      <c r="EC739" s="77"/>
      <c r="ED739" s="77"/>
      <c r="EE739" s="77"/>
      <c r="EF739" s="77"/>
      <c r="EG739" s="77"/>
      <c r="EH739" s="77"/>
      <c r="EI739" s="77"/>
      <c r="EJ739" s="77"/>
      <c r="EK739" s="77"/>
      <c r="EL739" s="77"/>
      <c r="EM739" s="77"/>
      <c r="EN739" s="77"/>
      <c r="EO739" s="77"/>
      <c r="EP739" s="77"/>
      <c r="EQ739" s="77"/>
      <c r="HL739" s="77"/>
      <c r="HM739" s="77"/>
      <c r="HN739" s="77"/>
      <c r="HO739" s="77"/>
      <c r="HP739" s="77"/>
      <c r="HQ739" s="77"/>
      <c r="HR739" s="77"/>
      <c r="HS739" s="77"/>
      <c r="HT739" s="77"/>
      <c r="HU739" s="77"/>
      <c r="HV739" s="77"/>
      <c r="HW739" s="77"/>
      <c r="HX739" s="77"/>
      <c r="HY739" s="77"/>
      <c r="HZ739" s="77"/>
      <c r="IA739" s="77"/>
      <c r="IB739" s="77"/>
      <c r="IC739" s="77"/>
      <c r="ID739" s="77"/>
      <c r="IE739" s="77"/>
      <c r="IF739" s="77"/>
      <c r="IG739" s="77"/>
      <c r="IH739" s="77"/>
      <c r="II739" s="77"/>
      <c r="IJ739" s="77"/>
      <c r="IK739" s="77"/>
      <c r="IL739" s="77"/>
      <c r="IM739" s="77"/>
      <c r="IN739" s="77"/>
      <c r="IO739" s="77"/>
      <c r="IP739" s="77"/>
      <c r="IQ739" s="77"/>
      <c r="IR739" s="77"/>
      <c r="IS739" s="77"/>
      <c r="IT739" s="77"/>
      <c r="IU739" s="77"/>
      <c r="IV739" s="77"/>
      <c r="IW739" s="77"/>
      <c r="IX739" s="77"/>
      <c r="IY739" s="77"/>
      <c r="IZ739" s="77"/>
      <c r="JA739" s="77"/>
      <c r="JB739" s="77"/>
      <c r="JC739" s="77"/>
      <c r="JD739" s="77"/>
      <c r="JE739" s="77"/>
      <c r="JF739" s="77"/>
      <c r="JG739" s="77"/>
      <c r="JH739" s="77"/>
      <c r="JI739" s="77"/>
      <c r="JJ739" s="77"/>
      <c r="JK739" s="77"/>
      <c r="JL739" s="77"/>
      <c r="JM739" s="77"/>
      <c r="JN739" s="77"/>
      <c r="JO739" s="77"/>
      <c r="JP739" s="77"/>
      <c r="JQ739" s="77"/>
      <c r="JR739" s="77"/>
      <c r="JS739" s="77"/>
      <c r="JT739" s="77"/>
      <c r="JU739" s="77"/>
      <c r="JV739" s="77"/>
      <c r="JW739" s="77"/>
      <c r="JX739" s="77"/>
      <c r="JY739" s="77"/>
      <c r="JZ739" s="77"/>
      <c r="KA739" s="77"/>
      <c r="KB739" s="77"/>
      <c r="KC739" s="77"/>
      <c r="KD739" s="77"/>
      <c r="KE739" s="77"/>
      <c r="KF739" s="77"/>
      <c r="KG739" s="77"/>
      <c r="KH739" s="77"/>
      <c r="KI739" s="77"/>
      <c r="KJ739" s="77"/>
      <c r="KK739" s="77"/>
      <c r="KL739" s="77"/>
      <c r="KM739" s="16"/>
      <c r="KN739" s="16"/>
      <c r="KO739" s="16"/>
      <c r="KP739" s="16"/>
      <c r="KQ739" s="16"/>
      <c r="KR739" s="16"/>
      <c r="KS739" s="16"/>
      <c r="KT739" s="16"/>
      <c r="KU739" s="16"/>
      <c r="KV739" s="16"/>
      <c r="KW739" s="16"/>
      <c r="KX739" s="16"/>
      <c r="KY739" s="16"/>
      <c r="KZ739" s="16"/>
      <c r="LA739" s="16"/>
      <c r="LB739" s="16"/>
      <c r="LC739" s="16"/>
      <c r="LD739" s="16"/>
      <c r="LE739" s="16"/>
      <c r="LF739" s="16"/>
      <c r="LG739" s="16"/>
      <c r="LH739" s="16"/>
      <c r="LI739" s="16"/>
      <c r="LJ739" s="16"/>
      <c r="LK739" s="16"/>
      <c r="LL739" s="77"/>
      <c r="LM739" s="77"/>
      <c r="LN739" s="77"/>
      <c r="LO739" s="77"/>
      <c r="LP739" s="77"/>
      <c r="LQ739" s="77"/>
      <c r="LR739" s="77"/>
      <c r="LS739" s="77"/>
      <c r="LT739" s="77"/>
      <c r="LU739" s="77"/>
      <c r="LV739" s="77"/>
      <c r="LW739" s="77"/>
      <c r="LX739" s="77"/>
      <c r="MS739" s="77"/>
      <c r="MT739" s="16"/>
      <c r="MU739" s="16"/>
      <c r="MV739" s="16"/>
      <c r="MW739" s="16"/>
      <c r="MX739" s="16"/>
      <c r="MY739" s="16"/>
      <c r="MZ739" s="16"/>
      <c r="NA739" s="16"/>
      <c r="NB739" s="16"/>
      <c r="NC739" s="16"/>
    </row>
    <row r="740" spans="1:421" s="21" customFormat="1" ht="18.600000000000001" customHeight="1" x14ac:dyDescent="0.25">
      <c r="A740" s="119" t="s">
        <v>411</v>
      </c>
      <c r="B740" s="27" t="s">
        <v>1934</v>
      </c>
      <c r="C740" s="27"/>
      <c r="D740" s="30" t="str">
        <f>HYPERLINK("https://twitter.com/Viktor_Orban","https://twitter.com/Viktor_Orban")</f>
        <v>https://twitter.com/Viktor_Orban</v>
      </c>
      <c r="E740" s="30" t="str">
        <f>HYPERLINK("http://twiplomacy.com/info/europe/Hungary","http://twiplomacy.com/info/europe/Hungary")</f>
        <v>http://twiplomacy.com/info/europe/Hungary</v>
      </c>
      <c r="F740" s="10" t="s">
        <v>332</v>
      </c>
      <c r="G740" s="10" t="s">
        <v>410</v>
      </c>
      <c r="H740" s="10" t="s">
        <v>776</v>
      </c>
      <c r="I740" s="10" t="s">
        <v>773</v>
      </c>
      <c r="J740" s="27" t="s">
        <v>789</v>
      </c>
      <c r="K740" s="15" t="s">
        <v>1935</v>
      </c>
      <c r="L740" s="10" t="s">
        <v>771</v>
      </c>
      <c r="M740" s="10" t="s">
        <v>771</v>
      </c>
      <c r="N740" s="30" t="str">
        <f>HYPERLINK("https://twitter.com/Viktor_Orban/statuses/8464265910","https://twitter.com/Viktor_Orban/statuses/8464265910")</f>
        <v>https://twitter.com/Viktor_Orban/statuses/8464265910</v>
      </c>
      <c r="O740" s="27" t="s">
        <v>6128</v>
      </c>
      <c r="P740" s="80">
        <v>17</v>
      </c>
      <c r="Q740" s="80">
        <v>47</v>
      </c>
      <c r="R740" s="27" t="s">
        <v>2995</v>
      </c>
      <c r="S740" s="10" t="s">
        <v>1936</v>
      </c>
      <c r="T740" s="10" t="s">
        <v>771</v>
      </c>
      <c r="U740" s="10" t="s">
        <v>771</v>
      </c>
      <c r="V740" s="10" t="s">
        <v>771</v>
      </c>
      <c r="W740" s="10"/>
      <c r="X740" s="27" t="s">
        <v>411</v>
      </c>
      <c r="Y740" s="27" t="s">
        <v>1934</v>
      </c>
      <c r="Z740" s="80">
        <v>6</v>
      </c>
      <c r="AA740" s="27">
        <v>31</v>
      </c>
      <c r="AB740" s="80">
        <v>33383</v>
      </c>
      <c r="AC740" s="27">
        <v>1</v>
      </c>
      <c r="AD740" s="27" t="s">
        <v>4581</v>
      </c>
      <c r="AE740" s="27">
        <v>109712752</v>
      </c>
      <c r="AF740" s="27"/>
      <c r="AG740" s="27" t="s">
        <v>1937</v>
      </c>
      <c r="AH740" s="79">
        <v>2.62697022767075E-3</v>
      </c>
      <c r="AI740" s="83">
        <v>0.14285714285714299</v>
      </c>
      <c r="AJ740" s="80">
        <v>7.8</v>
      </c>
      <c r="AK740" s="80">
        <v>25.6</v>
      </c>
      <c r="AL740" s="13">
        <v>0</v>
      </c>
      <c r="AM740" s="97">
        <f>SUM(AL740/Z740)</f>
        <v>0</v>
      </c>
      <c r="AN740" s="27" t="s">
        <v>411</v>
      </c>
      <c r="AO740" s="27">
        <v>0</v>
      </c>
      <c r="AP740" s="27">
        <v>5</v>
      </c>
      <c r="AQ740" s="27">
        <v>0</v>
      </c>
      <c r="AR740" s="27">
        <f>SUM(AO740:AQ740)</f>
        <v>5</v>
      </c>
      <c r="AS740" s="27"/>
      <c r="AT740" s="27" t="s">
        <v>6357</v>
      </c>
      <c r="AU740" s="84"/>
      <c r="AV740" s="77"/>
      <c r="AW740" s="77"/>
      <c r="AX740" s="77"/>
      <c r="AY740" s="77"/>
      <c r="AZ740" s="77"/>
      <c r="BA740" s="77"/>
      <c r="BB740" s="77"/>
      <c r="BC740" s="77"/>
      <c r="BD740" s="77"/>
      <c r="BE740" s="77"/>
      <c r="BF740" s="77"/>
      <c r="BG740" s="77"/>
      <c r="BH740" s="77"/>
      <c r="BI740" s="77"/>
      <c r="BJ740" s="77"/>
      <c r="BK740" s="77"/>
      <c r="BL740" s="77"/>
      <c r="BM740" s="77"/>
      <c r="BN740" s="77"/>
      <c r="BO740" s="77"/>
      <c r="BP740" s="77"/>
      <c r="BQ740" s="77"/>
      <c r="BR740" s="77"/>
      <c r="BS740" s="77"/>
      <c r="BT740" s="77"/>
      <c r="BU740" s="77"/>
      <c r="BV740" s="77"/>
      <c r="BW740" s="77"/>
      <c r="BX740" s="77"/>
      <c r="BY740" s="77"/>
      <c r="BZ740" s="77"/>
      <c r="CA740" s="77"/>
      <c r="CB740" s="77"/>
      <c r="CC740" s="77"/>
      <c r="CD740" s="77"/>
      <c r="CE740" s="77"/>
      <c r="CF740" s="77"/>
      <c r="CG740" s="77"/>
      <c r="CH740" s="77"/>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7"/>
      <c r="DV740" s="77"/>
      <c r="DW740" s="77"/>
      <c r="DX740" s="77"/>
      <c r="DY740" s="77"/>
      <c r="DZ740" s="77"/>
      <c r="EA740" s="77"/>
      <c r="EB740" s="77"/>
      <c r="EC740" s="77"/>
      <c r="ED740" s="77"/>
      <c r="EE740" s="77"/>
      <c r="EF740" s="77"/>
      <c r="EG740" s="77"/>
      <c r="EH740" s="77"/>
      <c r="EI740" s="77"/>
      <c r="EJ740" s="77"/>
      <c r="EK740" s="77"/>
      <c r="EL740" s="77"/>
      <c r="EM740" s="77"/>
      <c r="EN740" s="77"/>
      <c r="EO740" s="77"/>
      <c r="EP740" s="77"/>
      <c r="EQ740" s="77"/>
      <c r="ER740" s="77"/>
      <c r="ES740" s="77"/>
      <c r="ET740" s="77"/>
      <c r="EU740" s="77"/>
      <c r="EV740" s="77"/>
      <c r="EW740" s="77"/>
      <c r="EX740" s="77"/>
      <c r="EY740" s="77"/>
      <c r="EZ740" s="77"/>
      <c r="FA740" s="77"/>
      <c r="FB740" s="77"/>
      <c r="FC740" s="77"/>
      <c r="FD740" s="77"/>
      <c r="FE740" s="77"/>
      <c r="FF740" s="77"/>
      <c r="FG740" s="77"/>
      <c r="FH740" s="77"/>
      <c r="FI740" s="77"/>
      <c r="FJ740" s="77"/>
      <c r="FK740" s="77"/>
      <c r="FL740" s="77"/>
      <c r="FM740" s="77"/>
      <c r="FN740" s="77"/>
      <c r="FO740" s="77"/>
      <c r="FP740" s="77"/>
      <c r="FQ740" s="77"/>
      <c r="FR740" s="77"/>
      <c r="FS740" s="77"/>
      <c r="FT740" s="77"/>
      <c r="FU740" s="77"/>
      <c r="FV740" s="77"/>
      <c r="FW740" s="77"/>
      <c r="FX740" s="77"/>
      <c r="FY740" s="77"/>
      <c r="FZ740" s="77"/>
      <c r="GA740" s="77"/>
      <c r="GB740" s="77"/>
      <c r="GC740" s="77"/>
      <c r="GD740" s="77"/>
      <c r="GE740" s="77"/>
      <c r="GF740" s="77"/>
      <c r="GG740" s="77"/>
      <c r="GH740" s="77"/>
      <c r="GI740" s="77"/>
      <c r="GJ740" s="77"/>
      <c r="GK740" s="77"/>
      <c r="ID740" s="77"/>
      <c r="IE740" s="77"/>
      <c r="IF740" s="77"/>
      <c r="IG740" s="77"/>
      <c r="IH740" s="77"/>
      <c r="II740" s="77"/>
      <c r="IJ740" s="77"/>
      <c r="IK740" s="77"/>
      <c r="IL740" s="77"/>
      <c r="IM740" s="77"/>
      <c r="IN740" s="77"/>
      <c r="IO740" s="77"/>
      <c r="IP740" s="77"/>
      <c r="IQ740" s="77"/>
      <c r="IR740" s="77"/>
      <c r="IS740" s="77"/>
      <c r="IT740" s="77"/>
      <c r="IU740" s="77"/>
      <c r="IV740" s="77"/>
      <c r="IW740" s="77"/>
      <c r="IX740" s="77"/>
      <c r="IY740" s="77"/>
      <c r="IZ740" s="77"/>
      <c r="JA740" s="77"/>
      <c r="JB740" s="77"/>
      <c r="JC740" s="77"/>
      <c r="JD740" s="77"/>
      <c r="JE740" s="77"/>
      <c r="JF740" s="77"/>
      <c r="JG740" s="77"/>
      <c r="JH740" s="77"/>
      <c r="JI740" s="77"/>
      <c r="JJ740" s="77"/>
      <c r="JK740" s="77"/>
      <c r="JL740" s="77"/>
      <c r="JM740" s="77"/>
      <c r="JN740" s="77"/>
      <c r="JO740" s="77"/>
      <c r="JP740" s="77"/>
      <c r="JQ740" s="77"/>
      <c r="JR740" s="77"/>
      <c r="JS740" s="77"/>
      <c r="JT740" s="77"/>
      <c r="JU740" s="77"/>
      <c r="JV740" s="77"/>
      <c r="JW740" s="77"/>
      <c r="JX740" s="77"/>
      <c r="JY740" s="77"/>
      <c r="JZ740" s="77"/>
      <c r="KA740" s="77"/>
      <c r="KB740" s="77"/>
      <c r="KC740" s="77"/>
      <c r="KD740" s="77"/>
      <c r="KE740" s="77"/>
      <c r="KF740" s="77"/>
      <c r="KG740" s="77"/>
      <c r="KH740" s="77"/>
      <c r="KI740" s="77"/>
      <c r="KJ740" s="77"/>
      <c r="KK740" s="77"/>
      <c r="KL740" s="77"/>
      <c r="LW740" s="77"/>
      <c r="LX740" s="77"/>
      <c r="MS740" s="16"/>
    </row>
    <row r="741" spans="1:421" s="21" customFormat="1" ht="18.600000000000001" customHeight="1" x14ac:dyDescent="0.25">
      <c r="A741" s="119" t="s">
        <v>5638</v>
      </c>
      <c r="B741" s="27" t="s">
        <v>5655</v>
      </c>
      <c r="C741" s="27" t="s">
        <v>5656</v>
      </c>
      <c r="D741" s="30" t="s">
        <v>5637</v>
      </c>
      <c r="E741" s="30" t="str">
        <f>HYPERLINK("http://twiplomacy.com/info/europe/Iceland","http://twiplomacy.com/info/europe/Iceland")</f>
        <v>http://twiplomacy.com/info/europe/Iceland</v>
      </c>
      <c r="F741" s="10" t="s">
        <v>332</v>
      </c>
      <c r="G741" s="10" t="s">
        <v>413</v>
      </c>
      <c r="H741" s="10" t="s">
        <v>860</v>
      </c>
      <c r="I741" s="10" t="s">
        <v>773</v>
      </c>
      <c r="J741" s="27" t="s">
        <v>789</v>
      </c>
      <c r="K741" s="15" t="s">
        <v>777</v>
      </c>
      <c r="L741" s="10"/>
      <c r="M741" s="10"/>
      <c r="N741" s="12" t="s">
        <v>5640</v>
      </c>
      <c r="O741" s="27" t="s">
        <v>5640</v>
      </c>
      <c r="P741" s="80">
        <v>16</v>
      </c>
      <c r="Q741" s="80">
        <v>17</v>
      </c>
      <c r="R741" s="27" t="s">
        <v>2995</v>
      </c>
      <c r="S741" s="12" t="s">
        <v>5639</v>
      </c>
      <c r="T741" s="10" t="s">
        <v>771</v>
      </c>
      <c r="U741" s="10" t="s">
        <v>771</v>
      </c>
      <c r="V741" s="10" t="s">
        <v>771</v>
      </c>
      <c r="W741" s="10"/>
      <c r="X741" s="27" t="s">
        <v>5638</v>
      </c>
      <c r="Y741" s="27" t="s">
        <v>5655</v>
      </c>
      <c r="Z741" s="80">
        <v>6</v>
      </c>
      <c r="AA741" s="27">
        <v>103</v>
      </c>
      <c r="AB741" s="80">
        <v>247</v>
      </c>
      <c r="AC741" s="27">
        <v>5</v>
      </c>
      <c r="AD741" s="27" t="s">
        <v>5657</v>
      </c>
      <c r="AE741" s="27">
        <v>7.2236788396419494E+17</v>
      </c>
      <c r="AF741" s="27" t="s">
        <v>5656</v>
      </c>
      <c r="AG741" s="27" t="s">
        <v>413</v>
      </c>
      <c r="AH741" s="79">
        <v>0.46153846153846201</v>
      </c>
      <c r="AI741" s="83">
        <v>0.66666666666666696</v>
      </c>
      <c r="AJ741" s="80">
        <v>11.6666666666667</v>
      </c>
      <c r="AK741" s="80">
        <v>13.3333333333333</v>
      </c>
      <c r="AL741" s="13">
        <v>0</v>
      </c>
      <c r="AM741" s="97">
        <f>SUM(AL741/Z741)</f>
        <v>0</v>
      </c>
      <c r="AN741" s="27" t="s">
        <v>5638</v>
      </c>
      <c r="AO741" s="27">
        <v>8</v>
      </c>
      <c r="AP741" s="27">
        <v>3</v>
      </c>
      <c r="AQ741" s="27">
        <v>7</v>
      </c>
      <c r="AR741" s="27">
        <f>SUM(AO741:AQ741)</f>
        <v>18</v>
      </c>
      <c r="AS741" s="27" t="s">
        <v>6226</v>
      </c>
      <c r="AT741" s="27" t="s">
        <v>6308</v>
      </c>
      <c r="AU741" s="84" t="s">
        <v>6165</v>
      </c>
      <c r="AV741" s="69"/>
      <c r="AW741" s="69"/>
      <c r="AX741" s="69"/>
      <c r="AY741" s="69"/>
      <c r="AZ741" s="69"/>
      <c r="BA741" s="69"/>
      <c r="BB741" s="69"/>
      <c r="BC741" s="69"/>
      <c r="BD741" s="69"/>
      <c r="BE741" s="69"/>
      <c r="BF741" s="69"/>
      <c r="BG741" s="69"/>
      <c r="BH741" s="69"/>
      <c r="BI741" s="69"/>
      <c r="BJ741" s="69"/>
      <c r="BK741" s="69"/>
      <c r="BL741" s="69"/>
      <c r="BQ741" s="77"/>
      <c r="BR741" s="77"/>
      <c r="BS741" s="77"/>
      <c r="BT741" s="77"/>
      <c r="BU741" s="77"/>
      <c r="BV741" s="77"/>
      <c r="BW741" s="77"/>
      <c r="BX741" s="77"/>
      <c r="BY741" s="77"/>
      <c r="BZ741" s="77"/>
      <c r="CA741" s="77"/>
      <c r="CB741" s="77"/>
      <c r="CC741" s="77"/>
      <c r="CD741" s="77"/>
      <c r="CE741" s="77"/>
      <c r="CF741" s="77"/>
      <c r="CG741" s="77"/>
      <c r="CH741" s="77"/>
      <c r="CI741" s="77"/>
      <c r="CJ741" s="77"/>
      <c r="EM741" s="16"/>
      <c r="EN741" s="16"/>
      <c r="EO741" s="16"/>
      <c r="EP741" s="77"/>
      <c r="EQ741" s="77"/>
      <c r="ER741" s="77"/>
      <c r="ES741" s="77"/>
      <c r="ET741" s="77"/>
      <c r="EU741" s="77"/>
      <c r="EV741" s="77"/>
      <c r="EW741" s="77"/>
      <c r="EX741" s="77"/>
      <c r="EY741" s="77"/>
      <c r="EZ741" s="77"/>
      <c r="FA741" s="77"/>
      <c r="FB741" s="77"/>
      <c r="FC741" s="77"/>
      <c r="FD741" s="77"/>
      <c r="FE741" s="77"/>
      <c r="FF741" s="77"/>
      <c r="FG741" s="77"/>
      <c r="FH741" s="77"/>
      <c r="FI741" s="77"/>
      <c r="FJ741" s="77"/>
      <c r="FK741" s="77"/>
      <c r="FL741" s="77"/>
      <c r="FM741" s="77"/>
      <c r="FN741" s="77"/>
      <c r="FO741" s="77"/>
      <c r="FP741" s="77"/>
      <c r="FQ741" s="77"/>
      <c r="FR741" s="77"/>
      <c r="FS741" s="77"/>
      <c r="FT741" s="77"/>
      <c r="FU741" s="77"/>
      <c r="FV741" s="77"/>
      <c r="FW741" s="77"/>
      <c r="FX741" s="77"/>
      <c r="FY741" s="77"/>
      <c r="FZ741" s="77"/>
      <c r="GA741" s="77"/>
      <c r="GB741" s="77"/>
      <c r="GC741" s="77"/>
      <c r="GD741" s="77"/>
      <c r="GE741" s="77"/>
      <c r="GF741" s="77"/>
      <c r="GG741" s="77"/>
      <c r="GH741" s="77"/>
      <c r="GI741" s="77"/>
      <c r="GJ741" s="77"/>
      <c r="GK741" s="77"/>
      <c r="IF741" s="77"/>
      <c r="IG741" s="77"/>
      <c r="IH741" s="77"/>
      <c r="II741" s="77"/>
      <c r="IJ741" s="77"/>
      <c r="IK741" s="77"/>
      <c r="IL741" s="77"/>
      <c r="IM741" s="77"/>
      <c r="IN741" s="77"/>
      <c r="IO741" s="77"/>
      <c r="IP741" s="77"/>
      <c r="IQ741" s="77"/>
      <c r="IR741" s="77"/>
      <c r="IS741" s="77"/>
      <c r="IT741" s="77"/>
      <c r="IU741" s="77"/>
      <c r="IV741" s="77"/>
      <c r="IW741" s="77"/>
      <c r="IX741" s="77"/>
      <c r="IY741" s="77"/>
      <c r="IZ741" s="77"/>
      <c r="JA741" s="77"/>
      <c r="JB741" s="77"/>
      <c r="JC741" s="77"/>
      <c r="JD741" s="77"/>
      <c r="JE741" s="77"/>
      <c r="JF741" s="77"/>
      <c r="JG741" s="77"/>
      <c r="JH741" s="77"/>
      <c r="JI741" s="77"/>
      <c r="JJ741" s="77"/>
      <c r="JK741" s="77"/>
      <c r="JL741" s="77"/>
      <c r="JM741" s="77"/>
      <c r="JN741" s="77"/>
      <c r="JO741" s="77"/>
      <c r="JP741" s="77"/>
      <c r="JQ741" s="77"/>
      <c r="JR741" s="77"/>
      <c r="JS741" s="77"/>
      <c r="JT741" s="77"/>
      <c r="JU741" s="77"/>
      <c r="JV741" s="77"/>
      <c r="JW741" s="77"/>
      <c r="JX741" s="77"/>
      <c r="KM741" s="77"/>
      <c r="KN741" s="77"/>
      <c r="KO741" s="77"/>
      <c r="KP741" s="77"/>
      <c r="KQ741" s="77"/>
      <c r="KR741" s="77"/>
      <c r="KS741" s="77"/>
      <c r="KT741" s="77"/>
      <c r="KU741" s="77"/>
      <c r="KV741" s="77"/>
      <c r="KW741" s="77"/>
      <c r="KX741" s="77"/>
      <c r="KY741" s="77"/>
      <c r="KZ741" s="77"/>
      <c r="LA741" s="77"/>
      <c r="LB741" s="77"/>
      <c r="LC741" s="77"/>
      <c r="LD741" s="77"/>
      <c r="LE741" s="77"/>
      <c r="LF741" s="77"/>
      <c r="LG741" s="77"/>
      <c r="LH741" s="77"/>
      <c r="LI741" s="77"/>
      <c r="LJ741" s="77"/>
      <c r="LK741" s="77"/>
      <c r="LL741" s="77"/>
      <c r="LM741" s="77"/>
      <c r="LN741" s="77"/>
      <c r="LO741" s="77"/>
      <c r="LP741" s="77"/>
      <c r="LQ741" s="77"/>
      <c r="LR741" s="77"/>
      <c r="LS741" s="77"/>
      <c r="LT741" s="77"/>
      <c r="LU741" s="77"/>
      <c r="LV741" s="77"/>
    </row>
    <row r="742" spans="1:421" s="21" customFormat="1" ht="18.600000000000001" customHeight="1" x14ac:dyDescent="0.25">
      <c r="A742" s="119" t="s">
        <v>5</v>
      </c>
      <c r="B742" s="27" t="s">
        <v>2840</v>
      </c>
      <c r="C742" s="27" t="s">
        <v>2841</v>
      </c>
      <c r="D742" s="30" t="str">
        <f>HYPERLINK("https://twitter.com/primaturebj","https://twitter.com/primaturebj")</f>
        <v>https://twitter.com/primaturebj</v>
      </c>
      <c r="E742" s="30" t="str">
        <f>HYPERLINK("http://twiplomacy.com/info/africa/Benin","http://twiplomacy.com/info/africa/Benin")</f>
        <v>http://twiplomacy.com/info/africa/Benin</v>
      </c>
      <c r="F742" s="20" t="s">
        <v>1</v>
      </c>
      <c r="G742" s="10" t="s">
        <v>4</v>
      </c>
      <c r="H742" s="10" t="s">
        <v>788</v>
      </c>
      <c r="I742" s="10" t="s">
        <v>782</v>
      </c>
      <c r="J742" s="27" t="s">
        <v>779</v>
      </c>
      <c r="K742" s="10" t="s">
        <v>2842</v>
      </c>
      <c r="L742" s="10" t="s">
        <v>771</v>
      </c>
      <c r="M742" s="10" t="s">
        <v>770</v>
      </c>
      <c r="N742" s="30" t="str">
        <f>HYPERLINK("https://twitter.com/primaturebj/status/367782350832140288","https://twitter.com/primaturebj/status/367782350832140288")</f>
        <v>https://twitter.com/primaturebj/status/367782350832140288</v>
      </c>
      <c r="O742" s="27" t="s">
        <v>6053</v>
      </c>
      <c r="P742" s="80">
        <v>0</v>
      </c>
      <c r="Q742" s="80">
        <v>1</v>
      </c>
      <c r="R742" s="27" t="s">
        <v>2995</v>
      </c>
      <c r="S742" s="30" t="str">
        <f>HYPERLINK("https://twitter.com/primaturebj/lists","https://twitter.com/primaturebj/lists")</f>
        <v>https://twitter.com/primaturebj/lists</v>
      </c>
      <c r="T742" s="10" t="s">
        <v>771</v>
      </c>
      <c r="U742" s="10" t="s">
        <v>771</v>
      </c>
      <c r="V742" s="10" t="s">
        <v>771</v>
      </c>
      <c r="W742" s="10"/>
      <c r="X742" s="27" t="s">
        <v>5</v>
      </c>
      <c r="Y742" s="27" t="s">
        <v>2840</v>
      </c>
      <c r="Z742" s="80">
        <v>5</v>
      </c>
      <c r="AA742" s="27">
        <v>0</v>
      </c>
      <c r="AB742" s="80">
        <v>3</v>
      </c>
      <c r="AC742" s="27">
        <v>0</v>
      </c>
      <c r="AD742" s="27" t="s">
        <v>4376</v>
      </c>
      <c r="AE742" s="27">
        <v>1656404515</v>
      </c>
      <c r="AF742" s="27" t="s">
        <v>2841</v>
      </c>
      <c r="AG742" s="27"/>
      <c r="AH742" s="79">
        <v>5.0150451354062202E-3</v>
      </c>
      <c r="AI742" s="83">
        <v>5</v>
      </c>
      <c r="AJ742" s="80">
        <v>0</v>
      </c>
      <c r="AK742" s="80">
        <v>0.2</v>
      </c>
      <c r="AL742" s="13">
        <v>0</v>
      </c>
      <c r="AM742" s="97">
        <f>SUM(AL742/Z742)</f>
        <v>0</v>
      </c>
      <c r="AN742" s="27" t="s">
        <v>5</v>
      </c>
      <c r="AO742" s="27">
        <v>0</v>
      </c>
      <c r="AP742" s="27">
        <v>0</v>
      </c>
      <c r="AQ742" s="27">
        <v>0</v>
      </c>
      <c r="AR742" s="27">
        <f>SUM(AO742:AQ742)</f>
        <v>0</v>
      </c>
      <c r="AS742" s="27"/>
      <c r="AT742" s="27"/>
      <c r="AU742" s="84"/>
      <c r="AV742" s="77"/>
      <c r="AW742" s="77"/>
      <c r="AX742" s="77"/>
      <c r="AY742" s="77"/>
      <c r="AZ742" s="77"/>
      <c r="BA742" s="77"/>
      <c r="BB742" s="77"/>
      <c r="BC742" s="77"/>
      <c r="BD742" s="77"/>
      <c r="BE742" s="77"/>
      <c r="BF742" s="77"/>
      <c r="BG742" s="77"/>
      <c r="BH742" s="77"/>
      <c r="BI742" s="77"/>
      <c r="BJ742" s="77"/>
      <c r="BK742" s="77"/>
      <c r="BL742" s="77"/>
      <c r="BM742" s="77"/>
      <c r="BN742" s="77"/>
      <c r="BO742" s="77"/>
      <c r="BP742" s="77"/>
      <c r="BQ742" s="77"/>
      <c r="BR742" s="77"/>
      <c r="BS742" s="77"/>
      <c r="BT742" s="77"/>
      <c r="BU742" s="77"/>
      <c r="BV742" s="77"/>
      <c r="BW742" s="77"/>
      <c r="BX742" s="77"/>
      <c r="BY742" s="77"/>
      <c r="BZ742" s="77"/>
      <c r="CA742" s="77"/>
      <c r="CB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7"/>
      <c r="DV742" s="77"/>
      <c r="DW742" s="77"/>
      <c r="DX742" s="77"/>
      <c r="DY742" s="77"/>
      <c r="DZ742" s="77"/>
      <c r="EA742" s="77"/>
      <c r="EB742" s="77"/>
      <c r="EC742" s="77"/>
      <c r="ED742" s="77"/>
      <c r="EE742" s="77"/>
      <c r="EF742" s="77"/>
      <c r="EG742" s="77"/>
      <c r="EH742" s="77"/>
      <c r="EI742" s="77"/>
      <c r="EJ742" s="77"/>
      <c r="EK742" s="77"/>
      <c r="EL742" s="77"/>
      <c r="EM742" s="77"/>
      <c r="EN742" s="77"/>
      <c r="EO742" s="77"/>
      <c r="EP742" s="77"/>
      <c r="EQ742" s="77"/>
      <c r="ER742" s="77"/>
      <c r="ES742" s="77"/>
      <c r="ET742" s="77"/>
      <c r="EU742" s="77"/>
      <c r="EV742" s="77"/>
      <c r="EW742" s="77"/>
      <c r="EX742" s="77"/>
      <c r="EY742" s="77"/>
      <c r="EZ742" s="77"/>
      <c r="FA742" s="77"/>
      <c r="FB742" s="77"/>
      <c r="FC742" s="77"/>
      <c r="FD742" s="77"/>
      <c r="FE742" s="77"/>
      <c r="FF742" s="77"/>
      <c r="FG742" s="77"/>
      <c r="FH742" s="77"/>
      <c r="FI742" s="77"/>
      <c r="FJ742" s="77"/>
      <c r="FK742" s="77"/>
      <c r="FL742" s="77"/>
      <c r="FM742" s="77"/>
      <c r="FN742" s="77"/>
      <c r="FO742" s="77"/>
      <c r="FP742" s="77"/>
      <c r="FQ742" s="77"/>
      <c r="FR742" s="77"/>
      <c r="FS742" s="77"/>
      <c r="FT742" s="77"/>
      <c r="FU742" s="77"/>
      <c r="FV742" s="77"/>
      <c r="FW742" s="77"/>
      <c r="FX742" s="77"/>
      <c r="FY742" s="77"/>
      <c r="FZ742" s="77"/>
      <c r="GA742" s="77"/>
      <c r="GB742" s="77"/>
      <c r="GC742" s="77"/>
      <c r="GD742" s="77"/>
      <c r="GE742" s="77"/>
      <c r="GF742" s="77"/>
      <c r="GG742" s="77"/>
      <c r="GH742" s="77"/>
      <c r="GI742" s="77"/>
      <c r="GJ742" s="77"/>
      <c r="GK742" s="77"/>
      <c r="GL742" s="77"/>
      <c r="GM742" s="77"/>
      <c r="GN742" s="77"/>
      <c r="GO742" s="77"/>
      <c r="GP742" s="77"/>
      <c r="GQ742" s="77"/>
      <c r="GR742" s="77"/>
      <c r="GS742" s="77"/>
      <c r="GT742" s="77"/>
      <c r="GU742" s="77"/>
      <c r="GV742" s="77"/>
      <c r="GW742" s="77"/>
      <c r="GX742" s="77"/>
      <c r="GY742" s="77"/>
      <c r="GZ742" s="77"/>
      <c r="HA742" s="77"/>
      <c r="HB742" s="77"/>
      <c r="HC742" s="77"/>
      <c r="HD742" s="77"/>
      <c r="HE742" s="77"/>
      <c r="HF742" s="77"/>
      <c r="HG742" s="77"/>
      <c r="HH742" s="77"/>
      <c r="HI742" s="77"/>
      <c r="HJ742" s="77"/>
      <c r="HK742" s="77"/>
      <c r="HL742" s="77"/>
      <c r="HM742" s="77"/>
      <c r="HN742" s="77"/>
      <c r="HO742" s="77"/>
      <c r="HP742" s="77"/>
      <c r="HQ742" s="77"/>
      <c r="HR742" s="77"/>
      <c r="HS742" s="77"/>
      <c r="HT742" s="77"/>
      <c r="HU742" s="77"/>
      <c r="HV742" s="77"/>
      <c r="HW742" s="77"/>
      <c r="HX742" s="77"/>
      <c r="HY742" s="77"/>
      <c r="HZ742" s="77"/>
      <c r="IA742" s="77"/>
      <c r="IB742" s="77"/>
      <c r="IC742" s="77"/>
      <c r="ID742" s="77"/>
      <c r="IE742" s="77"/>
      <c r="IF742" s="77"/>
      <c r="IG742" s="77"/>
      <c r="IH742" s="77"/>
      <c r="II742" s="77"/>
      <c r="IJ742" s="77"/>
      <c r="IK742" s="77"/>
      <c r="IL742" s="77"/>
      <c r="IM742" s="77"/>
      <c r="IN742" s="77"/>
      <c r="IO742" s="77"/>
      <c r="IP742" s="77"/>
      <c r="IQ742" s="77"/>
      <c r="IR742" s="77"/>
      <c r="IS742" s="77"/>
      <c r="IT742" s="77"/>
      <c r="IU742" s="77"/>
      <c r="IV742" s="77"/>
      <c r="IW742" s="77"/>
      <c r="IX742" s="77"/>
      <c r="IY742" s="77"/>
      <c r="IZ742" s="77"/>
      <c r="JA742" s="77"/>
      <c r="JB742" s="77"/>
      <c r="JC742" s="77"/>
      <c r="JD742" s="77"/>
      <c r="JE742" s="77"/>
      <c r="JF742" s="77"/>
      <c r="JG742" s="77"/>
      <c r="JH742" s="77"/>
      <c r="JI742" s="77"/>
      <c r="JJ742" s="77"/>
      <c r="JK742" s="77"/>
      <c r="JL742" s="77"/>
      <c r="JM742" s="77"/>
      <c r="JN742" s="77"/>
      <c r="JO742" s="77"/>
      <c r="JP742" s="77"/>
      <c r="JQ742" s="77"/>
      <c r="JR742" s="77"/>
      <c r="JS742" s="77"/>
      <c r="JT742" s="77"/>
      <c r="JU742" s="77"/>
      <c r="JV742" s="77"/>
      <c r="JW742" s="77"/>
      <c r="JX742" s="77"/>
      <c r="KM742" s="77"/>
      <c r="KN742" s="77"/>
      <c r="KO742" s="77"/>
      <c r="KP742" s="77"/>
      <c r="KQ742" s="77"/>
      <c r="KR742" s="77"/>
      <c r="KS742" s="77"/>
      <c r="KT742" s="77"/>
      <c r="KU742" s="77"/>
      <c r="KV742" s="77"/>
      <c r="KW742" s="77"/>
      <c r="KX742" s="77"/>
      <c r="KY742" s="77"/>
      <c r="KZ742" s="77"/>
      <c r="LA742" s="77"/>
      <c r="LB742" s="77"/>
      <c r="LC742" s="77"/>
      <c r="LD742" s="77"/>
      <c r="LE742" s="77"/>
      <c r="LF742" s="77"/>
      <c r="LG742" s="77"/>
      <c r="LH742" s="77"/>
      <c r="LI742" s="77"/>
      <c r="LJ742" s="77"/>
      <c r="LK742" s="77"/>
      <c r="LL742" s="77"/>
      <c r="LM742" s="77"/>
      <c r="LN742" s="77"/>
      <c r="LO742" s="77"/>
      <c r="LP742" s="77"/>
      <c r="LQ742" s="77"/>
      <c r="LR742" s="77"/>
      <c r="LS742" s="77"/>
      <c r="LT742" s="77"/>
      <c r="LU742" s="77"/>
      <c r="LV742" s="77"/>
      <c r="LW742" s="77"/>
      <c r="LX742" s="77"/>
      <c r="ND742" s="77"/>
    </row>
    <row r="743" spans="1:421" s="21" customFormat="1" ht="18.600000000000001" customHeight="1" x14ac:dyDescent="0.25">
      <c r="A743" s="119" t="s">
        <v>24</v>
      </c>
      <c r="B743" s="27" t="s">
        <v>822</v>
      </c>
      <c r="C743" s="27"/>
      <c r="D743" s="30" t="str">
        <f>HYPERLINK("https://twitter.com/PRIMATURERCA","https://twitter.com/PRIMATURERCA")</f>
        <v>https://twitter.com/PRIMATURERCA</v>
      </c>
      <c r="E743" s="30" t="s">
        <v>819</v>
      </c>
      <c r="F743" s="20" t="s">
        <v>1</v>
      </c>
      <c r="G743" s="10" t="s">
        <v>21</v>
      </c>
      <c r="H743" s="10" t="s">
        <v>788</v>
      </c>
      <c r="I743" s="10" t="s">
        <v>782</v>
      </c>
      <c r="J743" s="27" t="s">
        <v>779</v>
      </c>
      <c r="K743" s="10" t="s">
        <v>823</v>
      </c>
      <c r="L743" s="10" t="s">
        <v>771</v>
      </c>
      <c r="M743" s="10" t="s">
        <v>771</v>
      </c>
      <c r="N743" s="30" t="str">
        <f>HYPERLINK("https://twitter.com/PRIMATURERCA/status/522117815139311618","https://twitter.com/PRIMATURERCA/status/522117815139311618")</f>
        <v>https://twitter.com/PRIMATURERCA/status/522117815139311618</v>
      </c>
      <c r="O743" s="27" t="s">
        <v>6055</v>
      </c>
      <c r="P743" s="80">
        <v>0</v>
      </c>
      <c r="Q743" s="80">
        <v>1</v>
      </c>
      <c r="R743" s="27" t="s">
        <v>2995</v>
      </c>
      <c r="S743" s="30" t="str">
        <f>HYPERLINK("https://twitter.com/PRIMATURERCA/lists","https://twitter.com/PRIMATURERCA/lists")</f>
        <v>https://twitter.com/PRIMATURERCA/lists</v>
      </c>
      <c r="T743" s="10" t="s">
        <v>771</v>
      </c>
      <c r="U743" s="10" t="s">
        <v>771</v>
      </c>
      <c r="V743" s="10" t="s">
        <v>771</v>
      </c>
      <c r="W743" s="10"/>
      <c r="X743" s="27" t="s">
        <v>24</v>
      </c>
      <c r="Y743" s="27" t="s">
        <v>822</v>
      </c>
      <c r="Z743" s="80">
        <v>5</v>
      </c>
      <c r="AA743" s="27">
        <v>39</v>
      </c>
      <c r="AB743" s="80">
        <v>8</v>
      </c>
      <c r="AC743" s="27">
        <v>0</v>
      </c>
      <c r="AD743" s="27" t="s">
        <v>4380</v>
      </c>
      <c r="AE743" s="27">
        <v>2855924827</v>
      </c>
      <c r="AF743" s="27"/>
      <c r="AG743" s="27"/>
      <c r="AH743" s="79">
        <v>8.8495575221238902E-3</v>
      </c>
      <c r="AI743" s="83">
        <v>0.13157894736842099</v>
      </c>
      <c r="AJ743" s="80">
        <v>0</v>
      </c>
      <c r="AK743" s="80">
        <v>0.4</v>
      </c>
      <c r="AL743" s="13">
        <v>0</v>
      </c>
      <c r="AM743" s="97">
        <f>SUM(AL743/Z743)</f>
        <v>0</v>
      </c>
      <c r="AN743" s="27" t="s">
        <v>24</v>
      </c>
      <c r="AO743" s="27">
        <v>1</v>
      </c>
      <c r="AP743" s="27">
        <v>0</v>
      </c>
      <c r="AQ743" s="27">
        <v>0</v>
      </c>
      <c r="AR743" s="27">
        <f>SUM(AO743:AQ743)</f>
        <v>1</v>
      </c>
      <c r="AS743" s="27" t="s">
        <v>400</v>
      </c>
      <c r="AT743" s="27"/>
      <c r="AU743" s="84"/>
      <c r="AV743" s="77"/>
      <c r="AW743" s="77"/>
      <c r="AX743" s="77"/>
      <c r="AY743" s="77"/>
      <c r="AZ743" s="77"/>
      <c r="BA743" s="77"/>
      <c r="BB743" s="77"/>
      <c r="BC743" s="77"/>
      <c r="BD743" s="77"/>
      <c r="BE743" s="77"/>
      <c r="BF743" s="77"/>
      <c r="BG743" s="77"/>
      <c r="BH743" s="77"/>
      <c r="BI743" s="77"/>
      <c r="BJ743" s="77"/>
      <c r="BK743" s="77"/>
      <c r="BL743" s="77"/>
      <c r="BM743" s="77"/>
      <c r="BN743" s="77"/>
      <c r="BO743" s="77"/>
      <c r="BP743" s="77"/>
      <c r="BQ743" s="77"/>
      <c r="BR743" s="77"/>
      <c r="BS743" s="77"/>
      <c r="BT743" s="77"/>
      <c r="BU743" s="77"/>
      <c r="BV743" s="77"/>
      <c r="BW743" s="77"/>
      <c r="BX743" s="77"/>
      <c r="BY743" s="77"/>
      <c r="BZ743" s="77"/>
      <c r="CA743" s="77"/>
      <c r="CB743" s="77"/>
      <c r="CC743" s="77"/>
      <c r="CD743" s="77"/>
      <c r="CE743" s="77"/>
      <c r="CF743" s="77"/>
      <c r="CG743" s="77"/>
      <c r="CH743" s="77"/>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7"/>
      <c r="DV743" s="77"/>
      <c r="DW743" s="77"/>
      <c r="DX743" s="77"/>
      <c r="DY743" s="77"/>
      <c r="DZ743" s="77"/>
      <c r="EA743" s="77"/>
      <c r="EB743" s="77"/>
      <c r="EC743" s="77"/>
      <c r="ED743" s="77"/>
      <c r="EE743" s="77"/>
      <c r="EF743" s="77"/>
      <c r="EG743" s="77"/>
      <c r="EH743" s="77"/>
      <c r="EI743" s="77"/>
      <c r="EJ743" s="77"/>
      <c r="EK743" s="77"/>
      <c r="EL743" s="77"/>
      <c r="EM743" s="77"/>
      <c r="EN743" s="77"/>
      <c r="EO743" s="77"/>
      <c r="EP743" s="77"/>
      <c r="EQ743" s="77"/>
      <c r="ER743" s="16"/>
      <c r="ES743" s="16"/>
      <c r="ET743" s="16"/>
      <c r="EU743" s="16"/>
      <c r="EV743" s="16"/>
      <c r="EW743" s="16"/>
      <c r="EX743" s="16"/>
      <c r="EY743" s="16"/>
      <c r="EZ743" s="16"/>
      <c r="FA743" s="16"/>
      <c r="FB743" s="16"/>
      <c r="FC743" s="16"/>
      <c r="FD743" s="16"/>
      <c r="FE743" s="16"/>
      <c r="FF743" s="16"/>
      <c r="FG743" s="16"/>
      <c r="FH743" s="16"/>
      <c r="FI743" s="16"/>
      <c r="FJ743" s="16"/>
      <c r="FK743" s="16"/>
      <c r="FL743" s="16"/>
      <c r="FM743" s="16"/>
      <c r="FN743" s="16"/>
      <c r="FO743" s="16"/>
      <c r="FP743" s="16"/>
      <c r="FQ743" s="16"/>
      <c r="FR743" s="16"/>
      <c r="FS743" s="16"/>
      <c r="FT743" s="16"/>
      <c r="FU743" s="16"/>
      <c r="FV743" s="16"/>
      <c r="FW743" s="16"/>
      <c r="FX743" s="16"/>
      <c r="FY743" s="16"/>
      <c r="FZ743" s="16"/>
      <c r="GA743" s="16"/>
      <c r="GB743" s="16"/>
      <c r="GC743" s="16"/>
      <c r="GD743" s="16"/>
      <c r="GE743" s="16"/>
      <c r="GF743" s="16"/>
      <c r="GG743" s="16"/>
      <c r="GH743" s="16"/>
      <c r="GI743" s="16"/>
      <c r="GJ743" s="16"/>
      <c r="GK743" s="16"/>
      <c r="GL743" s="77"/>
      <c r="GM743" s="77"/>
      <c r="GN743" s="77"/>
      <c r="GO743" s="77"/>
      <c r="GP743" s="77"/>
      <c r="GQ743" s="77"/>
      <c r="GR743" s="77"/>
      <c r="GS743" s="77"/>
      <c r="GT743" s="77"/>
      <c r="GU743" s="77"/>
      <c r="GV743" s="77"/>
      <c r="GW743" s="77"/>
      <c r="GX743" s="77"/>
      <c r="GY743" s="77"/>
      <c r="GZ743" s="77"/>
      <c r="HA743" s="77"/>
      <c r="HB743" s="77"/>
      <c r="HC743" s="77"/>
      <c r="HD743" s="77"/>
      <c r="HE743" s="77"/>
      <c r="HF743" s="77"/>
      <c r="HG743" s="77"/>
      <c r="HH743" s="77"/>
      <c r="HI743" s="77"/>
      <c r="HJ743" s="77"/>
      <c r="HK743" s="77"/>
      <c r="IF743" s="77"/>
      <c r="IG743" s="77"/>
      <c r="IH743" s="77"/>
      <c r="II743" s="77"/>
      <c r="IJ743" s="77"/>
      <c r="IK743" s="77"/>
      <c r="IL743" s="77"/>
      <c r="IM743" s="77"/>
      <c r="IN743" s="77"/>
      <c r="IO743" s="77"/>
      <c r="IP743" s="77"/>
      <c r="IQ743" s="77"/>
      <c r="IR743" s="77"/>
      <c r="IS743" s="77"/>
      <c r="IT743" s="77"/>
      <c r="IU743" s="77"/>
      <c r="IV743" s="77"/>
      <c r="IW743" s="77"/>
      <c r="IX743" s="77"/>
      <c r="IY743" s="77"/>
      <c r="IZ743" s="77"/>
      <c r="JA743" s="77"/>
      <c r="JB743" s="77"/>
      <c r="JC743" s="77"/>
      <c r="JD743" s="77"/>
      <c r="JE743" s="77"/>
      <c r="JF743" s="77"/>
      <c r="JG743" s="77"/>
      <c r="JH743" s="77"/>
      <c r="JI743" s="77"/>
      <c r="JJ743" s="77"/>
      <c r="JK743" s="77"/>
      <c r="JL743" s="77"/>
      <c r="JM743" s="77"/>
      <c r="JN743" s="77"/>
      <c r="JO743" s="77"/>
      <c r="JP743" s="77"/>
      <c r="JQ743" s="77"/>
      <c r="JR743" s="77"/>
      <c r="JS743" s="77"/>
      <c r="JT743" s="77"/>
      <c r="JU743" s="77"/>
      <c r="JV743" s="77"/>
      <c r="JW743" s="77"/>
      <c r="JX743" s="77"/>
      <c r="JY743" s="77"/>
      <c r="JZ743" s="77"/>
      <c r="KA743" s="77"/>
      <c r="KB743" s="77"/>
      <c r="KC743" s="77"/>
      <c r="KD743" s="77"/>
      <c r="KE743" s="77"/>
      <c r="KF743" s="77"/>
      <c r="KG743" s="77"/>
      <c r="KH743" s="77"/>
      <c r="KI743" s="77"/>
      <c r="KJ743" s="77"/>
      <c r="KK743" s="77"/>
      <c r="KL743" s="77"/>
      <c r="KM743" s="77"/>
      <c r="KN743" s="77"/>
      <c r="KO743" s="77"/>
      <c r="KP743" s="77"/>
      <c r="KQ743" s="77"/>
      <c r="KR743" s="77"/>
      <c r="KS743" s="77"/>
      <c r="KT743" s="77"/>
      <c r="KU743" s="77"/>
      <c r="KV743" s="77"/>
      <c r="KW743" s="77"/>
      <c r="KX743" s="77"/>
      <c r="KY743" s="77"/>
      <c r="KZ743" s="77"/>
      <c r="LA743" s="77"/>
      <c r="LB743" s="77"/>
      <c r="LC743" s="77"/>
      <c r="LD743" s="77"/>
      <c r="LE743" s="77"/>
      <c r="LF743" s="77"/>
      <c r="LG743" s="77"/>
      <c r="LH743" s="77"/>
      <c r="LI743" s="77"/>
      <c r="LJ743" s="77"/>
      <c r="LK743" s="77"/>
      <c r="LW743" s="16"/>
      <c r="LX743" s="16"/>
      <c r="MS743" s="77"/>
    </row>
    <row r="744" spans="1:421" s="21" customFormat="1" ht="18.600000000000001" customHeight="1" x14ac:dyDescent="0.25">
      <c r="A744" s="119" t="s">
        <v>93</v>
      </c>
      <c r="B744" s="27" t="s">
        <v>1021</v>
      </c>
      <c r="C744" s="27" t="s">
        <v>4182</v>
      </c>
      <c r="D744" s="30" t="str">
        <f>HYPERLINK("https://twitter.com/namibia_mfa","https://twitter.com/namibia_mfa")</f>
        <v>https://twitter.com/namibia_mfa</v>
      </c>
      <c r="E744" s="30" t="str">
        <f>HYPERLINK("http://twiplomacy.com/info/africa/Namibia","http://twiplomacy.com/info/africa/Namibia")</f>
        <v>http://twiplomacy.com/info/africa/Namibia</v>
      </c>
      <c r="F744" s="10" t="s">
        <v>1</v>
      </c>
      <c r="G744" s="10" t="s">
        <v>91</v>
      </c>
      <c r="H744" s="10" t="s">
        <v>795</v>
      </c>
      <c r="I744" s="10" t="s">
        <v>782</v>
      </c>
      <c r="J744" s="27" t="s">
        <v>789</v>
      </c>
      <c r="K744" s="15" t="s">
        <v>1022</v>
      </c>
      <c r="L744" s="10" t="s">
        <v>771</v>
      </c>
      <c r="M744" s="10" t="s">
        <v>770</v>
      </c>
      <c r="N744" s="30" t="s">
        <v>3119</v>
      </c>
      <c r="O744" s="27" t="s">
        <v>5985</v>
      </c>
      <c r="P744" s="80">
        <v>0</v>
      </c>
      <c r="Q744" s="80">
        <v>0</v>
      </c>
      <c r="R744" s="27" t="s">
        <v>2995</v>
      </c>
      <c r="S744" s="12" t="str">
        <f>HYPERLINK("https://twitter.com/hagegeingob/lists","https://twitter.com/namibia_mfa/lists")</f>
        <v>https://twitter.com/namibia_mfa/lists</v>
      </c>
      <c r="T744" s="10" t="s">
        <v>771</v>
      </c>
      <c r="U744" s="10" t="s">
        <v>771</v>
      </c>
      <c r="V744" s="10" t="s">
        <v>771</v>
      </c>
      <c r="W744" s="10"/>
      <c r="X744" s="27" t="s">
        <v>93</v>
      </c>
      <c r="Y744" s="27" t="s">
        <v>1021</v>
      </c>
      <c r="Z744" s="80">
        <v>5</v>
      </c>
      <c r="AA744" s="27">
        <v>39</v>
      </c>
      <c r="AB744" s="80">
        <v>79</v>
      </c>
      <c r="AC744" s="27">
        <v>0</v>
      </c>
      <c r="AD744" s="27" t="s">
        <v>4183</v>
      </c>
      <c r="AE744" s="27">
        <v>3294598065</v>
      </c>
      <c r="AF744" s="27" t="s">
        <v>4182</v>
      </c>
      <c r="AG744" s="27" t="s">
        <v>4184</v>
      </c>
      <c r="AH744" s="79">
        <v>1.4492753623188401E-2</v>
      </c>
      <c r="AI744" s="83">
        <v>2.5</v>
      </c>
      <c r="AJ744" s="80">
        <v>0</v>
      </c>
      <c r="AK744" s="80">
        <v>0</v>
      </c>
      <c r="AL744" s="13">
        <v>0</v>
      </c>
      <c r="AM744" s="97">
        <f>SUM(AL744/Z744)</f>
        <v>0</v>
      </c>
      <c r="AN744" s="27" t="s">
        <v>93</v>
      </c>
      <c r="AO744" s="27">
        <v>18</v>
      </c>
      <c r="AP744" s="27">
        <v>5</v>
      </c>
      <c r="AQ744" s="27">
        <v>0</v>
      </c>
      <c r="AR744" s="27">
        <f>SUM(AO744:AQ744)</f>
        <v>23</v>
      </c>
      <c r="AS744" s="27" t="s">
        <v>5359</v>
      </c>
      <c r="AT744" s="27" t="s">
        <v>5360</v>
      </c>
      <c r="AU744" s="84"/>
      <c r="AV744" s="77"/>
      <c r="AW744" s="77"/>
      <c r="AX744" s="77"/>
      <c r="AY744" s="77"/>
      <c r="AZ744" s="77"/>
      <c r="BA744" s="77"/>
      <c r="BB744" s="77"/>
      <c r="BC744" s="77"/>
      <c r="BD744" s="77"/>
      <c r="BE744" s="77"/>
      <c r="BF744" s="77"/>
      <c r="BG744" s="77"/>
      <c r="BH744" s="77"/>
      <c r="BI744" s="77"/>
      <c r="BJ744" s="77"/>
      <c r="BK744" s="77"/>
      <c r="BL744" s="77"/>
      <c r="BM744" s="77"/>
      <c r="BN744" s="77"/>
      <c r="BO744" s="77"/>
      <c r="BP744" s="77"/>
      <c r="BQ744" s="77"/>
      <c r="BR744" s="77"/>
      <c r="BS744" s="77"/>
      <c r="BT744" s="77"/>
      <c r="BU744" s="77"/>
      <c r="BV744" s="77"/>
      <c r="BW744" s="77"/>
      <c r="BX744" s="77"/>
      <c r="BY744" s="77"/>
      <c r="BZ744" s="77"/>
      <c r="CA744" s="77"/>
      <c r="CB744" s="77"/>
      <c r="CC744" s="77"/>
      <c r="CD744" s="77"/>
      <c r="CE744" s="77"/>
      <c r="CF744" s="77"/>
      <c r="CG744" s="77"/>
      <c r="CH744" s="77"/>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7"/>
      <c r="DV744" s="77"/>
      <c r="DW744" s="77"/>
      <c r="DX744" s="77"/>
      <c r="DY744" s="77"/>
      <c r="DZ744" s="77"/>
      <c r="EA744" s="77"/>
      <c r="EB744" s="77"/>
      <c r="EC744" s="77"/>
      <c r="ED744" s="77"/>
      <c r="EE744" s="77"/>
      <c r="EF744" s="77"/>
      <c r="EG744" s="77"/>
      <c r="EH744" s="77"/>
      <c r="EI744" s="77"/>
      <c r="EJ744" s="77"/>
      <c r="EK744" s="77"/>
      <c r="EL744" s="77"/>
      <c r="EP744" s="77"/>
      <c r="EQ744" s="77"/>
      <c r="ER744" s="77"/>
      <c r="ES744" s="77"/>
      <c r="ET744" s="77"/>
      <c r="EU744" s="77"/>
      <c r="EV744" s="77"/>
      <c r="EW744" s="77"/>
      <c r="EX744" s="77"/>
      <c r="EY744" s="77"/>
      <c r="EZ744" s="77"/>
      <c r="FA744" s="77"/>
      <c r="FB744" s="77"/>
      <c r="FC744" s="77"/>
      <c r="FD744" s="77"/>
      <c r="FE744" s="77"/>
      <c r="FF744" s="77"/>
      <c r="FG744" s="77"/>
      <c r="FH744" s="77"/>
      <c r="FI744" s="77"/>
      <c r="FJ744" s="77"/>
      <c r="FK744" s="77"/>
      <c r="FL744" s="77"/>
      <c r="FM744" s="77"/>
      <c r="FN744" s="77"/>
      <c r="FO744" s="77"/>
      <c r="FP744" s="77"/>
      <c r="FQ744" s="77"/>
      <c r="FR744" s="77"/>
      <c r="FS744" s="77"/>
      <c r="FT744" s="77"/>
      <c r="FU744" s="77"/>
      <c r="FV744" s="77"/>
      <c r="FW744" s="77"/>
      <c r="FX744" s="77"/>
      <c r="FY744" s="77"/>
      <c r="FZ744" s="77"/>
      <c r="GA744" s="77"/>
      <c r="GB744" s="77"/>
      <c r="GC744" s="77"/>
      <c r="GD744" s="77"/>
      <c r="GE744" s="77"/>
      <c r="GF744" s="77"/>
      <c r="GG744" s="77"/>
      <c r="GH744" s="77"/>
      <c r="GI744" s="77"/>
      <c r="GJ744" s="77"/>
      <c r="GK744" s="77"/>
      <c r="GL744" s="77"/>
      <c r="GM744" s="77"/>
      <c r="GN744" s="77"/>
      <c r="GO744" s="77"/>
      <c r="GP744" s="77"/>
      <c r="GQ744" s="77"/>
      <c r="GR744" s="77"/>
      <c r="GS744" s="77"/>
      <c r="GT744" s="77"/>
      <c r="GU744" s="77"/>
      <c r="GV744" s="77"/>
      <c r="GW744" s="77"/>
      <c r="GX744" s="77"/>
      <c r="GY744" s="77"/>
      <c r="GZ744" s="77"/>
      <c r="HA744" s="77"/>
      <c r="HB744" s="77"/>
      <c r="HC744" s="77"/>
      <c r="HD744" s="77"/>
      <c r="HE744" s="77"/>
      <c r="HF744" s="77"/>
      <c r="HG744" s="77"/>
      <c r="HH744" s="77"/>
      <c r="HI744" s="77"/>
      <c r="HJ744" s="77"/>
      <c r="HK744" s="77"/>
      <c r="ID744" s="77"/>
      <c r="IE744" s="77"/>
      <c r="LW744" s="77"/>
      <c r="LX744" s="77"/>
      <c r="LY744" s="77"/>
      <c r="LZ744" s="77"/>
      <c r="MA744" s="77"/>
      <c r="MB744" s="77"/>
      <c r="MC744" s="77"/>
      <c r="MD744" s="77"/>
      <c r="ME744" s="77"/>
      <c r="MF744" s="77"/>
      <c r="MG744" s="77"/>
      <c r="MH744" s="77"/>
      <c r="MI744" s="77"/>
      <c r="MJ744" s="77"/>
      <c r="MK744" s="77"/>
      <c r="ML744" s="77"/>
      <c r="MM744" s="77"/>
      <c r="MN744" s="77"/>
      <c r="MO744" s="77"/>
      <c r="MP744" s="77"/>
      <c r="MQ744" s="77"/>
      <c r="MR744" s="77"/>
    </row>
    <row r="745" spans="1:421" s="21" customFormat="1" ht="18.600000000000001" customHeight="1" x14ac:dyDescent="0.25">
      <c r="A745" s="119" t="s">
        <v>2843</v>
      </c>
      <c r="B745" s="27" t="s">
        <v>2844</v>
      </c>
      <c r="C745" s="27" t="s">
        <v>2845</v>
      </c>
      <c r="D745" s="30" t="str">
        <f>HYPERLINK("https://twitter.com/RobertFico","https://twitter.com/RobertFico")</f>
        <v>https://twitter.com/RobertFico</v>
      </c>
      <c r="E745" s="30" t="str">
        <f>HYPERLINK("http://twiplomacy.com/info/europe/Slovakia","http://twiplomacy.com/info/europe/Slovakia")</f>
        <v>http://twiplomacy.com/info/europe/Slovakia</v>
      </c>
      <c r="F745" s="10" t="s">
        <v>332</v>
      </c>
      <c r="G745" s="10" t="s">
        <v>514</v>
      </c>
      <c r="H745" s="10" t="s">
        <v>776</v>
      </c>
      <c r="I745" s="10" t="s">
        <v>773</v>
      </c>
      <c r="J745" s="27" t="s">
        <v>789</v>
      </c>
      <c r="K745" s="15" t="s">
        <v>2846</v>
      </c>
      <c r="L745" s="10" t="s">
        <v>771</v>
      </c>
      <c r="M745" s="10" t="s">
        <v>771</v>
      </c>
      <c r="N745" s="30" t="str">
        <f>HYPERLINK("https://twitter.com/RobertFico/statuses/6345893241","https://twitter.com/RobertFico/statuses/6345893241")</f>
        <v>https://twitter.com/RobertFico/statuses/6345893241</v>
      </c>
      <c r="O745" s="27" t="s">
        <v>2847</v>
      </c>
      <c r="P745" s="80">
        <v>3</v>
      </c>
      <c r="Q745" s="80">
        <v>3</v>
      </c>
      <c r="R745" s="27" t="s">
        <v>2995</v>
      </c>
      <c r="S745" s="10" t="s">
        <v>2848</v>
      </c>
      <c r="T745" s="10" t="s">
        <v>771</v>
      </c>
      <c r="U745" s="10" t="s">
        <v>771</v>
      </c>
      <c r="V745" s="10" t="s">
        <v>771</v>
      </c>
      <c r="W745" s="10"/>
      <c r="X745" s="27" t="s">
        <v>2843</v>
      </c>
      <c r="Y745" s="27" t="s">
        <v>2844</v>
      </c>
      <c r="Z745" s="80">
        <v>5</v>
      </c>
      <c r="AA745" s="27">
        <v>8</v>
      </c>
      <c r="AB745" s="80">
        <v>1074</v>
      </c>
      <c r="AC745" s="27">
        <v>0</v>
      </c>
      <c r="AD745" s="27" t="s">
        <v>4422</v>
      </c>
      <c r="AE745" s="27">
        <v>88427076</v>
      </c>
      <c r="AF745" s="27" t="s">
        <v>2845</v>
      </c>
      <c r="AG745" s="27" t="s">
        <v>2200</v>
      </c>
      <c r="AH745" s="79">
        <v>2.11237853823405E-3</v>
      </c>
      <c r="AI745" s="83">
        <v>2.5</v>
      </c>
      <c r="AJ745" s="80">
        <v>2.2000000000000002</v>
      </c>
      <c r="AK745" s="80">
        <v>5.6</v>
      </c>
      <c r="AL745" s="13">
        <v>0</v>
      </c>
      <c r="AM745" s="97">
        <f>SUM(AL745/Z745)</f>
        <v>0</v>
      </c>
      <c r="AN745" s="27" t="s">
        <v>2843</v>
      </c>
      <c r="AO745" s="27">
        <v>4</v>
      </c>
      <c r="AP745" s="27">
        <v>3</v>
      </c>
      <c r="AQ745" s="27">
        <v>0</v>
      </c>
      <c r="AR745" s="27">
        <f>SUM(AO745:AQ745)</f>
        <v>7</v>
      </c>
      <c r="AS745" s="27" t="s">
        <v>6254</v>
      </c>
      <c r="AT745" s="27" t="s">
        <v>6339</v>
      </c>
      <c r="AU745" s="84"/>
      <c r="AV745" s="77"/>
      <c r="AW745" s="77"/>
      <c r="AX745" s="77"/>
      <c r="AY745" s="77"/>
      <c r="AZ745" s="77"/>
      <c r="BA745" s="77"/>
      <c r="BB745" s="77"/>
      <c r="BC745" s="77"/>
      <c r="BD745" s="77"/>
      <c r="BE745" s="77"/>
      <c r="BF745" s="77"/>
      <c r="BG745" s="77"/>
      <c r="BH745" s="77"/>
      <c r="BI745" s="77"/>
      <c r="BJ745" s="77"/>
      <c r="BK745" s="77"/>
      <c r="BL745" s="77"/>
      <c r="BM745" s="77"/>
      <c r="BN745" s="77"/>
      <c r="BO745" s="77"/>
      <c r="BP745" s="77"/>
      <c r="BQ745" s="77"/>
      <c r="BR745" s="77"/>
      <c r="BS745" s="77"/>
      <c r="BT745" s="77"/>
      <c r="BU745" s="77"/>
      <c r="BV745" s="77"/>
      <c r="BW745" s="77"/>
      <c r="BX745" s="77"/>
      <c r="BY745" s="77"/>
      <c r="BZ745" s="77"/>
      <c r="CA745" s="77"/>
      <c r="CB745" s="77"/>
      <c r="CC745" s="77"/>
      <c r="CD745" s="77"/>
      <c r="CE745" s="77"/>
      <c r="CF745" s="77"/>
      <c r="CG745" s="77"/>
      <c r="CH745" s="77"/>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7"/>
      <c r="DV745" s="77"/>
      <c r="DW745" s="77"/>
      <c r="DX745" s="77"/>
      <c r="DY745" s="77"/>
      <c r="DZ745" s="77"/>
      <c r="EA745" s="77"/>
      <c r="EB745" s="77"/>
      <c r="EC745" s="77"/>
      <c r="ED745" s="77"/>
      <c r="EE745" s="77"/>
      <c r="EF745" s="77"/>
      <c r="EG745" s="77"/>
      <c r="EH745" s="77"/>
      <c r="EI745" s="77"/>
      <c r="EJ745" s="77"/>
      <c r="EK745" s="77"/>
      <c r="EL745" s="77"/>
      <c r="EM745" s="16"/>
      <c r="EN745" s="16"/>
      <c r="EO745" s="16"/>
      <c r="EP745" s="77"/>
      <c r="ER745" s="77"/>
      <c r="ES745" s="77"/>
      <c r="ET745" s="77"/>
      <c r="EU745" s="77"/>
      <c r="EV745" s="77"/>
      <c r="EW745" s="77"/>
      <c r="EX745" s="77"/>
      <c r="EY745" s="77"/>
      <c r="EZ745" s="77"/>
      <c r="FA745" s="77"/>
      <c r="FB745" s="77"/>
      <c r="FC745" s="77"/>
      <c r="FD745" s="77"/>
      <c r="FE745" s="77"/>
      <c r="FF745" s="77"/>
      <c r="FG745" s="77"/>
      <c r="FH745" s="77"/>
      <c r="FI745" s="77"/>
      <c r="FJ745" s="77"/>
      <c r="FK745" s="77"/>
      <c r="FL745" s="77"/>
      <c r="FM745" s="77"/>
      <c r="FN745" s="77"/>
      <c r="FO745" s="77"/>
      <c r="FP745" s="77"/>
      <c r="FQ745" s="77"/>
      <c r="FR745" s="77"/>
      <c r="FS745" s="77"/>
      <c r="FT745" s="77"/>
      <c r="FU745" s="77"/>
      <c r="FV745" s="77"/>
      <c r="FW745" s="77"/>
      <c r="FX745" s="77"/>
      <c r="FY745" s="77"/>
      <c r="FZ745" s="77"/>
      <c r="GA745" s="77"/>
      <c r="GB745" s="77"/>
      <c r="GC745" s="77"/>
      <c r="GD745" s="77"/>
      <c r="GE745" s="77"/>
      <c r="GF745" s="77"/>
      <c r="GG745" s="77"/>
      <c r="GH745" s="77"/>
      <c r="GI745" s="77"/>
      <c r="GJ745" s="77"/>
      <c r="GK745" s="77"/>
      <c r="GL745" s="77"/>
      <c r="GM745" s="77"/>
      <c r="GN745" s="77"/>
      <c r="GO745" s="77"/>
      <c r="GP745" s="77"/>
      <c r="GQ745" s="77"/>
      <c r="GR745" s="77"/>
      <c r="GS745" s="77"/>
      <c r="GT745" s="77"/>
      <c r="GU745" s="77"/>
      <c r="GV745" s="77"/>
      <c r="GW745" s="77"/>
      <c r="GX745" s="77"/>
      <c r="GY745" s="77"/>
      <c r="GZ745" s="77"/>
      <c r="HA745" s="77"/>
      <c r="HB745" s="77"/>
      <c r="HC745" s="77"/>
      <c r="HD745" s="77"/>
      <c r="HE745" s="77"/>
      <c r="HF745" s="77"/>
      <c r="HG745" s="77"/>
      <c r="HH745" s="77"/>
      <c r="HI745" s="77"/>
      <c r="HJ745" s="77"/>
      <c r="HK745" s="77"/>
      <c r="HL745" s="77"/>
      <c r="HM745" s="77"/>
      <c r="HN745" s="77"/>
      <c r="HO745" s="77"/>
      <c r="HP745" s="77"/>
      <c r="HQ745" s="77"/>
      <c r="HR745" s="77"/>
      <c r="HS745" s="77"/>
      <c r="HT745" s="77"/>
      <c r="HU745" s="77"/>
      <c r="HV745" s="77"/>
      <c r="HW745" s="77"/>
      <c r="HX745" s="77"/>
      <c r="HY745" s="77"/>
      <c r="HZ745" s="77"/>
      <c r="IA745" s="77"/>
      <c r="IB745" s="77"/>
      <c r="IC745" s="77"/>
      <c r="ID745" s="77"/>
      <c r="IE745" s="77"/>
      <c r="IF745" s="77"/>
      <c r="IG745" s="77"/>
      <c r="IH745" s="77"/>
      <c r="II745" s="77"/>
      <c r="IJ745" s="77"/>
      <c r="IK745" s="77"/>
      <c r="IL745" s="77"/>
      <c r="IM745" s="77"/>
      <c r="IN745" s="77"/>
      <c r="IO745" s="77"/>
      <c r="IP745" s="77"/>
      <c r="IQ745" s="77"/>
      <c r="IR745" s="77"/>
      <c r="IS745" s="77"/>
      <c r="IT745" s="77"/>
      <c r="IU745" s="77"/>
      <c r="IV745" s="77"/>
      <c r="IW745" s="77"/>
      <c r="IX745" s="77"/>
      <c r="IY745" s="77"/>
      <c r="IZ745" s="77"/>
      <c r="JA745" s="77"/>
      <c r="JB745" s="77"/>
      <c r="JC745" s="77"/>
      <c r="JD745" s="77"/>
      <c r="JE745" s="77"/>
      <c r="JF745" s="77"/>
      <c r="JG745" s="77"/>
      <c r="JH745" s="77"/>
      <c r="JI745" s="77"/>
      <c r="JJ745" s="77"/>
      <c r="JK745" s="77"/>
      <c r="JL745" s="77"/>
      <c r="JM745" s="77"/>
      <c r="JN745" s="77"/>
      <c r="JO745" s="77"/>
      <c r="JP745" s="77"/>
      <c r="JQ745" s="77"/>
      <c r="JR745" s="77"/>
      <c r="JS745" s="77"/>
      <c r="JT745" s="77"/>
      <c r="JU745" s="77"/>
      <c r="JV745" s="77"/>
      <c r="JW745" s="77"/>
      <c r="JX745" s="77"/>
      <c r="KM745" s="77"/>
      <c r="KN745" s="77"/>
      <c r="KO745" s="77"/>
      <c r="KP745" s="77"/>
      <c r="KQ745" s="77"/>
      <c r="KR745" s="77"/>
      <c r="KS745" s="77"/>
      <c r="KT745" s="77"/>
      <c r="KU745" s="77"/>
      <c r="KV745" s="77"/>
      <c r="KW745" s="77"/>
      <c r="KX745" s="77"/>
      <c r="KY745" s="77"/>
      <c r="KZ745" s="77"/>
      <c r="LA745" s="77"/>
      <c r="LB745" s="77"/>
      <c r="LC745" s="77"/>
      <c r="LD745" s="77"/>
      <c r="LE745" s="77"/>
      <c r="LF745" s="77"/>
      <c r="LG745" s="77"/>
      <c r="LH745" s="77"/>
      <c r="LI745" s="77"/>
      <c r="LJ745" s="77"/>
      <c r="LK745" s="77"/>
      <c r="LW745" s="77"/>
      <c r="LX745" s="77"/>
    </row>
    <row r="746" spans="1:421" s="21" customFormat="1" ht="18.600000000000001" customHeight="1" x14ac:dyDescent="0.25">
      <c r="A746" s="119" t="s">
        <v>41</v>
      </c>
      <c r="B746" s="27" t="s">
        <v>867</v>
      </c>
      <c r="C746" s="27" t="s">
        <v>868</v>
      </c>
      <c r="D746" s="72" t="str">
        <f>HYPERLINK("https://twitter.com/HailemariamD","https://twitter.com/HailemariamD")</f>
        <v>https://twitter.com/HailemariamD</v>
      </c>
      <c r="E746" s="72" t="str">
        <f>HYPERLINK("http://twiplomacy.com/info/africa/Ethiopia","http://twiplomacy.com/info/africa/Ethiopia")</f>
        <v>http://twiplomacy.com/info/africa/Ethiopia</v>
      </c>
      <c r="F746" s="10" t="s">
        <v>1</v>
      </c>
      <c r="G746" s="10" t="s">
        <v>40</v>
      </c>
      <c r="H746" s="10" t="s">
        <v>776</v>
      </c>
      <c r="I746" s="10" t="s">
        <v>773</v>
      </c>
      <c r="J746" s="27" t="s">
        <v>789</v>
      </c>
      <c r="K746" s="10" t="s">
        <v>869</v>
      </c>
      <c r="L746" s="10" t="s">
        <v>771</v>
      </c>
      <c r="M746" s="10" t="s">
        <v>771</v>
      </c>
      <c r="N746" s="30" t="str">
        <f>HYPERLINK("https://twitter.com/HailemariamD/statuses/75191668583833600","https://twitter.com/HailemariamD/statuses/75191668583833600")</f>
        <v>https://twitter.com/HailemariamD/statuses/75191668583833600</v>
      </c>
      <c r="O746" s="27" t="s">
        <v>5857</v>
      </c>
      <c r="P746" s="80">
        <v>28</v>
      </c>
      <c r="Q746" s="80">
        <v>46</v>
      </c>
      <c r="R746" s="27" t="s">
        <v>2995</v>
      </c>
      <c r="S746" s="10" t="s">
        <v>870</v>
      </c>
      <c r="T746" s="10" t="s">
        <v>771</v>
      </c>
      <c r="U746" s="10" t="s">
        <v>771</v>
      </c>
      <c r="V746" s="10" t="s">
        <v>771</v>
      </c>
      <c r="W746" s="10"/>
      <c r="X746" s="27" t="s">
        <v>41</v>
      </c>
      <c r="Y746" s="27" t="s">
        <v>867</v>
      </c>
      <c r="Z746" s="80">
        <v>4</v>
      </c>
      <c r="AA746" s="27">
        <v>7</v>
      </c>
      <c r="AB746" s="80">
        <v>9615</v>
      </c>
      <c r="AC746" s="27">
        <v>0</v>
      </c>
      <c r="AD746" s="27" t="s">
        <v>3799</v>
      </c>
      <c r="AE746" s="27">
        <v>307850736</v>
      </c>
      <c r="AF746" s="27" t="s">
        <v>868</v>
      </c>
      <c r="AG746" s="27" t="s">
        <v>871</v>
      </c>
      <c r="AH746" s="79">
        <v>2.2234574763757599E-3</v>
      </c>
      <c r="AI746" s="83">
        <v>1.16279069767442E-2</v>
      </c>
      <c r="AJ746" s="80">
        <v>20.5</v>
      </c>
      <c r="AK746" s="80">
        <v>24.5</v>
      </c>
      <c r="AL746" s="13">
        <v>0</v>
      </c>
      <c r="AM746" s="97">
        <f>SUM(AL746/Z746)</f>
        <v>0</v>
      </c>
      <c r="AN746" s="27" t="s">
        <v>41</v>
      </c>
      <c r="AO746" s="27">
        <v>2</v>
      </c>
      <c r="AP746" s="27">
        <v>8</v>
      </c>
      <c r="AQ746" s="27">
        <v>0</v>
      </c>
      <c r="AR746" s="27">
        <f>SUM(AO746:AQ746)</f>
        <v>10</v>
      </c>
      <c r="AS746" s="27" t="s">
        <v>5172</v>
      </c>
      <c r="AT746" s="27" t="s">
        <v>6745</v>
      </c>
      <c r="AU746" s="84"/>
      <c r="AV746" s="77"/>
      <c r="AW746" s="77"/>
      <c r="AX746" s="77"/>
      <c r="AY746" s="77"/>
      <c r="AZ746" s="77"/>
      <c r="BA746" s="77"/>
      <c r="BB746" s="77"/>
      <c r="BC746" s="77"/>
      <c r="BD746" s="77"/>
      <c r="BE746" s="77"/>
      <c r="BF746" s="77"/>
      <c r="BG746" s="77"/>
      <c r="BH746" s="77"/>
      <c r="BI746" s="77"/>
      <c r="BJ746" s="77"/>
      <c r="BK746" s="77"/>
      <c r="BL746" s="77"/>
      <c r="BM746" s="77"/>
      <c r="BN746" s="77"/>
      <c r="BO746" s="77"/>
      <c r="BP746" s="77"/>
      <c r="BQ746" s="77"/>
      <c r="BR746" s="77"/>
      <c r="BS746" s="77"/>
      <c r="BT746" s="77"/>
      <c r="BU746" s="77"/>
      <c r="BV746" s="77"/>
      <c r="BW746" s="77"/>
      <c r="BX746" s="77"/>
      <c r="BY746" s="77"/>
      <c r="BZ746" s="77"/>
      <c r="CA746" s="77"/>
      <c r="CB746" s="77"/>
      <c r="CC746" s="77"/>
      <c r="CD746" s="77"/>
      <c r="CE746" s="77"/>
      <c r="CF746" s="77"/>
      <c r="CG746" s="77"/>
      <c r="CH746" s="77"/>
      <c r="CI746" s="77"/>
      <c r="CJ746" s="77"/>
      <c r="EM746" s="77"/>
      <c r="EN746" s="77"/>
      <c r="EO746" s="77"/>
      <c r="EP746" s="77"/>
      <c r="EQ746" s="77"/>
      <c r="ER746" s="16"/>
      <c r="ES746" s="16"/>
      <c r="ET746" s="16"/>
      <c r="EU746" s="16"/>
      <c r="EV746" s="16"/>
      <c r="EW746" s="16"/>
      <c r="EX746" s="16"/>
      <c r="EY746" s="16"/>
      <c r="EZ746" s="16"/>
      <c r="FA746" s="16"/>
      <c r="FB746" s="16"/>
      <c r="FC746" s="16"/>
      <c r="FD746" s="16"/>
      <c r="FE746" s="16"/>
      <c r="FF746" s="16"/>
      <c r="FG746" s="16"/>
      <c r="FH746" s="16"/>
      <c r="FI746" s="16"/>
      <c r="FJ746" s="16"/>
      <c r="FK746" s="16"/>
      <c r="FL746" s="16"/>
      <c r="FM746" s="16"/>
      <c r="FN746" s="16"/>
      <c r="FO746" s="16"/>
      <c r="FP746" s="16"/>
      <c r="FQ746" s="16"/>
      <c r="FR746" s="16"/>
      <c r="FS746" s="16"/>
      <c r="FT746" s="16"/>
      <c r="FU746" s="16"/>
      <c r="FV746" s="16"/>
      <c r="FW746" s="16"/>
      <c r="FX746" s="16"/>
      <c r="FY746" s="16"/>
      <c r="FZ746" s="16"/>
      <c r="GA746" s="16"/>
      <c r="GB746" s="16"/>
      <c r="GC746" s="16"/>
      <c r="GD746" s="16"/>
      <c r="GE746" s="16"/>
      <c r="GF746" s="16"/>
      <c r="GG746" s="16"/>
      <c r="GH746" s="16"/>
      <c r="GI746" s="16"/>
      <c r="GJ746" s="16"/>
      <c r="GK746" s="16"/>
      <c r="GL746" s="16"/>
      <c r="GM746" s="16"/>
      <c r="GN746" s="16"/>
      <c r="GO746" s="16"/>
      <c r="GP746" s="16"/>
      <c r="GQ746" s="16"/>
      <c r="GR746" s="16"/>
      <c r="GS746" s="16"/>
      <c r="GT746" s="16"/>
      <c r="GU746" s="16"/>
      <c r="GV746" s="16"/>
      <c r="GW746" s="16"/>
      <c r="GX746" s="16"/>
      <c r="GY746" s="16"/>
      <c r="GZ746" s="16"/>
      <c r="HA746" s="16"/>
      <c r="HB746" s="16"/>
      <c r="HC746" s="16"/>
      <c r="HD746" s="16"/>
      <c r="HE746" s="16"/>
      <c r="HF746" s="16"/>
      <c r="HG746" s="16"/>
      <c r="HH746" s="16"/>
      <c r="HI746" s="16"/>
      <c r="HJ746" s="16"/>
      <c r="HK746" s="16"/>
      <c r="ID746" s="77"/>
      <c r="IE746" s="77"/>
      <c r="IF746" s="77"/>
      <c r="IG746" s="77"/>
      <c r="IH746" s="77"/>
      <c r="II746" s="77"/>
      <c r="IJ746" s="77"/>
      <c r="IK746" s="77"/>
      <c r="IL746" s="77"/>
      <c r="IM746" s="77"/>
      <c r="IN746" s="77"/>
      <c r="IO746" s="77"/>
      <c r="IP746" s="77"/>
      <c r="IQ746" s="77"/>
      <c r="IR746" s="77"/>
      <c r="IS746" s="77"/>
      <c r="IT746" s="77"/>
      <c r="IU746" s="77"/>
      <c r="IV746" s="77"/>
      <c r="IW746" s="77"/>
      <c r="IX746" s="77"/>
      <c r="IY746" s="77"/>
      <c r="IZ746" s="77"/>
      <c r="JA746" s="77"/>
      <c r="JB746" s="77"/>
      <c r="JC746" s="77"/>
      <c r="JD746" s="77"/>
      <c r="JE746" s="77"/>
      <c r="JF746" s="77"/>
      <c r="JG746" s="77"/>
      <c r="JH746" s="77"/>
      <c r="JI746" s="77"/>
      <c r="JJ746" s="77"/>
      <c r="JK746" s="77"/>
      <c r="JL746" s="77"/>
      <c r="JM746" s="77"/>
      <c r="JN746" s="77"/>
      <c r="JO746" s="77"/>
      <c r="JP746" s="77"/>
      <c r="JQ746" s="77"/>
      <c r="JR746" s="77"/>
      <c r="JS746" s="77"/>
      <c r="JT746" s="77"/>
      <c r="JU746" s="77"/>
      <c r="JV746" s="77"/>
      <c r="JW746" s="77"/>
      <c r="JX746" s="77"/>
      <c r="JY746" s="77"/>
      <c r="JZ746" s="77"/>
      <c r="KA746" s="77"/>
      <c r="KB746" s="77"/>
      <c r="KC746" s="77"/>
      <c r="KD746" s="77"/>
      <c r="KE746" s="77"/>
      <c r="KF746" s="77"/>
      <c r="KG746" s="77"/>
      <c r="KH746" s="77"/>
      <c r="KI746" s="77"/>
      <c r="KJ746" s="77"/>
      <c r="KK746" s="77"/>
      <c r="KL746" s="77"/>
      <c r="LW746" s="77"/>
      <c r="LX746" s="77"/>
      <c r="LY746" s="77"/>
      <c r="LZ746" s="77"/>
      <c r="MA746" s="77"/>
      <c r="MB746" s="77"/>
      <c r="MC746" s="77"/>
      <c r="MD746" s="77"/>
      <c r="ME746" s="77"/>
      <c r="MF746" s="77"/>
      <c r="MG746" s="77"/>
      <c r="MH746" s="77"/>
      <c r="MI746" s="77"/>
      <c r="MJ746" s="77"/>
      <c r="MK746" s="77"/>
      <c r="ML746" s="77"/>
      <c r="MM746" s="77"/>
      <c r="MN746" s="77"/>
      <c r="MO746" s="77"/>
      <c r="MP746" s="77"/>
      <c r="MQ746" s="77"/>
      <c r="MR746" s="77"/>
      <c r="MT746" s="77"/>
      <c r="MU746" s="77"/>
      <c r="MV746" s="77"/>
      <c r="MW746" s="77"/>
      <c r="MX746" s="77"/>
      <c r="MY746" s="77"/>
      <c r="MZ746" s="77"/>
      <c r="NA746" s="77"/>
      <c r="NB746" s="77"/>
      <c r="NC746" s="77"/>
    </row>
    <row r="747" spans="1:421" s="21" customFormat="1" ht="18.600000000000001" customHeight="1" x14ac:dyDescent="0.25">
      <c r="A747" s="119" t="s">
        <v>3246</v>
      </c>
      <c r="B747" s="27" t="s">
        <v>4528</v>
      </c>
      <c r="C747" s="27"/>
      <c r="D747" s="30" t="s">
        <v>3247</v>
      </c>
      <c r="E747" s="30" t="str">
        <f>HYPERLINK("http://twiplomacy.com/info/africa/Togo","http://twiplomacy.com/info/africa/Togo")</f>
        <v>http://twiplomacy.com/info/africa/Togo</v>
      </c>
      <c r="F747" s="20" t="s">
        <v>1</v>
      </c>
      <c r="G747" s="10" t="s">
        <v>129</v>
      </c>
      <c r="H747" s="10" t="s">
        <v>788</v>
      </c>
      <c r="I747" s="10" t="s">
        <v>782</v>
      </c>
      <c r="J747" s="27" t="s">
        <v>779</v>
      </c>
      <c r="K747" s="10" t="s">
        <v>777</v>
      </c>
      <c r="L747" s="10" t="s">
        <v>771</v>
      </c>
      <c r="M747" s="10" t="s">
        <v>771</v>
      </c>
      <c r="N747" s="30" t="s">
        <v>3249</v>
      </c>
      <c r="O747" s="27" t="s">
        <v>6109</v>
      </c>
      <c r="P747" s="80">
        <v>0</v>
      </c>
      <c r="Q747" s="80">
        <v>0</v>
      </c>
      <c r="R747" s="27" t="s">
        <v>2995</v>
      </c>
      <c r="S747" s="12" t="s">
        <v>3248</v>
      </c>
      <c r="T747" s="10" t="s">
        <v>771</v>
      </c>
      <c r="U747" s="10" t="s">
        <v>771</v>
      </c>
      <c r="V747" s="10" t="s">
        <v>771</v>
      </c>
      <c r="W747" s="10"/>
      <c r="X747" s="27" t="s">
        <v>3246</v>
      </c>
      <c r="Y747" s="27" t="s">
        <v>4528</v>
      </c>
      <c r="Z747" s="80">
        <v>4</v>
      </c>
      <c r="AA747" s="27">
        <v>6</v>
      </c>
      <c r="AB747" s="80">
        <v>47</v>
      </c>
      <c r="AC747" s="27">
        <v>0</v>
      </c>
      <c r="AD747" s="27" t="s">
        <v>4529</v>
      </c>
      <c r="AE747" s="27">
        <v>7.0241840571079898E+17</v>
      </c>
      <c r="AF747" s="27"/>
      <c r="AG747" s="27"/>
      <c r="AH747" s="79">
        <v>5.8823529411764698E-2</v>
      </c>
      <c r="AI747" s="83">
        <v>0.11111111111111099</v>
      </c>
      <c r="AJ747" s="80">
        <v>0</v>
      </c>
      <c r="AK747" s="80">
        <v>0</v>
      </c>
      <c r="AL747" s="13">
        <v>0</v>
      </c>
      <c r="AM747" s="97">
        <f>SUM(AL747/Z747)</f>
        <v>0</v>
      </c>
      <c r="AN747" s="27" t="s">
        <v>3246</v>
      </c>
      <c r="AO747" s="27">
        <v>2</v>
      </c>
      <c r="AP747" s="27">
        <v>1</v>
      </c>
      <c r="AQ747" s="27">
        <v>0</v>
      </c>
      <c r="AR747" s="27">
        <f>SUM(AO747:AQ747)</f>
        <v>3</v>
      </c>
      <c r="AS747" s="27" t="s">
        <v>5519</v>
      </c>
      <c r="AT747" s="27" t="s">
        <v>465</v>
      </c>
      <c r="AU747" s="84"/>
      <c r="AV747" s="77"/>
      <c r="AW747" s="77"/>
      <c r="AX747" s="77"/>
      <c r="AY747" s="77"/>
      <c r="AZ747" s="77"/>
      <c r="BA747" s="77"/>
      <c r="BB747" s="77"/>
      <c r="BC747" s="77"/>
      <c r="BD747" s="77"/>
      <c r="BE747" s="77"/>
      <c r="BF747" s="77"/>
      <c r="BG747" s="77"/>
      <c r="BH747" s="77"/>
      <c r="BI747" s="77"/>
      <c r="BJ747" s="77"/>
      <c r="BK747" s="77"/>
      <c r="BL747" s="77"/>
      <c r="BM747" s="77"/>
      <c r="BN747" s="77"/>
      <c r="BO747" s="77"/>
      <c r="BP747" s="77"/>
      <c r="BQ747" s="71"/>
      <c r="BR747" s="71"/>
      <c r="BS747" s="71"/>
      <c r="BT747" s="71"/>
      <c r="BU747" s="71"/>
      <c r="BV747" s="71"/>
      <c r="BW747" s="71"/>
      <c r="BX747" s="71"/>
      <c r="BY747" s="71"/>
      <c r="BZ747" s="71"/>
      <c r="CA747" s="71"/>
      <c r="CB747" s="71"/>
      <c r="CC747" s="77"/>
      <c r="CD747" s="77"/>
      <c r="CE747" s="77"/>
      <c r="CF747" s="77"/>
      <c r="CG747" s="77"/>
      <c r="CH747" s="77"/>
      <c r="CI747" s="77"/>
      <c r="CJ747" s="77"/>
      <c r="EM747" s="77"/>
      <c r="EN747" s="77"/>
      <c r="EO747" s="77"/>
      <c r="EP747" s="77"/>
      <c r="EQ747" s="77"/>
      <c r="ER747" s="77"/>
      <c r="ES747" s="77"/>
      <c r="ET747" s="77"/>
      <c r="EU747" s="77"/>
      <c r="EV747" s="77"/>
      <c r="EW747" s="77"/>
      <c r="EX747" s="77"/>
      <c r="EY747" s="77"/>
      <c r="EZ747" s="77"/>
      <c r="FA747" s="77"/>
      <c r="FB747" s="77"/>
      <c r="FC747" s="77"/>
      <c r="FD747" s="77"/>
      <c r="FE747" s="77"/>
      <c r="FF747" s="77"/>
      <c r="FG747" s="77"/>
      <c r="FH747" s="77"/>
      <c r="FI747" s="77"/>
      <c r="FJ747" s="77"/>
      <c r="FK747" s="77"/>
      <c r="FL747" s="77"/>
      <c r="FM747" s="77"/>
      <c r="FN747" s="77"/>
      <c r="FO747" s="77"/>
      <c r="FP747" s="77"/>
      <c r="FQ747" s="77"/>
      <c r="FR747" s="77"/>
      <c r="FS747" s="77"/>
      <c r="FT747" s="77"/>
      <c r="FU747" s="77"/>
      <c r="FV747" s="77"/>
      <c r="FW747" s="77"/>
      <c r="FX747" s="77"/>
      <c r="FY747" s="77"/>
      <c r="FZ747" s="77"/>
      <c r="GA747" s="77"/>
      <c r="GB747" s="77"/>
      <c r="GC747" s="77"/>
      <c r="GD747" s="77"/>
      <c r="GE747" s="77"/>
      <c r="GF747" s="77"/>
      <c r="GG747" s="77"/>
      <c r="GH747" s="77"/>
      <c r="GI747" s="77"/>
      <c r="GJ747" s="77"/>
      <c r="GK747" s="77"/>
      <c r="HL747" s="77"/>
      <c r="HM747" s="77"/>
      <c r="HN747" s="77"/>
      <c r="HO747" s="77"/>
      <c r="HP747" s="77"/>
      <c r="HQ747" s="77"/>
      <c r="HR747" s="77"/>
      <c r="HS747" s="77"/>
      <c r="HT747" s="77"/>
      <c r="HU747" s="77"/>
      <c r="HV747" s="77"/>
      <c r="HW747" s="77"/>
      <c r="HX747" s="77"/>
      <c r="HY747" s="77"/>
      <c r="HZ747" s="77"/>
      <c r="IA747" s="77"/>
      <c r="IB747" s="77"/>
      <c r="IC747" s="77"/>
      <c r="IF747" s="77"/>
      <c r="IG747" s="77"/>
      <c r="IH747" s="77"/>
      <c r="II747" s="77"/>
      <c r="IJ747" s="77"/>
      <c r="IK747" s="77"/>
      <c r="IL747" s="77"/>
      <c r="IM747" s="77"/>
      <c r="IN747" s="77"/>
      <c r="IO747" s="77"/>
      <c r="IP747" s="77"/>
      <c r="IQ747" s="77"/>
      <c r="IR747" s="77"/>
      <c r="IS747" s="77"/>
      <c r="IT747" s="77"/>
      <c r="IU747" s="77"/>
      <c r="IV747" s="77"/>
      <c r="IW747" s="77"/>
      <c r="IX747" s="77"/>
      <c r="IY747" s="77"/>
      <c r="IZ747" s="77"/>
      <c r="JA747" s="77"/>
      <c r="JB747" s="77"/>
      <c r="JC747" s="77"/>
      <c r="JD747" s="77"/>
      <c r="JE747" s="77"/>
      <c r="JF747" s="77"/>
      <c r="JG747" s="77"/>
      <c r="JH747" s="77"/>
      <c r="JI747" s="77"/>
      <c r="JJ747" s="77"/>
      <c r="JK747" s="77"/>
      <c r="JL747" s="77"/>
      <c r="JM747" s="77"/>
      <c r="JN747" s="77"/>
      <c r="JO747" s="77"/>
      <c r="JP747" s="77"/>
      <c r="JQ747" s="77"/>
      <c r="JR747" s="77"/>
      <c r="JS747" s="77"/>
      <c r="JT747" s="77"/>
      <c r="JU747" s="77"/>
      <c r="JV747" s="77"/>
      <c r="JW747" s="77"/>
      <c r="JX747" s="77"/>
      <c r="JY747" s="77"/>
      <c r="JZ747" s="77"/>
      <c r="KA747" s="77"/>
      <c r="KB747" s="77"/>
      <c r="KC747" s="77"/>
      <c r="KD747" s="77"/>
      <c r="KE747" s="77"/>
      <c r="KF747" s="77"/>
      <c r="KG747" s="77"/>
      <c r="KH747" s="77"/>
      <c r="KI747" s="77"/>
      <c r="KJ747" s="77"/>
      <c r="KK747" s="77"/>
      <c r="KL747" s="77"/>
      <c r="LL747" s="77"/>
      <c r="LM747" s="77"/>
      <c r="LN747" s="77"/>
      <c r="LO747" s="77"/>
      <c r="LP747" s="77"/>
      <c r="LQ747" s="77"/>
      <c r="LR747" s="77"/>
      <c r="LS747" s="77"/>
      <c r="LT747" s="77"/>
      <c r="LU747" s="77"/>
      <c r="LV747" s="77"/>
      <c r="LY747" s="77"/>
      <c r="LZ747" s="77"/>
      <c r="MA747" s="77"/>
      <c r="MB747" s="77"/>
      <c r="MC747" s="77"/>
      <c r="MD747" s="77"/>
      <c r="ME747" s="77"/>
      <c r="MF747" s="77"/>
      <c r="MG747" s="77"/>
      <c r="MH747" s="77"/>
      <c r="MI747" s="77"/>
      <c r="MJ747" s="77"/>
      <c r="MK747" s="77"/>
      <c r="ML747" s="77"/>
      <c r="MM747" s="77"/>
      <c r="MN747" s="77"/>
      <c r="MO747" s="77"/>
      <c r="MP747" s="77"/>
      <c r="MQ747" s="77"/>
      <c r="MR747" s="77"/>
      <c r="NE747" s="16"/>
      <c r="NF747" s="16"/>
      <c r="NG747" s="16"/>
      <c r="NH747" s="16"/>
      <c r="NI747" s="16"/>
      <c r="NJ747" s="16"/>
      <c r="NK747" s="16"/>
      <c r="NL747" s="16"/>
      <c r="NM747" s="16"/>
      <c r="NN747" s="16"/>
      <c r="NO747" s="16"/>
      <c r="NP747" s="16"/>
      <c r="NQ747" s="16"/>
      <c r="NR747" s="16"/>
      <c r="NS747" s="16"/>
      <c r="NT747" s="16"/>
      <c r="NU747" s="16"/>
      <c r="NV747" s="16"/>
      <c r="NW747" s="16"/>
      <c r="NX747" s="16"/>
      <c r="NY747" s="16"/>
      <c r="NZ747" s="16"/>
      <c r="OA747" s="16"/>
      <c r="OB747" s="16"/>
      <c r="OC747" s="16"/>
      <c r="OD747" s="16"/>
      <c r="OE747" s="16"/>
      <c r="OF747" s="16"/>
      <c r="OG747" s="16"/>
      <c r="OH747" s="16"/>
      <c r="OI747" s="16"/>
      <c r="OJ747" s="16"/>
      <c r="OK747" s="16"/>
      <c r="OL747" s="16"/>
      <c r="OM747" s="16"/>
      <c r="ON747" s="16"/>
      <c r="OO747" s="16"/>
      <c r="OP747" s="16"/>
      <c r="OQ747" s="16"/>
      <c r="OR747" s="16"/>
      <c r="OS747" s="16"/>
      <c r="OT747" s="16"/>
      <c r="OU747" s="16"/>
      <c r="OV747" s="16"/>
      <c r="OW747" s="16"/>
      <c r="OX747" s="16"/>
      <c r="OY747" s="16"/>
      <c r="OZ747" s="16"/>
      <c r="PA747" s="16"/>
      <c r="PB747" s="16"/>
      <c r="PC747" s="16"/>
      <c r="PD747" s="16"/>
      <c r="PE747" s="16"/>
    </row>
    <row r="748" spans="1:421" s="21" customFormat="1" ht="18.600000000000001" customHeight="1" x14ac:dyDescent="0.25">
      <c r="A748" s="119" t="s">
        <v>3076</v>
      </c>
      <c r="B748" s="27" t="s">
        <v>4348</v>
      </c>
      <c r="C748" s="27" t="s">
        <v>4349</v>
      </c>
      <c r="D748" s="12" t="s">
        <v>3068</v>
      </c>
      <c r="E748" s="30" t="str">
        <f>HYPERLINK("http://twiplomacy.com/info/asia/Nepal","http://twiplomacy.com/info/asia/Nepal")</f>
        <v>http://twiplomacy.com/info/asia/Nepal</v>
      </c>
      <c r="F748" s="10" t="s">
        <v>154</v>
      </c>
      <c r="G748" s="10" t="s">
        <v>257</v>
      </c>
      <c r="H748" s="10" t="s">
        <v>772</v>
      </c>
      <c r="I748" s="10" t="s">
        <v>773</v>
      </c>
      <c r="J748" s="27" t="s">
        <v>789</v>
      </c>
      <c r="K748" s="15" t="s">
        <v>777</v>
      </c>
      <c r="L748" s="10"/>
      <c r="M748" s="10" t="s">
        <v>770</v>
      </c>
      <c r="N748" s="30" t="s">
        <v>3124</v>
      </c>
      <c r="O748" s="27" t="s">
        <v>3216</v>
      </c>
      <c r="P748" s="80">
        <v>2</v>
      </c>
      <c r="Q748" s="80">
        <v>13</v>
      </c>
      <c r="R748" s="27" t="s">
        <v>2995</v>
      </c>
      <c r="S748" s="12" t="s">
        <v>3083</v>
      </c>
      <c r="T748" s="10" t="s">
        <v>771</v>
      </c>
      <c r="U748" s="10" t="s">
        <v>771</v>
      </c>
      <c r="V748" s="10" t="s">
        <v>771</v>
      </c>
      <c r="W748" s="10"/>
      <c r="X748" s="27" t="s">
        <v>3076</v>
      </c>
      <c r="Y748" s="27" t="s">
        <v>4348</v>
      </c>
      <c r="Z748" s="80">
        <v>4</v>
      </c>
      <c r="AA748" s="27">
        <v>9</v>
      </c>
      <c r="AB748" s="80">
        <v>288</v>
      </c>
      <c r="AC748" s="27">
        <v>0</v>
      </c>
      <c r="AD748" s="27" t="s">
        <v>4350</v>
      </c>
      <c r="AE748" s="27">
        <v>4230586514</v>
      </c>
      <c r="AF748" s="27" t="s">
        <v>4349</v>
      </c>
      <c r="AG748" s="27" t="s">
        <v>257</v>
      </c>
      <c r="AH748" s="79">
        <v>2.3529411764705899E-2</v>
      </c>
      <c r="AI748" s="83">
        <v>0.36363636363636398</v>
      </c>
      <c r="AJ748" s="80">
        <v>0.5</v>
      </c>
      <c r="AK748" s="80">
        <v>7</v>
      </c>
      <c r="AL748" s="13">
        <v>0</v>
      </c>
      <c r="AM748" s="97">
        <f>SUM(AL748/Z748)</f>
        <v>0</v>
      </c>
      <c r="AN748" s="27" t="s">
        <v>3076</v>
      </c>
      <c r="AO748" s="27">
        <v>2</v>
      </c>
      <c r="AP748" s="27">
        <v>0</v>
      </c>
      <c r="AQ748" s="27">
        <v>0</v>
      </c>
      <c r="AR748" s="27">
        <f>SUM(AO748:AQ748)</f>
        <v>2</v>
      </c>
      <c r="AS748" s="27" t="s">
        <v>5435</v>
      </c>
      <c r="AT748" s="27"/>
      <c r="AU748" s="84"/>
      <c r="AV748" s="77"/>
      <c r="AW748" s="77"/>
      <c r="AX748" s="77"/>
      <c r="AY748" s="77"/>
      <c r="AZ748" s="77"/>
      <c r="BA748" s="77"/>
      <c r="BB748" s="77"/>
      <c r="BC748" s="77"/>
      <c r="BD748" s="77"/>
      <c r="BE748" s="77"/>
      <c r="BF748" s="77"/>
      <c r="BG748" s="77"/>
      <c r="BH748" s="77"/>
      <c r="BI748" s="77"/>
      <c r="BJ748" s="77"/>
      <c r="BK748" s="77"/>
      <c r="BL748" s="77"/>
      <c r="BM748" s="77"/>
      <c r="BN748" s="77"/>
      <c r="BO748" s="77"/>
      <c r="BP748" s="77"/>
      <c r="BQ748" s="16"/>
      <c r="BR748" s="16"/>
      <c r="BS748" s="16"/>
      <c r="BT748" s="16"/>
      <c r="BU748" s="16"/>
      <c r="BV748" s="16"/>
      <c r="BW748" s="16"/>
      <c r="BX748" s="16"/>
      <c r="BY748" s="16"/>
      <c r="BZ748" s="16"/>
      <c r="CA748" s="16"/>
      <c r="CB748" s="16"/>
      <c r="CC748" s="77"/>
      <c r="CD748" s="77"/>
      <c r="CE748" s="77"/>
      <c r="CF748" s="77"/>
      <c r="CG748" s="77"/>
      <c r="CH748" s="77"/>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7"/>
      <c r="DV748" s="77"/>
      <c r="DW748" s="77"/>
      <c r="DX748" s="77"/>
      <c r="DY748" s="77"/>
      <c r="DZ748" s="77"/>
      <c r="EA748" s="77"/>
      <c r="EB748" s="77"/>
      <c r="EC748" s="77"/>
      <c r="ED748" s="77"/>
      <c r="EE748" s="77"/>
      <c r="EF748" s="77"/>
      <c r="EG748" s="77"/>
      <c r="EH748" s="77"/>
      <c r="EI748" s="77"/>
      <c r="EJ748" s="77"/>
      <c r="EK748" s="77"/>
      <c r="EL748" s="77"/>
      <c r="EM748" s="77"/>
      <c r="EN748" s="77"/>
      <c r="EO748" s="77"/>
      <c r="EP748" s="77"/>
      <c r="HL748" s="77"/>
      <c r="HM748" s="77"/>
      <c r="HN748" s="77"/>
      <c r="HO748" s="77"/>
      <c r="HP748" s="77"/>
      <c r="HQ748" s="77"/>
      <c r="HR748" s="77"/>
      <c r="HS748" s="77"/>
      <c r="HT748" s="77"/>
      <c r="HU748" s="77"/>
      <c r="HV748" s="77"/>
      <c r="HW748" s="77"/>
      <c r="HX748" s="77"/>
      <c r="HY748" s="77"/>
      <c r="HZ748" s="77"/>
      <c r="IA748" s="77"/>
      <c r="IB748" s="77"/>
      <c r="IC748" s="77"/>
      <c r="ID748" s="77"/>
      <c r="IE748" s="77"/>
      <c r="KM748" s="77"/>
      <c r="KN748" s="77"/>
      <c r="KO748" s="77"/>
      <c r="KP748" s="77"/>
      <c r="KQ748" s="77"/>
      <c r="KR748" s="77"/>
      <c r="KS748" s="77"/>
      <c r="KT748" s="77"/>
      <c r="KU748" s="77"/>
      <c r="KV748" s="77"/>
      <c r="KW748" s="77"/>
      <c r="KX748" s="77"/>
      <c r="KY748" s="77"/>
      <c r="KZ748" s="77"/>
      <c r="LA748" s="77"/>
      <c r="LB748" s="77"/>
      <c r="LC748" s="77"/>
      <c r="LD748" s="77"/>
      <c r="LE748" s="77"/>
      <c r="LF748" s="77"/>
      <c r="LG748" s="77"/>
      <c r="LH748" s="77"/>
      <c r="LI748" s="77"/>
      <c r="LJ748" s="77"/>
      <c r="LK748" s="77"/>
      <c r="LL748" s="77"/>
      <c r="LM748" s="77"/>
      <c r="LN748" s="77"/>
      <c r="LO748" s="77"/>
      <c r="LP748" s="77"/>
      <c r="LQ748" s="77"/>
      <c r="LR748" s="77"/>
      <c r="LS748" s="77"/>
      <c r="LT748" s="77"/>
      <c r="LU748" s="77"/>
      <c r="LV748" s="77"/>
      <c r="MS748" s="77"/>
    </row>
    <row r="749" spans="1:421" s="21" customFormat="1" ht="18.600000000000001" customHeight="1" x14ac:dyDescent="0.25">
      <c r="A749" s="119" t="s">
        <v>455</v>
      </c>
      <c r="B749" s="27" t="s">
        <v>2051</v>
      </c>
      <c r="C749" s="27" t="s">
        <v>2052</v>
      </c>
      <c r="D749" s="30" t="str">
        <f>HYPERLINK("https://twitter.com/Nicolae_Timofti","https://twitter.com/Nicolae_Timofti")</f>
        <v>https://twitter.com/Nicolae_Timofti</v>
      </c>
      <c r="E749" s="30" t="str">
        <f>HYPERLINK("http://twiplomacy.com/info/europe/Moldova","http://twiplomacy.com/info/europe/Moldova")</f>
        <v>http://twiplomacy.com/info/europe/Moldova</v>
      </c>
      <c r="F749" s="10" t="s">
        <v>332</v>
      </c>
      <c r="G749" s="10" t="s">
        <v>454</v>
      </c>
      <c r="H749" s="10" t="s">
        <v>772</v>
      </c>
      <c r="I749" s="10" t="s">
        <v>773</v>
      </c>
      <c r="J749" s="27" t="s">
        <v>1420</v>
      </c>
      <c r="K749" s="15" t="s">
        <v>2053</v>
      </c>
      <c r="L749" s="10" t="s">
        <v>771</v>
      </c>
      <c r="M749" s="10" t="s">
        <v>771</v>
      </c>
      <c r="N749" s="30" t="str">
        <f>HYPERLINK("https://twitter.com/Nicolae_Timofti/statuses/398023918516068352","https://twitter.com/Nicolae_Timofti/statuses/398023918516068352")</f>
        <v>https://twitter.com/Nicolae_Timofti/statuses/398023918516068352</v>
      </c>
      <c r="O749" s="27" t="s">
        <v>5987</v>
      </c>
      <c r="P749" s="80">
        <v>2</v>
      </c>
      <c r="Q749" s="80">
        <v>3</v>
      </c>
      <c r="R749" s="27" t="s">
        <v>2995</v>
      </c>
      <c r="S749" s="10" t="s">
        <v>2054</v>
      </c>
      <c r="T749" s="10" t="s">
        <v>771</v>
      </c>
      <c r="U749" s="10" t="s">
        <v>771</v>
      </c>
      <c r="V749" s="10" t="s">
        <v>771</v>
      </c>
      <c r="W749" s="10"/>
      <c r="X749" s="27" t="s">
        <v>455</v>
      </c>
      <c r="Y749" s="27" t="s">
        <v>2051</v>
      </c>
      <c r="Z749" s="80">
        <v>4</v>
      </c>
      <c r="AA749" s="27">
        <v>20</v>
      </c>
      <c r="AB749" s="80">
        <v>363</v>
      </c>
      <c r="AC749" s="27">
        <v>0</v>
      </c>
      <c r="AD749" s="27" t="s">
        <v>4194</v>
      </c>
      <c r="AE749" s="27">
        <v>528997120</v>
      </c>
      <c r="AF749" s="27" t="s">
        <v>2052</v>
      </c>
      <c r="AG749" s="27" t="s">
        <v>2055</v>
      </c>
      <c r="AH749" s="79">
        <v>2.6578073089700998E-3</v>
      </c>
      <c r="AI749" s="83">
        <v>4</v>
      </c>
      <c r="AJ749" s="80">
        <v>1</v>
      </c>
      <c r="AK749" s="80">
        <v>1.25</v>
      </c>
      <c r="AL749" s="13">
        <v>0</v>
      </c>
      <c r="AM749" s="97">
        <f>SUM(AL749/Z749)</f>
        <v>0</v>
      </c>
      <c r="AN749" s="27" t="s">
        <v>455</v>
      </c>
      <c r="AO749" s="27">
        <v>1</v>
      </c>
      <c r="AP749" s="27">
        <v>5</v>
      </c>
      <c r="AQ749" s="27">
        <v>0</v>
      </c>
      <c r="AR749" s="27">
        <f>SUM(AO749:AQ749)</f>
        <v>6</v>
      </c>
      <c r="AS749" s="27" t="s">
        <v>499</v>
      </c>
      <c r="AT749" s="27" t="s">
        <v>5362</v>
      </c>
      <c r="AU749" s="84"/>
      <c r="AV749" s="77"/>
      <c r="AW749" s="77"/>
      <c r="AX749" s="77"/>
      <c r="AY749" s="77"/>
      <c r="AZ749" s="77"/>
      <c r="BA749" s="77"/>
      <c r="BB749" s="77"/>
      <c r="BC749" s="77"/>
      <c r="BD749" s="77"/>
      <c r="BE749" s="77"/>
      <c r="BF749" s="77"/>
      <c r="BG749" s="77"/>
      <c r="BH749" s="77"/>
      <c r="BI749" s="77"/>
      <c r="BJ749" s="77"/>
      <c r="BK749" s="77"/>
      <c r="BL749" s="77"/>
      <c r="BM749" s="77"/>
      <c r="BN749" s="77"/>
      <c r="BO749" s="77"/>
      <c r="BP749" s="77"/>
      <c r="BQ749" s="77"/>
      <c r="BR749" s="77"/>
      <c r="BS749" s="77"/>
      <c r="BT749" s="77"/>
      <c r="BU749" s="77"/>
      <c r="BV749" s="77"/>
      <c r="BW749" s="77"/>
      <c r="BX749" s="77"/>
      <c r="BY749" s="77"/>
      <c r="BZ749" s="77"/>
      <c r="CA749" s="77"/>
      <c r="CB749" s="77"/>
      <c r="CC749" s="77"/>
      <c r="CD749" s="77"/>
      <c r="CE749" s="77"/>
      <c r="CF749" s="77"/>
      <c r="CG749" s="77"/>
      <c r="CH749" s="77"/>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7"/>
      <c r="DV749" s="77"/>
      <c r="DW749" s="77"/>
      <c r="DX749" s="77"/>
      <c r="DY749" s="77"/>
      <c r="DZ749" s="77"/>
      <c r="EA749" s="77"/>
      <c r="EB749" s="77"/>
      <c r="EC749" s="77"/>
      <c r="ED749" s="77"/>
      <c r="EE749" s="77"/>
      <c r="EF749" s="77"/>
      <c r="EG749" s="77"/>
      <c r="EH749" s="77"/>
      <c r="EI749" s="77"/>
      <c r="EJ749" s="77"/>
      <c r="EK749" s="77"/>
      <c r="EL749" s="77"/>
      <c r="EM749" s="77"/>
      <c r="EN749" s="77"/>
      <c r="EO749" s="77"/>
      <c r="EP749" s="77"/>
      <c r="EQ749" s="77"/>
      <c r="ER749" s="16"/>
      <c r="ES749" s="16"/>
      <c r="ET749" s="16"/>
      <c r="EU749" s="16"/>
      <c r="EV749" s="16"/>
      <c r="EW749" s="16"/>
      <c r="EX749" s="16"/>
      <c r="EY749" s="16"/>
      <c r="EZ749" s="16"/>
      <c r="FA749" s="16"/>
      <c r="FB749" s="16"/>
      <c r="FC749" s="16"/>
      <c r="FD749" s="16"/>
      <c r="FE749" s="16"/>
      <c r="FF749" s="16"/>
      <c r="FG749" s="16"/>
      <c r="FH749" s="16"/>
      <c r="FI749" s="16"/>
      <c r="FJ749" s="16"/>
      <c r="FK749" s="16"/>
      <c r="FL749" s="16"/>
      <c r="FM749" s="16"/>
      <c r="FN749" s="16"/>
      <c r="FO749" s="16"/>
      <c r="FP749" s="16"/>
      <c r="FQ749" s="16"/>
      <c r="FR749" s="16"/>
      <c r="FS749" s="16"/>
      <c r="FT749" s="16"/>
      <c r="FU749" s="16"/>
      <c r="FV749" s="16"/>
      <c r="FW749" s="16"/>
      <c r="FX749" s="16"/>
      <c r="FY749" s="16"/>
      <c r="FZ749" s="16"/>
      <c r="GA749" s="16"/>
      <c r="GB749" s="16"/>
      <c r="GC749" s="16"/>
      <c r="GD749" s="16"/>
      <c r="GE749" s="16"/>
      <c r="GF749" s="16"/>
      <c r="GG749" s="16"/>
      <c r="GH749" s="16"/>
      <c r="GI749" s="16"/>
      <c r="GJ749" s="16"/>
      <c r="GK749" s="16"/>
      <c r="GL749" s="77"/>
      <c r="GM749" s="77"/>
      <c r="GN749" s="77"/>
      <c r="GO749" s="77"/>
      <c r="GP749" s="77"/>
      <c r="GQ749" s="77"/>
      <c r="GR749" s="77"/>
      <c r="GS749" s="77"/>
      <c r="GT749" s="77"/>
      <c r="GU749" s="77"/>
      <c r="GV749" s="77"/>
      <c r="GW749" s="77"/>
      <c r="GX749" s="77"/>
      <c r="GY749" s="77"/>
      <c r="GZ749" s="77"/>
      <c r="HA749" s="77"/>
      <c r="HB749" s="77"/>
      <c r="HC749" s="77"/>
      <c r="HD749" s="77"/>
      <c r="HE749" s="77"/>
      <c r="HF749" s="77"/>
      <c r="HG749" s="77"/>
      <c r="HH749" s="77"/>
      <c r="HI749" s="77"/>
      <c r="HJ749" s="77"/>
      <c r="HK749" s="77"/>
      <c r="ID749" s="77"/>
      <c r="IE749" s="77"/>
      <c r="JY749" s="77"/>
      <c r="JZ749" s="77"/>
      <c r="KA749" s="77"/>
      <c r="KB749" s="77"/>
      <c r="KC749" s="77"/>
      <c r="KD749" s="77"/>
      <c r="KE749" s="77"/>
      <c r="KF749" s="77"/>
      <c r="KG749" s="77"/>
      <c r="KH749" s="77"/>
      <c r="KI749" s="77"/>
      <c r="KJ749" s="77"/>
      <c r="KK749" s="77"/>
      <c r="KL749" s="77"/>
      <c r="KM749" s="77"/>
      <c r="KN749" s="77"/>
      <c r="KO749" s="77"/>
      <c r="KP749" s="77"/>
      <c r="KQ749" s="77"/>
      <c r="KR749" s="77"/>
      <c r="KS749" s="77"/>
      <c r="KT749" s="77"/>
      <c r="KU749" s="77"/>
      <c r="KV749" s="77"/>
      <c r="KW749" s="77"/>
      <c r="KX749" s="77"/>
      <c r="KY749" s="77"/>
      <c r="KZ749" s="77"/>
      <c r="LA749" s="77"/>
      <c r="LB749" s="77"/>
      <c r="LC749" s="77"/>
      <c r="LD749" s="77"/>
      <c r="LE749" s="77"/>
      <c r="LF749" s="77"/>
      <c r="LG749" s="77"/>
      <c r="LH749" s="77"/>
      <c r="LI749" s="77"/>
      <c r="LJ749" s="77"/>
      <c r="LK749" s="77"/>
      <c r="LL749" s="77"/>
      <c r="LM749" s="77"/>
      <c r="LN749" s="77"/>
      <c r="LO749" s="77"/>
      <c r="LP749" s="77"/>
      <c r="LQ749" s="77"/>
      <c r="LR749" s="77"/>
      <c r="LS749" s="77"/>
      <c r="LT749" s="77"/>
      <c r="LU749" s="77"/>
      <c r="LV749" s="77"/>
      <c r="LW749" s="77"/>
      <c r="LX749" s="77"/>
      <c r="NE749" s="16"/>
      <c r="NF749" s="16"/>
      <c r="NG749" s="16"/>
      <c r="NH749" s="16"/>
      <c r="NI749" s="16"/>
      <c r="NJ749" s="16"/>
      <c r="NK749" s="16"/>
      <c r="NL749" s="16"/>
      <c r="NM749" s="16"/>
      <c r="NN749" s="16"/>
      <c r="NO749" s="16"/>
      <c r="NP749" s="16"/>
      <c r="NQ749" s="16"/>
      <c r="NR749" s="16"/>
      <c r="NS749" s="16"/>
      <c r="NT749" s="16"/>
      <c r="NU749" s="16"/>
      <c r="NV749" s="16"/>
      <c r="NW749" s="16"/>
      <c r="NX749" s="16"/>
      <c r="NY749" s="16"/>
      <c r="NZ749" s="16"/>
      <c r="OA749" s="16"/>
      <c r="OB749" s="16"/>
      <c r="OC749" s="16"/>
      <c r="OD749" s="16"/>
      <c r="OE749" s="16"/>
      <c r="OF749" s="16"/>
      <c r="OG749" s="16"/>
      <c r="OH749" s="16"/>
      <c r="OI749" s="16"/>
      <c r="OJ749" s="16"/>
      <c r="OK749" s="16"/>
      <c r="OL749" s="16"/>
      <c r="OM749" s="16"/>
      <c r="ON749" s="16"/>
      <c r="OO749" s="16"/>
      <c r="OP749" s="16"/>
      <c r="OQ749" s="16"/>
      <c r="OR749" s="16"/>
      <c r="OS749" s="16"/>
      <c r="OT749" s="16"/>
      <c r="OU749" s="16"/>
      <c r="OV749" s="16"/>
      <c r="OW749" s="16"/>
      <c r="OX749" s="16"/>
      <c r="OY749" s="16"/>
      <c r="OZ749" s="16"/>
      <c r="PA749" s="16"/>
      <c r="PB749" s="16"/>
      <c r="PC749" s="16"/>
      <c r="PD749" s="16"/>
      <c r="PE749" s="16"/>
    </row>
    <row r="750" spans="1:421" s="21" customFormat="1" ht="18.600000000000001" customHeight="1" x14ac:dyDescent="0.25">
      <c r="A750" s="119" t="s">
        <v>1634</v>
      </c>
      <c r="B750" s="27" t="s">
        <v>1634</v>
      </c>
      <c r="C750" s="27" t="s">
        <v>1635</v>
      </c>
      <c r="D750" s="30" t="str">
        <f>HYPERLINK("https://twitter.com/MEA_Sri_Lanka","https://twitter.com/LankaMFA")</f>
        <v>https://twitter.com/LankaMFA</v>
      </c>
      <c r="E750" s="30" t="str">
        <f>HYPERLINK("http://twiplomacy.com/info/asia/Sri-Lanka","http://twiplomacy.com/info/asia/Sri-Lanka")</f>
        <v>http://twiplomacy.com/info/asia/Sri-Lanka</v>
      </c>
      <c r="F750" s="10" t="s">
        <v>154</v>
      </c>
      <c r="G750" s="10" t="s">
        <v>299</v>
      </c>
      <c r="H750" s="10" t="s">
        <v>795</v>
      </c>
      <c r="I750" s="10" t="s">
        <v>782</v>
      </c>
      <c r="J750" s="27" t="s">
        <v>789</v>
      </c>
      <c r="K750" s="10" t="s">
        <v>4609</v>
      </c>
      <c r="L750" s="10" t="s">
        <v>771</v>
      </c>
      <c r="M750" s="10" t="s">
        <v>771</v>
      </c>
      <c r="N750" s="30" t="str">
        <f>HYPERLINK("https://twitter.com/LankaMFA/status/568662247318233088","https://twitter.com/LankaMFA/status/568662247318233088")</f>
        <v>https://twitter.com/LankaMFA/status/568662247318233088</v>
      </c>
      <c r="O750" s="27" t="s">
        <v>1636</v>
      </c>
      <c r="P750" s="80">
        <v>3</v>
      </c>
      <c r="Q750" s="80">
        <v>1</v>
      </c>
      <c r="R750" s="27" t="s">
        <v>2995</v>
      </c>
      <c r="S750" s="10" t="s">
        <v>1637</v>
      </c>
      <c r="T750" s="10" t="s">
        <v>771</v>
      </c>
      <c r="U750" s="10" t="s">
        <v>771</v>
      </c>
      <c r="V750" s="10" t="s">
        <v>771</v>
      </c>
      <c r="W750" s="10"/>
      <c r="X750" s="27" t="s">
        <v>1634</v>
      </c>
      <c r="Y750" s="27" t="s">
        <v>1634</v>
      </c>
      <c r="Z750" s="80">
        <v>3</v>
      </c>
      <c r="AA750" s="27">
        <v>1</v>
      </c>
      <c r="AB750" s="80">
        <v>141</v>
      </c>
      <c r="AC750" s="27">
        <v>0</v>
      </c>
      <c r="AD750" s="27" t="s">
        <v>3966</v>
      </c>
      <c r="AE750" s="27">
        <v>3000470408</v>
      </c>
      <c r="AF750" s="27" t="s">
        <v>1635</v>
      </c>
      <c r="AG750" s="27"/>
      <c r="AH750" s="79">
        <v>6.5359477124183E-3</v>
      </c>
      <c r="AI750" s="83">
        <v>3</v>
      </c>
      <c r="AJ750" s="80">
        <v>3</v>
      </c>
      <c r="AK750" s="80">
        <v>1</v>
      </c>
      <c r="AL750" s="13">
        <v>0</v>
      </c>
      <c r="AM750" s="97">
        <f>SUM(AL750/Z750)</f>
        <v>0</v>
      </c>
      <c r="AN750" s="27" t="s">
        <v>1634</v>
      </c>
      <c r="AO750" s="27">
        <v>0</v>
      </c>
      <c r="AP750" s="27">
        <v>8</v>
      </c>
      <c r="AQ750" s="27">
        <v>1</v>
      </c>
      <c r="AR750" s="27">
        <f>SUM(AO750:AQ750)</f>
        <v>9</v>
      </c>
      <c r="AS750" s="27"/>
      <c r="AT750" s="27" t="s">
        <v>5087</v>
      </c>
      <c r="AU750" s="84" t="s">
        <v>304</v>
      </c>
      <c r="AV750" s="77"/>
      <c r="AW750" s="77"/>
      <c r="AX750" s="77"/>
      <c r="AY750" s="77"/>
      <c r="AZ750" s="77"/>
      <c r="BA750" s="77"/>
      <c r="BB750" s="77"/>
      <c r="BC750" s="77"/>
      <c r="BD750" s="77"/>
      <c r="BE750" s="77"/>
      <c r="BF750" s="77"/>
      <c r="BG750" s="77"/>
      <c r="BH750" s="77"/>
      <c r="BI750" s="77"/>
      <c r="BJ750" s="77"/>
      <c r="BK750" s="77"/>
      <c r="BL750" s="77"/>
      <c r="BM750" s="77"/>
      <c r="BN750" s="77"/>
      <c r="BO750" s="77"/>
      <c r="BP750" s="77"/>
      <c r="BQ750" s="77"/>
      <c r="BR750" s="77"/>
      <c r="BS750" s="77"/>
      <c r="BT750" s="77"/>
      <c r="BU750" s="77"/>
      <c r="BV750" s="77"/>
      <c r="BW750" s="77"/>
      <c r="BX750" s="77"/>
      <c r="BY750" s="77"/>
      <c r="BZ750" s="77"/>
      <c r="CA750" s="77"/>
      <c r="CB750" s="77"/>
      <c r="CC750" s="77"/>
      <c r="CD750" s="77"/>
      <c r="CE750" s="77"/>
      <c r="CF750" s="77"/>
      <c r="CG750" s="77"/>
      <c r="CH750" s="77"/>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7"/>
      <c r="DV750" s="77"/>
      <c r="DW750" s="77"/>
      <c r="DX750" s="77"/>
      <c r="DY750" s="77"/>
      <c r="DZ750" s="77"/>
      <c r="EA750" s="77"/>
      <c r="EB750" s="77"/>
      <c r="EC750" s="77"/>
      <c r="ED750" s="77"/>
      <c r="EE750" s="77"/>
      <c r="EF750" s="77"/>
      <c r="EG750" s="77"/>
      <c r="EH750" s="77"/>
      <c r="EI750" s="77"/>
      <c r="EJ750" s="77"/>
      <c r="EK750" s="77"/>
      <c r="EL750" s="77"/>
      <c r="EM750" s="77"/>
      <c r="EN750" s="77"/>
      <c r="EO750" s="77"/>
      <c r="EP750" s="77"/>
      <c r="ER750" s="77"/>
      <c r="ES750" s="77"/>
      <c r="ET750" s="77"/>
      <c r="EU750" s="77"/>
      <c r="EV750" s="77"/>
      <c r="EW750" s="77"/>
      <c r="EX750" s="77"/>
      <c r="EY750" s="77"/>
      <c r="EZ750" s="77"/>
      <c r="FA750" s="77"/>
      <c r="FB750" s="77"/>
      <c r="FC750" s="77"/>
      <c r="FD750" s="77"/>
      <c r="FE750" s="77"/>
      <c r="FF750" s="77"/>
      <c r="FG750" s="77"/>
      <c r="FH750" s="77"/>
      <c r="FI750" s="77"/>
      <c r="FJ750" s="77"/>
      <c r="FK750" s="77"/>
      <c r="FL750" s="77"/>
      <c r="FM750" s="77"/>
      <c r="FN750" s="77"/>
      <c r="FO750" s="77"/>
      <c r="FP750" s="77"/>
      <c r="FQ750" s="77"/>
      <c r="FR750" s="77"/>
      <c r="FS750" s="77"/>
      <c r="FT750" s="77"/>
      <c r="FU750" s="77"/>
      <c r="FV750" s="77"/>
      <c r="FW750" s="77"/>
      <c r="FX750" s="77"/>
      <c r="FY750" s="77"/>
      <c r="FZ750" s="77"/>
      <c r="GA750" s="77"/>
      <c r="GB750" s="77"/>
      <c r="GC750" s="77"/>
      <c r="GD750" s="77"/>
      <c r="GE750" s="77"/>
      <c r="GF750" s="77"/>
      <c r="GG750" s="77"/>
      <c r="GH750" s="77"/>
      <c r="GI750" s="77"/>
      <c r="GJ750" s="77"/>
      <c r="GK750" s="77"/>
      <c r="GL750" s="77"/>
      <c r="GM750" s="77"/>
      <c r="GN750" s="77"/>
      <c r="GO750" s="77"/>
      <c r="GP750" s="77"/>
      <c r="GQ750" s="77"/>
      <c r="GR750" s="77"/>
      <c r="GS750" s="77"/>
      <c r="GT750" s="77"/>
      <c r="GU750" s="77"/>
      <c r="GV750" s="77"/>
      <c r="GW750" s="77"/>
      <c r="GX750" s="77"/>
      <c r="GY750" s="77"/>
      <c r="GZ750" s="77"/>
      <c r="HA750" s="77"/>
      <c r="HB750" s="77"/>
      <c r="HC750" s="77"/>
      <c r="HD750" s="77"/>
      <c r="HE750" s="77"/>
      <c r="HF750" s="77"/>
      <c r="HG750" s="77"/>
      <c r="HH750" s="77"/>
      <c r="HI750" s="77"/>
      <c r="HJ750" s="77"/>
      <c r="HK750" s="77"/>
      <c r="HL750" s="77"/>
      <c r="HM750" s="77"/>
      <c r="HN750" s="77"/>
      <c r="HO750" s="77"/>
      <c r="HP750" s="77"/>
      <c r="HQ750" s="77"/>
      <c r="HR750" s="77"/>
      <c r="HS750" s="77"/>
      <c r="HT750" s="77"/>
      <c r="HU750" s="77"/>
      <c r="HV750" s="77"/>
      <c r="HW750" s="77"/>
      <c r="HX750" s="77"/>
      <c r="HY750" s="77"/>
      <c r="HZ750" s="77"/>
      <c r="IA750" s="77"/>
      <c r="IB750" s="77"/>
      <c r="IC750" s="77"/>
      <c r="ID750" s="77"/>
      <c r="IE750" s="77"/>
      <c r="IF750" s="77"/>
      <c r="IG750" s="77"/>
      <c r="IH750" s="77"/>
      <c r="II750" s="77"/>
      <c r="IJ750" s="77"/>
      <c r="IK750" s="77"/>
      <c r="IL750" s="77"/>
      <c r="IM750" s="77"/>
      <c r="IN750" s="77"/>
      <c r="IO750" s="77"/>
      <c r="IP750" s="77"/>
      <c r="IQ750" s="77"/>
      <c r="IR750" s="77"/>
      <c r="IS750" s="77"/>
      <c r="IT750" s="77"/>
      <c r="IU750" s="77"/>
      <c r="IV750" s="77"/>
      <c r="IW750" s="77"/>
      <c r="IX750" s="77"/>
      <c r="IY750" s="77"/>
      <c r="IZ750" s="77"/>
      <c r="JA750" s="77"/>
      <c r="JB750" s="77"/>
      <c r="JC750" s="77"/>
      <c r="JD750" s="77"/>
      <c r="JE750" s="77"/>
      <c r="JF750" s="77"/>
      <c r="JG750" s="77"/>
      <c r="JH750" s="77"/>
      <c r="JI750" s="77"/>
      <c r="JJ750" s="77"/>
      <c r="JK750" s="77"/>
      <c r="JL750" s="77"/>
      <c r="JM750" s="77"/>
      <c r="JN750" s="77"/>
      <c r="JO750" s="77"/>
      <c r="JP750" s="77"/>
      <c r="JQ750" s="77"/>
      <c r="JR750" s="77"/>
      <c r="JS750" s="77"/>
      <c r="JT750" s="77"/>
      <c r="JU750" s="77"/>
      <c r="JV750" s="77"/>
      <c r="JW750" s="77"/>
      <c r="JX750" s="77"/>
      <c r="JY750" s="77"/>
      <c r="JZ750" s="77"/>
      <c r="KA750" s="77"/>
      <c r="KB750" s="77"/>
      <c r="KC750" s="77"/>
      <c r="KD750" s="77"/>
      <c r="KE750" s="77"/>
      <c r="KF750" s="77"/>
      <c r="KG750" s="77"/>
      <c r="KH750" s="77"/>
      <c r="KI750" s="77"/>
      <c r="KJ750" s="77"/>
      <c r="KK750" s="77"/>
      <c r="KL750" s="77"/>
      <c r="KM750" s="77"/>
      <c r="KN750" s="77"/>
      <c r="KO750" s="77"/>
      <c r="KP750" s="77"/>
      <c r="KQ750" s="77"/>
      <c r="KR750" s="77"/>
      <c r="KS750" s="77"/>
      <c r="KT750" s="77"/>
      <c r="KU750" s="77"/>
      <c r="KV750" s="77"/>
      <c r="KW750" s="77"/>
      <c r="KX750" s="77"/>
      <c r="KY750" s="77"/>
      <c r="KZ750" s="77"/>
      <c r="LA750" s="77"/>
      <c r="LB750" s="77"/>
      <c r="LC750" s="77"/>
      <c r="LD750" s="77"/>
      <c r="LE750" s="77"/>
      <c r="LF750" s="77"/>
      <c r="LG750" s="77"/>
      <c r="LH750" s="77"/>
      <c r="LI750" s="77"/>
      <c r="LJ750" s="77"/>
      <c r="LK750" s="77"/>
      <c r="LL750" s="77"/>
      <c r="LM750" s="77"/>
      <c r="LN750" s="77"/>
      <c r="LO750" s="77"/>
      <c r="LP750" s="77"/>
      <c r="LQ750" s="77"/>
      <c r="LR750" s="77"/>
      <c r="LS750" s="77"/>
      <c r="LT750" s="77"/>
      <c r="LU750" s="77"/>
      <c r="LV750" s="77"/>
      <c r="LW750" s="77"/>
      <c r="LX750" s="77"/>
      <c r="MT750" s="77"/>
      <c r="MU750" s="77"/>
      <c r="MV750" s="77"/>
      <c r="MW750" s="77"/>
      <c r="MX750" s="77"/>
      <c r="MY750" s="77"/>
      <c r="MZ750" s="77"/>
      <c r="NA750" s="77"/>
      <c r="NB750" s="77"/>
      <c r="NC750" s="77"/>
    </row>
    <row r="751" spans="1:421" s="21" customFormat="1" ht="18.600000000000001" customHeight="1" x14ac:dyDescent="0.25">
      <c r="A751" s="119" t="s">
        <v>386</v>
      </c>
      <c r="B751" s="27" t="s">
        <v>386</v>
      </c>
      <c r="C751" s="27"/>
      <c r="D751" s="30" t="str">
        <f>HYPERLINK("https://twitter.com/GjorgeIvanov","https://twitter.com/GjorgeIvanov")</f>
        <v>https://twitter.com/GjorgeIvanov</v>
      </c>
      <c r="E751" s="30" t="str">
        <f>HYPERLINK("http://twiplomacy.com/info/europe/f-y-r-o-m/","http://twiplomacy.com/info/europe/f-y-r-o-m/")</f>
        <v>http://twiplomacy.com/info/europe/f-y-r-o-m/</v>
      </c>
      <c r="F751" s="10" t="s">
        <v>332</v>
      </c>
      <c r="G751" s="10" t="s">
        <v>385</v>
      </c>
      <c r="H751" s="10" t="s">
        <v>772</v>
      </c>
      <c r="I751" s="10" t="s">
        <v>773</v>
      </c>
      <c r="J751" s="27" t="s">
        <v>789</v>
      </c>
      <c r="K751" s="15" t="s">
        <v>1860</v>
      </c>
      <c r="L751" s="10"/>
      <c r="M751" s="10" t="s">
        <v>771</v>
      </c>
      <c r="N751" s="30" t="str">
        <f>HYPERLINK("https://twitter.com/GjorgeIvanov/statuses/1157469096","https://twitter.com/GjorgeIvanov/statuses/1157469096")</f>
        <v>https://twitter.com/GjorgeIvanov/statuses/1157469096</v>
      </c>
      <c r="O751" s="27" t="s">
        <v>5817</v>
      </c>
      <c r="P751" s="80">
        <v>11</v>
      </c>
      <c r="Q751" s="80">
        <v>8</v>
      </c>
      <c r="R751" s="27" t="s">
        <v>2995</v>
      </c>
      <c r="S751" s="30" t="str">
        <f>HYPERLINK("https://twitter.com/GjorgeIvanov/lists","https://twitter.com/GjorgeIvanov/lists")</f>
        <v>https://twitter.com/GjorgeIvanov/lists</v>
      </c>
      <c r="T751" s="10" t="s">
        <v>771</v>
      </c>
      <c r="U751" s="10" t="s">
        <v>771</v>
      </c>
      <c r="V751" s="10" t="s">
        <v>771</v>
      </c>
      <c r="W751" s="10"/>
      <c r="X751" s="27" t="s">
        <v>386</v>
      </c>
      <c r="Y751" s="27" t="s">
        <v>386</v>
      </c>
      <c r="Z751" s="80">
        <v>3</v>
      </c>
      <c r="AA751" s="27">
        <v>0</v>
      </c>
      <c r="AB751" s="80">
        <v>919</v>
      </c>
      <c r="AC751" s="27">
        <v>0</v>
      </c>
      <c r="AD751" s="27" t="s">
        <v>3726</v>
      </c>
      <c r="AE751" s="27">
        <v>19693272</v>
      </c>
      <c r="AF751" s="27"/>
      <c r="AG751" s="27" t="s">
        <v>1861</v>
      </c>
      <c r="AH751" s="79">
        <v>1.13207547169811E-3</v>
      </c>
      <c r="AI751" s="83">
        <v>0.15</v>
      </c>
      <c r="AJ751" s="80">
        <v>4.3333333333333304</v>
      </c>
      <c r="AK751" s="80">
        <v>4.3333333333333304</v>
      </c>
      <c r="AL751" s="13">
        <v>0</v>
      </c>
      <c r="AM751" s="97">
        <f>SUM(AL751/Z751)</f>
        <v>0</v>
      </c>
      <c r="AN751" s="27" t="s">
        <v>386</v>
      </c>
      <c r="AO751" s="27">
        <v>0</v>
      </c>
      <c r="AP751" s="27">
        <v>4</v>
      </c>
      <c r="AQ751" s="27">
        <v>0</v>
      </c>
      <c r="AR751" s="27">
        <f>SUM(AO751:AQ751)</f>
        <v>4</v>
      </c>
      <c r="AS751" s="27"/>
      <c r="AT751" s="27" t="s">
        <v>6293</v>
      </c>
      <c r="AU751" s="84"/>
      <c r="AV751" s="77"/>
      <c r="AW751" s="77"/>
      <c r="AX751" s="77"/>
      <c r="AY751" s="77"/>
      <c r="AZ751" s="77"/>
      <c r="BA751" s="77"/>
      <c r="BB751" s="77"/>
      <c r="BC751" s="77"/>
      <c r="BD751" s="77"/>
      <c r="BE751" s="77"/>
      <c r="BF751" s="77"/>
      <c r="BG751" s="77"/>
      <c r="BH751" s="77"/>
      <c r="BI751" s="77"/>
      <c r="BJ751" s="77"/>
      <c r="BK751" s="77"/>
      <c r="BL751" s="77"/>
      <c r="BM751" s="77"/>
      <c r="BN751" s="77"/>
      <c r="BO751" s="77"/>
      <c r="BP751" s="77"/>
      <c r="BQ751" s="77"/>
      <c r="BR751" s="77"/>
      <c r="BS751" s="77"/>
      <c r="BT751" s="77"/>
      <c r="BU751" s="77"/>
      <c r="BV751" s="77"/>
      <c r="BW751" s="77"/>
      <c r="BX751" s="77"/>
      <c r="BY751" s="77"/>
      <c r="BZ751" s="77"/>
      <c r="CA751" s="77"/>
      <c r="CB751" s="77"/>
      <c r="CC751" s="77"/>
      <c r="CD751" s="77"/>
      <c r="CE751" s="77"/>
      <c r="CF751" s="77"/>
      <c r="CG751" s="77"/>
      <c r="CH751" s="77"/>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7"/>
      <c r="DV751" s="77"/>
      <c r="DW751" s="77"/>
      <c r="DX751" s="77"/>
      <c r="DY751" s="77"/>
      <c r="DZ751" s="77"/>
      <c r="EA751" s="77"/>
      <c r="EB751" s="77"/>
      <c r="EC751" s="77"/>
      <c r="ED751" s="77"/>
      <c r="EE751" s="77"/>
      <c r="EF751" s="77"/>
      <c r="EG751" s="77"/>
      <c r="EH751" s="77"/>
      <c r="EI751" s="77"/>
      <c r="EJ751" s="77"/>
      <c r="EK751" s="77"/>
      <c r="EL751" s="77"/>
      <c r="EM751" s="77"/>
      <c r="EN751" s="77"/>
      <c r="EO751" s="77"/>
      <c r="EP751" s="77"/>
      <c r="EQ751" s="77"/>
      <c r="GL751" s="77"/>
      <c r="GM751" s="77"/>
      <c r="GN751" s="77"/>
      <c r="GO751" s="77"/>
      <c r="GP751" s="77"/>
      <c r="GQ751" s="77"/>
      <c r="GR751" s="77"/>
      <c r="GS751" s="77"/>
      <c r="GT751" s="77"/>
      <c r="GU751" s="77"/>
      <c r="GV751" s="77"/>
      <c r="GW751" s="77"/>
      <c r="GX751" s="77"/>
      <c r="GY751" s="77"/>
      <c r="GZ751" s="77"/>
      <c r="HA751" s="77"/>
      <c r="HB751" s="77"/>
      <c r="HC751" s="77"/>
      <c r="HD751" s="77"/>
      <c r="HE751" s="77"/>
      <c r="HF751" s="77"/>
      <c r="HG751" s="77"/>
      <c r="HH751" s="77"/>
      <c r="HI751" s="77"/>
      <c r="HJ751" s="77"/>
      <c r="HK751" s="77"/>
      <c r="HL751" s="77"/>
      <c r="HM751" s="77"/>
      <c r="HN751" s="77"/>
      <c r="HO751" s="77"/>
      <c r="HP751" s="77"/>
      <c r="HQ751" s="77"/>
      <c r="HR751" s="77"/>
      <c r="HS751" s="77"/>
      <c r="HT751" s="77"/>
      <c r="HU751" s="77"/>
      <c r="HV751" s="77"/>
      <c r="HW751" s="77"/>
      <c r="HX751" s="77"/>
      <c r="HY751" s="77"/>
      <c r="HZ751" s="77"/>
      <c r="IA751" s="77"/>
      <c r="IB751" s="77"/>
      <c r="IC751" s="77"/>
      <c r="IF751" s="77"/>
      <c r="IG751" s="77"/>
      <c r="IH751" s="77"/>
      <c r="II751" s="77"/>
      <c r="IJ751" s="77"/>
      <c r="IK751" s="77"/>
      <c r="IL751" s="77"/>
      <c r="IM751" s="77"/>
      <c r="IN751" s="77"/>
      <c r="IO751" s="77"/>
      <c r="IP751" s="77"/>
      <c r="IQ751" s="77"/>
      <c r="IR751" s="77"/>
      <c r="IS751" s="77"/>
      <c r="IT751" s="77"/>
      <c r="IU751" s="77"/>
      <c r="IV751" s="77"/>
      <c r="IW751" s="77"/>
      <c r="IX751" s="77"/>
      <c r="IY751" s="77"/>
      <c r="IZ751" s="77"/>
      <c r="JA751" s="77"/>
      <c r="JB751" s="77"/>
      <c r="JC751" s="77"/>
      <c r="JD751" s="77"/>
      <c r="JE751" s="77"/>
      <c r="JF751" s="77"/>
      <c r="JG751" s="77"/>
      <c r="JH751" s="77"/>
      <c r="JI751" s="77"/>
      <c r="JJ751" s="77"/>
      <c r="JK751" s="77"/>
      <c r="JL751" s="77"/>
      <c r="JM751" s="77"/>
      <c r="JN751" s="77"/>
      <c r="JO751" s="77"/>
      <c r="JP751" s="77"/>
      <c r="JQ751" s="77"/>
      <c r="JR751" s="77"/>
      <c r="JS751" s="77"/>
      <c r="JT751" s="77"/>
      <c r="JU751" s="77"/>
      <c r="JV751" s="77"/>
      <c r="JW751" s="77"/>
      <c r="JX751" s="77"/>
      <c r="LW751" s="77"/>
      <c r="LX751" s="77"/>
      <c r="LY751" s="77"/>
      <c r="LZ751" s="77"/>
      <c r="MA751" s="77"/>
      <c r="MB751" s="77"/>
      <c r="MC751" s="77"/>
      <c r="MD751" s="77"/>
      <c r="ME751" s="77"/>
      <c r="MF751" s="77"/>
      <c r="MG751" s="77"/>
      <c r="MH751" s="77"/>
      <c r="MI751" s="77"/>
      <c r="MJ751" s="77"/>
      <c r="MK751" s="77"/>
      <c r="ML751" s="77"/>
      <c r="MM751" s="77"/>
      <c r="MN751" s="77"/>
      <c r="MO751" s="77"/>
      <c r="MP751" s="77"/>
      <c r="MQ751" s="77"/>
      <c r="MR751" s="77"/>
      <c r="MS751" s="77"/>
    </row>
    <row r="752" spans="1:421" s="21" customFormat="1" ht="18.600000000000001" customHeight="1" x14ac:dyDescent="0.25">
      <c r="A752" s="119" t="s">
        <v>625</v>
      </c>
      <c r="B752" s="27" t="s">
        <v>2543</v>
      </c>
      <c r="C752" s="27"/>
      <c r="D752" s="30" t="str">
        <f>HYPERLINK("https://twitter.com/pdhnisbett","https://twitter.com/pdhnisbett")</f>
        <v>https://twitter.com/pdhnisbett</v>
      </c>
      <c r="E752" s="30" t="str">
        <f>HYPERLINK("http://twiplomacy.com/info/north-america/Saint-Kitts-and-Nevis","http://twiplomacy.com/info/north-america/Saint-Kitts-and-Nevis")</f>
        <v>http://twiplomacy.com/info/north-america/Saint-Kitts-and-Nevis</v>
      </c>
      <c r="F752" s="10" t="s">
        <v>558</v>
      </c>
      <c r="G752" s="10" t="s">
        <v>623</v>
      </c>
      <c r="H752" s="10" t="s">
        <v>860</v>
      </c>
      <c r="I752" s="10" t="s">
        <v>773</v>
      </c>
      <c r="J752" s="27" t="s">
        <v>789</v>
      </c>
      <c r="K752" s="15" t="s">
        <v>777</v>
      </c>
      <c r="L752" s="15"/>
      <c r="M752" s="10" t="s">
        <v>771</v>
      </c>
      <c r="N752" s="30" t="str">
        <f>HYPERLINK("https://twitter.com/pdhnisbett/statuses/439574209098825728","https://twitter.com/pdhnisbett/statuses/439574209098825728")</f>
        <v>https://twitter.com/pdhnisbett/statuses/439574209098825728</v>
      </c>
      <c r="O752" s="27" t="s">
        <v>6006</v>
      </c>
      <c r="P752" s="80">
        <v>0</v>
      </c>
      <c r="Q752" s="80">
        <v>0</v>
      </c>
      <c r="R752" s="27" t="s">
        <v>2995</v>
      </c>
      <c r="S752" s="10" t="s">
        <v>2544</v>
      </c>
      <c r="T752" s="10" t="s">
        <v>771</v>
      </c>
      <c r="U752" s="10" t="s">
        <v>771</v>
      </c>
      <c r="V752" s="10" t="s">
        <v>771</v>
      </c>
      <c r="W752" s="10"/>
      <c r="X752" s="27" t="s">
        <v>625</v>
      </c>
      <c r="Y752" s="27" t="s">
        <v>2543</v>
      </c>
      <c r="Z752" s="80">
        <v>3</v>
      </c>
      <c r="AA752" s="27">
        <v>47</v>
      </c>
      <c r="AB752" s="80">
        <v>34</v>
      </c>
      <c r="AC752" s="27">
        <v>0</v>
      </c>
      <c r="AD752" s="27" t="s">
        <v>4240</v>
      </c>
      <c r="AE752" s="27">
        <v>1251437905</v>
      </c>
      <c r="AF752" s="27"/>
      <c r="AG752" s="27"/>
      <c r="AH752" s="79">
        <v>2.6064291920069498E-3</v>
      </c>
      <c r="AI752" s="83">
        <v>5.0590219224283303E-3</v>
      </c>
      <c r="AJ752" s="80">
        <v>0</v>
      </c>
      <c r="AK752" s="80">
        <v>0.33333333333333298</v>
      </c>
      <c r="AL752" s="13">
        <v>0</v>
      </c>
      <c r="AM752" s="97">
        <f>SUM(AL752/Z752)</f>
        <v>0</v>
      </c>
      <c r="AN752" s="27" t="s">
        <v>625</v>
      </c>
      <c r="AO752" s="27">
        <v>4</v>
      </c>
      <c r="AP752" s="27">
        <v>4</v>
      </c>
      <c r="AQ752" s="27">
        <v>2</v>
      </c>
      <c r="AR752" s="27">
        <f>SUM(AO752:AQ752)</f>
        <v>10</v>
      </c>
      <c r="AS752" s="27" t="s">
        <v>5385</v>
      </c>
      <c r="AT752" s="27" t="s">
        <v>5386</v>
      </c>
      <c r="AU752" s="84" t="s">
        <v>4887</v>
      </c>
      <c r="AV752" s="77"/>
      <c r="AW752" s="77"/>
      <c r="AX752" s="77"/>
      <c r="AY752" s="77"/>
      <c r="AZ752" s="77"/>
      <c r="BA752" s="77"/>
      <c r="BB752" s="77"/>
      <c r="BC752" s="77"/>
      <c r="BD752" s="77"/>
      <c r="BE752" s="77"/>
      <c r="BF752" s="77"/>
      <c r="BG752" s="77"/>
      <c r="BH752" s="77"/>
      <c r="BI752" s="77"/>
      <c r="BJ752" s="77"/>
      <c r="BK752" s="77"/>
      <c r="BL752" s="77"/>
      <c r="BM752" s="77"/>
      <c r="BN752" s="77"/>
      <c r="BO752" s="77"/>
      <c r="BP752" s="77"/>
      <c r="BQ752" s="77"/>
      <c r="BR752" s="77"/>
      <c r="BS752" s="77"/>
      <c r="BT752" s="77"/>
      <c r="BU752" s="77"/>
      <c r="BV752" s="77"/>
      <c r="BW752" s="77"/>
      <c r="BX752" s="77"/>
      <c r="BY752" s="77"/>
      <c r="BZ752" s="77"/>
      <c r="CA752" s="77"/>
      <c r="CB752" s="77"/>
      <c r="CC752" s="77"/>
      <c r="CD752" s="77"/>
      <c r="CE752" s="77"/>
      <c r="CF752" s="77"/>
      <c r="CG752" s="77"/>
      <c r="CH752" s="77"/>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7"/>
      <c r="DV752" s="77"/>
      <c r="DW752" s="77"/>
      <c r="DX752" s="77"/>
      <c r="DY752" s="77"/>
      <c r="DZ752" s="77"/>
      <c r="EA752" s="77"/>
      <c r="EB752" s="77"/>
      <c r="EC752" s="77"/>
      <c r="ED752" s="77"/>
      <c r="EE752" s="77"/>
      <c r="EF752" s="77"/>
      <c r="EG752" s="77"/>
      <c r="EH752" s="77"/>
      <c r="EI752" s="77"/>
      <c r="EJ752" s="77"/>
      <c r="EK752" s="77"/>
      <c r="EL752" s="77"/>
      <c r="EM752" s="77"/>
      <c r="EN752" s="77"/>
      <c r="EO752" s="77"/>
      <c r="EP752" s="77"/>
      <c r="EQ752" s="77"/>
      <c r="JY752" s="77"/>
      <c r="JZ752" s="77"/>
      <c r="KA752" s="77"/>
      <c r="KB752" s="77"/>
      <c r="KC752" s="77"/>
      <c r="KD752" s="77"/>
      <c r="KE752" s="77"/>
      <c r="KF752" s="77"/>
      <c r="KG752" s="77"/>
      <c r="KH752" s="77"/>
      <c r="KI752" s="77"/>
      <c r="KJ752" s="77"/>
      <c r="KK752" s="77"/>
      <c r="KL752" s="77"/>
      <c r="KM752" s="16"/>
      <c r="KN752" s="16"/>
      <c r="KO752" s="16"/>
      <c r="KP752" s="16"/>
      <c r="KQ752" s="16"/>
      <c r="KR752" s="16"/>
      <c r="KS752" s="16"/>
      <c r="KT752" s="16"/>
      <c r="KU752" s="16"/>
      <c r="KV752" s="16"/>
      <c r="KW752" s="16"/>
      <c r="KX752" s="16"/>
      <c r="KY752" s="16"/>
      <c r="KZ752" s="16"/>
      <c r="LA752" s="16"/>
      <c r="LB752" s="16"/>
      <c r="LC752" s="16"/>
      <c r="LD752" s="16"/>
      <c r="LE752" s="16"/>
      <c r="LF752" s="16"/>
      <c r="LG752" s="16"/>
      <c r="LH752" s="16"/>
      <c r="LI752" s="16"/>
      <c r="LJ752" s="16"/>
      <c r="LK752" s="16"/>
      <c r="LW752" s="16"/>
      <c r="LX752" s="16"/>
    </row>
    <row r="753" spans="1:421" s="21" customFormat="1" ht="18.600000000000001" customHeight="1" x14ac:dyDescent="0.25">
      <c r="A753" s="119" t="s">
        <v>6</v>
      </c>
      <c r="B753" s="27" t="s">
        <v>2838</v>
      </c>
      <c r="C753" s="27"/>
      <c r="D753" s="72" t="str">
        <f>HYPERLINK("https://twitter.com/BeninMae","https://twitter.com/BeninMae")</f>
        <v>https://twitter.com/BeninMae</v>
      </c>
      <c r="E753" s="72" t="str">
        <f>HYPERLINK("http://twiplomacy.com/info/africa/Benin","http://twiplomacy.com/info/africa/Benin")</f>
        <v>http://twiplomacy.com/info/africa/Benin</v>
      </c>
      <c r="F753" s="10" t="s">
        <v>1</v>
      </c>
      <c r="G753" s="10" t="s">
        <v>4</v>
      </c>
      <c r="H753" s="10" t="s">
        <v>795</v>
      </c>
      <c r="I753" s="10" t="s">
        <v>782</v>
      </c>
      <c r="J753" s="27" t="s">
        <v>779</v>
      </c>
      <c r="K753" s="10" t="s">
        <v>766</v>
      </c>
      <c r="L753" s="10" t="s">
        <v>771</v>
      </c>
      <c r="M753" s="10" t="s">
        <v>771</v>
      </c>
      <c r="N753" s="20"/>
      <c r="O753" s="13"/>
      <c r="P753" s="81"/>
      <c r="Q753" s="81"/>
      <c r="R753" s="27" t="s">
        <v>2995</v>
      </c>
      <c r="S753" s="30" t="str">
        <f>HYPERLINK("https://twitter.com/BeninMae/lists","https://twitter.com/BeninMae/lists")</f>
        <v>https://twitter.com/BeninMae/lists</v>
      </c>
      <c r="T753" s="10" t="s">
        <v>771</v>
      </c>
      <c r="U753" s="10" t="s">
        <v>771</v>
      </c>
      <c r="V753" s="10" t="s">
        <v>771</v>
      </c>
      <c r="W753" s="10"/>
      <c r="X753" s="27" t="s">
        <v>6</v>
      </c>
      <c r="Y753" s="27" t="s">
        <v>2838</v>
      </c>
      <c r="Z753" s="80">
        <v>2</v>
      </c>
      <c r="AA753" s="27">
        <v>9</v>
      </c>
      <c r="AB753" s="80">
        <v>1</v>
      </c>
      <c r="AC753" s="27">
        <v>0</v>
      </c>
      <c r="AD753" s="27" t="s">
        <v>3516</v>
      </c>
      <c r="AE753" s="27">
        <v>1397060808</v>
      </c>
      <c r="AF753" s="27"/>
      <c r="AG753" s="27" t="s">
        <v>2839</v>
      </c>
      <c r="AH753" s="79"/>
      <c r="AI753" s="79"/>
      <c r="AJ753" s="79"/>
      <c r="AK753" s="79"/>
      <c r="AL753" s="13">
        <v>0</v>
      </c>
      <c r="AM753" s="99">
        <f>SUM(AL753/Z753)</f>
        <v>0</v>
      </c>
      <c r="AN753" s="27" t="s">
        <v>6</v>
      </c>
      <c r="AO753" s="27">
        <v>0</v>
      </c>
      <c r="AP753" s="27">
        <v>0</v>
      </c>
      <c r="AQ753" s="27">
        <v>0</v>
      </c>
      <c r="AR753" s="27">
        <f>SUM(AO753:AQ753)</f>
        <v>0</v>
      </c>
      <c r="AS753" s="27"/>
      <c r="AT753" s="27"/>
      <c r="AU753" s="84"/>
      <c r="AV753" s="77"/>
      <c r="AW753" s="77"/>
      <c r="AX753" s="77"/>
      <c r="AY753" s="77"/>
      <c r="AZ753" s="77"/>
      <c r="BA753" s="77"/>
      <c r="BB753" s="77"/>
      <c r="BC753" s="77"/>
      <c r="BD753" s="77"/>
      <c r="BE753" s="77"/>
      <c r="BF753" s="77"/>
      <c r="BG753" s="77"/>
      <c r="BH753" s="77"/>
      <c r="BI753" s="77"/>
      <c r="BJ753" s="77"/>
      <c r="BK753" s="77"/>
      <c r="BL753" s="77"/>
      <c r="BM753" s="77"/>
      <c r="BN753" s="77"/>
      <c r="BO753" s="77"/>
      <c r="BP753" s="77"/>
      <c r="BQ753" s="77"/>
      <c r="BR753" s="77"/>
      <c r="BS753" s="77"/>
      <c r="BT753" s="77"/>
      <c r="BU753" s="77"/>
      <c r="BV753" s="77"/>
      <c r="BW753" s="77"/>
      <c r="BX753" s="77"/>
      <c r="BY753" s="77"/>
      <c r="BZ753" s="77"/>
      <c r="CA753" s="77"/>
      <c r="CB753" s="77"/>
      <c r="CC753" s="77"/>
      <c r="CD753" s="77"/>
      <c r="CE753" s="77"/>
      <c r="CF753" s="77"/>
      <c r="CG753" s="77"/>
      <c r="CH753" s="77"/>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7"/>
      <c r="DV753" s="77"/>
      <c r="DW753" s="77"/>
      <c r="DX753" s="77"/>
      <c r="DY753" s="77"/>
      <c r="DZ753" s="77"/>
      <c r="EA753" s="77"/>
      <c r="EB753" s="77"/>
      <c r="EC753" s="77"/>
      <c r="ED753" s="77"/>
      <c r="EE753" s="77"/>
      <c r="EF753" s="77"/>
      <c r="EG753" s="77"/>
      <c r="EH753" s="77"/>
      <c r="EI753" s="77"/>
      <c r="EJ753" s="77"/>
      <c r="EK753" s="77"/>
      <c r="EL753" s="77"/>
      <c r="EM753" s="77"/>
      <c r="EN753" s="77"/>
      <c r="EO753" s="77"/>
      <c r="EP753" s="77"/>
      <c r="EQ753" s="77"/>
      <c r="ER753" s="77"/>
      <c r="ES753" s="77"/>
      <c r="ET753" s="77"/>
      <c r="EU753" s="77"/>
      <c r="EV753" s="77"/>
      <c r="EW753" s="77"/>
      <c r="EX753" s="77"/>
      <c r="EY753" s="77"/>
      <c r="EZ753" s="77"/>
      <c r="FA753" s="77"/>
      <c r="FB753" s="77"/>
      <c r="FC753" s="77"/>
      <c r="FD753" s="77"/>
      <c r="FE753" s="77"/>
      <c r="FF753" s="77"/>
      <c r="FG753" s="77"/>
      <c r="FH753" s="77"/>
      <c r="FI753" s="77"/>
      <c r="FJ753" s="77"/>
      <c r="FK753" s="77"/>
      <c r="FL753" s="77"/>
      <c r="FM753" s="77"/>
      <c r="FN753" s="77"/>
      <c r="FO753" s="77"/>
      <c r="FP753" s="77"/>
      <c r="FQ753" s="77"/>
      <c r="FR753" s="77"/>
      <c r="FS753" s="77"/>
      <c r="FT753" s="77"/>
      <c r="FU753" s="77"/>
      <c r="FV753" s="77"/>
      <c r="FW753" s="77"/>
      <c r="FX753" s="77"/>
      <c r="FY753" s="77"/>
      <c r="FZ753" s="77"/>
      <c r="GA753" s="77"/>
      <c r="GB753" s="77"/>
      <c r="GC753" s="77"/>
      <c r="GD753" s="77"/>
      <c r="GE753" s="77"/>
      <c r="GF753" s="77"/>
      <c r="GG753" s="77"/>
      <c r="GH753" s="77"/>
      <c r="GI753" s="77"/>
      <c r="GJ753" s="77"/>
      <c r="GK753" s="77"/>
      <c r="GL753" s="77"/>
      <c r="GM753" s="77"/>
      <c r="GN753" s="77"/>
      <c r="GO753" s="77"/>
      <c r="GP753" s="77"/>
      <c r="GQ753" s="77"/>
      <c r="GR753" s="77"/>
      <c r="GS753" s="77"/>
      <c r="GT753" s="77"/>
      <c r="GU753" s="77"/>
      <c r="GV753" s="77"/>
      <c r="GW753" s="77"/>
      <c r="GX753" s="77"/>
      <c r="GY753" s="77"/>
      <c r="GZ753" s="77"/>
      <c r="HA753" s="77"/>
      <c r="HB753" s="77"/>
      <c r="HC753" s="77"/>
      <c r="HD753" s="77"/>
      <c r="HE753" s="77"/>
      <c r="HF753" s="77"/>
      <c r="HG753" s="77"/>
      <c r="HH753" s="77"/>
      <c r="HI753" s="77"/>
      <c r="HJ753" s="77"/>
      <c r="HK753" s="77"/>
      <c r="ID753" s="77"/>
      <c r="IE753" s="77"/>
      <c r="IF753" s="77"/>
      <c r="IG753" s="77"/>
      <c r="IH753" s="77"/>
      <c r="II753" s="77"/>
      <c r="IJ753" s="77"/>
      <c r="IK753" s="77"/>
      <c r="IL753" s="77"/>
      <c r="IM753" s="77"/>
      <c r="IN753" s="77"/>
      <c r="IO753" s="77"/>
      <c r="IP753" s="77"/>
      <c r="IQ753" s="77"/>
      <c r="IR753" s="77"/>
      <c r="IS753" s="77"/>
      <c r="IT753" s="77"/>
      <c r="IU753" s="77"/>
      <c r="IV753" s="77"/>
      <c r="IW753" s="77"/>
      <c r="IX753" s="77"/>
      <c r="IY753" s="77"/>
      <c r="IZ753" s="77"/>
      <c r="JA753" s="77"/>
      <c r="JB753" s="77"/>
      <c r="JC753" s="77"/>
      <c r="JD753" s="77"/>
      <c r="JE753" s="77"/>
      <c r="JF753" s="77"/>
      <c r="JG753" s="77"/>
      <c r="JH753" s="77"/>
      <c r="JI753" s="77"/>
      <c r="JJ753" s="77"/>
      <c r="JK753" s="77"/>
      <c r="JL753" s="77"/>
      <c r="JM753" s="77"/>
      <c r="JN753" s="77"/>
      <c r="JO753" s="77"/>
      <c r="JP753" s="77"/>
      <c r="JQ753" s="77"/>
      <c r="JR753" s="77"/>
      <c r="JS753" s="77"/>
      <c r="JT753" s="77"/>
      <c r="JU753" s="77"/>
      <c r="JV753" s="77"/>
      <c r="JW753" s="77"/>
      <c r="JX753" s="77"/>
      <c r="KM753" s="77"/>
      <c r="KN753" s="77"/>
      <c r="KO753" s="77"/>
      <c r="KP753" s="77"/>
      <c r="KQ753" s="77"/>
      <c r="KR753" s="77"/>
      <c r="KS753" s="77"/>
      <c r="KT753" s="77"/>
      <c r="KU753" s="77"/>
      <c r="KV753" s="77"/>
      <c r="KW753" s="77"/>
      <c r="KX753" s="77"/>
      <c r="KY753" s="77"/>
      <c r="KZ753" s="77"/>
      <c r="LA753" s="77"/>
      <c r="LB753" s="77"/>
      <c r="LC753" s="77"/>
      <c r="LD753" s="77"/>
      <c r="LE753" s="77"/>
      <c r="LF753" s="77"/>
      <c r="LG753" s="77"/>
      <c r="LH753" s="77"/>
      <c r="LI753" s="77"/>
      <c r="LJ753" s="77"/>
      <c r="LK753" s="77"/>
      <c r="LL753" s="77"/>
      <c r="LM753" s="77"/>
      <c r="LN753" s="77"/>
      <c r="LO753" s="77"/>
      <c r="LP753" s="77"/>
      <c r="LQ753" s="77"/>
      <c r="LR753" s="77"/>
      <c r="LS753" s="77"/>
      <c r="LT753" s="77"/>
      <c r="LU753" s="77"/>
      <c r="LV753" s="77"/>
    </row>
    <row r="754" spans="1:421" s="21" customFormat="1" ht="18.600000000000001" customHeight="1" x14ac:dyDescent="0.25">
      <c r="A754" s="119" t="s">
        <v>881</v>
      </c>
      <c r="B754" s="27" t="s">
        <v>882</v>
      </c>
      <c r="C754" s="27"/>
      <c r="D754" s="30" t="str">
        <f>HYPERLINK("https://twitter.com/PrimatureGabon","https://twitter.com/PrimatureGabon")</f>
        <v>https://twitter.com/PrimatureGabon</v>
      </c>
      <c r="E754" s="30" t="str">
        <f>HYPERLINK("http://twiplomacy.com/info/africa/Gabon","http://twiplomacy.com/info/africa/Gabon")</f>
        <v>http://twiplomacy.com/info/africa/Gabon</v>
      </c>
      <c r="F754" s="10" t="s">
        <v>1</v>
      </c>
      <c r="G754" s="10" t="s">
        <v>44</v>
      </c>
      <c r="H754" s="10" t="s">
        <v>788</v>
      </c>
      <c r="I754" s="10" t="s">
        <v>782</v>
      </c>
      <c r="J754" s="27" t="s">
        <v>789</v>
      </c>
      <c r="K754" s="10" t="s">
        <v>883</v>
      </c>
      <c r="L754" s="10" t="s">
        <v>771</v>
      </c>
      <c r="M754" s="10" t="s">
        <v>771</v>
      </c>
      <c r="N754" s="30" t="str">
        <f>HYPERLINK("https://twitter.com/PrimatureGabon/statuses/16756801778","https://twitter.com/PrimatureGabon/statuses/16756801778")</f>
        <v>https://twitter.com/PrimatureGabon/statuses/16756801778</v>
      </c>
      <c r="O754" s="27" t="s">
        <v>884</v>
      </c>
      <c r="P754" s="80">
        <v>1</v>
      </c>
      <c r="Q754" s="80">
        <v>3</v>
      </c>
      <c r="R754" s="27" t="s">
        <v>2995</v>
      </c>
      <c r="S754" s="10" t="s">
        <v>885</v>
      </c>
      <c r="T754" s="10" t="s">
        <v>771</v>
      </c>
      <c r="U754" s="10" t="s">
        <v>771</v>
      </c>
      <c r="V754" s="10" t="s">
        <v>771</v>
      </c>
      <c r="W754" s="10"/>
      <c r="X754" s="27" t="s">
        <v>881</v>
      </c>
      <c r="Y754" s="27" t="s">
        <v>882</v>
      </c>
      <c r="Z754" s="80">
        <v>2</v>
      </c>
      <c r="AA754" s="27">
        <v>0</v>
      </c>
      <c r="AB754" s="80">
        <v>147</v>
      </c>
      <c r="AC754" s="27">
        <v>0</v>
      </c>
      <c r="AD754" s="27" t="s">
        <v>4378</v>
      </c>
      <c r="AE754" s="27">
        <v>154076382</v>
      </c>
      <c r="AF754" s="27"/>
      <c r="AG754" s="27" t="s">
        <v>879</v>
      </c>
      <c r="AH754" s="79">
        <v>9.2893636785880201E-4</v>
      </c>
      <c r="AI754" s="83">
        <v>0.66666666666666696</v>
      </c>
      <c r="AJ754" s="80">
        <v>0.5</v>
      </c>
      <c r="AK754" s="80">
        <v>2.5</v>
      </c>
      <c r="AL754" s="13">
        <v>0</v>
      </c>
      <c r="AM754" s="97">
        <f>SUM(AL754/Z754)</f>
        <v>0</v>
      </c>
      <c r="AN754" s="27" t="s">
        <v>881</v>
      </c>
      <c r="AO754" s="27">
        <v>0</v>
      </c>
      <c r="AP754" s="27">
        <v>3</v>
      </c>
      <c r="AQ754" s="27">
        <v>0</v>
      </c>
      <c r="AR754" s="27">
        <f>SUM(AO754:AQ754)</f>
        <v>3</v>
      </c>
      <c r="AS754" s="27"/>
      <c r="AT754" s="27" t="s">
        <v>5448</v>
      </c>
      <c r="AU754" s="84"/>
      <c r="AV754" s="77"/>
      <c r="AW754" s="77"/>
      <c r="AX754" s="77"/>
      <c r="AY754" s="77"/>
      <c r="AZ754" s="77"/>
      <c r="BA754" s="77"/>
      <c r="BB754" s="77"/>
      <c r="BC754" s="77"/>
      <c r="BD754" s="77"/>
      <c r="BE754" s="77"/>
      <c r="BF754" s="77"/>
      <c r="BG754" s="77"/>
      <c r="BH754" s="77"/>
      <c r="BI754" s="77"/>
      <c r="BJ754" s="77"/>
      <c r="BK754" s="77"/>
      <c r="BL754" s="77"/>
      <c r="BM754" s="77"/>
      <c r="BN754" s="77"/>
      <c r="BO754" s="77"/>
      <c r="BP754" s="77"/>
      <c r="BQ754" s="77"/>
      <c r="BR754" s="77"/>
      <c r="BS754" s="77"/>
      <c r="BT754" s="77"/>
      <c r="BU754" s="77"/>
      <c r="BV754" s="77"/>
      <c r="BW754" s="77"/>
      <c r="BX754" s="77"/>
      <c r="BY754" s="77"/>
      <c r="BZ754" s="77"/>
      <c r="CA754" s="77"/>
      <c r="CB754" s="77"/>
      <c r="CC754" s="77"/>
      <c r="CD754" s="77"/>
      <c r="CE754" s="77"/>
      <c r="CF754" s="77"/>
      <c r="CG754" s="77"/>
      <c r="CH754" s="77"/>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7"/>
      <c r="DV754" s="77"/>
      <c r="DW754" s="77"/>
      <c r="DX754" s="77"/>
      <c r="DY754" s="77"/>
      <c r="DZ754" s="77"/>
      <c r="EA754" s="77"/>
      <c r="EB754" s="77"/>
      <c r="EC754" s="77"/>
      <c r="ED754" s="77"/>
      <c r="EE754" s="77"/>
      <c r="EF754" s="77"/>
      <c r="EG754" s="77"/>
      <c r="EH754" s="77"/>
      <c r="EI754" s="77"/>
      <c r="EJ754" s="77"/>
      <c r="EK754" s="77"/>
      <c r="EL754" s="77"/>
      <c r="EM754" s="77"/>
      <c r="EN754" s="77"/>
      <c r="EO754" s="77"/>
      <c r="EP754" s="77"/>
      <c r="EQ754" s="77"/>
      <c r="ER754" s="77"/>
      <c r="ES754" s="77"/>
      <c r="ET754" s="77"/>
      <c r="EU754" s="77"/>
      <c r="EV754" s="77"/>
      <c r="EW754" s="77"/>
      <c r="EX754" s="77"/>
      <c r="EY754" s="77"/>
      <c r="EZ754" s="77"/>
      <c r="FA754" s="77"/>
      <c r="FB754" s="77"/>
      <c r="FC754" s="77"/>
      <c r="FD754" s="77"/>
      <c r="FE754" s="77"/>
      <c r="FF754" s="77"/>
      <c r="FG754" s="77"/>
      <c r="FH754" s="77"/>
      <c r="FI754" s="77"/>
      <c r="FJ754" s="77"/>
      <c r="FK754" s="77"/>
      <c r="FL754" s="77"/>
      <c r="FM754" s="77"/>
      <c r="FN754" s="77"/>
      <c r="FO754" s="77"/>
      <c r="FP754" s="77"/>
      <c r="FQ754" s="77"/>
      <c r="FR754" s="77"/>
      <c r="FS754" s="77"/>
      <c r="FT754" s="77"/>
      <c r="FU754" s="77"/>
      <c r="FV754" s="77"/>
      <c r="FW754" s="77"/>
      <c r="FX754" s="77"/>
      <c r="FY754" s="77"/>
      <c r="FZ754" s="77"/>
      <c r="GA754" s="77"/>
      <c r="GB754" s="77"/>
      <c r="GC754" s="77"/>
      <c r="GD754" s="77"/>
      <c r="GE754" s="77"/>
      <c r="GF754" s="77"/>
      <c r="GG754" s="77"/>
      <c r="GH754" s="77"/>
      <c r="GI754" s="77"/>
      <c r="GJ754" s="77"/>
      <c r="GK754" s="77"/>
      <c r="GL754" s="77"/>
      <c r="GM754" s="77"/>
      <c r="GN754" s="77"/>
      <c r="GO754" s="77"/>
      <c r="GP754" s="77"/>
      <c r="GQ754" s="77"/>
      <c r="GR754" s="77"/>
      <c r="GS754" s="77"/>
      <c r="GT754" s="77"/>
      <c r="GU754" s="77"/>
      <c r="GV754" s="77"/>
      <c r="GW754" s="77"/>
      <c r="GX754" s="77"/>
      <c r="GY754" s="77"/>
      <c r="GZ754" s="77"/>
      <c r="HA754" s="77"/>
      <c r="HB754" s="77"/>
      <c r="HC754" s="77"/>
      <c r="HD754" s="77"/>
      <c r="HE754" s="77"/>
      <c r="HF754" s="77"/>
      <c r="HG754" s="77"/>
      <c r="HH754" s="77"/>
      <c r="HI754" s="77"/>
      <c r="HJ754" s="77"/>
      <c r="HK754" s="77"/>
      <c r="ID754" s="77"/>
      <c r="IE754" s="77"/>
      <c r="IF754" s="77"/>
      <c r="IG754" s="77"/>
      <c r="IH754" s="77"/>
      <c r="II754" s="77"/>
      <c r="IJ754" s="77"/>
      <c r="IK754" s="77"/>
      <c r="IL754" s="77"/>
      <c r="IM754" s="77"/>
      <c r="IN754" s="77"/>
      <c r="IO754" s="77"/>
      <c r="IP754" s="77"/>
      <c r="IQ754" s="77"/>
      <c r="IR754" s="77"/>
      <c r="IS754" s="77"/>
      <c r="IT754" s="77"/>
      <c r="IU754" s="77"/>
      <c r="IV754" s="77"/>
      <c r="IW754" s="77"/>
      <c r="IX754" s="77"/>
      <c r="IY754" s="77"/>
      <c r="IZ754" s="77"/>
      <c r="JA754" s="77"/>
      <c r="JB754" s="77"/>
      <c r="JC754" s="77"/>
      <c r="JD754" s="77"/>
      <c r="JE754" s="77"/>
      <c r="JF754" s="77"/>
      <c r="JG754" s="77"/>
      <c r="JH754" s="77"/>
      <c r="JI754" s="77"/>
      <c r="JJ754" s="77"/>
      <c r="JK754" s="77"/>
      <c r="JL754" s="77"/>
      <c r="JM754" s="77"/>
      <c r="JN754" s="77"/>
      <c r="JO754" s="77"/>
      <c r="JP754" s="77"/>
      <c r="JQ754" s="77"/>
      <c r="JR754" s="77"/>
      <c r="JS754" s="77"/>
      <c r="JT754" s="77"/>
      <c r="JU754" s="77"/>
      <c r="JV754" s="77"/>
      <c r="JW754" s="77"/>
      <c r="JX754" s="77"/>
      <c r="LL754" s="77"/>
      <c r="LM754" s="77"/>
      <c r="LN754" s="77"/>
      <c r="LO754" s="77"/>
      <c r="LP754" s="77"/>
      <c r="LQ754" s="77"/>
      <c r="LR754" s="77"/>
      <c r="LS754" s="77"/>
      <c r="LT754" s="77"/>
      <c r="LU754" s="77"/>
      <c r="LV754" s="77"/>
      <c r="LW754" s="77"/>
      <c r="LX754" s="77"/>
      <c r="ND754" s="77"/>
    </row>
    <row r="755" spans="1:421" s="21" customFormat="1" ht="18.600000000000001" customHeight="1" x14ac:dyDescent="0.25">
      <c r="A755" s="119" t="s">
        <v>490</v>
      </c>
      <c r="B755" s="27" t="s">
        <v>2125</v>
      </c>
      <c r="C755" s="27" t="s">
        <v>2126</v>
      </c>
      <c r="D755" s="30" t="str">
        <f>HYPERLINK("https://twitter.com/MNEGOVPT","https://twitter.com/MNEGOVPT")</f>
        <v>https://twitter.com/MNEGOVPT</v>
      </c>
      <c r="E755" s="30" t="str">
        <f>HYPERLINK("http://twiplomacy.com/info/europe/Portugal","http://twiplomacy.com/info/europe/Portugal")</f>
        <v>http://twiplomacy.com/info/europe/Portugal</v>
      </c>
      <c r="F755" s="10" t="s">
        <v>332</v>
      </c>
      <c r="G755" s="10" t="s">
        <v>487</v>
      </c>
      <c r="H755" s="10" t="s">
        <v>788</v>
      </c>
      <c r="I755" s="10" t="s">
        <v>782</v>
      </c>
      <c r="J755" s="27" t="s">
        <v>785</v>
      </c>
      <c r="K755" s="15" t="s">
        <v>4632</v>
      </c>
      <c r="L755" s="10" t="s">
        <v>771</v>
      </c>
      <c r="M755" s="10" t="s">
        <v>770</v>
      </c>
      <c r="N755" s="30" t="str">
        <f>HYPERLINK("https://twitter.com/MNEGOVPT/status/446607115462115328","https://twitter.com/MNEGOVPT/status/446607115462115328")</f>
        <v>https://twitter.com/MNEGOVPT/status/446607115462115328</v>
      </c>
      <c r="O755" s="27" t="s">
        <v>5968</v>
      </c>
      <c r="P755" s="80">
        <v>1</v>
      </c>
      <c r="Q755" s="80">
        <v>2</v>
      </c>
      <c r="R755" s="27" t="s">
        <v>2995</v>
      </c>
      <c r="S755" s="30" t="str">
        <f>HYPERLINK("https://twitter.com/MNEGOVPT/lists","https://twitter.com/MNEGOVPT/lists")</f>
        <v>https://twitter.com/MNEGOVPT/lists</v>
      </c>
      <c r="T755" s="10" t="s">
        <v>771</v>
      </c>
      <c r="U755" s="10" t="s">
        <v>771</v>
      </c>
      <c r="V755" s="10" t="s">
        <v>771</v>
      </c>
      <c r="W755" s="10"/>
      <c r="X755" s="27" t="s">
        <v>490</v>
      </c>
      <c r="Y755" s="27" t="s">
        <v>2125</v>
      </c>
      <c r="Z755" s="80">
        <v>2</v>
      </c>
      <c r="AA755" s="27">
        <v>262</v>
      </c>
      <c r="AB755" s="80">
        <v>799</v>
      </c>
      <c r="AC755" s="27">
        <v>0</v>
      </c>
      <c r="AD755" s="27" t="s">
        <v>4135</v>
      </c>
      <c r="AE755" s="27">
        <v>2217620251</v>
      </c>
      <c r="AF755" s="27" t="s">
        <v>2126</v>
      </c>
      <c r="AG755" s="27" t="s">
        <v>2122</v>
      </c>
      <c r="AH755" s="79">
        <v>2.25479143179256E-3</v>
      </c>
      <c r="AI755" s="83">
        <v>2</v>
      </c>
      <c r="AJ755" s="80">
        <v>0.5</v>
      </c>
      <c r="AK755" s="80">
        <v>1.5</v>
      </c>
      <c r="AL755" s="27">
        <v>2</v>
      </c>
      <c r="AM755" s="97">
        <f>SUM(AL755/Z755)</f>
        <v>1</v>
      </c>
      <c r="AN755" s="27" t="s">
        <v>490</v>
      </c>
      <c r="AO755" s="27">
        <v>13</v>
      </c>
      <c r="AP755" s="27">
        <v>18</v>
      </c>
      <c r="AQ755" s="27">
        <v>4</v>
      </c>
      <c r="AR755" s="27">
        <f>SUM(AO755:AQ755)</f>
        <v>35</v>
      </c>
      <c r="AS755" s="27" t="s">
        <v>5332</v>
      </c>
      <c r="AT755" s="27" t="s">
        <v>5333</v>
      </c>
      <c r="AU755" s="84" t="s">
        <v>4861</v>
      </c>
      <c r="AV755" s="77"/>
      <c r="AW755" s="77"/>
      <c r="AX755" s="77"/>
      <c r="AY755" s="77"/>
      <c r="AZ755" s="77"/>
      <c r="BA755" s="77"/>
      <c r="BB755" s="77"/>
      <c r="BC755" s="77"/>
      <c r="BD755" s="77"/>
      <c r="BE755" s="77"/>
      <c r="BF755" s="77"/>
      <c r="BG755" s="77"/>
      <c r="BH755" s="77"/>
      <c r="BI755" s="77"/>
      <c r="BJ755" s="77"/>
      <c r="BK755" s="77"/>
      <c r="BL755" s="77"/>
      <c r="BM755" s="77"/>
      <c r="BN755" s="77"/>
      <c r="BO755" s="77"/>
      <c r="BP755" s="77"/>
      <c r="BQ755" s="77"/>
      <c r="BR755" s="77"/>
      <c r="BS755" s="77"/>
      <c r="BT755" s="77"/>
      <c r="BU755" s="77"/>
      <c r="BV755" s="77"/>
      <c r="BW755" s="77"/>
      <c r="BX755" s="77"/>
      <c r="BY755" s="77"/>
      <c r="BZ755" s="77"/>
      <c r="CA755" s="77"/>
      <c r="CB755" s="77"/>
      <c r="CC755" s="77"/>
      <c r="CD755" s="77"/>
      <c r="CE755" s="77"/>
      <c r="CF755" s="77"/>
      <c r="CG755" s="77"/>
      <c r="CH755" s="77"/>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7"/>
      <c r="DV755" s="77"/>
      <c r="DW755" s="77"/>
      <c r="DX755" s="77"/>
      <c r="DY755" s="77"/>
      <c r="DZ755" s="77"/>
      <c r="EA755" s="77"/>
      <c r="EB755" s="77"/>
      <c r="EC755" s="77"/>
      <c r="ED755" s="77"/>
      <c r="EE755" s="77"/>
      <c r="EF755" s="77"/>
      <c r="EG755" s="77"/>
      <c r="EH755" s="77"/>
      <c r="EI755" s="77"/>
      <c r="EJ755" s="77"/>
      <c r="EK755" s="77"/>
      <c r="EL755" s="77"/>
      <c r="EM755" s="77"/>
      <c r="EN755" s="77"/>
      <c r="EO755" s="77"/>
      <c r="EP755" s="77"/>
      <c r="EQ755" s="77"/>
      <c r="GL755" s="77"/>
      <c r="GM755" s="77"/>
      <c r="GN755" s="77"/>
      <c r="GO755" s="77"/>
      <c r="GP755" s="77"/>
      <c r="GQ755" s="77"/>
      <c r="GR755" s="77"/>
      <c r="GS755" s="77"/>
      <c r="GT755" s="77"/>
      <c r="GU755" s="77"/>
      <c r="GV755" s="77"/>
      <c r="GW755" s="77"/>
      <c r="GX755" s="77"/>
      <c r="GY755" s="77"/>
      <c r="GZ755" s="77"/>
      <c r="HA755" s="77"/>
      <c r="HB755" s="77"/>
      <c r="HC755" s="77"/>
      <c r="HD755" s="77"/>
      <c r="HE755" s="77"/>
      <c r="HF755" s="77"/>
      <c r="HG755" s="77"/>
      <c r="HH755" s="77"/>
      <c r="HI755" s="77"/>
      <c r="HJ755" s="77"/>
      <c r="HK755" s="77"/>
      <c r="HL755" s="77"/>
      <c r="HM755" s="77"/>
      <c r="HN755" s="77"/>
      <c r="HO755" s="77"/>
      <c r="HP755" s="77"/>
      <c r="HQ755" s="77"/>
      <c r="HR755" s="77"/>
      <c r="HS755" s="77"/>
      <c r="HT755" s="77"/>
      <c r="HU755" s="77"/>
      <c r="HV755" s="77"/>
      <c r="HW755" s="77"/>
      <c r="HX755" s="77"/>
      <c r="HY755" s="77"/>
      <c r="HZ755" s="77"/>
      <c r="IA755" s="77"/>
      <c r="IB755" s="77"/>
      <c r="IC755" s="77"/>
      <c r="IF755" s="77"/>
      <c r="IG755" s="77"/>
      <c r="IH755" s="77"/>
      <c r="II755" s="77"/>
      <c r="IJ755" s="77"/>
      <c r="IK755" s="77"/>
      <c r="IL755" s="77"/>
      <c r="IM755" s="77"/>
      <c r="IN755" s="77"/>
      <c r="IO755" s="77"/>
      <c r="IP755" s="77"/>
      <c r="IQ755" s="77"/>
      <c r="IR755" s="77"/>
      <c r="IS755" s="77"/>
      <c r="IT755" s="77"/>
      <c r="IU755" s="77"/>
      <c r="IV755" s="77"/>
      <c r="IW755" s="77"/>
      <c r="IX755" s="77"/>
      <c r="IY755" s="77"/>
      <c r="IZ755" s="77"/>
      <c r="JA755" s="77"/>
      <c r="JB755" s="77"/>
      <c r="JC755" s="77"/>
      <c r="JD755" s="77"/>
      <c r="JE755" s="77"/>
      <c r="JF755" s="77"/>
      <c r="JG755" s="77"/>
      <c r="JH755" s="77"/>
      <c r="JI755" s="77"/>
      <c r="JJ755" s="77"/>
      <c r="JK755" s="77"/>
      <c r="JL755" s="77"/>
      <c r="JM755" s="77"/>
      <c r="JN755" s="77"/>
      <c r="JO755" s="77"/>
      <c r="JP755" s="77"/>
      <c r="JQ755" s="77"/>
      <c r="JR755" s="77"/>
      <c r="JS755" s="77"/>
      <c r="JT755" s="77"/>
      <c r="JU755" s="77"/>
      <c r="JV755" s="77"/>
      <c r="JW755" s="77"/>
      <c r="JX755" s="77"/>
      <c r="JY755" s="16"/>
      <c r="JZ755" s="16"/>
      <c r="KA755" s="16"/>
      <c r="KB755" s="16"/>
      <c r="KC755" s="16"/>
      <c r="KD755" s="16"/>
      <c r="KE755" s="16"/>
      <c r="KF755" s="16"/>
      <c r="KG755" s="16"/>
      <c r="KH755" s="16"/>
      <c r="KI755" s="16"/>
      <c r="KJ755" s="16"/>
      <c r="KK755" s="16"/>
      <c r="KL755" s="16"/>
      <c r="LL755" s="77"/>
      <c r="LM755" s="77"/>
      <c r="LN755" s="77"/>
      <c r="LO755" s="77"/>
      <c r="LP755" s="77"/>
      <c r="LQ755" s="77"/>
      <c r="LR755" s="77"/>
      <c r="LS755" s="77"/>
      <c r="LT755" s="77"/>
      <c r="LU755" s="77"/>
      <c r="LV755" s="77"/>
      <c r="LW755" s="77"/>
      <c r="LX755" s="77"/>
      <c r="LY755" s="77"/>
      <c r="LZ755" s="77"/>
      <c r="MA755" s="77"/>
      <c r="MB755" s="77"/>
      <c r="MC755" s="77"/>
      <c r="MD755" s="77"/>
      <c r="ME755" s="77"/>
      <c r="MF755" s="77"/>
      <c r="MG755" s="77"/>
      <c r="MH755" s="77"/>
      <c r="MI755" s="77"/>
      <c r="MJ755" s="77"/>
      <c r="MK755" s="77"/>
      <c r="ML755" s="77"/>
      <c r="MM755" s="77"/>
      <c r="MN755" s="77"/>
      <c r="MO755" s="77"/>
      <c r="MP755" s="77"/>
      <c r="MQ755" s="77"/>
      <c r="MR755" s="77"/>
      <c r="MS755" s="77"/>
    </row>
    <row r="756" spans="1:421" s="16" customFormat="1" ht="18.600000000000001" customHeight="1" x14ac:dyDescent="0.25">
      <c r="A756" s="119" t="s">
        <v>566</v>
      </c>
      <c r="B756" s="27" t="s">
        <v>2420</v>
      </c>
      <c r="C756" s="27" t="s">
        <v>2421</v>
      </c>
      <c r="D756" s="30" t="str">
        <f>HYPERLINK("https://twitter.com/BarrowDean","https://twitter.com/BarrowDean")</f>
        <v>https://twitter.com/BarrowDean</v>
      </c>
      <c r="E756" s="30" t="str">
        <f>HYPERLINK("http://twiplomacy.com/info/north-america/Belize","http://twiplomacy.com/info/north-america/Belize")</f>
        <v>http://twiplomacy.com/info/north-america/Belize</v>
      </c>
      <c r="F756" s="10" t="s">
        <v>558</v>
      </c>
      <c r="G756" s="10" t="s">
        <v>565</v>
      </c>
      <c r="H756" s="10" t="s">
        <v>776</v>
      </c>
      <c r="I756" s="10" t="s">
        <v>773</v>
      </c>
      <c r="J756" s="27" t="s">
        <v>789</v>
      </c>
      <c r="K756" s="15" t="s">
        <v>2422</v>
      </c>
      <c r="L756" s="10" t="s">
        <v>771</v>
      </c>
      <c r="M756" s="10" t="s">
        <v>771</v>
      </c>
      <c r="N756" s="30" t="str">
        <f>HYPERLINK("https://twitter.com/BarrowDean/statuses/84011280540762112","https://twitter.com/BarrowDean/statuses/84011280540762112")</f>
        <v>https://twitter.com/BarrowDean/statuses/84011280540762112</v>
      </c>
      <c r="O756" s="27" t="s">
        <v>5701</v>
      </c>
      <c r="P756" s="80">
        <v>2</v>
      </c>
      <c r="Q756" s="80">
        <v>6</v>
      </c>
      <c r="R756" s="27" t="s">
        <v>2995</v>
      </c>
      <c r="S756" s="10" t="s">
        <v>2423</v>
      </c>
      <c r="T756" s="10" t="s">
        <v>771</v>
      </c>
      <c r="U756" s="10" t="s">
        <v>771</v>
      </c>
      <c r="V756" s="10" t="s">
        <v>771</v>
      </c>
      <c r="W756" s="10"/>
      <c r="X756" s="27" t="s">
        <v>566</v>
      </c>
      <c r="Y756" s="27" t="s">
        <v>2420</v>
      </c>
      <c r="Z756" s="80">
        <v>2</v>
      </c>
      <c r="AA756" s="27">
        <v>6</v>
      </c>
      <c r="AB756" s="80">
        <v>264</v>
      </c>
      <c r="AC756" s="27">
        <v>0</v>
      </c>
      <c r="AD756" s="27" t="s">
        <v>3502</v>
      </c>
      <c r="AE756" s="27">
        <v>322849285</v>
      </c>
      <c r="AF756" s="27" t="s">
        <v>2421</v>
      </c>
      <c r="AG756" s="27" t="s">
        <v>565</v>
      </c>
      <c r="AH756" s="79">
        <v>1.12676056338028E-3</v>
      </c>
      <c r="AI756" s="83">
        <v>5.8823529411764698E-2</v>
      </c>
      <c r="AJ756" s="80">
        <v>1</v>
      </c>
      <c r="AK756" s="80">
        <v>4.5</v>
      </c>
      <c r="AL756" s="13">
        <v>0</v>
      </c>
      <c r="AM756" s="97">
        <f>SUM(AL756/Z756)</f>
        <v>0</v>
      </c>
      <c r="AN756" s="27" t="s">
        <v>566</v>
      </c>
      <c r="AO756" s="27">
        <v>0</v>
      </c>
      <c r="AP756" s="27">
        <v>4</v>
      </c>
      <c r="AQ756" s="27">
        <v>0</v>
      </c>
      <c r="AR756" s="27">
        <f>SUM(AO756:AQ756)</f>
        <v>4</v>
      </c>
      <c r="AS756" s="27"/>
      <c r="AT756" s="27" t="s">
        <v>5032</v>
      </c>
      <c r="AU756" s="84"/>
      <c r="AV756" s="77"/>
      <c r="AW756" s="77"/>
      <c r="AX756" s="77"/>
      <c r="AY756" s="77"/>
      <c r="AZ756" s="77"/>
      <c r="BA756" s="77"/>
      <c r="BB756" s="77"/>
      <c r="BC756" s="77"/>
      <c r="BD756" s="77"/>
      <c r="BE756" s="77"/>
      <c r="BF756" s="77"/>
      <c r="BG756" s="77"/>
      <c r="BH756" s="77"/>
      <c r="BI756" s="77"/>
      <c r="BJ756" s="77"/>
      <c r="BK756" s="77"/>
      <c r="BL756" s="77"/>
      <c r="BM756" s="77"/>
      <c r="BN756" s="77"/>
      <c r="BO756" s="77"/>
      <c r="BP756" s="77"/>
      <c r="BQ756" s="70"/>
      <c r="BR756" s="70"/>
      <c r="BS756" s="70"/>
      <c r="BT756" s="70"/>
      <c r="BU756" s="70"/>
      <c r="BV756" s="70"/>
      <c r="BW756" s="70"/>
      <c r="BX756" s="70"/>
      <c r="BY756" s="70"/>
      <c r="BZ756" s="70"/>
      <c r="CA756" s="70"/>
      <c r="CB756" s="70"/>
      <c r="CC756" s="77"/>
      <c r="CD756" s="77"/>
      <c r="CE756" s="77"/>
      <c r="CF756" s="77"/>
      <c r="CG756" s="77"/>
      <c r="CH756" s="77"/>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7"/>
      <c r="DV756" s="77"/>
      <c r="DW756" s="77"/>
      <c r="DX756" s="77"/>
      <c r="DY756" s="77"/>
      <c r="DZ756" s="77"/>
      <c r="EA756" s="77"/>
      <c r="EB756" s="77"/>
      <c r="EC756" s="77"/>
      <c r="ED756" s="77"/>
      <c r="EE756" s="77"/>
      <c r="EF756" s="77"/>
      <c r="EG756" s="77"/>
      <c r="EH756" s="77"/>
      <c r="EI756" s="77"/>
      <c r="EJ756" s="77"/>
      <c r="EK756" s="77"/>
      <c r="EL756" s="77"/>
      <c r="EM756" s="77"/>
      <c r="EN756" s="77"/>
      <c r="EO756" s="77"/>
      <c r="EP756" s="77"/>
      <c r="EQ756" s="77"/>
      <c r="ER756" s="77"/>
      <c r="ES756" s="77"/>
      <c r="ET756" s="77"/>
      <c r="EU756" s="77"/>
      <c r="EV756" s="77"/>
      <c r="EW756" s="77"/>
      <c r="EX756" s="77"/>
      <c r="EY756" s="77"/>
      <c r="EZ756" s="77"/>
      <c r="FA756" s="77"/>
      <c r="FB756" s="77"/>
      <c r="FC756" s="77"/>
      <c r="FD756" s="77"/>
      <c r="FE756" s="77"/>
      <c r="FF756" s="77"/>
      <c r="FG756" s="77"/>
      <c r="FH756" s="77"/>
      <c r="FI756" s="77"/>
      <c r="FJ756" s="77"/>
      <c r="FK756" s="77"/>
      <c r="FL756" s="77"/>
      <c r="FM756" s="77"/>
      <c r="FN756" s="77"/>
      <c r="FO756" s="77"/>
      <c r="FP756" s="77"/>
      <c r="FQ756" s="77"/>
      <c r="FR756" s="77"/>
      <c r="FS756" s="77"/>
      <c r="FT756" s="77"/>
      <c r="FU756" s="77"/>
      <c r="FV756" s="77"/>
      <c r="FW756" s="77"/>
      <c r="FX756" s="77"/>
      <c r="FY756" s="77"/>
      <c r="FZ756" s="77"/>
      <c r="GA756" s="77"/>
      <c r="GB756" s="77"/>
      <c r="GC756" s="77"/>
      <c r="GD756" s="77"/>
      <c r="GE756" s="77"/>
      <c r="GF756" s="77"/>
      <c r="GG756" s="77"/>
      <c r="GH756" s="77"/>
      <c r="GI756" s="77"/>
      <c r="GJ756" s="77"/>
      <c r="GK756" s="77"/>
      <c r="GL756" s="77"/>
      <c r="GM756" s="77"/>
      <c r="GN756" s="77"/>
      <c r="GO756" s="77"/>
      <c r="GP756" s="77"/>
      <c r="GQ756" s="77"/>
      <c r="GR756" s="77"/>
      <c r="GS756" s="77"/>
      <c r="GT756" s="77"/>
      <c r="GU756" s="77"/>
      <c r="GV756" s="77"/>
      <c r="GW756" s="77"/>
      <c r="GX756" s="77"/>
      <c r="GY756" s="77"/>
      <c r="GZ756" s="77"/>
      <c r="HA756" s="77"/>
      <c r="HB756" s="77"/>
      <c r="HC756" s="77"/>
      <c r="HD756" s="77"/>
      <c r="HE756" s="77"/>
      <c r="HF756" s="77"/>
      <c r="HG756" s="77"/>
      <c r="HH756" s="77"/>
      <c r="HI756" s="77"/>
      <c r="HJ756" s="77"/>
      <c r="HK756" s="77"/>
      <c r="HL756" s="77"/>
      <c r="HM756" s="77"/>
      <c r="HN756" s="77"/>
      <c r="HO756" s="77"/>
      <c r="HP756" s="77"/>
      <c r="HQ756" s="77"/>
      <c r="HR756" s="77"/>
      <c r="HS756" s="77"/>
      <c r="HT756" s="77"/>
      <c r="HU756" s="77"/>
      <c r="HV756" s="77"/>
      <c r="HW756" s="77"/>
      <c r="HX756" s="77"/>
      <c r="HY756" s="77"/>
      <c r="HZ756" s="77"/>
      <c r="IA756" s="77"/>
      <c r="IB756" s="77"/>
      <c r="IC756" s="77"/>
      <c r="ID756" s="77"/>
      <c r="IE756" s="77"/>
      <c r="IF756" s="77"/>
      <c r="IG756" s="77"/>
      <c r="IH756" s="77"/>
      <c r="II756" s="77"/>
      <c r="IJ756" s="77"/>
      <c r="IK756" s="77"/>
      <c r="IL756" s="77"/>
      <c r="IM756" s="77"/>
      <c r="IN756" s="77"/>
      <c r="IO756" s="77"/>
      <c r="IP756" s="77"/>
      <c r="IQ756" s="77"/>
      <c r="IR756" s="77"/>
      <c r="IS756" s="77"/>
      <c r="IT756" s="77"/>
      <c r="IU756" s="77"/>
      <c r="IV756" s="77"/>
      <c r="IW756" s="77"/>
      <c r="IX756" s="77"/>
      <c r="IY756" s="77"/>
      <c r="IZ756" s="77"/>
      <c r="JA756" s="77"/>
      <c r="JB756" s="77"/>
      <c r="JC756" s="77"/>
      <c r="JD756" s="77"/>
      <c r="JE756" s="77"/>
      <c r="JF756" s="77"/>
      <c r="JG756" s="77"/>
      <c r="JH756" s="77"/>
      <c r="JI756" s="77"/>
      <c r="JJ756" s="77"/>
      <c r="JK756" s="77"/>
      <c r="JL756" s="77"/>
      <c r="JM756" s="77"/>
      <c r="JN756" s="77"/>
      <c r="JO756" s="77"/>
      <c r="JP756" s="77"/>
      <c r="JQ756" s="77"/>
      <c r="JR756" s="77"/>
      <c r="JS756" s="77"/>
      <c r="JT756" s="77"/>
      <c r="JU756" s="77"/>
      <c r="JV756" s="77"/>
      <c r="JW756" s="77"/>
      <c r="JX756" s="77"/>
      <c r="JY756" s="77"/>
      <c r="JZ756" s="77"/>
      <c r="KA756" s="77"/>
      <c r="KB756" s="77"/>
      <c r="KC756" s="77"/>
      <c r="KD756" s="77"/>
      <c r="KE756" s="77"/>
      <c r="KF756" s="77"/>
      <c r="KG756" s="77"/>
      <c r="KH756" s="77"/>
      <c r="KI756" s="77"/>
      <c r="KJ756" s="77"/>
      <c r="KK756" s="77"/>
      <c r="KL756" s="77"/>
      <c r="KM756" s="77"/>
      <c r="KN756" s="77"/>
      <c r="KO756" s="77"/>
      <c r="KP756" s="77"/>
      <c r="KQ756" s="77"/>
      <c r="KR756" s="77"/>
      <c r="KS756" s="77"/>
      <c r="KT756" s="77"/>
      <c r="KU756" s="77"/>
      <c r="KV756" s="77"/>
      <c r="KW756" s="77"/>
      <c r="KX756" s="77"/>
      <c r="KY756" s="77"/>
      <c r="KZ756" s="77"/>
      <c r="LA756" s="77"/>
      <c r="LB756" s="77"/>
      <c r="LC756" s="77"/>
      <c r="LD756" s="77"/>
      <c r="LE756" s="77"/>
      <c r="LF756" s="77"/>
      <c r="LG756" s="77"/>
      <c r="LH756" s="77"/>
      <c r="LI756" s="77"/>
      <c r="LJ756" s="77"/>
      <c r="LK756" s="77"/>
      <c r="LL756" s="77"/>
      <c r="LM756" s="77"/>
      <c r="LN756" s="77"/>
      <c r="LO756" s="77"/>
      <c r="LP756" s="77"/>
      <c r="LQ756" s="77"/>
      <c r="LR756" s="77"/>
      <c r="LS756" s="77"/>
      <c r="LT756" s="77"/>
      <c r="LU756" s="77"/>
      <c r="LV756" s="77"/>
      <c r="LW756" s="77"/>
      <c r="LX756" s="77"/>
      <c r="LY756" s="77"/>
      <c r="LZ756" s="77"/>
      <c r="MA756" s="77"/>
      <c r="MB756" s="77"/>
      <c r="MC756" s="77"/>
      <c r="MD756" s="77"/>
      <c r="ME756" s="77"/>
      <c r="MF756" s="77"/>
      <c r="MG756" s="77"/>
      <c r="MH756" s="77"/>
      <c r="MI756" s="77"/>
      <c r="MJ756" s="77"/>
      <c r="MK756" s="77"/>
      <c r="ML756" s="77"/>
      <c r="MM756" s="77"/>
      <c r="MN756" s="77"/>
      <c r="MO756" s="77"/>
      <c r="MP756" s="77"/>
      <c r="MQ756" s="77"/>
      <c r="MR756" s="77"/>
      <c r="MS756" s="77"/>
      <c r="MT756" s="77"/>
      <c r="MU756" s="77"/>
      <c r="MV756" s="77"/>
      <c r="MW756" s="77"/>
      <c r="MX756" s="77"/>
      <c r="MY756" s="77"/>
      <c r="MZ756" s="77"/>
      <c r="NA756" s="77"/>
      <c r="NB756" s="77"/>
      <c r="NC756" s="77"/>
      <c r="ND756" s="77"/>
    </row>
    <row r="757" spans="1:421" s="16" customFormat="1" ht="18.600000000000001" customHeight="1" x14ac:dyDescent="0.25">
      <c r="A757" s="119" t="s">
        <v>2659</v>
      </c>
      <c r="B757" s="27" t="s">
        <v>2660</v>
      </c>
      <c r="C757" s="27" t="s">
        <v>2661</v>
      </c>
      <c r="D757" s="30" t="str">
        <f>HYPERLINK("https://twitter.com/MPMCTweeter","https://twitter.com/MPMCTweeter")</f>
        <v>https://twitter.com/MPMCTweeter</v>
      </c>
      <c r="E757" s="30" t="str">
        <f>HYPERLINK("http://twiplomacy.com/info/oceania/Samoa","http://twiplomacy.com/info/oceania/Samoa")</f>
        <v>http://twiplomacy.com/info/oceania/Samoa</v>
      </c>
      <c r="F757" s="10" t="s">
        <v>643</v>
      </c>
      <c r="G757" s="10" t="s">
        <v>661</v>
      </c>
      <c r="H757" s="10" t="s">
        <v>788</v>
      </c>
      <c r="I757" s="10" t="s">
        <v>782</v>
      </c>
      <c r="J757" s="27" t="s">
        <v>789</v>
      </c>
      <c r="K757" s="10" t="s">
        <v>2664</v>
      </c>
      <c r="L757" s="10" t="s">
        <v>771</v>
      </c>
      <c r="M757" s="10" t="s">
        <v>771</v>
      </c>
      <c r="N757" s="30" t="str">
        <f>HYPERLINK("https://twitter.com/MPMCTweeter/statuses/314565230745247745","https://twitter.com/MPMCTweeter/statuses/314565230745247745")</f>
        <v>https://twitter.com/MPMCTweeter/statuses/314565230745247745</v>
      </c>
      <c r="O757" s="27" t="s">
        <v>5978</v>
      </c>
      <c r="P757" s="80">
        <v>0</v>
      </c>
      <c r="Q757" s="80">
        <v>0</v>
      </c>
      <c r="R757" s="27" t="s">
        <v>2995</v>
      </c>
      <c r="S757" s="10" t="s">
        <v>2665</v>
      </c>
      <c r="T757" s="10" t="s">
        <v>771</v>
      </c>
      <c r="U757" s="10" t="s">
        <v>771</v>
      </c>
      <c r="V757" s="10" t="s">
        <v>771</v>
      </c>
      <c r="W757" s="10"/>
      <c r="X757" s="27" t="s">
        <v>2659</v>
      </c>
      <c r="Y757" s="27" t="s">
        <v>2660</v>
      </c>
      <c r="Z757" s="80">
        <v>2</v>
      </c>
      <c r="AA757" s="27">
        <v>15</v>
      </c>
      <c r="AB757" s="80">
        <v>20</v>
      </c>
      <c r="AC757" s="27">
        <v>0</v>
      </c>
      <c r="AD757" s="27" t="s">
        <v>4172</v>
      </c>
      <c r="AE757" s="27">
        <v>1278739753</v>
      </c>
      <c r="AF757" s="27" t="s">
        <v>2661</v>
      </c>
      <c r="AG757" s="27" t="s">
        <v>2666</v>
      </c>
      <c r="AH757" s="79">
        <v>1.7543859649122801E-3</v>
      </c>
      <c r="AI757" s="83">
        <v>2</v>
      </c>
      <c r="AJ757" s="80">
        <v>0</v>
      </c>
      <c r="AK757" s="80">
        <v>0</v>
      </c>
      <c r="AL757" s="13">
        <v>0</v>
      </c>
      <c r="AM757" s="97">
        <f>SUM(AL757/Z757)</f>
        <v>0</v>
      </c>
      <c r="AN757" s="27" t="s">
        <v>2659</v>
      </c>
      <c r="AO757" s="27">
        <v>2</v>
      </c>
      <c r="AP757" s="27">
        <v>3</v>
      </c>
      <c r="AQ757" s="27">
        <v>0</v>
      </c>
      <c r="AR757" s="27">
        <f>SUM(AO757:AQ757)</f>
        <v>5</v>
      </c>
      <c r="AS757" s="27" t="s">
        <v>5351</v>
      </c>
      <c r="AT757" s="27" t="s">
        <v>5352</v>
      </c>
      <c r="AU757" s="84"/>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C757" s="77"/>
      <c r="CD757" s="77"/>
      <c r="CE757" s="77"/>
      <c r="CF757" s="77"/>
      <c r="CG757" s="77"/>
      <c r="CH757" s="77"/>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7"/>
      <c r="DV757" s="77"/>
      <c r="DW757" s="77"/>
      <c r="DX757" s="77"/>
      <c r="DY757" s="77"/>
      <c r="DZ757" s="77"/>
      <c r="EA757" s="77"/>
      <c r="EB757" s="77"/>
      <c r="EC757" s="77"/>
      <c r="ED757" s="77"/>
      <c r="EE757" s="77"/>
      <c r="EF757" s="77"/>
      <c r="EG757" s="77"/>
      <c r="EH757" s="77"/>
      <c r="EI757" s="77"/>
      <c r="EJ757" s="77"/>
      <c r="EK757" s="77"/>
      <c r="EL757" s="77"/>
      <c r="EM757" s="77"/>
      <c r="EN757" s="77"/>
      <c r="EO757" s="77"/>
      <c r="EP757" s="77"/>
      <c r="EQ757" s="77"/>
      <c r="ER757" s="77"/>
      <c r="ES757" s="77"/>
      <c r="ET757" s="77"/>
      <c r="EU757" s="77"/>
      <c r="EV757" s="77"/>
      <c r="EW757" s="77"/>
      <c r="EX757" s="77"/>
      <c r="EY757" s="77"/>
      <c r="EZ757" s="77"/>
      <c r="FA757" s="77"/>
      <c r="FB757" s="77"/>
      <c r="FC757" s="77"/>
      <c r="FD757" s="77"/>
      <c r="FE757" s="77"/>
      <c r="FF757" s="77"/>
      <c r="FG757" s="77"/>
      <c r="FH757" s="77"/>
      <c r="FI757" s="77"/>
      <c r="FJ757" s="77"/>
      <c r="FK757" s="77"/>
      <c r="FL757" s="77"/>
      <c r="FM757" s="77"/>
      <c r="FN757" s="77"/>
      <c r="FO757" s="77"/>
      <c r="FP757" s="77"/>
      <c r="FQ757" s="77"/>
      <c r="FR757" s="77"/>
      <c r="FS757" s="77"/>
      <c r="FT757" s="77"/>
      <c r="FU757" s="77"/>
      <c r="FV757" s="77"/>
      <c r="FW757" s="77"/>
      <c r="FX757" s="77"/>
      <c r="FY757" s="77"/>
      <c r="FZ757" s="77"/>
      <c r="GA757" s="77"/>
      <c r="GB757" s="77"/>
      <c r="GC757" s="77"/>
      <c r="GD757" s="77"/>
      <c r="GE757" s="77"/>
      <c r="GF757" s="77"/>
      <c r="GG757" s="77"/>
      <c r="GH757" s="77"/>
      <c r="GI757" s="77"/>
      <c r="GJ757" s="77"/>
      <c r="GK757" s="77"/>
      <c r="GL757" s="77"/>
      <c r="GM757" s="77"/>
      <c r="GN757" s="77"/>
      <c r="GO757" s="77"/>
      <c r="GP757" s="77"/>
      <c r="GQ757" s="77"/>
      <c r="GR757" s="77"/>
      <c r="GS757" s="77"/>
      <c r="GT757" s="77"/>
      <c r="GU757" s="77"/>
      <c r="GV757" s="77"/>
      <c r="GW757" s="77"/>
      <c r="GX757" s="77"/>
      <c r="GY757" s="77"/>
      <c r="GZ757" s="77"/>
      <c r="HA757" s="77"/>
      <c r="HB757" s="77"/>
      <c r="HC757" s="77"/>
      <c r="HD757" s="77"/>
      <c r="HE757" s="77"/>
      <c r="HF757" s="77"/>
      <c r="HG757" s="77"/>
      <c r="HH757" s="77"/>
      <c r="HI757" s="77"/>
      <c r="HJ757" s="77"/>
      <c r="HK757" s="77"/>
      <c r="HL757" s="77"/>
      <c r="HM757" s="77"/>
      <c r="HN757" s="77"/>
      <c r="HO757" s="77"/>
      <c r="HP757" s="77"/>
      <c r="HQ757" s="77"/>
      <c r="HR757" s="77"/>
      <c r="HS757" s="77"/>
      <c r="HT757" s="77"/>
      <c r="HU757" s="77"/>
      <c r="HV757" s="77"/>
      <c r="HW757" s="77"/>
      <c r="HX757" s="77"/>
      <c r="HY757" s="77"/>
      <c r="HZ757" s="77"/>
      <c r="IA757" s="77"/>
      <c r="IB757" s="77"/>
      <c r="IC757" s="77"/>
      <c r="ID757" s="77"/>
      <c r="IE757" s="77"/>
      <c r="IF757" s="77"/>
      <c r="IG757" s="77"/>
      <c r="IH757" s="77"/>
      <c r="II757" s="77"/>
      <c r="IJ757" s="77"/>
      <c r="IK757" s="77"/>
      <c r="IL757" s="77"/>
      <c r="IM757" s="77"/>
      <c r="IN757" s="77"/>
      <c r="IO757" s="77"/>
      <c r="IP757" s="77"/>
      <c r="IQ757" s="77"/>
      <c r="IR757" s="77"/>
      <c r="IS757" s="77"/>
      <c r="IT757" s="77"/>
      <c r="IU757" s="77"/>
      <c r="IV757" s="77"/>
      <c r="IW757" s="77"/>
      <c r="IX757" s="77"/>
      <c r="IY757" s="77"/>
      <c r="IZ757" s="77"/>
      <c r="JA757" s="77"/>
      <c r="JB757" s="77"/>
      <c r="JC757" s="77"/>
      <c r="JD757" s="77"/>
      <c r="JE757" s="77"/>
      <c r="JF757" s="77"/>
      <c r="JG757" s="77"/>
      <c r="JH757" s="77"/>
      <c r="JI757" s="77"/>
      <c r="JJ757" s="77"/>
      <c r="JK757" s="77"/>
      <c r="JL757" s="77"/>
      <c r="JM757" s="77"/>
      <c r="JN757" s="77"/>
      <c r="JO757" s="77"/>
      <c r="JP757" s="77"/>
      <c r="JQ757" s="77"/>
      <c r="JR757" s="77"/>
      <c r="JS757" s="77"/>
      <c r="JT757" s="77"/>
      <c r="JU757" s="77"/>
      <c r="JV757" s="77"/>
      <c r="JW757" s="77"/>
      <c r="JX757" s="77"/>
      <c r="JY757" s="77"/>
      <c r="JZ757" s="77"/>
      <c r="KA757" s="77"/>
      <c r="KB757" s="77"/>
      <c r="KC757" s="77"/>
      <c r="KD757" s="77"/>
      <c r="KE757" s="77"/>
      <c r="KF757" s="77"/>
      <c r="KG757" s="77"/>
      <c r="KH757" s="77"/>
      <c r="KI757" s="77"/>
      <c r="KJ757" s="77"/>
      <c r="KK757" s="77"/>
      <c r="KL757" s="77"/>
      <c r="KM757" s="77"/>
      <c r="KN757" s="77"/>
      <c r="KO757" s="77"/>
      <c r="KP757" s="77"/>
      <c r="KQ757" s="77"/>
      <c r="KR757" s="77"/>
      <c r="KS757" s="77"/>
      <c r="KT757" s="77"/>
      <c r="KU757" s="77"/>
      <c r="KV757" s="77"/>
      <c r="KW757" s="77"/>
      <c r="KX757" s="77"/>
      <c r="KY757" s="77"/>
      <c r="KZ757" s="77"/>
      <c r="LA757" s="77"/>
      <c r="LB757" s="77"/>
      <c r="LC757" s="77"/>
      <c r="LD757" s="77"/>
      <c r="LE757" s="77"/>
      <c r="LF757" s="77"/>
      <c r="LG757" s="77"/>
      <c r="LH757" s="77"/>
      <c r="LI757" s="77"/>
      <c r="LJ757" s="77"/>
      <c r="LK757" s="77"/>
      <c r="LL757" s="77"/>
      <c r="LM757" s="77"/>
      <c r="LN757" s="77"/>
      <c r="LO757" s="77"/>
      <c r="LP757" s="77"/>
      <c r="LQ757" s="77"/>
      <c r="LR757" s="77"/>
      <c r="LS757" s="77"/>
      <c r="LT757" s="77"/>
      <c r="LU757" s="77"/>
      <c r="LV757" s="77"/>
      <c r="LW757" s="77"/>
      <c r="LX757" s="77"/>
      <c r="LY757" s="77"/>
      <c r="LZ757" s="77"/>
      <c r="MA757" s="77"/>
      <c r="MB757" s="77"/>
      <c r="MC757" s="77"/>
      <c r="MD757" s="77"/>
      <c r="ME757" s="77"/>
      <c r="MF757" s="77"/>
      <c r="MG757" s="77"/>
      <c r="MH757" s="77"/>
      <c r="MI757" s="77"/>
      <c r="MJ757" s="77"/>
      <c r="MK757" s="77"/>
      <c r="ML757" s="77"/>
      <c r="MM757" s="77"/>
      <c r="MN757" s="77"/>
      <c r="MO757" s="77"/>
      <c r="MP757" s="77"/>
      <c r="MQ757" s="77"/>
      <c r="MR757" s="77"/>
      <c r="MS757" s="77"/>
      <c r="ND757" s="77"/>
    </row>
    <row r="758" spans="1:421" s="16" customFormat="1" ht="18.600000000000001" customHeight="1" x14ac:dyDescent="0.25">
      <c r="A758" s="119" t="s">
        <v>707</v>
      </c>
      <c r="B758" s="27" t="s">
        <v>2777</v>
      </c>
      <c r="C758" s="27" t="s">
        <v>2778</v>
      </c>
      <c r="D758" s="30" t="str">
        <f>HYPERLINK("https://twitter.com/TabareVazquez","https://twitter.com/TabareVazquez")</f>
        <v>https://twitter.com/TabareVazquez</v>
      </c>
      <c r="E758" s="30" t="str">
        <f>HYPERLINK("http://twiplomacy.com/info/south-america/Uruguay","http://twiplomacy.com/info/south-america/Uruguay")</f>
        <v>http://twiplomacy.com/info/south-america/Uruguay</v>
      </c>
      <c r="F758" s="10" t="s">
        <v>668</v>
      </c>
      <c r="G758" s="10" t="s">
        <v>706</v>
      </c>
      <c r="H758" s="10" t="s">
        <v>772</v>
      </c>
      <c r="I758" s="10" t="s">
        <v>773</v>
      </c>
      <c r="J758" s="27" t="s">
        <v>789</v>
      </c>
      <c r="K758" s="15" t="s">
        <v>2779</v>
      </c>
      <c r="L758" s="10" t="s">
        <v>771</v>
      </c>
      <c r="M758" s="10" t="s">
        <v>771</v>
      </c>
      <c r="N758" s="30" t="str">
        <f>HYPERLINK("https://twitter.com/TabareVazquez/status/1360820300","https://twitter.com/TabareVazquez/status/1360820300")</f>
        <v>https://twitter.com/TabareVazquez/status/1360820300</v>
      </c>
      <c r="O758" s="27" t="s">
        <v>2780</v>
      </c>
      <c r="P758" s="80">
        <v>18</v>
      </c>
      <c r="Q758" s="80">
        <v>30</v>
      </c>
      <c r="R758" s="27" t="s">
        <v>2995</v>
      </c>
      <c r="S758" s="30" t="str">
        <f>HYPERLINK("https://twitter.com/TabareVazquez/lists","https://twitter.com/TabareVazquez/lists")</f>
        <v>https://twitter.com/TabareVazquez/lists</v>
      </c>
      <c r="T758" s="10" t="s">
        <v>771</v>
      </c>
      <c r="U758" s="10" t="s">
        <v>771</v>
      </c>
      <c r="V758" s="10" t="s">
        <v>771</v>
      </c>
      <c r="W758" s="10"/>
      <c r="X758" s="27" t="s">
        <v>707</v>
      </c>
      <c r="Y758" s="27" t="s">
        <v>2777</v>
      </c>
      <c r="Z758" s="80">
        <v>2</v>
      </c>
      <c r="AA758" s="27">
        <v>0</v>
      </c>
      <c r="AB758" s="80">
        <v>3817</v>
      </c>
      <c r="AC758" s="27">
        <v>0</v>
      </c>
      <c r="AD758" s="27" t="s">
        <v>4508</v>
      </c>
      <c r="AE758" s="27">
        <v>25517917</v>
      </c>
      <c r="AF758" s="27" t="s">
        <v>2778</v>
      </c>
      <c r="AG758" s="27" t="s">
        <v>2781</v>
      </c>
      <c r="AH758" s="79">
        <v>7.6923076923076901E-4</v>
      </c>
      <c r="AI758" s="83">
        <v>2</v>
      </c>
      <c r="AJ758" s="80">
        <v>17.5</v>
      </c>
      <c r="AK758" s="80">
        <v>25</v>
      </c>
      <c r="AL758" s="13">
        <v>0</v>
      </c>
      <c r="AM758" s="97">
        <f>SUM(AL758/Z758)</f>
        <v>0</v>
      </c>
      <c r="AN758" s="27" t="s">
        <v>707</v>
      </c>
      <c r="AO758" s="27">
        <v>0</v>
      </c>
      <c r="AP758" s="27">
        <v>2</v>
      </c>
      <c r="AQ758" s="27">
        <v>0</v>
      </c>
      <c r="AR758" s="27">
        <f>SUM(AO758:AQ758)</f>
        <v>2</v>
      </c>
      <c r="AS758" s="27"/>
      <c r="AT758" s="27" t="s">
        <v>5633</v>
      </c>
      <c r="AU758" s="84"/>
      <c r="AV758" s="77"/>
      <c r="AW758" s="77"/>
      <c r="AX758" s="77"/>
      <c r="AY758" s="77"/>
      <c r="AZ758" s="77"/>
      <c r="BA758" s="77"/>
      <c r="BB758" s="77"/>
      <c r="BC758" s="77"/>
      <c r="BD758" s="77"/>
      <c r="BE758" s="77"/>
      <c r="BF758" s="77"/>
      <c r="BG758" s="77"/>
      <c r="BH758" s="77"/>
      <c r="BI758" s="77"/>
      <c r="BJ758" s="77"/>
      <c r="BK758" s="77"/>
      <c r="BL758" s="77"/>
      <c r="BM758" s="77"/>
      <c r="BN758" s="77"/>
      <c r="BO758" s="77"/>
      <c r="BP758" s="77"/>
      <c r="BQ758" s="77"/>
      <c r="BR758" s="77"/>
      <c r="BS758" s="77"/>
      <c r="BT758" s="77"/>
      <c r="BU758" s="77"/>
      <c r="BV758" s="77"/>
      <c r="BW758" s="77"/>
      <c r="BX758" s="77"/>
      <c r="BY758" s="77"/>
      <c r="BZ758" s="77"/>
      <c r="CA758" s="77"/>
      <c r="CB758" s="77"/>
      <c r="CC758" s="77"/>
      <c r="CD758" s="77"/>
      <c r="CE758" s="77"/>
      <c r="CF758" s="77"/>
      <c r="CG758" s="77"/>
      <c r="CH758" s="77"/>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7"/>
      <c r="DV758" s="77"/>
      <c r="DW758" s="77"/>
      <c r="DX758" s="77"/>
      <c r="DY758" s="77"/>
      <c r="DZ758" s="77"/>
      <c r="EA758" s="77"/>
      <c r="EB758" s="77"/>
      <c r="EC758" s="77"/>
      <c r="ED758" s="77"/>
      <c r="EE758" s="77"/>
      <c r="EF758" s="77"/>
      <c r="EG758" s="77"/>
      <c r="EH758" s="77"/>
      <c r="EI758" s="77"/>
      <c r="EJ758" s="77"/>
      <c r="EK758" s="77"/>
      <c r="EL758" s="77"/>
      <c r="EM758" s="77"/>
      <c r="EN758" s="77"/>
      <c r="EO758" s="77"/>
      <c r="EP758" s="77"/>
      <c r="EQ758" s="77"/>
      <c r="ER758" s="77"/>
      <c r="ES758" s="77"/>
      <c r="ET758" s="77"/>
      <c r="EU758" s="77"/>
      <c r="EV758" s="77"/>
      <c r="EW758" s="77"/>
      <c r="EX758" s="77"/>
      <c r="EY758" s="77"/>
      <c r="EZ758" s="77"/>
      <c r="FA758" s="77"/>
      <c r="FB758" s="77"/>
      <c r="FC758" s="77"/>
      <c r="FD758" s="77"/>
      <c r="FE758" s="77"/>
      <c r="FF758" s="77"/>
      <c r="FG758" s="77"/>
      <c r="FH758" s="77"/>
      <c r="FI758" s="77"/>
      <c r="FJ758" s="77"/>
      <c r="FK758" s="77"/>
      <c r="FL758" s="77"/>
      <c r="FM758" s="77"/>
      <c r="FN758" s="77"/>
      <c r="FO758" s="77"/>
      <c r="FP758" s="77"/>
      <c r="FQ758" s="77"/>
      <c r="FR758" s="77"/>
      <c r="FS758" s="77"/>
      <c r="FT758" s="77"/>
      <c r="FU758" s="77"/>
      <c r="FV758" s="77"/>
      <c r="FW758" s="77"/>
      <c r="FX758" s="77"/>
      <c r="FY758" s="77"/>
      <c r="FZ758" s="77"/>
      <c r="GA758" s="77"/>
      <c r="GB758" s="77"/>
      <c r="GC758" s="77"/>
      <c r="GD758" s="77"/>
      <c r="GE758" s="77"/>
      <c r="GF758" s="77"/>
      <c r="GG758" s="77"/>
      <c r="GH758" s="77"/>
      <c r="GI758" s="77"/>
      <c r="GJ758" s="77"/>
      <c r="GK758" s="77"/>
      <c r="GL758" s="77"/>
      <c r="GM758" s="77"/>
      <c r="GN758" s="77"/>
      <c r="GO758" s="77"/>
      <c r="GP758" s="77"/>
      <c r="GQ758" s="77"/>
      <c r="GR758" s="77"/>
      <c r="GS758" s="77"/>
      <c r="GT758" s="77"/>
      <c r="GU758" s="77"/>
      <c r="GV758" s="77"/>
      <c r="GW758" s="77"/>
      <c r="GX758" s="77"/>
      <c r="GY758" s="77"/>
      <c r="GZ758" s="77"/>
      <c r="HA758" s="77"/>
      <c r="HB758" s="77"/>
      <c r="HC758" s="77"/>
      <c r="HD758" s="77"/>
      <c r="HE758" s="77"/>
      <c r="HF758" s="77"/>
      <c r="HG758" s="77"/>
      <c r="HH758" s="77"/>
      <c r="HI758" s="77"/>
      <c r="HJ758" s="77"/>
      <c r="HK758" s="77"/>
      <c r="HL758" s="77"/>
      <c r="HM758" s="77"/>
      <c r="HN758" s="77"/>
      <c r="HO758" s="77"/>
      <c r="HP758" s="77"/>
      <c r="HQ758" s="77"/>
      <c r="HR758" s="77"/>
      <c r="HS758" s="77"/>
      <c r="HT758" s="77"/>
      <c r="HU758" s="77"/>
      <c r="HV758" s="77"/>
      <c r="HW758" s="77"/>
      <c r="HX758" s="77"/>
      <c r="HY758" s="77"/>
      <c r="HZ758" s="77"/>
      <c r="IA758" s="77"/>
      <c r="IB758" s="77"/>
      <c r="IC758" s="77"/>
      <c r="ID758" s="77"/>
      <c r="IE758" s="77"/>
      <c r="JY758" s="77"/>
      <c r="JZ758" s="77"/>
      <c r="KA758" s="77"/>
      <c r="KB758" s="77"/>
      <c r="KC758" s="77"/>
      <c r="KD758" s="77"/>
      <c r="KE758" s="77"/>
      <c r="KF758" s="77"/>
      <c r="KG758" s="77"/>
      <c r="KH758" s="77"/>
      <c r="KI758" s="77"/>
      <c r="KJ758" s="77"/>
      <c r="KK758" s="77"/>
      <c r="KL758" s="77"/>
      <c r="KM758" s="77"/>
      <c r="KN758" s="77"/>
      <c r="KO758" s="77"/>
      <c r="KP758" s="77"/>
      <c r="KQ758" s="77"/>
      <c r="KR758" s="77"/>
      <c r="KS758" s="77"/>
      <c r="KT758" s="77"/>
      <c r="KU758" s="77"/>
      <c r="KV758" s="77"/>
      <c r="KW758" s="77"/>
      <c r="KX758" s="77"/>
      <c r="KY758" s="77"/>
      <c r="KZ758" s="77"/>
      <c r="LA758" s="77"/>
      <c r="LB758" s="77"/>
      <c r="LC758" s="77"/>
      <c r="LD758" s="77"/>
      <c r="LE758" s="77"/>
      <c r="LF758" s="77"/>
      <c r="LG758" s="77"/>
      <c r="LH758" s="77"/>
      <c r="LI758" s="77"/>
      <c r="LJ758" s="77"/>
      <c r="LK758" s="77"/>
      <c r="LL758" s="77"/>
      <c r="LM758" s="77"/>
      <c r="LN758" s="77"/>
      <c r="LO758" s="77"/>
      <c r="LP758" s="77"/>
      <c r="LQ758" s="77"/>
      <c r="LR758" s="77"/>
      <c r="LS758" s="77"/>
      <c r="LT758" s="77"/>
      <c r="LU758" s="77"/>
      <c r="LV758" s="77"/>
      <c r="LW758" s="77"/>
      <c r="LX758" s="77"/>
      <c r="LY758" s="77"/>
      <c r="LZ758" s="77"/>
      <c r="MA758" s="77"/>
      <c r="MB758" s="77"/>
      <c r="MC758" s="77"/>
      <c r="MD758" s="77"/>
      <c r="ME758" s="77"/>
      <c r="MF758" s="77"/>
      <c r="MG758" s="77"/>
      <c r="MH758" s="77"/>
      <c r="MI758" s="77"/>
      <c r="MJ758" s="77"/>
      <c r="MK758" s="77"/>
      <c r="ML758" s="77"/>
      <c r="MM758" s="77"/>
      <c r="MN758" s="77"/>
      <c r="MO758" s="77"/>
      <c r="MP758" s="77"/>
      <c r="MQ758" s="77"/>
      <c r="MR758" s="77"/>
      <c r="MS758" s="77"/>
      <c r="MT758" s="77"/>
      <c r="MU758" s="77"/>
      <c r="MV758" s="77"/>
      <c r="MW758" s="77"/>
      <c r="MX758" s="77"/>
      <c r="MY758" s="77"/>
      <c r="MZ758" s="77"/>
      <c r="NA758" s="77"/>
      <c r="NB758" s="77"/>
      <c r="NC758" s="77"/>
      <c r="ND758" s="77"/>
    </row>
    <row r="759" spans="1:421" s="21" customFormat="1" ht="18.600000000000001" customHeight="1" x14ac:dyDescent="0.25">
      <c r="A759" s="119" t="s">
        <v>7</v>
      </c>
      <c r="B759" s="27" t="s">
        <v>787</v>
      </c>
      <c r="C759" s="27"/>
      <c r="D759" s="72" t="str">
        <f>HYPERLINK("https://twitter.com/beningouv","https://twitter.com/beningouv")</f>
        <v>https://twitter.com/beningouv</v>
      </c>
      <c r="E759" s="72" t="str">
        <f>HYPERLINK("http://twiplomacy.com/info/africa/Benin","http://twiplomacy.com/info/africa/Benin")</f>
        <v>http://twiplomacy.com/info/africa/Benin</v>
      </c>
      <c r="F759" s="20" t="s">
        <v>1</v>
      </c>
      <c r="G759" s="10" t="s">
        <v>4</v>
      </c>
      <c r="H759" s="10" t="s">
        <v>788</v>
      </c>
      <c r="I759" s="10" t="s">
        <v>782</v>
      </c>
      <c r="J759" s="27" t="s">
        <v>789</v>
      </c>
      <c r="K759" s="10" t="s">
        <v>766</v>
      </c>
      <c r="L759" s="10" t="s">
        <v>771</v>
      </c>
      <c r="M759" s="10" t="s">
        <v>770</v>
      </c>
      <c r="N759" s="10"/>
      <c r="O759" s="13"/>
      <c r="P759" s="81"/>
      <c r="Q759" s="81"/>
      <c r="R759" s="27" t="s">
        <v>2995</v>
      </c>
      <c r="S759" s="30" t="str">
        <f>HYPERLINK("https://twitter.com/beningouv/lists","https://twitter.com/beningouv/lists")</f>
        <v>https://twitter.com/beningouv/lists</v>
      </c>
      <c r="T759" s="10" t="s">
        <v>771</v>
      </c>
      <c r="U759" s="10" t="s">
        <v>771</v>
      </c>
      <c r="V759" s="10" t="s">
        <v>771</v>
      </c>
      <c r="W759" s="10"/>
      <c r="X759" s="27" t="s">
        <v>7</v>
      </c>
      <c r="Y759" s="27" t="s">
        <v>787</v>
      </c>
      <c r="Z759" s="80">
        <v>1</v>
      </c>
      <c r="AA759" s="27">
        <v>8</v>
      </c>
      <c r="AB759" s="80">
        <v>0</v>
      </c>
      <c r="AC759" s="27">
        <v>0</v>
      </c>
      <c r="AD759" s="27" t="s">
        <v>3515</v>
      </c>
      <c r="AE759" s="27">
        <v>2286041186</v>
      </c>
      <c r="AF759" s="27"/>
      <c r="AG759" s="27"/>
      <c r="AH759" s="79"/>
      <c r="AI759" s="79"/>
      <c r="AJ759" s="79"/>
      <c r="AK759" s="79"/>
      <c r="AL759" s="13">
        <v>0</v>
      </c>
      <c r="AM759" s="99">
        <f>SUM(AL759/Z759)</f>
        <v>0</v>
      </c>
      <c r="AN759" s="27" t="s">
        <v>7</v>
      </c>
      <c r="AO759" s="27">
        <v>0</v>
      </c>
      <c r="AP759" s="27">
        <v>0</v>
      </c>
      <c r="AQ759" s="27">
        <v>0</v>
      </c>
      <c r="AR759" s="27">
        <f>SUM(AO759:AQ759)</f>
        <v>0</v>
      </c>
      <c r="AS759" s="27"/>
      <c r="AT759" s="27"/>
      <c r="AU759" s="84"/>
      <c r="AV759" s="77"/>
      <c r="AW759" s="77"/>
      <c r="AX759" s="77"/>
      <c r="AY759" s="77"/>
      <c r="AZ759" s="77"/>
      <c r="BA759" s="77"/>
      <c r="BB759" s="77"/>
      <c r="BC759" s="77"/>
      <c r="BD759" s="77"/>
      <c r="BE759" s="77"/>
      <c r="BF759" s="77"/>
      <c r="BG759" s="77"/>
      <c r="BH759" s="77"/>
      <c r="BI759" s="77"/>
      <c r="BJ759" s="77"/>
      <c r="BK759" s="77"/>
      <c r="BL759" s="77"/>
      <c r="BM759" s="77"/>
      <c r="BN759" s="77"/>
      <c r="BO759" s="77"/>
      <c r="BP759" s="77"/>
      <c r="BQ759" s="77"/>
      <c r="BR759" s="77"/>
      <c r="BS759" s="77"/>
      <c r="BT759" s="77"/>
      <c r="BU759" s="77"/>
      <c r="BV759" s="77"/>
      <c r="BW759" s="77"/>
      <c r="BX759" s="77"/>
      <c r="BY759" s="77"/>
      <c r="BZ759" s="77"/>
      <c r="CA759" s="77"/>
      <c r="CB759" s="77"/>
      <c r="CC759" s="77"/>
      <c r="CD759" s="77"/>
      <c r="CE759" s="77"/>
      <c r="CF759" s="77"/>
      <c r="CG759" s="77"/>
      <c r="CH759" s="77"/>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7"/>
      <c r="DV759" s="77"/>
      <c r="DW759" s="77"/>
      <c r="DX759" s="77"/>
      <c r="DY759" s="77"/>
      <c r="DZ759" s="77"/>
      <c r="EA759" s="77"/>
      <c r="EB759" s="77"/>
      <c r="EC759" s="77"/>
      <c r="ED759" s="77"/>
      <c r="EE759" s="77"/>
      <c r="EF759" s="77"/>
      <c r="EG759" s="77"/>
      <c r="EH759" s="77"/>
      <c r="EI759" s="77"/>
      <c r="EJ759" s="77"/>
      <c r="EK759" s="77"/>
      <c r="EL759" s="77"/>
      <c r="EM759" s="77"/>
      <c r="EN759" s="77"/>
      <c r="EO759" s="77"/>
      <c r="EP759" s="77"/>
      <c r="GL759" s="77"/>
      <c r="GM759" s="77"/>
      <c r="GN759" s="77"/>
      <c r="GO759" s="77"/>
      <c r="GP759" s="77"/>
      <c r="GQ759" s="77"/>
      <c r="GR759" s="77"/>
      <c r="GS759" s="77"/>
      <c r="GT759" s="77"/>
      <c r="GU759" s="77"/>
      <c r="GV759" s="77"/>
      <c r="GW759" s="77"/>
      <c r="GX759" s="77"/>
      <c r="GY759" s="77"/>
      <c r="GZ759" s="77"/>
      <c r="HA759" s="77"/>
      <c r="HB759" s="77"/>
      <c r="HC759" s="77"/>
      <c r="HD759" s="77"/>
      <c r="HE759" s="77"/>
      <c r="HF759" s="77"/>
      <c r="HG759" s="77"/>
      <c r="HH759" s="77"/>
      <c r="HI759" s="77"/>
      <c r="HJ759" s="77"/>
      <c r="HK759" s="77"/>
      <c r="ID759" s="77"/>
      <c r="IE759" s="77"/>
      <c r="KM759" s="77"/>
      <c r="KN759" s="77"/>
      <c r="KO759" s="77"/>
      <c r="KP759" s="77"/>
      <c r="KQ759" s="77"/>
      <c r="KR759" s="77"/>
      <c r="KS759" s="77"/>
      <c r="KT759" s="77"/>
      <c r="KU759" s="77"/>
      <c r="KV759" s="77"/>
      <c r="KW759" s="77"/>
      <c r="KX759" s="77"/>
      <c r="KY759" s="77"/>
      <c r="KZ759" s="77"/>
      <c r="LA759" s="77"/>
      <c r="LB759" s="77"/>
      <c r="LC759" s="77"/>
      <c r="LD759" s="77"/>
      <c r="LE759" s="77"/>
      <c r="LF759" s="77"/>
      <c r="LG759" s="77"/>
      <c r="LH759" s="77"/>
      <c r="LI759" s="77"/>
      <c r="LJ759" s="77"/>
      <c r="LK759" s="77"/>
      <c r="LL759" s="77"/>
      <c r="LM759" s="77"/>
      <c r="LN759" s="77"/>
      <c r="LO759" s="77"/>
      <c r="LP759" s="77"/>
      <c r="LQ759" s="77"/>
      <c r="LR759" s="77"/>
      <c r="LS759" s="77"/>
      <c r="LT759" s="77"/>
      <c r="LU759" s="77"/>
      <c r="LV759" s="77"/>
      <c r="LW759" s="77"/>
      <c r="LX759" s="77"/>
      <c r="NE759" s="16"/>
      <c r="NF759" s="16"/>
      <c r="NG759" s="16"/>
      <c r="NH759" s="16"/>
      <c r="NI759" s="16"/>
      <c r="NJ759" s="16"/>
      <c r="NK759" s="16"/>
      <c r="NL759" s="16"/>
      <c r="NM759" s="16"/>
      <c r="NN759" s="16"/>
      <c r="NO759" s="16"/>
      <c r="NP759" s="16"/>
      <c r="NQ759" s="16"/>
      <c r="NR759" s="16"/>
      <c r="NS759" s="16"/>
      <c r="NT759" s="16"/>
      <c r="NU759" s="16"/>
      <c r="NV759" s="16"/>
      <c r="NW759" s="16"/>
      <c r="NX759" s="16"/>
      <c r="NY759" s="16"/>
      <c r="NZ759" s="16"/>
      <c r="OA759" s="16"/>
      <c r="OB759" s="16"/>
      <c r="OC759" s="16"/>
      <c r="OD759" s="16"/>
      <c r="OE759" s="16"/>
      <c r="OF759" s="16"/>
      <c r="OG759" s="16"/>
      <c r="OH759" s="16"/>
      <c r="OI759" s="16"/>
      <c r="OJ759" s="16"/>
      <c r="OK759" s="16"/>
      <c r="OL759" s="16"/>
      <c r="OM759" s="16"/>
      <c r="ON759" s="16"/>
      <c r="OO759" s="16"/>
      <c r="OP759" s="16"/>
      <c r="OQ759" s="16"/>
      <c r="OR759" s="16"/>
      <c r="OS759" s="16"/>
      <c r="OT759" s="16"/>
      <c r="OU759" s="16"/>
      <c r="OV759" s="16"/>
      <c r="OW759" s="16"/>
      <c r="OX759" s="16"/>
      <c r="OY759" s="16"/>
      <c r="OZ759" s="16"/>
      <c r="PA759" s="16"/>
      <c r="PB759" s="16"/>
      <c r="PC759" s="16"/>
      <c r="PD759" s="16"/>
      <c r="PE759" s="16"/>
    </row>
    <row r="760" spans="1:421" s="21" customFormat="1" ht="18.600000000000001" customHeight="1" x14ac:dyDescent="0.25">
      <c r="A760" s="119" t="s">
        <v>834</v>
      </c>
      <c r="B760" s="27" t="s">
        <v>835</v>
      </c>
      <c r="C760" s="27"/>
      <c r="D760" s="30" t="str">
        <f>HYPERLINK("https://twitter.com/dhoinine","https://twitter.com/dhoinine")</f>
        <v>https://twitter.com/dhoinine</v>
      </c>
      <c r="E760" s="30" t="str">
        <f>HYPERLINK("http://twiplomacy.com/info/africa/Comores","http://twiplomacy.com/info/africa/Comores")</f>
        <v>http://twiplomacy.com/info/africa/Comores</v>
      </c>
      <c r="F760" s="20" t="s">
        <v>1</v>
      </c>
      <c r="G760" s="10" t="s">
        <v>836</v>
      </c>
      <c r="H760" s="10" t="s">
        <v>772</v>
      </c>
      <c r="I760" s="10" t="s">
        <v>773</v>
      </c>
      <c r="J760" s="27" t="s">
        <v>779</v>
      </c>
      <c r="K760" s="10" t="s">
        <v>837</v>
      </c>
      <c r="L760" s="10" t="s">
        <v>771</v>
      </c>
      <c r="M760" s="10" t="s">
        <v>771</v>
      </c>
      <c r="N760" s="30" t="str">
        <f>HYPERLINK("https://twitter.com/dhoinine/status/189757102783336448","https://twitter.com/dhoinine/status/189757102783336448")</f>
        <v>https://twitter.com/dhoinine/status/189757102783336448</v>
      </c>
      <c r="O760" s="27" t="s">
        <v>5800</v>
      </c>
      <c r="P760" s="80">
        <v>3</v>
      </c>
      <c r="Q760" s="80">
        <v>4</v>
      </c>
      <c r="R760" s="27" t="s">
        <v>2995</v>
      </c>
      <c r="S760" s="30" t="str">
        <f>HYPERLINK("https://twitter.com/dhoinine/lists","https://twitter.com/dhoinine/lists")</f>
        <v>https://twitter.com/dhoinine/lists</v>
      </c>
      <c r="T760" s="10" t="s">
        <v>771</v>
      </c>
      <c r="U760" s="10" t="s">
        <v>771</v>
      </c>
      <c r="V760" s="10" t="s">
        <v>771</v>
      </c>
      <c r="W760" s="10"/>
      <c r="X760" s="27" t="s">
        <v>834</v>
      </c>
      <c r="Y760" s="27" t="s">
        <v>835</v>
      </c>
      <c r="Z760" s="80">
        <v>1</v>
      </c>
      <c r="AA760" s="27">
        <v>9</v>
      </c>
      <c r="AB760" s="80">
        <v>118</v>
      </c>
      <c r="AC760" s="27">
        <v>0</v>
      </c>
      <c r="AD760" s="27" t="s">
        <v>3614</v>
      </c>
      <c r="AE760" s="27">
        <v>550331988</v>
      </c>
      <c r="AF760" s="27"/>
      <c r="AG760" s="27"/>
      <c r="AH760" s="79">
        <v>6.7430883344571802E-4</v>
      </c>
      <c r="AI760" s="83">
        <v>1</v>
      </c>
      <c r="AJ760" s="80">
        <v>3</v>
      </c>
      <c r="AK760" s="80">
        <v>4</v>
      </c>
      <c r="AL760" s="13">
        <v>0</v>
      </c>
      <c r="AM760" s="97">
        <f>SUM(AL760/Z760)</f>
        <v>0</v>
      </c>
      <c r="AN760" s="27" t="s">
        <v>834</v>
      </c>
      <c r="AO760" s="27">
        <v>1</v>
      </c>
      <c r="AP760" s="27">
        <v>0</v>
      </c>
      <c r="AQ760" s="27">
        <v>0</v>
      </c>
      <c r="AR760" s="27">
        <f>SUM(AO760:AQ760)</f>
        <v>1</v>
      </c>
      <c r="AS760" s="27" t="s">
        <v>396</v>
      </c>
      <c r="AT760" s="27"/>
      <c r="AU760" s="84"/>
      <c r="AV760" s="16"/>
      <c r="AW760" s="16"/>
      <c r="AX760" s="16"/>
      <c r="AY760" s="16"/>
      <c r="AZ760" s="16"/>
      <c r="BA760" s="16"/>
      <c r="BB760" s="16"/>
      <c r="BC760" s="16"/>
      <c r="BD760" s="16"/>
      <c r="BE760" s="16"/>
      <c r="BF760" s="16"/>
      <c r="BG760" s="16"/>
      <c r="BH760" s="16"/>
      <c r="BI760" s="16"/>
      <c r="BJ760" s="16"/>
      <c r="BK760" s="16"/>
      <c r="BL760" s="16"/>
      <c r="BM760" s="16"/>
      <c r="BN760" s="77"/>
      <c r="BO760" s="77"/>
      <c r="BP760" s="77"/>
      <c r="BQ760" s="77"/>
      <c r="BR760" s="77"/>
      <c r="BS760" s="77"/>
      <c r="BT760" s="77"/>
      <c r="BU760" s="77"/>
      <c r="BV760" s="77"/>
      <c r="BW760" s="77"/>
      <c r="BX760" s="77"/>
      <c r="BY760" s="77"/>
      <c r="BZ760" s="77"/>
      <c r="CA760" s="77"/>
      <c r="CB760" s="77"/>
      <c r="CC760" s="77"/>
      <c r="CD760" s="77"/>
      <c r="CE760" s="77"/>
      <c r="CF760" s="77"/>
      <c r="CG760" s="77"/>
      <c r="CH760" s="77"/>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7"/>
      <c r="DV760" s="77"/>
      <c r="DW760" s="77"/>
      <c r="DX760" s="77"/>
      <c r="DY760" s="77"/>
      <c r="DZ760" s="77"/>
      <c r="EA760" s="77"/>
      <c r="EB760" s="77"/>
      <c r="EC760" s="77"/>
      <c r="ED760" s="77"/>
      <c r="EE760" s="77"/>
      <c r="EF760" s="77"/>
      <c r="EG760" s="77"/>
      <c r="EH760" s="77"/>
      <c r="EI760" s="77"/>
      <c r="EJ760" s="77"/>
      <c r="EK760" s="77"/>
      <c r="EL760" s="77"/>
      <c r="EP760" s="77"/>
      <c r="EQ760" s="77"/>
      <c r="ER760" s="77"/>
      <c r="ES760" s="77"/>
      <c r="ET760" s="77"/>
      <c r="EU760" s="77"/>
      <c r="EV760" s="77"/>
      <c r="EW760" s="77"/>
      <c r="EX760" s="77"/>
      <c r="EY760" s="77"/>
      <c r="EZ760" s="77"/>
      <c r="FA760" s="77"/>
      <c r="FB760" s="77"/>
      <c r="FC760" s="77"/>
      <c r="FD760" s="77"/>
      <c r="FE760" s="77"/>
      <c r="FF760" s="77"/>
      <c r="FG760" s="77"/>
      <c r="FH760" s="77"/>
      <c r="FI760" s="77"/>
      <c r="FJ760" s="77"/>
      <c r="FK760" s="77"/>
      <c r="FL760" s="77"/>
      <c r="FM760" s="77"/>
      <c r="FN760" s="77"/>
      <c r="FO760" s="77"/>
      <c r="FP760" s="77"/>
      <c r="FQ760" s="77"/>
      <c r="FR760" s="77"/>
      <c r="FS760" s="77"/>
      <c r="FT760" s="77"/>
      <c r="FU760" s="77"/>
      <c r="FV760" s="77"/>
      <c r="FW760" s="77"/>
      <c r="FX760" s="77"/>
      <c r="FY760" s="77"/>
      <c r="FZ760" s="77"/>
      <c r="GA760" s="77"/>
      <c r="GB760" s="77"/>
      <c r="GC760" s="77"/>
      <c r="GD760" s="77"/>
      <c r="GE760" s="77"/>
      <c r="GF760" s="77"/>
      <c r="GG760" s="77"/>
      <c r="GH760" s="77"/>
      <c r="GI760" s="77"/>
      <c r="GJ760" s="77"/>
      <c r="GK760" s="77"/>
      <c r="GL760" s="77"/>
      <c r="GM760" s="77"/>
      <c r="GN760" s="77"/>
      <c r="GO760" s="77"/>
      <c r="GP760" s="77"/>
      <c r="GQ760" s="77"/>
      <c r="GR760" s="77"/>
      <c r="GS760" s="77"/>
      <c r="GT760" s="77"/>
      <c r="GU760" s="77"/>
      <c r="GV760" s="77"/>
      <c r="GW760" s="77"/>
      <c r="GX760" s="77"/>
      <c r="GY760" s="77"/>
      <c r="GZ760" s="77"/>
      <c r="HA760" s="77"/>
      <c r="HB760" s="77"/>
      <c r="HC760" s="77"/>
      <c r="HD760" s="77"/>
      <c r="HE760" s="77"/>
      <c r="HF760" s="77"/>
      <c r="HG760" s="77"/>
      <c r="HH760" s="77"/>
      <c r="HI760" s="77"/>
      <c r="HJ760" s="77"/>
      <c r="HK760" s="77"/>
      <c r="HL760" s="77"/>
      <c r="HM760" s="77"/>
      <c r="HN760" s="77"/>
      <c r="HO760" s="77"/>
      <c r="HP760" s="77"/>
      <c r="HQ760" s="77"/>
      <c r="HR760" s="77"/>
      <c r="HS760" s="77"/>
      <c r="HT760" s="77"/>
      <c r="HU760" s="77"/>
      <c r="HV760" s="77"/>
      <c r="HW760" s="77"/>
      <c r="HX760" s="77"/>
      <c r="HY760" s="77"/>
      <c r="HZ760" s="77"/>
      <c r="IA760" s="77"/>
      <c r="IB760" s="77"/>
      <c r="IC760" s="77"/>
      <c r="IF760" s="77"/>
      <c r="IG760" s="77"/>
      <c r="IH760" s="77"/>
      <c r="II760" s="77"/>
      <c r="IJ760" s="77"/>
      <c r="IK760" s="77"/>
      <c r="IL760" s="77"/>
      <c r="IM760" s="77"/>
      <c r="IN760" s="77"/>
      <c r="IO760" s="77"/>
      <c r="IP760" s="77"/>
      <c r="IQ760" s="77"/>
      <c r="IR760" s="77"/>
      <c r="IS760" s="77"/>
      <c r="IT760" s="77"/>
      <c r="IU760" s="77"/>
      <c r="IV760" s="77"/>
      <c r="IW760" s="77"/>
      <c r="IX760" s="77"/>
      <c r="IY760" s="77"/>
      <c r="IZ760" s="77"/>
      <c r="JA760" s="77"/>
      <c r="JB760" s="77"/>
      <c r="JC760" s="77"/>
      <c r="JD760" s="77"/>
      <c r="JE760" s="77"/>
      <c r="JF760" s="77"/>
      <c r="JG760" s="77"/>
      <c r="JH760" s="77"/>
      <c r="JI760" s="77"/>
      <c r="JJ760" s="77"/>
      <c r="JK760" s="77"/>
      <c r="JL760" s="77"/>
      <c r="JM760" s="77"/>
      <c r="JN760" s="77"/>
      <c r="JO760" s="77"/>
      <c r="JP760" s="77"/>
      <c r="JQ760" s="77"/>
      <c r="JR760" s="77"/>
      <c r="JS760" s="77"/>
      <c r="JT760" s="77"/>
      <c r="JU760" s="77"/>
      <c r="JV760" s="77"/>
      <c r="JW760" s="77"/>
      <c r="JX760" s="77"/>
      <c r="KM760" s="77"/>
      <c r="KN760" s="77"/>
      <c r="KO760" s="77"/>
      <c r="KP760" s="77"/>
      <c r="KQ760" s="77"/>
      <c r="KR760" s="77"/>
      <c r="KS760" s="77"/>
      <c r="KT760" s="77"/>
      <c r="KU760" s="77"/>
      <c r="KV760" s="77"/>
      <c r="KW760" s="77"/>
      <c r="KX760" s="77"/>
      <c r="KY760" s="77"/>
      <c r="KZ760" s="77"/>
      <c r="LA760" s="77"/>
      <c r="LB760" s="77"/>
      <c r="LC760" s="77"/>
      <c r="LD760" s="77"/>
      <c r="LE760" s="77"/>
      <c r="LF760" s="77"/>
      <c r="LG760" s="77"/>
      <c r="LH760" s="77"/>
      <c r="LI760" s="77"/>
      <c r="LJ760" s="77"/>
      <c r="LK760" s="77"/>
      <c r="NE760" s="16"/>
      <c r="NF760" s="16"/>
      <c r="NG760" s="16"/>
      <c r="NH760" s="16"/>
      <c r="NI760" s="16"/>
      <c r="NJ760" s="16"/>
      <c r="NK760" s="16"/>
      <c r="NL760" s="16"/>
      <c r="NM760" s="16"/>
      <c r="NN760" s="16"/>
      <c r="NO760" s="16"/>
      <c r="NP760" s="16"/>
      <c r="NQ760" s="16"/>
      <c r="NR760" s="16"/>
      <c r="NS760" s="16"/>
      <c r="NT760" s="16"/>
      <c r="NU760" s="16"/>
      <c r="NV760" s="16"/>
      <c r="NW760" s="16"/>
      <c r="NX760" s="16"/>
      <c r="NY760" s="16"/>
      <c r="NZ760" s="16"/>
      <c r="OA760" s="16"/>
      <c r="OB760" s="16"/>
      <c r="OC760" s="16"/>
      <c r="OD760" s="16"/>
      <c r="OE760" s="16"/>
      <c r="OF760" s="16"/>
      <c r="OG760" s="16"/>
      <c r="OH760" s="16"/>
      <c r="OI760" s="16"/>
      <c r="OJ760" s="16"/>
      <c r="OK760" s="16"/>
      <c r="OL760" s="16"/>
      <c r="OM760" s="16"/>
      <c r="ON760" s="16"/>
      <c r="OO760" s="16"/>
      <c r="OP760" s="16"/>
      <c r="OQ760" s="16"/>
      <c r="OR760" s="16"/>
      <c r="OS760" s="16"/>
      <c r="OT760" s="16"/>
      <c r="OU760" s="16"/>
      <c r="OV760" s="16"/>
      <c r="OW760" s="16"/>
      <c r="OX760" s="16"/>
      <c r="OY760" s="16"/>
      <c r="OZ760" s="16"/>
      <c r="PA760" s="16"/>
      <c r="PB760" s="16"/>
      <c r="PC760" s="16"/>
      <c r="PD760" s="16"/>
      <c r="PE760" s="16"/>
    </row>
    <row r="761" spans="1:421" s="21" customFormat="1" ht="18.600000000000001" customHeight="1" x14ac:dyDescent="0.25">
      <c r="A761" s="119" t="s">
        <v>62</v>
      </c>
      <c r="B761" s="27" t="s">
        <v>937</v>
      </c>
      <c r="C761" s="27"/>
      <c r="D761" s="30" t="str">
        <f>HYPERLINK("https://twitter.com/Daniel_k_Duncan","https://twitter.com/Daniel_k_Duncan")</f>
        <v>https://twitter.com/Daniel_k_Duncan</v>
      </c>
      <c r="E761" s="30" t="str">
        <f>HYPERLINK("http://twiplomacy.com/info/africa/Ivory-Coast","http://twiplomacy.com/info/africa/Ivory-Coast")</f>
        <v>http://twiplomacy.com/info/africa/Ivory-Coast</v>
      </c>
      <c r="F761" s="10" t="s">
        <v>1</v>
      </c>
      <c r="G761" s="10" t="s">
        <v>60</v>
      </c>
      <c r="H761" s="10" t="s">
        <v>776</v>
      </c>
      <c r="I761" s="10" t="s">
        <v>773</v>
      </c>
      <c r="J761" s="27" t="s">
        <v>779</v>
      </c>
      <c r="K761" s="15" t="s">
        <v>938</v>
      </c>
      <c r="L761" s="10" t="s">
        <v>771</v>
      </c>
      <c r="M761" s="10" t="s">
        <v>771</v>
      </c>
      <c r="N761" s="30" t="str">
        <f>HYPERLINK("https://twitter.com/Daniel_k_Duncan/statuses/271915708655472640","https://twitter.com/Daniel_k_Duncan/statuses/271915708655472640")</f>
        <v>https://twitter.com/Daniel_k_Duncan/statuses/271915708655472640</v>
      </c>
      <c r="O761" s="27" t="s">
        <v>5790</v>
      </c>
      <c r="P761" s="80">
        <v>4</v>
      </c>
      <c r="Q761" s="80">
        <v>10</v>
      </c>
      <c r="R761" s="27" t="s">
        <v>2995</v>
      </c>
      <c r="S761" s="10" t="s">
        <v>939</v>
      </c>
      <c r="T761" s="10" t="s">
        <v>771</v>
      </c>
      <c r="U761" s="10" t="s">
        <v>771</v>
      </c>
      <c r="V761" s="10" t="s">
        <v>771</v>
      </c>
      <c r="W761" s="10"/>
      <c r="X761" s="27" t="s">
        <v>62</v>
      </c>
      <c r="Y761" s="27" t="s">
        <v>937</v>
      </c>
      <c r="Z761" s="80">
        <v>1</v>
      </c>
      <c r="AA761" s="27">
        <v>1</v>
      </c>
      <c r="AB761" s="80">
        <v>441</v>
      </c>
      <c r="AC761" s="27">
        <v>0</v>
      </c>
      <c r="AD761" s="27" t="s">
        <v>3600</v>
      </c>
      <c r="AE761" s="27">
        <v>965823858</v>
      </c>
      <c r="AF761" s="27"/>
      <c r="AG761" s="27"/>
      <c r="AH761" s="79">
        <v>7.9617834394904495E-4</v>
      </c>
      <c r="AI761" s="83">
        <v>1</v>
      </c>
      <c r="AJ761" s="80">
        <v>4</v>
      </c>
      <c r="AK761" s="80">
        <v>10</v>
      </c>
      <c r="AL761" s="13">
        <v>0</v>
      </c>
      <c r="AM761" s="97">
        <f>SUM(AL761/Z761)</f>
        <v>0</v>
      </c>
      <c r="AN761" s="27" t="s">
        <v>62</v>
      </c>
      <c r="AO761" s="27">
        <v>0</v>
      </c>
      <c r="AP761" s="27">
        <v>4</v>
      </c>
      <c r="AQ761" s="27">
        <v>0</v>
      </c>
      <c r="AR761" s="27">
        <f>SUM(AO761:AQ761)</f>
        <v>4</v>
      </c>
      <c r="AS761" s="27"/>
      <c r="AT761" s="27" t="s">
        <v>5077</v>
      </c>
      <c r="AU761" s="84"/>
      <c r="AV761" s="25"/>
      <c r="AW761" s="25"/>
      <c r="AX761" s="25"/>
      <c r="AY761" s="25"/>
      <c r="AZ761" s="25"/>
      <c r="BA761" s="25"/>
      <c r="BB761" s="25"/>
      <c r="BC761" s="25"/>
      <c r="BD761" s="25"/>
      <c r="BE761" s="25"/>
      <c r="BF761" s="25"/>
      <c r="BG761" s="25"/>
      <c r="BH761" s="25"/>
      <c r="BI761" s="25"/>
      <c r="BJ761" s="25"/>
      <c r="BK761" s="25"/>
      <c r="BL761" s="25"/>
      <c r="BM761" s="77"/>
      <c r="BN761" s="77"/>
      <c r="BO761" s="77"/>
      <c r="BP761" s="77"/>
      <c r="BQ761" s="77"/>
      <c r="BR761" s="77"/>
      <c r="BS761" s="77"/>
      <c r="BT761" s="77"/>
      <c r="BU761" s="77"/>
      <c r="BV761" s="77"/>
      <c r="BW761" s="77"/>
      <c r="BX761" s="77"/>
      <c r="BY761" s="77"/>
      <c r="BZ761" s="77"/>
      <c r="CA761" s="77"/>
      <c r="CB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7"/>
      <c r="DV761" s="77"/>
      <c r="DW761" s="77"/>
      <c r="DX761" s="77"/>
      <c r="DY761" s="77"/>
      <c r="DZ761" s="77"/>
      <c r="EA761" s="77"/>
      <c r="EB761" s="77"/>
      <c r="EC761" s="77"/>
      <c r="ED761" s="77"/>
      <c r="EE761" s="77"/>
      <c r="EF761" s="77"/>
      <c r="EG761" s="77"/>
      <c r="EH761" s="77"/>
      <c r="EI761" s="77"/>
      <c r="EJ761" s="77"/>
      <c r="EK761" s="77"/>
      <c r="EL761" s="77"/>
      <c r="EM761" s="77"/>
      <c r="EN761" s="77"/>
      <c r="EO761" s="77"/>
      <c r="EP761" s="77"/>
      <c r="ER761" s="77"/>
      <c r="ES761" s="77"/>
      <c r="ET761" s="77"/>
      <c r="EU761" s="77"/>
      <c r="EV761" s="77"/>
      <c r="EW761" s="77"/>
      <c r="EX761" s="77"/>
      <c r="EY761" s="77"/>
      <c r="EZ761" s="77"/>
      <c r="FA761" s="77"/>
      <c r="FB761" s="77"/>
      <c r="FC761" s="77"/>
      <c r="FD761" s="77"/>
      <c r="FE761" s="77"/>
      <c r="FF761" s="77"/>
      <c r="FG761" s="77"/>
      <c r="FH761" s="77"/>
      <c r="FI761" s="77"/>
      <c r="FJ761" s="77"/>
      <c r="FK761" s="77"/>
      <c r="FL761" s="77"/>
      <c r="FM761" s="77"/>
      <c r="FN761" s="77"/>
      <c r="FO761" s="77"/>
      <c r="FP761" s="77"/>
      <c r="FQ761" s="77"/>
      <c r="FR761" s="77"/>
      <c r="FS761" s="77"/>
      <c r="FT761" s="77"/>
      <c r="FU761" s="77"/>
      <c r="FV761" s="77"/>
      <c r="FW761" s="77"/>
      <c r="FX761" s="77"/>
      <c r="FY761" s="77"/>
      <c r="FZ761" s="77"/>
      <c r="GA761" s="77"/>
      <c r="GB761" s="77"/>
      <c r="GC761" s="77"/>
      <c r="GD761" s="77"/>
      <c r="GE761" s="77"/>
      <c r="GF761" s="77"/>
      <c r="GG761" s="77"/>
      <c r="GH761" s="77"/>
      <c r="GI761" s="77"/>
      <c r="GJ761" s="77"/>
      <c r="GK761" s="77"/>
      <c r="GL761" s="77"/>
      <c r="GM761" s="77"/>
      <c r="GN761" s="77"/>
      <c r="GO761" s="77"/>
      <c r="GP761" s="77"/>
      <c r="GQ761" s="77"/>
      <c r="GR761" s="77"/>
      <c r="GS761" s="77"/>
      <c r="GT761" s="77"/>
      <c r="GU761" s="77"/>
      <c r="GV761" s="77"/>
      <c r="GW761" s="77"/>
      <c r="GX761" s="77"/>
      <c r="GY761" s="77"/>
      <c r="GZ761" s="77"/>
      <c r="HA761" s="77"/>
      <c r="HB761" s="77"/>
      <c r="HC761" s="77"/>
      <c r="HD761" s="77"/>
      <c r="HE761" s="77"/>
      <c r="HF761" s="77"/>
      <c r="HG761" s="77"/>
      <c r="HH761" s="77"/>
      <c r="HI761" s="77"/>
      <c r="HJ761" s="77"/>
      <c r="HK761" s="77"/>
      <c r="ID761" s="77"/>
      <c r="IE761" s="77"/>
      <c r="IF761" s="77"/>
      <c r="IG761" s="77"/>
      <c r="IH761" s="77"/>
      <c r="II761" s="77"/>
      <c r="IJ761" s="77"/>
      <c r="IK761" s="77"/>
      <c r="IL761" s="77"/>
      <c r="IM761" s="77"/>
      <c r="IN761" s="77"/>
      <c r="IO761" s="77"/>
      <c r="IP761" s="77"/>
      <c r="IQ761" s="77"/>
      <c r="IR761" s="77"/>
      <c r="IS761" s="77"/>
      <c r="IT761" s="77"/>
      <c r="IU761" s="77"/>
      <c r="IV761" s="77"/>
      <c r="IW761" s="77"/>
      <c r="IX761" s="77"/>
      <c r="IY761" s="77"/>
      <c r="IZ761" s="77"/>
      <c r="JA761" s="77"/>
      <c r="JB761" s="77"/>
      <c r="JC761" s="77"/>
      <c r="JD761" s="77"/>
      <c r="JE761" s="77"/>
      <c r="JF761" s="77"/>
      <c r="JG761" s="77"/>
      <c r="JH761" s="77"/>
      <c r="JI761" s="77"/>
      <c r="JJ761" s="77"/>
      <c r="JK761" s="77"/>
      <c r="JL761" s="77"/>
      <c r="JM761" s="77"/>
      <c r="JN761" s="77"/>
      <c r="JO761" s="77"/>
      <c r="JP761" s="77"/>
      <c r="JQ761" s="77"/>
      <c r="JR761" s="77"/>
      <c r="JS761" s="77"/>
      <c r="JT761" s="77"/>
      <c r="JU761" s="77"/>
      <c r="JV761" s="77"/>
      <c r="JW761" s="77"/>
      <c r="JX761" s="77"/>
      <c r="JY761" s="77"/>
      <c r="JZ761" s="77"/>
      <c r="KA761" s="77"/>
      <c r="KB761" s="77"/>
      <c r="KC761" s="77"/>
      <c r="KD761" s="77"/>
      <c r="KE761" s="77"/>
      <c r="KF761" s="77"/>
      <c r="KG761" s="77"/>
      <c r="KH761" s="77"/>
      <c r="KI761" s="77"/>
      <c r="KJ761" s="77"/>
      <c r="KK761" s="77"/>
      <c r="KL761" s="77"/>
      <c r="LL761" s="77"/>
      <c r="LM761" s="77"/>
      <c r="LN761" s="77"/>
      <c r="LO761" s="77"/>
      <c r="LP761" s="77"/>
      <c r="LQ761" s="77"/>
      <c r="LR761" s="77"/>
      <c r="LS761" s="77"/>
      <c r="LT761" s="77"/>
      <c r="LU761" s="77"/>
      <c r="LV761" s="77"/>
      <c r="LW761" s="77"/>
      <c r="LX761" s="77"/>
      <c r="LY761" s="77"/>
      <c r="LZ761" s="77"/>
      <c r="MA761" s="77"/>
      <c r="MB761" s="77"/>
      <c r="MC761" s="77"/>
      <c r="MD761" s="77"/>
      <c r="ME761" s="77"/>
      <c r="MF761" s="77"/>
      <c r="MG761" s="77"/>
      <c r="MH761" s="77"/>
      <c r="MI761" s="77"/>
      <c r="MJ761" s="77"/>
      <c r="MK761" s="77"/>
      <c r="ML761" s="77"/>
      <c r="MM761" s="77"/>
      <c r="MN761" s="77"/>
      <c r="MO761" s="77"/>
      <c r="MP761" s="77"/>
      <c r="MQ761" s="77"/>
      <c r="MR761" s="77"/>
      <c r="NE761" s="16"/>
      <c r="NF761" s="16"/>
      <c r="NG761" s="16"/>
      <c r="NH761" s="16"/>
      <c r="NI761" s="16"/>
      <c r="NJ761" s="16"/>
      <c r="NK761" s="16"/>
      <c r="NL761" s="16"/>
      <c r="NM761" s="16"/>
      <c r="NN761" s="16"/>
      <c r="NO761" s="16"/>
      <c r="NP761" s="16"/>
      <c r="NQ761" s="16"/>
      <c r="NR761" s="16"/>
      <c r="NS761" s="16"/>
      <c r="NT761" s="16"/>
      <c r="NU761" s="16"/>
      <c r="NV761" s="16"/>
      <c r="NW761" s="16"/>
      <c r="NX761" s="16"/>
      <c r="NY761" s="16"/>
      <c r="NZ761" s="16"/>
      <c r="OA761" s="16"/>
      <c r="OB761" s="16"/>
      <c r="OC761" s="16"/>
      <c r="OD761" s="16"/>
      <c r="OE761" s="16"/>
      <c r="OF761" s="16"/>
      <c r="OG761" s="16"/>
      <c r="OH761" s="16"/>
      <c r="OI761" s="16"/>
      <c r="OJ761" s="16"/>
      <c r="OK761" s="16"/>
      <c r="OL761" s="16"/>
      <c r="OM761" s="16"/>
      <c r="ON761" s="16"/>
      <c r="OO761" s="16"/>
      <c r="OP761" s="16"/>
      <c r="OQ761" s="16"/>
      <c r="OR761" s="16"/>
      <c r="OS761" s="16"/>
      <c r="OT761" s="16"/>
      <c r="OU761" s="16"/>
      <c r="OV761" s="16"/>
      <c r="OW761" s="16"/>
      <c r="OX761" s="16"/>
      <c r="OY761" s="16"/>
      <c r="OZ761" s="16"/>
      <c r="PA761" s="16"/>
      <c r="PB761" s="16"/>
      <c r="PC761" s="16"/>
      <c r="PD761" s="16"/>
      <c r="PE761" s="16"/>
    </row>
    <row r="762" spans="1:421" s="21" customFormat="1" ht="18.600000000000001" customHeight="1" x14ac:dyDescent="0.25">
      <c r="A762" s="119" t="s">
        <v>90</v>
      </c>
      <c r="B762" s="27" t="s">
        <v>3567</v>
      </c>
      <c r="C762" s="27" t="s">
        <v>3568</v>
      </c>
      <c r="D762" s="100" t="s">
        <v>1012</v>
      </c>
      <c r="E762" s="30" t="s">
        <v>1008</v>
      </c>
      <c r="F762" s="10" t="s">
        <v>1</v>
      </c>
      <c r="G762" s="10" t="s">
        <v>89</v>
      </c>
      <c r="H762" s="10" t="s">
        <v>776</v>
      </c>
      <c r="I762" s="10" t="s">
        <v>773</v>
      </c>
      <c r="J762" s="27" t="s">
        <v>785</v>
      </c>
      <c r="K762" s="15" t="s">
        <v>3103</v>
      </c>
      <c r="L762" s="10"/>
      <c r="M762" s="10" t="s">
        <v>770</v>
      </c>
      <c r="N762" s="30" t="s">
        <v>3139</v>
      </c>
      <c r="O762" s="27" t="s">
        <v>3212</v>
      </c>
      <c r="P762" s="80">
        <v>0</v>
      </c>
      <c r="Q762" s="80">
        <v>1</v>
      </c>
      <c r="R762" s="27" t="s">
        <v>2995</v>
      </c>
      <c r="S762" s="12" t="s">
        <v>3145</v>
      </c>
      <c r="T762" s="10" t="s">
        <v>771</v>
      </c>
      <c r="U762" s="10" t="s">
        <v>771</v>
      </c>
      <c r="V762" s="10" t="s">
        <v>771</v>
      </c>
      <c r="W762" s="10"/>
      <c r="X762" s="27" t="s">
        <v>90</v>
      </c>
      <c r="Y762" s="27" t="s">
        <v>3567</v>
      </c>
      <c r="Z762" s="80">
        <v>1</v>
      </c>
      <c r="AA762" s="27">
        <v>10</v>
      </c>
      <c r="AB762" s="80">
        <v>20</v>
      </c>
      <c r="AC762" s="27">
        <v>0</v>
      </c>
      <c r="AD762" s="27" t="s">
        <v>3569</v>
      </c>
      <c r="AE762" s="27">
        <v>3026233857</v>
      </c>
      <c r="AF762" s="27" t="s">
        <v>3568</v>
      </c>
      <c r="AG762" s="27" t="s">
        <v>3570</v>
      </c>
      <c r="AH762" s="79">
        <v>2.2321428571428601E-3</v>
      </c>
      <c r="AI762" s="83">
        <v>1</v>
      </c>
      <c r="AJ762" s="80">
        <v>0</v>
      </c>
      <c r="AK762" s="80">
        <v>1</v>
      </c>
      <c r="AL762" s="13">
        <v>0</v>
      </c>
      <c r="AM762" s="97">
        <f>SUM(AL762/Z762)</f>
        <v>0</v>
      </c>
      <c r="AN762" s="27" t="s">
        <v>90</v>
      </c>
      <c r="AO762" s="27">
        <v>0</v>
      </c>
      <c r="AP762" s="27">
        <v>0</v>
      </c>
      <c r="AQ762" s="27">
        <v>0</v>
      </c>
      <c r="AR762" s="27">
        <f>SUM(AO762:AQ762)</f>
        <v>0</v>
      </c>
      <c r="AS762" s="27"/>
      <c r="AT762" s="27"/>
      <c r="AU762" s="84"/>
      <c r="AV762" s="77"/>
      <c r="AW762" s="77"/>
      <c r="AX762" s="77"/>
      <c r="AY762" s="77"/>
      <c r="AZ762" s="77"/>
      <c r="BA762" s="77"/>
      <c r="BB762" s="77"/>
      <c r="BC762" s="77"/>
      <c r="BD762" s="77"/>
      <c r="BE762" s="77"/>
      <c r="BF762" s="77"/>
      <c r="BG762" s="77"/>
      <c r="BH762" s="77"/>
      <c r="BI762" s="77"/>
      <c r="BJ762" s="77"/>
      <c r="BK762" s="77"/>
      <c r="BL762" s="77"/>
      <c r="BM762" s="77"/>
      <c r="BN762" s="77"/>
      <c r="BO762" s="77"/>
      <c r="BP762" s="77"/>
      <c r="BQ762" s="77"/>
      <c r="BR762" s="77"/>
      <c r="BS762" s="77"/>
      <c r="BT762" s="77"/>
      <c r="BU762" s="77"/>
      <c r="BV762" s="77"/>
      <c r="BW762" s="77"/>
      <c r="BX762" s="77"/>
      <c r="BY762" s="77"/>
      <c r="BZ762" s="77"/>
      <c r="CA762" s="77"/>
      <c r="CB762" s="77"/>
      <c r="CC762" s="77"/>
      <c r="CD762" s="77"/>
      <c r="CE762" s="77"/>
      <c r="CF762" s="77"/>
      <c r="CG762" s="77"/>
      <c r="CH762" s="77"/>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7"/>
      <c r="DV762" s="77"/>
      <c r="DW762" s="77"/>
      <c r="DX762" s="77"/>
      <c r="DY762" s="77"/>
      <c r="DZ762" s="77"/>
      <c r="EA762" s="77"/>
      <c r="EB762" s="77"/>
      <c r="EC762" s="77"/>
      <c r="ED762" s="77"/>
      <c r="EE762" s="77"/>
      <c r="EF762" s="77"/>
      <c r="EG762" s="77"/>
      <c r="EH762" s="77"/>
      <c r="EI762" s="77"/>
      <c r="EJ762" s="77"/>
      <c r="EK762" s="77"/>
      <c r="EL762" s="77"/>
      <c r="EM762" s="16"/>
      <c r="EN762" s="16"/>
      <c r="EO762" s="16"/>
      <c r="EQ762" s="77"/>
      <c r="ER762" s="77"/>
      <c r="ES762" s="77"/>
      <c r="ET762" s="77"/>
      <c r="EU762" s="77"/>
      <c r="EV762" s="77"/>
      <c r="EW762" s="77"/>
      <c r="EX762" s="77"/>
      <c r="EY762" s="77"/>
      <c r="EZ762" s="77"/>
      <c r="FA762" s="77"/>
      <c r="FB762" s="77"/>
      <c r="FC762" s="77"/>
      <c r="FD762" s="77"/>
      <c r="FE762" s="77"/>
      <c r="FF762" s="77"/>
      <c r="FG762" s="77"/>
      <c r="FH762" s="77"/>
      <c r="FI762" s="77"/>
      <c r="FJ762" s="77"/>
      <c r="FK762" s="77"/>
      <c r="FL762" s="77"/>
      <c r="FM762" s="77"/>
      <c r="FN762" s="77"/>
      <c r="FO762" s="77"/>
      <c r="FP762" s="77"/>
      <c r="FQ762" s="77"/>
      <c r="FR762" s="77"/>
      <c r="FS762" s="77"/>
      <c r="FT762" s="77"/>
      <c r="FU762" s="77"/>
      <c r="FV762" s="77"/>
      <c r="FW762" s="77"/>
      <c r="FX762" s="77"/>
      <c r="FY762" s="77"/>
      <c r="FZ762" s="77"/>
      <c r="GA762" s="77"/>
      <c r="GB762" s="77"/>
      <c r="GC762" s="77"/>
      <c r="GD762" s="77"/>
      <c r="GE762" s="77"/>
      <c r="GF762" s="77"/>
      <c r="GG762" s="77"/>
      <c r="GH762" s="77"/>
      <c r="GI762" s="77"/>
      <c r="GJ762" s="77"/>
      <c r="GK762" s="77"/>
      <c r="HL762" s="77"/>
      <c r="HM762" s="77"/>
      <c r="HN762" s="77"/>
      <c r="HO762" s="77"/>
      <c r="HP762" s="77"/>
      <c r="HQ762" s="77"/>
      <c r="HR762" s="77"/>
      <c r="HS762" s="77"/>
      <c r="HT762" s="77"/>
      <c r="HU762" s="77"/>
      <c r="HV762" s="77"/>
      <c r="HW762" s="77"/>
      <c r="HX762" s="77"/>
      <c r="HY762" s="77"/>
      <c r="HZ762" s="77"/>
      <c r="IA762" s="77"/>
      <c r="IB762" s="77"/>
      <c r="IC762" s="77"/>
      <c r="ID762" s="77"/>
      <c r="IE762" s="77"/>
      <c r="IF762" s="77"/>
      <c r="IG762" s="77"/>
      <c r="IH762" s="77"/>
      <c r="II762" s="77"/>
      <c r="IJ762" s="77"/>
      <c r="IK762" s="77"/>
      <c r="IL762" s="77"/>
      <c r="IM762" s="77"/>
      <c r="IN762" s="77"/>
      <c r="IO762" s="77"/>
      <c r="IP762" s="77"/>
      <c r="IQ762" s="77"/>
      <c r="IR762" s="77"/>
      <c r="IS762" s="77"/>
      <c r="IT762" s="77"/>
      <c r="IU762" s="77"/>
      <c r="IV762" s="77"/>
      <c r="IW762" s="77"/>
      <c r="IX762" s="77"/>
      <c r="IY762" s="77"/>
      <c r="IZ762" s="77"/>
      <c r="JA762" s="77"/>
      <c r="JB762" s="77"/>
      <c r="JC762" s="77"/>
      <c r="JD762" s="77"/>
      <c r="JE762" s="77"/>
      <c r="JF762" s="77"/>
      <c r="JG762" s="77"/>
      <c r="JH762" s="77"/>
      <c r="JI762" s="77"/>
      <c r="JJ762" s="77"/>
      <c r="JK762" s="77"/>
      <c r="JL762" s="77"/>
      <c r="JM762" s="77"/>
      <c r="JN762" s="77"/>
      <c r="JO762" s="77"/>
      <c r="JP762" s="77"/>
      <c r="JQ762" s="77"/>
      <c r="JR762" s="77"/>
      <c r="JS762" s="77"/>
      <c r="JT762" s="77"/>
      <c r="JU762" s="77"/>
      <c r="JV762" s="77"/>
      <c r="JW762" s="77"/>
      <c r="JX762" s="77"/>
      <c r="JY762" s="77"/>
      <c r="JZ762" s="77"/>
      <c r="KA762" s="77"/>
      <c r="KB762" s="77"/>
      <c r="KC762" s="77"/>
      <c r="KD762" s="77"/>
      <c r="KE762" s="77"/>
      <c r="KF762" s="77"/>
      <c r="KG762" s="77"/>
      <c r="KH762" s="77"/>
      <c r="KI762" s="77"/>
      <c r="KJ762" s="77"/>
      <c r="KK762" s="77"/>
      <c r="KL762" s="77"/>
      <c r="KM762" s="77"/>
      <c r="KN762" s="77"/>
      <c r="KO762" s="77"/>
      <c r="KP762" s="77"/>
      <c r="KQ762" s="77"/>
      <c r="KR762" s="77"/>
      <c r="KS762" s="77"/>
      <c r="KT762" s="77"/>
      <c r="KU762" s="77"/>
      <c r="KV762" s="77"/>
      <c r="KW762" s="77"/>
      <c r="KX762" s="77"/>
      <c r="KY762" s="77"/>
      <c r="KZ762" s="77"/>
      <c r="LA762" s="77"/>
      <c r="LB762" s="77"/>
      <c r="LC762" s="77"/>
      <c r="LD762" s="77"/>
      <c r="LE762" s="77"/>
      <c r="LF762" s="77"/>
      <c r="LG762" s="77"/>
      <c r="LH762" s="77"/>
      <c r="LI762" s="77"/>
      <c r="LJ762" s="77"/>
      <c r="LK762" s="77"/>
      <c r="LL762" s="77"/>
      <c r="LM762" s="77"/>
      <c r="LN762" s="77"/>
      <c r="LO762" s="77"/>
      <c r="LP762" s="77"/>
      <c r="LQ762" s="77"/>
      <c r="LR762" s="77"/>
      <c r="LS762" s="77"/>
      <c r="LT762" s="77"/>
      <c r="LU762" s="77"/>
      <c r="LV762" s="77"/>
      <c r="MT762" s="77"/>
      <c r="MU762" s="77"/>
      <c r="MV762" s="77"/>
      <c r="MW762" s="77"/>
      <c r="MX762" s="77"/>
      <c r="MY762" s="77"/>
      <c r="MZ762" s="77"/>
      <c r="NA762" s="77"/>
      <c r="NB762" s="77"/>
      <c r="NC762" s="77"/>
      <c r="NE762" s="16"/>
      <c r="NF762" s="16"/>
      <c r="NG762" s="16"/>
      <c r="NH762" s="16"/>
      <c r="NI762" s="16"/>
      <c r="NJ762" s="16"/>
      <c r="NK762" s="16"/>
      <c r="NL762" s="16"/>
      <c r="NM762" s="16"/>
      <c r="NN762" s="16"/>
      <c r="NO762" s="16"/>
      <c r="NP762" s="16"/>
      <c r="NQ762" s="16"/>
      <c r="NR762" s="16"/>
      <c r="NS762" s="16"/>
      <c r="NT762" s="16"/>
      <c r="NU762" s="16"/>
      <c r="NV762" s="16"/>
      <c r="NW762" s="16"/>
      <c r="NX762" s="16"/>
      <c r="NY762" s="16"/>
      <c r="NZ762" s="16"/>
      <c r="OA762" s="16"/>
      <c r="OB762" s="16"/>
      <c r="OC762" s="16"/>
      <c r="OD762" s="16"/>
      <c r="OE762" s="16"/>
      <c r="OF762" s="16"/>
      <c r="OG762" s="16"/>
      <c r="OH762" s="16"/>
      <c r="OI762" s="16"/>
      <c r="OJ762" s="16"/>
      <c r="OK762" s="16"/>
      <c r="OL762" s="16"/>
      <c r="OM762" s="16"/>
      <c r="ON762" s="16"/>
      <c r="OO762" s="16"/>
      <c r="OP762" s="16"/>
      <c r="OQ762" s="16"/>
      <c r="OR762" s="16"/>
      <c r="OS762" s="16"/>
      <c r="OT762" s="16"/>
      <c r="OU762" s="16"/>
      <c r="OV762" s="16"/>
      <c r="OW762" s="16"/>
      <c r="OX762" s="16"/>
      <c r="OY762" s="16"/>
      <c r="OZ762" s="16"/>
      <c r="PA762" s="16"/>
      <c r="PB762" s="16"/>
      <c r="PC762" s="16"/>
      <c r="PD762" s="16"/>
      <c r="PE762" s="16"/>
    </row>
    <row r="763" spans="1:421" s="21" customFormat="1" ht="18.600000000000001" customHeight="1" x14ac:dyDescent="0.25">
      <c r="A763" s="119" t="s">
        <v>1052</v>
      </c>
      <c r="B763" s="27" t="s">
        <v>1053</v>
      </c>
      <c r="C763" s="27"/>
      <c r="D763" s="30" t="str">
        <f>HYPERLINK("https://twitter.com/PatriceTrovoada","https://twitter.com/PatriceTrovoada")</f>
        <v>https://twitter.com/PatriceTrovoada</v>
      </c>
      <c r="E763" s="30" t="str">
        <f>HYPERLINK("http://twiplomacy.com/info/africa/Sao-Tome-and-Principe","http://twiplomacy.com/info/africa/Sao-Tome-and-Principe")</f>
        <v>http://twiplomacy.com/info/africa/Sao-Tome-and-Principe</v>
      </c>
      <c r="F763" s="20" t="s">
        <v>1</v>
      </c>
      <c r="G763" s="20" t="s">
        <v>152</v>
      </c>
      <c r="H763" s="10" t="s">
        <v>776</v>
      </c>
      <c r="I763" s="10" t="s">
        <v>773</v>
      </c>
      <c r="J763" s="27" t="s">
        <v>789</v>
      </c>
      <c r="K763" s="10" t="s">
        <v>4631</v>
      </c>
      <c r="L763" s="10" t="s">
        <v>771</v>
      </c>
      <c r="M763" s="10" t="s">
        <v>771</v>
      </c>
      <c r="N763" s="10" t="s">
        <v>4630</v>
      </c>
      <c r="O763" s="10" t="s">
        <v>4630</v>
      </c>
      <c r="P763" s="46">
        <v>1</v>
      </c>
      <c r="Q763" s="46">
        <v>3</v>
      </c>
      <c r="R763" s="27" t="s">
        <v>2995</v>
      </c>
      <c r="S763" s="30" t="str">
        <f>HYPERLINK("https://twitter.com/PatriceTrovoada/lists","https://twitter.com/PatriceTrovoada/lists")</f>
        <v>https://twitter.com/PatriceTrovoada/lists</v>
      </c>
      <c r="T763" s="10" t="s">
        <v>771</v>
      </c>
      <c r="U763" s="10" t="s">
        <v>771</v>
      </c>
      <c r="V763" s="10" t="s">
        <v>771</v>
      </c>
      <c r="W763" s="10"/>
      <c r="X763" s="27" t="s">
        <v>1052</v>
      </c>
      <c r="Y763" s="27" t="s">
        <v>1053</v>
      </c>
      <c r="Z763" s="80">
        <v>1</v>
      </c>
      <c r="AA763" s="27">
        <v>38</v>
      </c>
      <c r="AB763" s="80">
        <v>46</v>
      </c>
      <c r="AC763" s="27">
        <v>0</v>
      </c>
      <c r="AD763" s="27" t="s">
        <v>4236</v>
      </c>
      <c r="AE763" s="27">
        <v>1225118581</v>
      </c>
      <c r="AF763" s="27"/>
      <c r="AG763" s="27"/>
      <c r="AH763" s="79">
        <v>8.6206896551724104E-4</v>
      </c>
      <c r="AI763" s="83">
        <v>1</v>
      </c>
      <c r="AJ763" s="80">
        <v>0</v>
      </c>
      <c r="AK763" s="80">
        <v>0</v>
      </c>
      <c r="AL763" s="13">
        <v>0</v>
      </c>
      <c r="AM763" s="97">
        <f>SUM(AL763/Z763)</f>
        <v>0</v>
      </c>
      <c r="AN763" s="27" t="s">
        <v>1052</v>
      </c>
      <c r="AO763" s="27">
        <v>5</v>
      </c>
      <c r="AP763" s="27">
        <v>0</v>
      </c>
      <c r="AQ763" s="27">
        <v>0</v>
      </c>
      <c r="AR763" s="27">
        <f>SUM(AO763:AQ763)</f>
        <v>5</v>
      </c>
      <c r="AS763" s="27" t="s">
        <v>5383</v>
      </c>
      <c r="AT763" s="27"/>
      <c r="AU763" s="84"/>
      <c r="AV763" s="77"/>
      <c r="AW763" s="77"/>
      <c r="AX763" s="77"/>
      <c r="AY763" s="77"/>
      <c r="AZ763" s="77"/>
      <c r="BA763" s="77"/>
      <c r="BB763" s="77"/>
      <c r="BC763" s="77"/>
      <c r="BD763" s="77"/>
      <c r="BE763" s="77"/>
      <c r="BF763" s="77"/>
      <c r="BG763" s="77"/>
      <c r="BH763" s="77"/>
      <c r="BI763" s="77"/>
      <c r="BJ763" s="77"/>
      <c r="BK763" s="77"/>
      <c r="BL763" s="77"/>
      <c r="BM763" s="74"/>
      <c r="BN763" s="74"/>
      <c r="BO763" s="74"/>
      <c r="BP763" s="74"/>
      <c r="BQ763" s="77"/>
      <c r="BR763" s="77"/>
      <c r="BS763" s="77"/>
      <c r="BT763" s="77"/>
      <c r="BU763" s="77"/>
      <c r="BV763" s="77"/>
      <c r="BW763" s="77"/>
      <c r="BX763" s="77"/>
      <c r="BY763" s="77"/>
      <c r="BZ763" s="77"/>
      <c r="CA763" s="77"/>
      <c r="CB763" s="77"/>
      <c r="CC763" s="77"/>
      <c r="CD763" s="77"/>
      <c r="CE763" s="77"/>
      <c r="CF763" s="77"/>
      <c r="CG763" s="77"/>
      <c r="CH763" s="77"/>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7"/>
      <c r="DV763" s="77"/>
      <c r="DW763" s="77"/>
      <c r="DX763" s="77"/>
      <c r="DY763" s="77"/>
      <c r="DZ763" s="77"/>
      <c r="EA763" s="77"/>
      <c r="EB763" s="77"/>
      <c r="EC763" s="77"/>
      <c r="ED763" s="77"/>
      <c r="EE763" s="77"/>
      <c r="EF763" s="77"/>
      <c r="EG763" s="77"/>
      <c r="EH763" s="77"/>
      <c r="EI763" s="77"/>
      <c r="EJ763" s="77"/>
      <c r="EK763" s="77"/>
      <c r="EL763" s="77"/>
      <c r="EM763" s="77"/>
      <c r="EN763" s="77"/>
      <c r="EO763" s="77"/>
      <c r="EP763" s="77"/>
      <c r="EQ763" s="77"/>
      <c r="GL763" s="77"/>
      <c r="GM763" s="77"/>
      <c r="GN763" s="77"/>
      <c r="GO763" s="77"/>
      <c r="GP763" s="77"/>
      <c r="GQ763" s="77"/>
      <c r="GR763" s="77"/>
      <c r="GS763" s="77"/>
      <c r="GT763" s="77"/>
      <c r="GU763" s="77"/>
      <c r="GV763" s="77"/>
      <c r="GW763" s="77"/>
      <c r="GX763" s="77"/>
      <c r="GY763" s="77"/>
      <c r="GZ763" s="77"/>
      <c r="HA763" s="77"/>
      <c r="HB763" s="77"/>
      <c r="HC763" s="77"/>
      <c r="HD763" s="77"/>
      <c r="HE763" s="77"/>
      <c r="HF763" s="77"/>
      <c r="HG763" s="77"/>
      <c r="HH763" s="77"/>
      <c r="HI763" s="77"/>
      <c r="HJ763" s="77"/>
      <c r="HK763" s="77"/>
      <c r="ID763" s="77"/>
      <c r="IE763" s="77"/>
      <c r="IF763" s="77"/>
      <c r="IG763" s="77"/>
      <c r="IH763" s="77"/>
      <c r="II763" s="77"/>
      <c r="IJ763" s="77"/>
      <c r="IK763" s="77"/>
      <c r="IL763" s="77"/>
      <c r="IM763" s="77"/>
      <c r="IN763" s="77"/>
      <c r="IO763" s="77"/>
      <c r="IP763" s="77"/>
      <c r="IQ763" s="77"/>
      <c r="IR763" s="77"/>
      <c r="IS763" s="77"/>
      <c r="IT763" s="77"/>
      <c r="IU763" s="77"/>
      <c r="IV763" s="77"/>
      <c r="IW763" s="77"/>
      <c r="IX763" s="77"/>
      <c r="IY763" s="77"/>
      <c r="IZ763" s="77"/>
      <c r="JA763" s="77"/>
      <c r="JB763" s="77"/>
      <c r="JC763" s="77"/>
      <c r="JD763" s="77"/>
      <c r="JE763" s="77"/>
      <c r="JF763" s="77"/>
      <c r="JG763" s="77"/>
      <c r="JH763" s="77"/>
      <c r="JI763" s="77"/>
      <c r="JJ763" s="77"/>
      <c r="JK763" s="77"/>
      <c r="JL763" s="77"/>
      <c r="JM763" s="77"/>
      <c r="JN763" s="77"/>
      <c r="JO763" s="77"/>
      <c r="JP763" s="77"/>
      <c r="JQ763" s="77"/>
      <c r="JR763" s="77"/>
      <c r="JS763" s="77"/>
      <c r="JT763" s="77"/>
      <c r="JU763" s="77"/>
      <c r="JV763" s="77"/>
      <c r="JW763" s="77"/>
      <c r="JX763" s="77"/>
      <c r="LW763" s="77"/>
      <c r="LX763" s="77"/>
      <c r="ND763" s="77"/>
      <c r="NE763" s="16"/>
      <c r="NF763" s="16"/>
      <c r="NG763" s="16"/>
      <c r="NH763" s="16"/>
      <c r="NI763" s="16"/>
      <c r="NJ763" s="16"/>
      <c r="NK763" s="16"/>
      <c r="NL763" s="16"/>
      <c r="NM763" s="16"/>
      <c r="NN763" s="16"/>
      <c r="NO763" s="16"/>
      <c r="NP763" s="16"/>
      <c r="NQ763" s="16"/>
      <c r="NR763" s="16"/>
      <c r="NS763" s="16"/>
      <c r="NT763" s="16"/>
      <c r="NU763" s="16"/>
      <c r="NV763" s="16"/>
      <c r="NW763" s="16"/>
      <c r="NX763" s="16"/>
      <c r="NY763" s="16"/>
      <c r="NZ763" s="16"/>
      <c r="OA763" s="16"/>
      <c r="OB763" s="16"/>
      <c r="OC763" s="16"/>
      <c r="OD763" s="16"/>
      <c r="OE763" s="16"/>
      <c r="OF763" s="16"/>
      <c r="OG763" s="16"/>
      <c r="OH763" s="16"/>
      <c r="OI763" s="16"/>
      <c r="OJ763" s="16"/>
      <c r="OK763" s="16"/>
      <c r="OL763" s="16"/>
      <c r="OM763" s="16"/>
      <c r="ON763" s="16"/>
      <c r="OO763" s="16"/>
      <c r="OP763" s="16"/>
      <c r="OQ763" s="16"/>
      <c r="OR763" s="16"/>
      <c r="OS763" s="16"/>
      <c r="OT763" s="16"/>
      <c r="OU763" s="16"/>
      <c r="OV763" s="16"/>
      <c r="OW763" s="16"/>
      <c r="OX763" s="16"/>
      <c r="OY763" s="16"/>
      <c r="OZ763" s="16"/>
      <c r="PA763" s="16"/>
      <c r="PB763" s="16"/>
      <c r="PC763" s="16"/>
      <c r="PD763" s="16"/>
      <c r="PE763" s="16"/>
    </row>
    <row r="764" spans="1:421" s="21" customFormat="1" ht="18.600000000000001" customHeight="1" x14ac:dyDescent="0.25">
      <c r="A764" s="119" t="s">
        <v>593</v>
      </c>
      <c r="B764" s="27" t="s">
        <v>4594</v>
      </c>
      <c r="C764" s="27" t="s">
        <v>4595</v>
      </c>
      <c r="D764" s="33" t="s">
        <v>3028</v>
      </c>
      <c r="E764" s="100" t="s">
        <v>2480</v>
      </c>
      <c r="F764" s="38" t="s">
        <v>558</v>
      </c>
      <c r="G764" s="38" t="s">
        <v>592</v>
      </c>
      <c r="H764" s="38" t="s">
        <v>776</v>
      </c>
      <c r="I764" s="38" t="s">
        <v>773</v>
      </c>
      <c r="J764" s="27" t="s">
        <v>789</v>
      </c>
      <c r="K764" s="15" t="s">
        <v>2574</v>
      </c>
      <c r="L764" s="10"/>
      <c r="M764" s="38" t="s">
        <v>771</v>
      </c>
      <c r="N764" s="34" t="s">
        <v>2481</v>
      </c>
      <c r="O764" s="27" t="s">
        <v>3214</v>
      </c>
      <c r="P764" s="80">
        <v>0</v>
      </c>
      <c r="Q764" s="80">
        <v>1</v>
      </c>
      <c r="R764" s="27" t="s">
        <v>2995</v>
      </c>
      <c r="S764" s="86" t="s">
        <v>2482</v>
      </c>
      <c r="T764" s="10" t="s">
        <v>771</v>
      </c>
      <c r="U764" s="10" t="s">
        <v>771</v>
      </c>
      <c r="V764" s="10" t="s">
        <v>771</v>
      </c>
      <c r="W764" s="42"/>
      <c r="X764" s="27" t="s">
        <v>593</v>
      </c>
      <c r="Y764" s="27" t="s">
        <v>4594</v>
      </c>
      <c r="Z764" s="80">
        <v>1</v>
      </c>
      <c r="AA764" s="27">
        <v>91</v>
      </c>
      <c r="AB764" s="80">
        <v>88</v>
      </c>
      <c r="AC764" s="27">
        <v>0</v>
      </c>
      <c r="AD764" s="27" t="s">
        <v>4596</v>
      </c>
      <c r="AE764" s="27">
        <v>973884817</v>
      </c>
      <c r="AF764" s="27" t="s">
        <v>4595</v>
      </c>
      <c r="AG764" s="27" t="s">
        <v>4597</v>
      </c>
      <c r="AH764" s="79">
        <v>7.9872204472843404E-4</v>
      </c>
      <c r="AI764" s="83">
        <v>1</v>
      </c>
      <c r="AJ764" s="80">
        <v>0</v>
      </c>
      <c r="AK764" s="80">
        <v>1</v>
      </c>
      <c r="AL764" s="13">
        <v>0</v>
      </c>
      <c r="AM764" s="97">
        <f>SUM(AL764/Z764)</f>
        <v>0</v>
      </c>
      <c r="AN764" s="27" t="s">
        <v>593</v>
      </c>
      <c r="AO764" s="27">
        <v>1</v>
      </c>
      <c r="AP764" s="27">
        <v>0</v>
      </c>
      <c r="AQ764" s="27">
        <v>0</v>
      </c>
      <c r="AR764" s="27">
        <f>SUM(AO764:AQ764)</f>
        <v>1</v>
      </c>
      <c r="AS764" s="27" t="s">
        <v>594</v>
      </c>
      <c r="AT764" s="27"/>
      <c r="AU764" s="84"/>
      <c r="AV764" s="77"/>
      <c r="AW764" s="77"/>
      <c r="AX764" s="77"/>
      <c r="AY764" s="77"/>
      <c r="AZ764" s="77"/>
      <c r="BA764" s="77"/>
      <c r="BB764" s="77"/>
      <c r="BC764" s="77"/>
      <c r="BD764" s="77"/>
      <c r="BE764" s="77"/>
      <c r="BF764" s="77"/>
      <c r="BG764" s="77"/>
      <c r="BH764" s="77"/>
      <c r="BI764" s="77"/>
      <c r="BJ764" s="77"/>
      <c r="BK764" s="77"/>
      <c r="BL764" s="77"/>
      <c r="BM764" s="77"/>
      <c r="BN764" s="77"/>
      <c r="BO764" s="77"/>
      <c r="BP764" s="77"/>
      <c r="BQ764" s="77"/>
      <c r="BR764" s="77"/>
      <c r="BS764" s="77"/>
      <c r="BT764" s="77"/>
      <c r="BU764" s="77"/>
      <c r="BV764" s="77"/>
      <c r="BW764" s="77"/>
      <c r="BX764" s="77"/>
      <c r="BY764" s="77"/>
      <c r="BZ764" s="77"/>
      <c r="CA764" s="77"/>
      <c r="CB764" s="77"/>
      <c r="CC764" s="77"/>
      <c r="CD764" s="77"/>
      <c r="CE764" s="77"/>
      <c r="CF764" s="77"/>
      <c r="CG764" s="77"/>
      <c r="CH764" s="77"/>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7"/>
      <c r="DV764" s="77"/>
      <c r="DW764" s="77"/>
      <c r="DX764" s="77"/>
      <c r="DY764" s="77"/>
      <c r="DZ764" s="77"/>
      <c r="EA764" s="77"/>
      <c r="EB764" s="77"/>
      <c r="EC764" s="77"/>
      <c r="ED764" s="77"/>
      <c r="EE764" s="77"/>
      <c r="EF764" s="77"/>
      <c r="EG764" s="77"/>
      <c r="EH764" s="77"/>
      <c r="EI764" s="77"/>
      <c r="EJ764" s="77"/>
      <c r="EK764" s="77"/>
      <c r="EL764" s="77"/>
      <c r="EP764" s="77"/>
      <c r="EQ764" s="77"/>
      <c r="HL764" s="77"/>
      <c r="HM764" s="77"/>
      <c r="HN764" s="77"/>
      <c r="HO764" s="77"/>
      <c r="HP764" s="77"/>
      <c r="HQ764" s="77"/>
      <c r="HR764" s="77"/>
      <c r="HS764" s="77"/>
      <c r="HT764" s="77"/>
      <c r="HU764" s="77"/>
      <c r="HV764" s="77"/>
      <c r="HW764" s="77"/>
      <c r="HX764" s="77"/>
      <c r="HY764" s="77"/>
      <c r="HZ764" s="77"/>
      <c r="IA764" s="77"/>
      <c r="IB764" s="77"/>
      <c r="IC764" s="77"/>
      <c r="IF764" s="77"/>
      <c r="IG764" s="77"/>
      <c r="IH764" s="77"/>
      <c r="II764" s="77"/>
      <c r="IJ764" s="77"/>
      <c r="IK764" s="77"/>
      <c r="IL764" s="77"/>
      <c r="IM764" s="77"/>
      <c r="IN764" s="77"/>
      <c r="IO764" s="77"/>
      <c r="IP764" s="77"/>
      <c r="IQ764" s="77"/>
      <c r="IR764" s="77"/>
      <c r="IS764" s="77"/>
      <c r="IT764" s="77"/>
      <c r="IU764" s="77"/>
      <c r="IV764" s="77"/>
      <c r="IW764" s="77"/>
      <c r="IX764" s="77"/>
      <c r="IY764" s="77"/>
      <c r="IZ764" s="77"/>
      <c r="JA764" s="77"/>
      <c r="JB764" s="77"/>
      <c r="JC764" s="77"/>
      <c r="JD764" s="77"/>
      <c r="JE764" s="77"/>
      <c r="JF764" s="77"/>
      <c r="JG764" s="77"/>
      <c r="JH764" s="77"/>
      <c r="JI764" s="77"/>
      <c r="JJ764" s="77"/>
      <c r="JK764" s="77"/>
      <c r="JL764" s="77"/>
      <c r="JM764" s="77"/>
      <c r="JN764" s="77"/>
      <c r="JO764" s="77"/>
      <c r="JP764" s="77"/>
      <c r="JQ764" s="77"/>
      <c r="JR764" s="77"/>
      <c r="JS764" s="77"/>
      <c r="JT764" s="77"/>
      <c r="JU764" s="77"/>
      <c r="JV764" s="77"/>
      <c r="JW764" s="77"/>
      <c r="JX764" s="77"/>
      <c r="JY764" s="77"/>
      <c r="JZ764" s="77"/>
      <c r="KA764" s="77"/>
      <c r="KB764" s="77"/>
      <c r="KC764" s="77"/>
      <c r="KD764" s="77"/>
      <c r="KE764" s="77"/>
      <c r="KF764" s="77"/>
      <c r="KG764" s="77"/>
      <c r="KH764" s="77"/>
      <c r="KI764" s="77"/>
      <c r="KJ764" s="77"/>
      <c r="KK764" s="77"/>
      <c r="KL764" s="77"/>
      <c r="KM764" s="77"/>
      <c r="KN764" s="77"/>
      <c r="KO764" s="77"/>
      <c r="KP764" s="77"/>
      <c r="KQ764" s="77"/>
      <c r="KR764" s="77"/>
      <c r="KS764" s="77"/>
      <c r="KT764" s="77"/>
      <c r="KU764" s="77"/>
      <c r="KV764" s="77"/>
      <c r="KW764" s="77"/>
      <c r="KX764" s="77"/>
      <c r="KY764" s="77"/>
      <c r="KZ764" s="77"/>
      <c r="LA764" s="77"/>
      <c r="LB764" s="77"/>
      <c r="LC764" s="77"/>
      <c r="LD764" s="77"/>
      <c r="LE764" s="77"/>
      <c r="LF764" s="77"/>
      <c r="LG764" s="77"/>
      <c r="LH764" s="77"/>
      <c r="LI764" s="77"/>
      <c r="LJ764" s="77"/>
      <c r="LK764" s="77"/>
      <c r="LL764" s="77"/>
      <c r="LM764" s="77"/>
      <c r="LN764" s="77"/>
      <c r="LO764" s="77"/>
      <c r="LP764" s="77"/>
      <c r="LQ764" s="77"/>
      <c r="LR764" s="77"/>
      <c r="LS764" s="77"/>
      <c r="LT764" s="77"/>
      <c r="LU764" s="77"/>
      <c r="LV764" s="77"/>
      <c r="LW764" s="77"/>
      <c r="LX764" s="77"/>
      <c r="ND764" s="77"/>
      <c r="NE764" s="16"/>
      <c r="NF764" s="16"/>
      <c r="NG764" s="16"/>
      <c r="NH764" s="16"/>
      <c r="NI764" s="16"/>
      <c r="NJ764" s="16"/>
      <c r="NK764" s="16"/>
      <c r="NL764" s="16"/>
      <c r="NM764" s="16"/>
      <c r="NN764" s="16"/>
      <c r="NO764" s="16"/>
      <c r="NP764" s="16"/>
      <c r="NQ764" s="16"/>
      <c r="NR764" s="16"/>
      <c r="NS764" s="16"/>
      <c r="NT764" s="16"/>
      <c r="NU764" s="16"/>
      <c r="NV764" s="16"/>
      <c r="NW764" s="16"/>
      <c r="NX764" s="16"/>
      <c r="NY764" s="16"/>
      <c r="NZ764" s="16"/>
      <c r="OA764" s="16"/>
      <c r="OB764" s="16"/>
      <c r="OC764" s="16"/>
      <c r="OD764" s="16"/>
      <c r="OE764" s="16"/>
      <c r="OF764" s="16"/>
      <c r="OG764" s="16"/>
      <c r="OH764" s="16"/>
      <c r="OI764" s="16"/>
      <c r="OJ764" s="16"/>
      <c r="OK764" s="16"/>
      <c r="OL764" s="16"/>
      <c r="OM764" s="16"/>
      <c r="ON764" s="16"/>
      <c r="OO764" s="16"/>
      <c r="OP764" s="16"/>
      <c r="OQ764" s="16"/>
      <c r="OR764" s="16"/>
      <c r="OS764" s="16"/>
      <c r="OT764" s="16"/>
      <c r="OU764" s="16"/>
      <c r="OV764" s="16"/>
      <c r="OW764" s="16"/>
      <c r="OX764" s="16"/>
      <c r="OY764" s="16"/>
      <c r="OZ764" s="16"/>
      <c r="PA764" s="16"/>
      <c r="PB764" s="16"/>
      <c r="PC764" s="16"/>
      <c r="PD764" s="16"/>
      <c r="PE764" s="16"/>
    </row>
    <row r="765" spans="1:421" s="21" customFormat="1" ht="18.600000000000001" customHeight="1" x14ac:dyDescent="0.25">
      <c r="A765" s="119" t="s">
        <v>600</v>
      </c>
      <c r="B765" s="27" t="s">
        <v>2494</v>
      </c>
      <c r="C765" s="27" t="s">
        <v>2951</v>
      </c>
      <c r="D765" s="30" t="str">
        <f>HYPERLINK("https://twitter.com/palaisnational","https://twitter.com/palaisnational")</f>
        <v>https://twitter.com/palaisnational</v>
      </c>
      <c r="E765" s="30" t="str">
        <f>HYPERLINK("http://twiplomacy.com/info/north-america/Haiti","http://twiplomacy.com/info/north-america/Haiti")</f>
        <v>http://twiplomacy.com/info/north-america/Haiti</v>
      </c>
      <c r="F765" s="10" t="s">
        <v>558</v>
      </c>
      <c r="G765" s="10" t="s">
        <v>599</v>
      </c>
      <c r="H765" s="10" t="s">
        <v>781</v>
      </c>
      <c r="I765" s="14" t="s">
        <v>782</v>
      </c>
      <c r="J765" s="27" t="s">
        <v>789</v>
      </c>
      <c r="K765" s="98" t="s">
        <v>2952</v>
      </c>
      <c r="L765" s="14" t="s">
        <v>771</v>
      </c>
      <c r="M765" s="14" t="s">
        <v>771</v>
      </c>
      <c r="N765" s="100" t="str">
        <f>HYPERLINK("https://twitter.com/palaisnational/statuses/65774906880704512","https://twitter.com/palaisnational/statuses/65774906880704512")</f>
        <v>https://twitter.com/palaisnational/statuses/65774906880704512</v>
      </c>
      <c r="O765" s="27" t="s">
        <v>2953</v>
      </c>
      <c r="P765" s="80">
        <v>1</v>
      </c>
      <c r="Q765" s="80">
        <v>6</v>
      </c>
      <c r="R765" s="27" t="s">
        <v>2995</v>
      </c>
      <c r="S765" s="10" t="s">
        <v>2954</v>
      </c>
      <c r="T765" s="10" t="s">
        <v>771</v>
      </c>
      <c r="U765" s="10" t="s">
        <v>771</v>
      </c>
      <c r="V765" s="10" t="s">
        <v>771</v>
      </c>
      <c r="W765" s="10"/>
      <c r="X765" s="27" t="s">
        <v>600</v>
      </c>
      <c r="Y765" s="27" t="s">
        <v>2494</v>
      </c>
      <c r="Z765" s="80">
        <v>1</v>
      </c>
      <c r="AA765" s="27">
        <v>1</v>
      </c>
      <c r="AB765" s="80">
        <v>1093</v>
      </c>
      <c r="AC765" s="27">
        <v>0</v>
      </c>
      <c r="AD765" s="27" t="s">
        <v>4230</v>
      </c>
      <c r="AE765" s="27">
        <v>292928347</v>
      </c>
      <c r="AF765" s="27" t="s">
        <v>2951</v>
      </c>
      <c r="AG765" s="27" t="s">
        <v>2955</v>
      </c>
      <c r="AH765" s="79">
        <v>5.4794520547945202E-4</v>
      </c>
      <c r="AI765" s="83">
        <v>1</v>
      </c>
      <c r="AJ765" s="80">
        <v>1</v>
      </c>
      <c r="AK765" s="80">
        <v>6</v>
      </c>
      <c r="AL765" s="13">
        <v>0</v>
      </c>
      <c r="AM765" s="97">
        <f>SUM(AL765/Z765)</f>
        <v>0</v>
      </c>
      <c r="AN765" s="27" t="s">
        <v>600</v>
      </c>
      <c r="AO765" s="27">
        <v>0</v>
      </c>
      <c r="AP765" s="27">
        <v>6</v>
      </c>
      <c r="AQ765" s="27">
        <v>0</v>
      </c>
      <c r="AR765" s="27">
        <f>SUM(AO765:AQ765)</f>
        <v>6</v>
      </c>
      <c r="AS765" s="27"/>
      <c r="AT765" s="27" t="s">
        <v>6811</v>
      </c>
      <c r="AU765" s="84"/>
      <c r="AV765" s="77"/>
      <c r="AW765" s="77"/>
      <c r="AX765" s="77"/>
      <c r="AY765" s="77"/>
      <c r="AZ765" s="77"/>
      <c r="BA765" s="77"/>
      <c r="BB765" s="77"/>
      <c r="BC765" s="77"/>
      <c r="BD765" s="77"/>
      <c r="BE765" s="77"/>
      <c r="BF765" s="77"/>
      <c r="BG765" s="77"/>
      <c r="BH765" s="77"/>
      <c r="BI765" s="77"/>
      <c r="BJ765" s="77"/>
      <c r="BK765" s="77"/>
      <c r="BL765" s="77"/>
      <c r="BM765" s="77"/>
      <c r="CC765" s="77"/>
      <c r="CD765" s="77"/>
      <c r="CE765" s="77"/>
      <c r="CF765" s="77"/>
      <c r="CG765" s="77"/>
      <c r="CH765" s="77"/>
      <c r="CI765" s="77"/>
      <c r="CJ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7"/>
      <c r="DV765" s="77"/>
      <c r="DW765" s="77"/>
      <c r="DX765" s="77"/>
      <c r="DY765" s="77"/>
      <c r="DZ765" s="77"/>
      <c r="EA765" s="77"/>
      <c r="EB765" s="77"/>
      <c r="EC765" s="77"/>
      <c r="ED765" s="77"/>
      <c r="EE765" s="77"/>
      <c r="EF765" s="77"/>
      <c r="EG765" s="77"/>
      <c r="EH765" s="77"/>
      <c r="EI765" s="77"/>
      <c r="EJ765" s="77"/>
      <c r="EK765" s="77"/>
      <c r="EL765" s="77"/>
      <c r="EM765" s="77"/>
      <c r="EN765" s="77"/>
      <c r="EO765" s="77"/>
      <c r="EP765" s="77"/>
      <c r="EQ765" s="77"/>
      <c r="ER765" s="77"/>
      <c r="ES765" s="77"/>
      <c r="ET765" s="77"/>
      <c r="EU765" s="77"/>
      <c r="EV765" s="77"/>
      <c r="EW765" s="77"/>
      <c r="EX765" s="77"/>
      <c r="EY765" s="77"/>
      <c r="EZ765" s="77"/>
      <c r="FA765" s="77"/>
      <c r="FB765" s="77"/>
      <c r="FC765" s="77"/>
      <c r="FD765" s="77"/>
      <c r="FE765" s="77"/>
      <c r="FF765" s="77"/>
      <c r="FG765" s="77"/>
      <c r="FH765" s="77"/>
      <c r="FI765" s="77"/>
      <c r="FJ765" s="77"/>
      <c r="FK765" s="77"/>
      <c r="FL765" s="77"/>
      <c r="FM765" s="77"/>
      <c r="FN765" s="77"/>
      <c r="FO765" s="77"/>
      <c r="FP765" s="77"/>
      <c r="FQ765" s="77"/>
      <c r="FR765" s="77"/>
      <c r="FS765" s="77"/>
      <c r="FT765" s="77"/>
      <c r="FU765" s="77"/>
      <c r="FV765" s="77"/>
      <c r="FW765" s="77"/>
      <c r="FX765" s="77"/>
      <c r="FY765" s="77"/>
      <c r="FZ765" s="77"/>
      <c r="GA765" s="77"/>
      <c r="GB765" s="77"/>
      <c r="GC765" s="77"/>
      <c r="GD765" s="77"/>
      <c r="GE765" s="77"/>
      <c r="GF765" s="77"/>
      <c r="GG765" s="77"/>
      <c r="GH765" s="77"/>
      <c r="GI765" s="77"/>
      <c r="GJ765" s="77"/>
      <c r="GK765" s="77"/>
      <c r="GL765" s="77"/>
      <c r="GM765" s="77"/>
      <c r="GN765" s="77"/>
      <c r="GO765" s="77"/>
      <c r="GP765" s="77"/>
      <c r="GQ765" s="77"/>
      <c r="GR765" s="77"/>
      <c r="GS765" s="77"/>
      <c r="GT765" s="77"/>
      <c r="GU765" s="77"/>
      <c r="GV765" s="77"/>
      <c r="GW765" s="77"/>
      <c r="GX765" s="77"/>
      <c r="GY765" s="77"/>
      <c r="GZ765" s="77"/>
      <c r="HA765" s="77"/>
      <c r="HB765" s="77"/>
      <c r="HC765" s="77"/>
      <c r="HD765" s="77"/>
      <c r="HE765" s="77"/>
      <c r="HF765" s="77"/>
      <c r="HG765" s="77"/>
      <c r="HH765" s="77"/>
      <c r="HI765" s="77"/>
      <c r="HJ765" s="77"/>
      <c r="HK765" s="77"/>
      <c r="HL765" s="77"/>
      <c r="HM765" s="77"/>
      <c r="HN765" s="77"/>
      <c r="HO765" s="77"/>
      <c r="HP765" s="77"/>
      <c r="HQ765" s="77"/>
      <c r="HR765" s="77"/>
      <c r="HS765" s="77"/>
      <c r="HT765" s="77"/>
      <c r="HU765" s="77"/>
      <c r="HV765" s="77"/>
      <c r="HW765" s="77"/>
      <c r="HX765" s="77"/>
      <c r="HY765" s="77"/>
      <c r="HZ765" s="77"/>
      <c r="IA765" s="77"/>
      <c r="IB765" s="77"/>
      <c r="IC765" s="77"/>
      <c r="ID765" s="77"/>
      <c r="IE765" s="77"/>
      <c r="IF765" s="77"/>
      <c r="IG765" s="77"/>
      <c r="IH765" s="77"/>
      <c r="II765" s="77"/>
      <c r="IJ765" s="77"/>
      <c r="IK765" s="77"/>
      <c r="IL765" s="77"/>
      <c r="IM765" s="77"/>
      <c r="IN765" s="77"/>
      <c r="IO765" s="77"/>
      <c r="IP765" s="77"/>
      <c r="IQ765" s="77"/>
      <c r="IR765" s="77"/>
      <c r="IS765" s="77"/>
      <c r="IT765" s="77"/>
      <c r="IU765" s="77"/>
      <c r="IV765" s="77"/>
      <c r="IW765" s="77"/>
      <c r="IX765" s="77"/>
      <c r="IY765" s="77"/>
      <c r="IZ765" s="77"/>
      <c r="JA765" s="77"/>
      <c r="JB765" s="77"/>
      <c r="JC765" s="77"/>
      <c r="JD765" s="77"/>
      <c r="JE765" s="77"/>
      <c r="JF765" s="77"/>
      <c r="JG765" s="77"/>
      <c r="JH765" s="77"/>
      <c r="JI765" s="77"/>
      <c r="JJ765" s="77"/>
      <c r="JK765" s="77"/>
      <c r="JL765" s="77"/>
      <c r="JM765" s="77"/>
      <c r="JN765" s="77"/>
      <c r="JO765" s="77"/>
      <c r="JP765" s="77"/>
      <c r="JQ765" s="77"/>
      <c r="JR765" s="77"/>
      <c r="JS765" s="77"/>
      <c r="JT765" s="77"/>
      <c r="JU765" s="77"/>
      <c r="JV765" s="77"/>
      <c r="JW765" s="77"/>
      <c r="JX765" s="77"/>
      <c r="LL765" s="77"/>
      <c r="LM765" s="77"/>
      <c r="LN765" s="77"/>
      <c r="LO765" s="77"/>
      <c r="LP765" s="77"/>
      <c r="LQ765" s="77"/>
      <c r="LR765" s="77"/>
      <c r="LS765" s="77"/>
      <c r="LT765" s="77"/>
      <c r="LU765" s="77"/>
      <c r="LV765" s="77"/>
      <c r="MT765" s="77"/>
      <c r="MU765" s="77"/>
      <c r="MV765" s="77"/>
      <c r="MW765" s="77"/>
      <c r="MX765" s="77"/>
      <c r="MY765" s="77"/>
      <c r="MZ765" s="77"/>
      <c r="NA765" s="77"/>
      <c r="NB765" s="77"/>
      <c r="NC765" s="77"/>
      <c r="ND765" s="77"/>
      <c r="NE765" s="16"/>
      <c r="NF765" s="16"/>
      <c r="NG765" s="16"/>
      <c r="NH765" s="16"/>
      <c r="NI765" s="16"/>
      <c r="NJ765" s="16"/>
      <c r="NK765" s="16"/>
      <c r="NL765" s="16"/>
      <c r="NM765" s="16"/>
      <c r="NN765" s="16"/>
      <c r="NO765" s="16"/>
      <c r="NP765" s="16"/>
      <c r="NQ765" s="16"/>
      <c r="NR765" s="16"/>
      <c r="NS765" s="16"/>
      <c r="NT765" s="16"/>
      <c r="NU765" s="16"/>
      <c r="NV765" s="16"/>
      <c r="NW765" s="16"/>
      <c r="NX765" s="16"/>
      <c r="NY765" s="16"/>
      <c r="NZ765" s="16"/>
      <c r="OA765" s="16"/>
      <c r="OB765" s="16"/>
      <c r="OC765" s="16"/>
      <c r="OD765" s="16"/>
      <c r="OE765" s="16"/>
      <c r="OF765" s="16"/>
      <c r="OG765" s="16"/>
      <c r="OH765" s="16"/>
      <c r="OI765" s="16"/>
      <c r="OJ765" s="16"/>
      <c r="OK765" s="16"/>
      <c r="OL765" s="16"/>
      <c r="OM765" s="16"/>
      <c r="ON765" s="16"/>
      <c r="OO765" s="16"/>
      <c r="OP765" s="16"/>
      <c r="OQ765" s="16"/>
      <c r="OR765" s="16"/>
      <c r="OS765" s="16"/>
      <c r="OT765" s="16"/>
      <c r="OU765" s="16"/>
      <c r="OV765" s="16"/>
      <c r="OW765" s="16"/>
      <c r="OX765" s="16"/>
      <c r="OY765" s="16"/>
      <c r="OZ765" s="16"/>
      <c r="PA765" s="16"/>
      <c r="PB765" s="16"/>
      <c r="PC765" s="16"/>
      <c r="PD765" s="16"/>
      <c r="PE765" s="16"/>
    </row>
    <row r="766" spans="1:421" s="21" customFormat="1" ht="18.600000000000001" customHeight="1" x14ac:dyDescent="0.25">
      <c r="A766" s="119" t="s">
        <v>36</v>
      </c>
      <c r="B766" s="27" t="s">
        <v>863</v>
      </c>
      <c r="C766" s="27" t="s">
        <v>864</v>
      </c>
      <c r="D766" s="72" t="str">
        <f>HYPERLINK("https://twitter.com/EgyPresidency","https://twitter.com/EgyPresidency")</f>
        <v>https://twitter.com/EgyPresidency</v>
      </c>
      <c r="E766" s="72" t="str">
        <f>HYPERLINK("http://twiplomacy.com/info/africa/Egypt","http://twiplomacy.com/info/africa/Egypt")</f>
        <v>http://twiplomacy.com/info/africa/Egypt</v>
      </c>
      <c r="F766" s="10" t="s">
        <v>1</v>
      </c>
      <c r="G766" s="10" t="s">
        <v>34</v>
      </c>
      <c r="H766" s="10" t="s">
        <v>781</v>
      </c>
      <c r="I766" s="10" t="s">
        <v>782</v>
      </c>
      <c r="J766" s="27" t="s">
        <v>789</v>
      </c>
      <c r="K766" s="15" t="s">
        <v>865</v>
      </c>
      <c r="L766" s="10" t="s">
        <v>771</v>
      </c>
      <c r="M766" s="10" t="s">
        <v>770</v>
      </c>
      <c r="N766" s="12" t="str">
        <f>HYPERLINK("https://twitter.com/EgyPresidency/statuses/286518889595158528","https://twitter.com/EgyPresidency/statuses/286518889595158528")</f>
        <v>https://twitter.com/EgyPresidency/statuses/286518889595158528</v>
      </c>
      <c r="O766" s="13"/>
      <c r="P766" s="81"/>
      <c r="Q766" s="81"/>
      <c r="R766" s="27" t="s">
        <v>2995</v>
      </c>
      <c r="S766" s="10" t="s">
        <v>866</v>
      </c>
      <c r="T766" s="10" t="s">
        <v>771</v>
      </c>
      <c r="U766" s="10" t="s">
        <v>771</v>
      </c>
      <c r="V766" s="10" t="s">
        <v>771</v>
      </c>
      <c r="W766" s="10"/>
      <c r="X766" s="27" t="s">
        <v>36</v>
      </c>
      <c r="Y766" s="27" t="s">
        <v>863</v>
      </c>
      <c r="Z766" s="80">
        <v>0</v>
      </c>
      <c r="AA766" s="27">
        <v>0</v>
      </c>
      <c r="AB766" s="80">
        <v>36904</v>
      </c>
      <c r="AC766" s="27">
        <v>6</v>
      </c>
      <c r="AD766" s="27" t="s">
        <v>3640</v>
      </c>
      <c r="AE766" s="27">
        <v>1055385086</v>
      </c>
      <c r="AF766" s="27" t="s">
        <v>864</v>
      </c>
      <c r="AG766" s="27" t="s">
        <v>857</v>
      </c>
      <c r="AH766" s="79"/>
      <c r="AI766" s="79"/>
      <c r="AJ766" s="79"/>
      <c r="AK766" s="79"/>
      <c r="AL766" s="13"/>
      <c r="AM766" s="13"/>
      <c r="AN766" s="27" t="s">
        <v>36</v>
      </c>
      <c r="AO766" s="27">
        <v>0</v>
      </c>
      <c r="AP766" s="27">
        <v>7</v>
      </c>
      <c r="AQ766" s="27">
        <v>0</v>
      </c>
      <c r="AR766" s="27">
        <f>SUM(AO766:AQ766)</f>
        <v>7</v>
      </c>
      <c r="AS766" s="27"/>
      <c r="AT766" s="27" t="s">
        <v>6283</v>
      </c>
      <c r="AU766" s="84"/>
      <c r="AV766" s="77"/>
      <c r="AW766" s="77"/>
      <c r="AX766" s="77"/>
      <c r="AY766" s="77"/>
      <c r="AZ766" s="77"/>
      <c r="BA766" s="77"/>
      <c r="BB766" s="77"/>
      <c r="BC766" s="77"/>
      <c r="BD766" s="77"/>
      <c r="BE766" s="77"/>
      <c r="BF766" s="77"/>
      <c r="BG766" s="77"/>
      <c r="BH766" s="77"/>
      <c r="BI766" s="77"/>
      <c r="BJ766" s="77"/>
      <c r="BK766" s="77"/>
      <c r="BL766" s="77"/>
      <c r="BM766" s="77"/>
      <c r="BN766" s="77"/>
      <c r="BO766" s="77"/>
      <c r="BP766" s="77"/>
      <c r="BQ766" s="77"/>
      <c r="BR766" s="77"/>
      <c r="BS766" s="77"/>
      <c r="BT766" s="77"/>
      <c r="BU766" s="77"/>
      <c r="BV766" s="77"/>
      <c r="BW766" s="77"/>
      <c r="BX766" s="77"/>
      <c r="BY766" s="77"/>
      <c r="BZ766" s="77"/>
      <c r="CA766" s="77"/>
      <c r="CB766" s="77"/>
      <c r="CC766" s="77"/>
      <c r="CD766" s="77"/>
      <c r="CE766" s="77"/>
      <c r="CF766" s="77"/>
      <c r="CG766" s="77"/>
      <c r="CH766" s="77"/>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7"/>
      <c r="DV766" s="77"/>
      <c r="DW766" s="77"/>
      <c r="DX766" s="77"/>
      <c r="DY766" s="77"/>
      <c r="DZ766" s="77"/>
      <c r="EA766" s="77"/>
      <c r="EB766" s="77"/>
      <c r="EC766" s="77"/>
      <c r="ED766" s="77"/>
      <c r="EE766" s="77"/>
      <c r="EF766" s="77"/>
      <c r="EG766" s="77"/>
      <c r="EH766" s="77"/>
      <c r="EI766" s="77"/>
      <c r="EJ766" s="77"/>
      <c r="EK766" s="77"/>
      <c r="EL766" s="77"/>
      <c r="EM766" s="77"/>
      <c r="EN766" s="77"/>
      <c r="EO766" s="77"/>
      <c r="EP766" s="77"/>
      <c r="HL766" s="16"/>
      <c r="HM766" s="16"/>
      <c r="HN766" s="16"/>
      <c r="HO766" s="16"/>
      <c r="HP766" s="16"/>
      <c r="HQ766" s="16"/>
      <c r="HR766" s="16"/>
      <c r="HS766" s="16"/>
      <c r="HT766" s="16"/>
      <c r="HU766" s="16"/>
      <c r="HV766" s="16"/>
      <c r="HW766" s="16"/>
      <c r="HX766" s="16"/>
      <c r="HY766" s="16"/>
      <c r="HZ766" s="16"/>
      <c r="IA766" s="16"/>
      <c r="IB766" s="16"/>
      <c r="IC766" s="16"/>
      <c r="IF766" s="77"/>
      <c r="IG766" s="77"/>
      <c r="IH766" s="77"/>
      <c r="II766" s="77"/>
      <c r="IJ766" s="77"/>
      <c r="IK766" s="77"/>
      <c r="IL766" s="77"/>
      <c r="IM766" s="77"/>
      <c r="IN766" s="77"/>
      <c r="IO766" s="77"/>
      <c r="IP766" s="77"/>
      <c r="IQ766" s="77"/>
      <c r="IR766" s="77"/>
      <c r="IS766" s="77"/>
      <c r="IT766" s="77"/>
      <c r="IU766" s="77"/>
      <c r="IV766" s="77"/>
      <c r="IW766" s="77"/>
      <c r="IX766" s="77"/>
      <c r="IY766" s="77"/>
      <c r="IZ766" s="77"/>
      <c r="JA766" s="77"/>
      <c r="JB766" s="77"/>
      <c r="JC766" s="77"/>
      <c r="JD766" s="77"/>
      <c r="JE766" s="77"/>
      <c r="JF766" s="77"/>
      <c r="JG766" s="77"/>
      <c r="JH766" s="77"/>
      <c r="JI766" s="77"/>
      <c r="JJ766" s="77"/>
      <c r="JK766" s="77"/>
      <c r="JL766" s="77"/>
      <c r="JM766" s="77"/>
      <c r="JN766" s="77"/>
      <c r="JO766" s="77"/>
      <c r="JP766" s="77"/>
      <c r="JQ766" s="77"/>
      <c r="JR766" s="77"/>
      <c r="JS766" s="77"/>
      <c r="JT766" s="77"/>
      <c r="JU766" s="77"/>
      <c r="JV766" s="77"/>
      <c r="JW766" s="77"/>
      <c r="JX766" s="77"/>
      <c r="JY766" s="77"/>
      <c r="JZ766" s="77"/>
      <c r="KA766" s="77"/>
      <c r="KB766" s="77"/>
      <c r="KC766" s="77"/>
      <c r="KD766" s="77"/>
      <c r="KE766" s="77"/>
      <c r="KF766" s="77"/>
      <c r="KG766" s="77"/>
      <c r="KH766" s="77"/>
      <c r="KI766" s="77"/>
      <c r="KJ766" s="77"/>
      <c r="KK766" s="77"/>
      <c r="KL766" s="77"/>
      <c r="KM766" s="77"/>
      <c r="KN766" s="77"/>
      <c r="KO766" s="77"/>
      <c r="KP766" s="77"/>
      <c r="KQ766" s="77"/>
      <c r="KR766" s="77"/>
      <c r="KS766" s="77"/>
      <c r="KT766" s="77"/>
      <c r="KU766" s="77"/>
      <c r="KV766" s="77"/>
      <c r="KW766" s="77"/>
      <c r="KX766" s="77"/>
      <c r="KY766" s="77"/>
      <c r="KZ766" s="77"/>
      <c r="LA766" s="77"/>
      <c r="LB766" s="77"/>
      <c r="LC766" s="77"/>
      <c r="LD766" s="77"/>
      <c r="LE766" s="77"/>
      <c r="LF766" s="77"/>
      <c r="LG766" s="77"/>
      <c r="LH766" s="77"/>
      <c r="LI766" s="77"/>
      <c r="LJ766" s="77"/>
      <c r="LK766" s="77"/>
      <c r="LW766" s="77"/>
      <c r="LX766" s="77"/>
      <c r="MT766" s="77"/>
      <c r="MU766" s="77"/>
      <c r="MV766" s="77"/>
      <c r="MW766" s="77"/>
      <c r="MX766" s="77"/>
      <c r="MY766" s="77"/>
      <c r="MZ766" s="77"/>
      <c r="NA766" s="77"/>
      <c r="NB766" s="77"/>
      <c r="NC766" s="77"/>
      <c r="NE766" s="16"/>
      <c r="NF766" s="16"/>
      <c r="NG766" s="16"/>
      <c r="NH766" s="16"/>
      <c r="NI766" s="16"/>
      <c r="NJ766" s="16"/>
      <c r="NK766" s="16"/>
      <c r="NL766" s="16"/>
      <c r="NM766" s="16"/>
      <c r="NN766" s="16"/>
      <c r="NO766" s="16"/>
      <c r="NP766" s="16"/>
      <c r="NQ766" s="16"/>
      <c r="NR766" s="16"/>
      <c r="NS766" s="16"/>
      <c r="NT766" s="16"/>
      <c r="NU766" s="16"/>
      <c r="NV766" s="16"/>
      <c r="NW766" s="16"/>
      <c r="NX766" s="16"/>
      <c r="NY766" s="16"/>
      <c r="NZ766" s="16"/>
      <c r="OA766" s="16"/>
      <c r="OB766" s="16"/>
      <c r="OC766" s="16"/>
      <c r="OD766" s="16"/>
      <c r="OE766" s="16"/>
      <c r="OF766" s="16"/>
      <c r="OG766" s="16"/>
      <c r="OH766" s="16"/>
      <c r="OI766" s="16"/>
      <c r="OJ766" s="16"/>
      <c r="OK766" s="16"/>
      <c r="OL766" s="16"/>
      <c r="OM766" s="16"/>
      <c r="ON766" s="16"/>
      <c r="OO766" s="16"/>
      <c r="OP766" s="16"/>
      <c r="OQ766" s="16"/>
      <c r="OR766" s="16"/>
      <c r="OS766" s="16"/>
      <c r="OT766" s="16"/>
      <c r="OU766" s="16"/>
      <c r="OV766" s="16"/>
      <c r="OW766" s="16"/>
      <c r="OX766" s="16"/>
      <c r="OY766" s="16"/>
      <c r="OZ766" s="16"/>
      <c r="PA766" s="16"/>
      <c r="PB766" s="16"/>
      <c r="PC766" s="16"/>
      <c r="PD766" s="16"/>
      <c r="PE766" s="16"/>
    </row>
    <row r="767" spans="1:421" s="21" customFormat="1" ht="18.600000000000001" customHeight="1" x14ac:dyDescent="0.25">
      <c r="A767" s="119" t="s">
        <v>70</v>
      </c>
      <c r="B767" s="27" t="s">
        <v>949</v>
      </c>
      <c r="C767" s="27"/>
      <c r="D767" s="30" t="str">
        <f>HYPERLINK("https://twitter.com/KenyaGov","https://twitter.com/KenyaGov")</f>
        <v>https://twitter.com/KenyaGov</v>
      </c>
      <c r="E767" s="30" t="str">
        <f>HYPERLINK("http://twiplomacy.com/info/africa/Kenya","http://twiplomacy.com/info/africa/Kenya")</f>
        <v>http://twiplomacy.com/info/africa/Kenya</v>
      </c>
      <c r="F767" s="10" t="s">
        <v>1</v>
      </c>
      <c r="G767" s="10" t="s">
        <v>65</v>
      </c>
      <c r="H767" s="10" t="s">
        <v>788</v>
      </c>
      <c r="I767" s="10" t="s">
        <v>782</v>
      </c>
      <c r="J767" s="27" t="s">
        <v>789</v>
      </c>
      <c r="K767" s="15" t="s">
        <v>829</v>
      </c>
      <c r="L767" s="10" t="s">
        <v>771</v>
      </c>
      <c r="M767" s="10" t="s">
        <v>771</v>
      </c>
      <c r="N767" s="10"/>
      <c r="O767" s="13"/>
      <c r="P767" s="81"/>
      <c r="Q767" s="81"/>
      <c r="R767" s="27" t="s">
        <v>2995</v>
      </c>
      <c r="S767" s="10" t="s">
        <v>950</v>
      </c>
      <c r="T767" s="10" t="s">
        <v>771</v>
      </c>
      <c r="U767" s="10" t="s">
        <v>771</v>
      </c>
      <c r="V767" s="10" t="s">
        <v>771</v>
      </c>
      <c r="W767" s="10"/>
      <c r="X767" s="27" t="s">
        <v>70</v>
      </c>
      <c r="Y767" s="27" t="s">
        <v>949</v>
      </c>
      <c r="Z767" s="80">
        <v>0</v>
      </c>
      <c r="AA767" s="27">
        <v>0</v>
      </c>
      <c r="AB767" s="80">
        <v>279</v>
      </c>
      <c r="AC767" s="27">
        <v>0</v>
      </c>
      <c r="AD767" s="27" t="s">
        <v>3930</v>
      </c>
      <c r="AE767" s="27">
        <v>132444446</v>
      </c>
      <c r="AF767" s="27"/>
      <c r="AG767" s="27"/>
      <c r="AH767" s="79"/>
      <c r="AI767" s="79"/>
      <c r="AJ767" s="79"/>
      <c r="AK767" s="79"/>
      <c r="AL767" s="13"/>
      <c r="AM767" s="13"/>
      <c r="AN767" s="27" t="s">
        <v>70</v>
      </c>
      <c r="AO767" s="27">
        <v>0</v>
      </c>
      <c r="AP767" s="27">
        <v>3</v>
      </c>
      <c r="AQ767" s="27">
        <v>0</v>
      </c>
      <c r="AR767" s="27">
        <f>SUM(AO767:AQ767)</f>
        <v>3</v>
      </c>
      <c r="AS767" s="27"/>
      <c r="AT767" s="27" t="s">
        <v>5236</v>
      </c>
      <c r="AU767" s="84"/>
      <c r="AV767" s="77"/>
      <c r="AW767" s="77"/>
      <c r="AX767" s="77"/>
      <c r="AY767" s="77"/>
      <c r="AZ767" s="77"/>
      <c r="BA767" s="77"/>
      <c r="BB767" s="77"/>
      <c r="BC767" s="77"/>
      <c r="BD767" s="77"/>
      <c r="BE767" s="77"/>
      <c r="BF767" s="77"/>
      <c r="BG767" s="77"/>
      <c r="BH767" s="77"/>
      <c r="BI767" s="77"/>
      <c r="BJ767" s="77"/>
      <c r="BK767" s="77"/>
      <c r="BL767" s="77"/>
      <c r="BM767" s="77"/>
      <c r="BN767" s="77"/>
      <c r="BO767" s="77"/>
      <c r="BP767" s="77"/>
      <c r="CC767" s="77"/>
      <c r="CD767" s="77"/>
      <c r="CE767" s="77"/>
      <c r="CF767" s="77"/>
      <c r="CG767" s="77"/>
      <c r="CH767" s="77"/>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7"/>
      <c r="DV767" s="77"/>
      <c r="DW767" s="77"/>
      <c r="DX767" s="77"/>
      <c r="DY767" s="77"/>
      <c r="DZ767" s="77"/>
      <c r="EA767" s="77"/>
      <c r="EB767" s="77"/>
      <c r="EC767" s="77"/>
      <c r="ED767" s="77"/>
      <c r="EE767" s="77"/>
      <c r="EF767" s="77"/>
      <c r="EG767" s="77"/>
      <c r="EH767" s="77"/>
      <c r="EI767" s="77"/>
      <c r="EJ767" s="77"/>
      <c r="EK767" s="77"/>
      <c r="EL767" s="77"/>
      <c r="EM767" s="77"/>
      <c r="EN767" s="77"/>
      <c r="EO767" s="77"/>
      <c r="EQ767" s="77"/>
      <c r="ER767" s="77"/>
      <c r="ES767" s="77"/>
      <c r="ET767" s="77"/>
      <c r="EU767" s="77"/>
      <c r="EV767" s="77"/>
      <c r="EW767" s="77"/>
      <c r="EX767" s="77"/>
      <c r="EY767" s="77"/>
      <c r="EZ767" s="77"/>
      <c r="FA767" s="77"/>
      <c r="FB767" s="77"/>
      <c r="FC767" s="77"/>
      <c r="FD767" s="77"/>
      <c r="FE767" s="77"/>
      <c r="FF767" s="77"/>
      <c r="FG767" s="77"/>
      <c r="FH767" s="77"/>
      <c r="FI767" s="77"/>
      <c r="FJ767" s="77"/>
      <c r="FK767" s="77"/>
      <c r="FL767" s="77"/>
      <c r="FM767" s="77"/>
      <c r="FN767" s="77"/>
      <c r="FO767" s="77"/>
      <c r="FP767" s="77"/>
      <c r="FQ767" s="77"/>
      <c r="FR767" s="77"/>
      <c r="FS767" s="77"/>
      <c r="FT767" s="77"/>
      <c r="FU767" s="77"/>
      <c r="FV767" s="77"/>
      <c r="FW767" s="77"/>
      <c r="FX767" s="77"/>
      <c r="FY767" s="77"/>
      <c r="FZ767" s="77"/>
      <c r="GA767" s="77"/>
      <c r="GB767" s="77"/>
      <c r="GC767" s="77"/>
      <c r="GD767" s="77"/>
      <c r="GE767" s="77"/>
      <c r="GF767" s="77"/>
      <c r="GG767" s="77"/>
      <c r="GH767" s="77"/>
      <c r="GI767" s="77"/>
      <c r="GJ767" s="77"/>
      <c r="GK767" s="77"/>
      <c r="GL767" s="77"/>
      <c r="GM767" s="77"/>
      <c r="GN767" s="77"/>
      <c r="GO767" s="77"/>
      <c r="GP767" s="77"/>
      <c r="GQ767" s="77"/>
      <c r="GR767" s="77"/>
      <c r="GS767" s="77"/>
      <c r="GT767" s="77"/>
      <c r="GU767" s="77"/>
      <c r="GV767" s="77"/>
      <c r="GW767" s="77"/>
      <c r="GX767" s="77"/>
      <c r="GY767" s="77"/>
      <c r="GZ767" s="77"/>
      <c r="HA767" s="77"/>
      <c r="HB767" s="77"/>
      <c r="HC767" s="77"/>
      <c r="HD767" s="77"/>
      <c r="HE767" s="77"/>
      <c r="HF767" s="77"/>
      <c r="HG767" s="77"/>
      <c r="HH767" s="77"/>
      <c r="HI767" s="77"/>
      <c r="HJ767" s="77"/>
      <c r="HK767" s="77"/>
      <c r="HL767" s="77"/>
      <c r="HM767" s="77"/>
      <c r="HN767" s="77"/>
      <c r="HO767" s="77"/>
      <c r="HP767" s="77"/>
      <c r="HQ767" s="77"/>
      <c r="HR767" s="77"/>
      <c r="HS767" s="77"/>
      <c r="HT767" s="77"/>
      <c r="HU767" s="77"/>
      <c r="HV767" s="77"/>
      <c r="HW767" s="77"/>
      <c r="HX767" s="77"/>
      <c r="HY767" s="77"/>
      <c r="HZ767" s="77"/>
      <c r="IA767" s="77"/>
      <c r="IB767" s="77"/>
      <c r="IC767" s="77"/>
      <c r="ID767" s="77"/>
      <c r="IE767" s="77"/>
      <c r="LY767" s="16"/>
      <c r="LZ767" s="16"/>
      <c r="MA767" s="16"/>
      <c r="MB767" s="16"/>
      <c r="MC767" s="16"/>
      <c r="MD767" s="16"/>
      <c r="ME767" s="16"/>
      <c r="MF767" s="16"/>
      <c r="MG767" s="16"/>
      <c r="MH767" s="16"/>
      <c r="MI767" s="16"/>
      <c r="MJ767" s="16"/>
      <c r="MK767" s="16"/>
      <c r="ML767" s="16"/>
      <c r="MM767" s="16"/>
      <c r="MN767" s="16"/>
      <c r="MO767" s="16"/>
      <c r="MP767" s="16"/>
      <c r="MQ767" s="16"/>
      <c r="MR767" s="16"/>
      <c r="MS767" s="77"/>
      <c r="NE767" s="16"/>
      <c r="NF767" s="16"/>
      <c r="NG767" s="16"/>
      <c r="NH767" s="16"/>
      <c r="NI767" s="16"/>
      <c r="NJ767" s="16"/>
      <c r="NK767" s="16"/>
      <c r="NL767" s="16"/>
      <c r="NM767" s="16"/>
      <c r="NN767" s="16"/>
      <c r="NO767" s="16"/>
      <c r="NP767" s="16"/>
      <c r="NQ767" s="16"/>
      <c r="NR767" s="16"/>
      <c r="NS767" s="16"/>
      <c r="NT767" s="16"/>
      <c r="NU767" s="16"/>
      <c r="NV767" s="16"/>
      <c r="NW767" s="16"/>
      <c r="NX767" s="16"/>
      <c r="NY767" s="16"/>
      <c r="NZ767" s="16"/>
      <c r="OA767" s="16"/>
      <c r="OB767" s="16"/>
      <c r="OC767" s="16"/>
      <c r="OD767" s="16"/>
      <c r="OE767" s="16"/>
      <c r="OF767" s="16"/>
      <c r="OG767" s="16"/>
      <c r="OH767" s="16"/>
      <c r="OI767" s="16"/>
      <c r="OJ767" s="16"/>
      <c r="OK767" s="16"/>
      <c r="OL767" s="16"/>
      <c r="OM767" s="16"/>
      <c r="ON767" s="16"/>
      <c r="OO767" s="16"/>
      <c r="OP767" s="16"/>
      <c r="OQ767" s="16"/>
      <c r="OR767" s="16"/>
      <c r="OS767" s="16"/>
      <c r="OT767" s="16"/>
      <c r="OU767" s="16"/>
      <c r="OV767" s="16"/>
      <c r="OW767" s="16"/>
      <c r="OX767" s="16"/>
      <c r="OY767" s="16"/>
      <c r="OZ767" s="16"/>
      <c r="PA767" s="16"/>
      <c r="PB767" s="16"/>
      <c r="PC767" s="16"/>
      <c r="PD767" s="16"/>
      <c r="PE767" s="16"/>
    </row>
    <row r="768" spans="1:421" s="21" customFormat="1" ht="18.600000000000001" customHeight="1" x14ac:dyDescent="0.25">
      <c r="A768" s="119" t="s">
        <v>960</v>
      </c>
      <c r="B768" s="27" t="s">
        <v>961</v>
      </c>
      <c r="C768" s="27" t="s">
        <v>962</v>
      </c>
      <c r="D768" s="30" t="str">
        <f>HYPERLINK("https://twitter.com/Pakalitha","https://twitter.com/Pakalitha")</f>
        <v>https://twitter.com/Pakalitha</v>
      </c>
      <c r="E768" s="30" t="str">
        <f>HYPERLINK("http://twiplomacy.com/info/africa/Lesotho","http://twiplomacy.com/info/africa/Lesotho")</f>
        <v>http://twiplomacy.com/info/africa/Lesotho</v>
      </c>
      <c r="F768" s="20" t="s">
        <v>1</v>
      </c>
      <c r="G768" s="10" t="s">
        <v>150</v>
      </c>
      <c r="H768" s="10" t="s">
        <v>776</v>
      </c>
      <c r="I768" s="10" t="s">
        <v>773</v>
      </c>
      <c r="J768" s="27" t="s">
        <v>789</v>
      </c>
      <c r="K768" s="10" t="s">
        <v>829</v>
      </c>
      <c r="L768" s="10" t="s">
        <v>771</v>
      </c>
      <c r="M768" s="10" t="s">
        <v>771</v>
      </c>
      <c r="N768" s="10"/>
      <c r="O768" s="13"/>
      <c r="P768" s="81"/>
      <c r="Q768" s="81"/>
      <c r="R768" s="27" t="s">
        <v>2995</v>
      </c>
      <c r="S768" s="30" t="str">
        <f>HYPERLINK("https://twitter.com/Pakalitha/lists","https://twitter.com/Pakalitha/lists")</f>
        <v>https://twitter.com/Pakalitha/lists</v>
      </c>
      <c r="T768" s="10" t="s">
        <v>771</v>
      </c>
      <c r="U768" s="10" t="s">
        <v>771</v>
      </c>
      <c r="V768" s="10" t="s">
        <v>771</v>
      </c>
      <c r="W768" s="10"/>
      <c r="X768" s="27" t="s">
        <v>960</v>
      </c>
      <c r="Y768" s="27" t="s">
        <v>961</v>
      </c>
      <c r="Z768" s="80">
        <v>0</v>
      </c>
      <c r="AA768" s="27">
        <v>3</v>
      </c>
      <c r="AB768" s="80">
        <v>152</v>
      </c>
      <c r="AC768" s="27">
        <v>0</v>
      </c>
      <c r="AD768" s="27" t="s">
        <v>4227</v>
      </c>
      <c r="AE768" s="27">
        <v>308977434</v>
      </c>
      <c r="AF768" s="27" t="s">
        <v>962</v>
      </c>
      <c r="AG768" s="27" t="s">
        <v>150</v>
      </c>
      <c r="AH768" s="79"/>
      <c r="AI768" s="79"/>
      <c r="AJ768" s="79"/>
      <c r="AK768" s="79"/>
      <c r="AL768" s="13"/>
      <c r="AM768" s="13"/>
      <c r="AN768" s="27" t="s">
        <v>960</v>
      </c>
      <c r="AO768" s="27">
        <v>0</v>
      </c>
      <c r="AP768" s="27">
        <v>0</v>
      </c>
      <c r="AQ768" s="27">
        <v>0</v>
      </c>
      <c r="AR768" s="27">
        <f>SUM(AO768:AQ768)</f>
        <v>0</v>
      </c>
      <c r="AS768" s="27"/>
      <c r="AT768" s="27"/>
      <c r="AU768" s="84"/>
      <c r="AV768" s="77"/>
      <c r="AW768" s="77"/>
      <c r="AX768" s="77"/>
      <c r="AY768" s="77"/>
      <c r="AZ768" s="77"/>
      <c r="BA768" s="77"/>
      <c r="BB768" s="77"/>
      <c r="BC768" s="77"/>
      <c r="BD768" s="77"/>
      <c r="BE768" s="77"/>
      <c r="BF768" s="77"/>
      <c r="BG768" s="77"/>
      <c r="BH768" s="77"/>
      <c r="BI768" s="77"/>
      <c r="BJ768" s="77"/>
      <c r="BK768" s="77"/>
      <c r="BL768" s="77"/>
      <c r="BM768" s="16"/>
      <c r="BN768" s="77"/>
      <c r="BO768" s="77"/>
      <c r="BP768" s="77"/>
      <c r="BQ768" s="77"/>
      <c r="BR768" s="77"/>
      <c r="BS768" s="77"/>
      <c r="BT768" s="77"/>
      <c r="BU768" s="77"/>
      <c r="BV768" s="77"/>
      <c r="BW768" s="77"/>
      <c r="BX768" s="77"/>
      <c r="BY768" s="77"/>
      <c r="BZ768" s="77"/>
      <c r="CA768" s="77"/>
      <c r="CB768" s="77"/>
      <c r="CC768" s="77"/>
      <c r="CD768" s="77"/>
      <c r="CE768" s="77"/>
      <c r="CF768" s="77"/>
      <c r="CG768" s="77"/>
      <c r="CH768" s="77"/>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7"/>
      <c r="DV768" s="77"/>
      <c r="DW768" s="77"/>
      <c r="DX768" s="77"/>
      <c r="DY768" s="77"/>
      <c r="DZ768" s="77"/>
      <c r="EA768" s="77"/>
      <c r="EB768" s="77"/>
      <c r="EC768" s="77"/>
      <c r="ED768" s="77"/>
      <c r="EE768" s="77"/>
      <c r="EF768" s="77"/>
      <c r="EG768" s="77"/>
      <c r="EH768" s="77"/>
      <c r="EI768" s="77"/>
      <c r="EJ768" s="77"/>
      <c r="EK768" s="77"/>
      <c r="EL768" s="77"/>
      <c r="EM768" s="77"/>
      <c r="EN768" s="77"/>
      <c r="EO768" s="77"/>
      <c r="EP768" s="77"/>
      <c r="EQ768" s="77"/>
      <c r="ER768" s="77"/>
      <c r="ES768" s="77"/>
      <c r="ET768" s="77"/>
      <c r="EU768" s="77"/>
      <c r="EV768" s="77"/>
      <c r="EW768" s="77"/>
      <c r="EX768" s="77"/>
      <c r="EY768" s="77"/>
      <c r="EZ768" s="77"/>
      <c r="FA768" s="77"/>
      <c r="FB768" s="77"/>
      <c r="FC768" s="77"/>
      <c r="FD768" s="77"/>
      <c r="FE768" s="77"/>
      <c r="FF768" s="77"/>
      <c r="FG768" s="77"/>
      <c r="FH768" s="77"/>
      <c r="FI768" s="77"/>
      <c r="FJ768" s="77"/>
      <c r="FK768" s="77"/>
      <c r="FL768" s="77"/>
      <c r="FM768" s="77"/>
      <c r="FN768" s="77"/>
      <c r="FO768" s="77"/>
      <c r="FP768" s="77"/>
      <c r="FQ768" s="77"/>
      <c r="FR768" s="77"/>
      <c r="FS768" s="77"/>
      <c r="FT768" s="77"/>
      <c r="FU768" s="77"/>
      <c r="FV768" s="77"/>
      <c r="FW768" s="77"/>
      <c r="FX768" s="77"/>
      <c r="FY768" s="77"/>
      <c r="FZ768" s="77"/>
      <c r="GA768" s="77"/>
      <c r="GB768" s="77"/>
      <c r="GC768" s="77"/>
      <c r="GD768" s="77"/>
      <c r="GE768" s="77"/>
      <c r="GF768" s="77"/>
      <c r="GG768" s="77"/>
      <c r="GH768" s="77"/>
      <c r="GI768" s="77"/>
      <c r="GJ768" s="77"/>
      <c r="GK768" s="77"/>
      <c r="GL768" s="77"/>
      <c r="GM768" s="77"/>
      <c r="GN768" s="77"/>
      <c r="GO768" s="77"/>
      <c r="GP768" s="77"/>
      <c r="GQ768" s="77"/>
      <c r="GR768" s="77"/>
      <c r="GS768" s="77"/>
      <c r="GT768" s="77"/>
      <c r="GU768" s="77"/>
      <c r="GV768" s="77"/>
      <c r="GW768" s="77"/>
      <c r="GX768" s="77"/>
      <c r="GY768" s="77"/>
      <c r="GZ768" s="77"/>
      <c r="HA768" s="77"/>
      <c r="HB768" s="77"/>
      <c r="HC768" s="77"/>
      <c r="HD768" s="77"/>
      <c r="HE768" s="77"/>
      <c r="HF768" s="77"/>
      <c r="HG768" s="77"/>
      <c r="HH768" s="77"/>
      <c r="HI768" s="77"/>
      <c r="HJ768" s="77"/>
      <c r="HK768" s="77"/>
      <c r="HL768" s="77"/>
      <c r="HM768" s="77"/>
      <c r="HN768" s="77"/>
      <c r="HO768" s="77"/>
      <c r="HP768" s="77"/>
      <c r="HQ768" s="77"/>
      <c r="HR768" s="77"/>
      <c r="HS768" s="77"/>
      <c r="HT768" s="77"/>
      <c r="HU768" s="77"/>
      <c r="HV768" s="77"/>
      <c r="HW768" s="77"/>
      <c r="HX768" s="77"/>
      <c r="HY768" s="77"/>
      <c r="HZ768" s="77"/>
      <c r="IA768" s="77"/>
      <c r="IB768" s="77"/>
      <c r="IC768" s="77"/>
      <c r="ID768" s="77"/>
      <c r="IE768" s="77"/>
      <c r="JY768" s="16"/>
      <c r="JZ768" s="16"/>
      <c r="KA768" s="16"/>
      <c r="KB768" s="16"/>
      <c r="KC768" s="16"/>
      <c r="KD768" s="16"/>
      <c r="KE768" s="16"/>
      <c r="KF768" s="16"/>
      <c r="KG768" s="16"/>
      <c r="KH768" s="16"/>
      <c r="KI768" s="16"/>
      <c r="KJ768" s="16"/>
      <c r="KK768" s="16"/>
      <c r="KL768" s="16"/>
      <c r="KM768" s="77"/>
      <c r="KN768" s="77"/>
      <c r="KO768" s="77"/>
      <c r="KP768" s="77"/>
      <c r="KQ768" s="77"/>
      <c r="KR768" s="77"/>
      <c r="KS768" s="77"/>
      <c r="KT768" s="77"/>
      <c r="KU768" s="77"/>
      <c r="KV768" s="77"/>
      <c r="KW768" s="77"/>
      <c r="KX768" s="77"/>
      <c r="KY768" s="77"/>
      <c r="KZ768" s="77"/>
      <c r="LA768" s="77"/>
      <c r="LB768" s="77"/>
      <c r="LC768" s="77"/>
      <c r="LD768" s="77"/>
      <c r="LE768" s="77"/>
      <c r="LF768" s="77"/>
      <c r="LG768" s="77"/>
      <c r="LH768" s="77"/>
      <c r="LI768" s="77"/>
      <c r="LJ768" s="77"/>
      <c r="LK768" s="77"/>
      <c r="LL768" s="77"/>
      <c r="LM768" s="77"/>
      <c r="LN768" s="77"/>
      <c r="LO768" s="77"/>
      <c r="LP768" s="77"/>
      <c r="LQ768" s="77"/>
      <c r="LR768" s="77"/>
      <c r="LS768" s="77"/>
      <c r="LT768" s="77"/>
      <c r="LU768" s="77"/>
      <c r="LV768" s="77"/>
      <c r="LW768" s="77"/>
      <c r="LX768" s="77"/>
      <c r="MT768" s="77"/>
      <c r="MU768" s="77"/>
      <c r="MV768" s="77"/>
      <c r="MW768" s="77"/>
      <c r="MX768" s="77"/>
      <c r="MY768" s="77"/>
      <c r="MZ768" s="77"/>
      <c r="NA768" s="77"/>
      <c r="NB768" s="77"/>
      <c r="NC768" s="77"/>
      <c r="NE768" s="16"/>
      <c r="NF768" s="16"/>
      <c r="NG768" s="16"/>
      <c r="NH768" s="16"/>
      <c r="NI768" s="16"/>
      <c r="NJ768" s="16"/>
      <c r="NK768" s="16"/>
      <c r="NL768" s="16"/>
      <c r="NM768" s="16"/>
      <c r="NN768" s="16"/>
      <c r="NO768" s="16"/>
      <c r="NP768" s="16"/>
      <c r="NQ768" s="16"/>
      <c r="NR768" s="16"/>
      <c r="NS768" s="16"/>
      <c r="NT768" s="16"/>
      <c r="NU768" s="16"/>
      <c r="NV768" s="16"/>
      <c r="NW768" s="16"/>
      <c r="NX768" s="16"/>
      <c r="NY768" s="16"/>
      <c r="NZ768" s="16"/>
      <c r="OA768" s="16"/>
      <c r="OB768" s="16"/>
      <c r="OC768" s="16"/>
      <c r="OD768" s="16"/>
      <c r="OE768" s="16"/>
      <c r="OF768" s="16"/>
      <c r="OG768" s="16"/>
      <c r="OH768" s="16"/>
      <c r="OI768" s="16"/>
      <c r="OJ768" s="16"/>
      <c r="OK768" s="16"/>
      <c r="OL768" s="16"/>
      <c r="OM768" s="16"/>
      <c r="ON768" s="16"/>
      <c r="OO768" s="16"/>
      <c r="OP768" s="16"/>
      <c r="OQ768" s="16"/>
      <c r="OR768" s="16"/>
      <c r="OS768" s="16"/>
      <c r="OT768" s="16"/>
      <c r="OU768" s="16"/>
      <c r="OV768" s="16"/>
      <c r="OW768" s="16"/>
      <c r="OX768" s="16"/>
      <c r="OY768" s="16"/>
      <c r="OZ768" s="16"/>
      <c r="PA768" s="16"/>
      <c r="PB768" s="16"/>
      <c r="PC768" s="16"/>
      <c r="PD768" s="16"/>
      <c r="PE768" s="16"/>
    </row>
    <row r="769" spans="1:421" s="21" customFormat="1" ht="18.600000000000001" customHeight="1" x14ac:dyDescent="0.25">
      <c r="A769" s="119" t="s">
        <v>2871</v>
      </c>
      <c r="B769" s="27" t="s">
        <v>2872</v>
      </c>
      <c r="C769" s="27"/>
      <c r="D769" s="30" t="str">
        <f>HYPERLINK("https://twitter.com/theDIRCO","https://twitter.com/theDIRCO")</f>
        <v>https://twitter.com/theDIRCO</v>
      </c>
      <c r="E769" s="30" t="str">
        <f>HYPERLINK("http://twiplomacy.com/info/africa/South-Africa","http://twiplomacy.com/info/africa/South-Africa")</f>
        <v>http://twiplomacy.com/info/africa/South-Africa</v>
      </c>
      <c r="F769" s="14" t="s">
        <v>1</v>
      </c>
      <c r="G769" s="14" t="s">
        <v>118</v>
      </c>
      <c r="H769" s="10" t="s">
        <v>795</v>
      </c>
      <c r="I769" s="14" t="s">
        <v>782</v>
      </c>
      <c r="J769" s="27" t="s">
        <v>789</v>
      </c>
      <c r="K769" s="14" t="s">
        <v>829</v>
      </c>
      <c r="L769" s="14" t="s">
        <v>771</v>
      </c>
      <c r="M769" s="14" t="s">
        <v>771</v>
      </c>
      <c r="N769" s="14"/>
      <c r="O769" s="13"/>
      <c r="P769" s="81"/>
      <c r="Q769" s="81"/>
      <c r="R769" s="27" t="s">
        <v>2995</v>
      </c>
      <c r="S769" s="10" t="s">
        <v>2873</v>
      </c>
      <c r="T769" s="10" t="s">
        <v>771</v>
      </c>
      <c r="U769" s="10" t="s">
        <v>771</v>
      </c>
      <c r="V769" s="10" t="s">
        <v>771</v>
      </c>
      <c r="W769" s="14"/>
      <c r="X769" s="27" t="s">
        <v>2871</v>
      </c>
      <c r="Y769" s="27" t="s">
        <v>2872</v>
      </c>
      <c r="Z769" s="80">
        <v>0</v>
      </c>
      <c r="AA769" s="27">
        <v>0</v>
      </c>
      <c r="AB769" s="80">
        <v>331</v>
      </c>
      <c r="AC769" s="27">
        <v>0</v>
      </c>
      <c r="AD769" s="27" t="s">
        <v>4524</v>
      </c>
      <c r="AE769" s="27">
        <v>361144058</v>
      </c>
      <c r="AF769" s="27"/>
      <c r="AG769" s="27"/>
      <c r="AH769" s="79"/>
      <c r="AI769" s="79"/>
      <c r="AJ769" s="79"/>
      <c r="AK769" s="79"/>
      <c r="AL769" s="13"/>
      <c r="AM769" s="13"/>
      <c r="AN769" s="27" t="s">
        <v>2871</v>
      </c>
      <c r="AO769" s="27">
        <v>0</v>
      </c>
      <c r="AP769" s="27">
        <v>1</v>
      </c>
      <c r="AQ769" s="27">
        <v>0</v>
      </c>
      <c r="AR769" s="27">
        <f>SUM(AO769:AQ769)</f>
        <v>1</v>
      </c>
      <c r="AS769" s="27"/>
      <c r="AT769" s="27" t="s">
        <v>360</v>
      </c>
      <c r="AU769" s="84"/>
      <c r="AV769" s="77"/>
      <c r="AW769" s="77"/>
      <c r="AX769" s="77"/>
      <c r="AY769" s="77"/>
      <c r="AZ769" s="77"/>
      <c r="BA769" s="77"/>
      <c r="BB769" s="77"/>
      <c r="BC769" s="77"/>
      <c r="BD769" s="77"/>
      <c r="BE769" s="77"/>
      <c r="BF769" s="77"/>
      <c r="BG769" s="77"/>
      <c r="BH769" s="77"/>
      <c r="BI769" s="77"/>
      <c r="BJ769" s="77"/>
      <c r="BK769" s="77"/>
      <c r="BL769" s="77"/>
      <c r="BM769" s="77"/>
      <c r="BN769" s="77"/>
      <c r="BO769" s="77"/>
      <c r="BP769" s="77"/>
      <c r="BQ769" s="77"/>
      <c r="BR769" s="77"/>
      <c r="BS769" s="77"/>
      <c r="BT769" s="77"/>
      <c r="BU769" s="77"/>
      <c r="BV769" s="77"/>
      <c r="BW769" s="77"/>
      <c r="BX769" s="77"/>
      <c r="BY769" s="77"/>
      <c r="BZ769" s="77"/>
      <c r="CA769" s="77"/>
      <c r="CB769" s="77"/>
      <c r="CC769" s="77"/>
      <c r="CD769" s="77"/>
      <c r="CE769" s="77"/>
      <c r="CF769" s="77"/>
      <c r="CG769" s="77"/>
      <c r="CH769" s="77"/>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7"/>
      <c r="DV769" s="77"/>
      <c r="DW769" s="77"/>
      <c r="DX769" s="77"/>
      <c r="DY769" s="77"/>
      <c r="DZ769" s="77"/>
      <c r="EA769" s="77"/>
      <c r="EB769" s="77"/>
      <c r="EC769" s="77"/>
      <c r="ED769" s="77"/>
      <c r="EE769" s="77"/>
      <c r="EF769" s="77"/>
      <c r="EG769" s="77"/>
      <c r="EH769" s="77"/>
      <c r="EI769" s="77"/>
      <c r="EJ769" s="77"/>
      <c r="EK769" s="77"/>
      <c r="EL769" s="77"/>
      <c r="EM769" s="77"/>
      <c r="EN769" s="77"/>
      <c r="EO769" s="77"/>
      <c r="EP769" s="77"/>
      <c r="EQ769" s="77"/>
      <c r="ER769" s="77"/>
      <c r="ES769" s="77"/>
      <c r="ET769" s="77"/>
      <c r="EU769" s="77"/>
      <c r="EV769" s="77"/>
      <c r="EW769" s="77"/>
      <c r="EX769" s="77"/>
      <c r="EY769" s="77"/>
      <c r="EZ769" s="77"/>
      <c r="FA769" s="77"/>
      <c r="FB769" s="77"/>
      <c r="FC769" s="77"/>
      <c r="FD769" s="77"/>
      <c r="FE769" s="77"/>
      <c r="FF769" s="77"/>
      <c r="FG769" s="77"/>
      <c r="FH769" s="77"/>
      <c r="FI769" s="77"/>
      <c r="FJ769" s="77"/>
      <c r="FK769" s="77"/>
      <c r="FL769" s="77"/>
      <c r="FM769" s="77"/>
      <c r="FN769" s="77"/>
      <c r="FO769" s="77"/>
      <c r="FP769" s="77"/>
      <c r="FQ769" s="77"/>
      <c r="FR769" s="77"/>
      <c r="FS769" s="77"/>
      <c r="FT769" s="77"/>
      <c r="FU769" s="77"/>
      <c r="FV769" s="77"/>
      <c r="FW769" s="77"/>
      <c r="FX769" s="77"/>
      <c r="FY769" s="77"/>
      <c r="FZ769" s="77"/>
      <c r="GA769" s="77"/>
      <c r="GB769" s="77"/>
      <c r="GC769" s="77"/>
      <c r="GD769" s="77"/>
      <c r="GE769" s="77"/>
      <c r="GF769" s="77"/>
      <c r="GG769" s="77"/>
      <c r="GH769" s="77"/>
      <c r="GI769" s="77"/>
      <c r="GJ769" s="77"/>
      <c r="GK769" s="77"/>
      <c r="GL769" s="77"/>
      <c r="GM769" s="77"/>
      <c r="GN769" s="77"/>
      <c r="GO769" s="77"/>
      <c r="GP769" s="77"/>
      <c r="GQ769" s="77"/>
      <c r="GR769" s="77"/>
      <c r="GS769" s="77"/>
      <c r="GT769" s="77"/>
      <c r="GU769" s="77"/>
      <c r="GV769" s="77"/>
      <c r="GW769" s="77"/>
      <c r="GX769" s="77"/>
      <c r="GY769" s="77"/>
      <c r="GZ769" s="77"/>
      <c r="HA769" s="77"/>
      <c r="HB769" s="77"/>
      <c r="HC769" s="77"/>
      <c r="HD769" s="77"/>
      <c r="HE769" s="77"/>
      <c r="HF769" s="77"/>
      <c r="HG769" s="77"/>
      <c r="HH769" s="77"/>
      <c r="HI769" s="77"/>
      <c r="HJ769" s="77"/>
      <c r="HK769" s="77"/>
      <c r="IF769" s="77"/>
      <c r="IG769" s="77"/>
      <c r="IH769" s="77"/>
      <c r="II769" s="77"/>
      <c r="IJ769" s="77"/>
      <c r="IK769" s="77"/>
      <c r="IL769" s="77"/>
      <c r="IM769" s="77"/>
      <c r="IN769" s="77"/>
      <c r="IO769" s="77"/>
      <c r="IP769" s="77"/>
      <c r="IQ769" s="77"/>
      <c r="IR769" s="77"/>
      <c r="IS769" s="77"/>
      <c r="IT769" s="77"/>
      <c r="IU769" s="77"/>
      <c r="IV769" s="77"/>
      <c r="IW769" s="77"/>
      <c r="IX769" s="77"/>
      <c r="IY769" s="77"/>
      <c r="IZ769" s="77"/>
      <c r="JA769" s="77"/>
      <c r="JB769" s="77"/>
      <c r="JC769" s="77"/>
      <c r="JD769" s="77"/>
      <c r="JE769" s="77"/>
      <c r="JF769" s="77"/>
      <c r="JG769" s="77"/>
      <c r="JH769" s="77"/>
      <c r="JI769" s="77"/>
      <c r="JJ769" s="77"/>
      <c r="JK769" s="77"/>
      <c r="JL769" s="77"/>
      <c r="JM769" s="77"/>
      <c r="JN769" s="77"/>
      <c r="JO769" s="77"/>
      <c r="JP769" s="77"/>
      <c r="JQ769" s="77"/>
      <c r="JR769" s="77"/>
      <c r="JS769" s="77"/>
      <c r="JT769" s="77"/>
      <c r="JU769" s="77"/>
      <c r="JV769" s="77"/>
      <c r="JW769" s="77"/>
      <c r="JX769" s="77"/>
      <c r="JY769" s="77"/>
      <c r="JZ769" s="77"/>
      <c r="KA769" s="77"/>
      <c r="KB769" s="77"/>
      <c r="KC769" s="77"/>
      <c r="KD769" s="77"/>
      <c r="KE769" s="77"/>
      <c r="KF769" s="77"/>
      <c r="KG769" s="77"/>
      <c r="KH769" s="77"/>
      <c r="KI769" s="77"/>
      <c r="KJ769" s="77"/>
      <c r="KK769" s="77"/>
      <c r="KL769" s="77"/>
      <c r="KM769" s="77"/>
      <c r="KN769" s="77"/>
      <c r="KO769" s="77"/>
      <c r="KP769" s="77"/>
      <c r="KQ769" s="77"/>
      <c r="KR769" s="77"/>
      <c r="KS769" s="77"/>
      <c r="KT769" s="77"/>
      <c r="KU769" s="77"/>
      <c r="KV769" s="77"/>
      <c r="KW769" s="77"/>
      <c r="KX769" s="77"/>
      <c r="KY769" s="77"/>
      <c r="KZ769" s="77"/>
      <c r="LA769" s="77"/>
      <c r="LB769" s="77"/>
      <c r="LC769" s="77"/>
      <c r="LD769" s="77"/>
      <c r="LE769" s="77"/>
      <c r="LF769" s="77"/>
      <c r="LG769" s="77"/>
      <c r="LH769" s="77"/>
      <c r="LI769" s="77"/>
      <c r="LJ769" s="77"/>
      <c r="LK769" s="77"/>
      <c r="LL769" s="77"/>
      <c r="LM769" s="77"/>
      <c r="LN769" s="77"/>
      <c r="LO769" s="77"/>
      <c r="LP769" s="77"/>
      <c r="LQ769" s="77"/>
      <c r="LR769" s="77"/>
      <c r="LS769" s="77"/>
      <c r="LT769" s="77"/>
      <c r="LU769" s="77"/>
      <c r="LV769" s="77"/>
      <c r="LW769" s="77"/>
      <c r="LX769" s="77"/>
      <c r="LY769" s="77"/>
      <c r="LZ769" s="77"/>
      <c r="MA769" s="77"/>
      <c r="MB769" s="77"/>
      <c r="MC769" s="77"/>
      <c r="MD769" s="77"/>
      <c r="ME769" s="77"/>
      <c r="MF769" s="77"/>
      <c r="MG769" s="77"/>
      <c r="MH769" s="77"/>
      <c r="MI769" s="77"/>
      <c r="MJ769" s="77"/>
      <c r="MK769" s="77"/>
      <c r="ML769" s="77"/>
      <c r="MM769" s="77"/>
      <c r="MN769" s="77"/>
      <c r="MO769" s="77"/>
      <c r="MP769" s="77"/>
      <c r="MQ769" s="77"/>
      <c r="MR769" s="77"/>
      <c r="NE769" s="16"/>
      <c r="NF769" s="16"/>
      <c r="NG769" s="16"/>
      <c r="NH769" s="16"/>
      <c r="NI769" s="16"/>
      <c r="NJ769" s="16"/>
      <c r="NK769" s="16"/>
      <c r="NL769" s="16"/>
      <c r="NM769" s="16"/>
      <c r="NN769" s="16"/>
      <c r="NO769" s="16"/>
      <c r="NP769" s="16"/>
      <c r="NQ769" s="16"/>
      <c r="NR769" s="16"/>
      <c r="NS769" s="16"/>
      <c r="NT769" s="16"/>
      <c r="NU769" s="16"/>
      <c r="NV769" s="16"/>
      <c r="NW769" s="16"/>
      <c r="NX769" s="16"/>
      <c r="NY769" s="16"/>
      <c r="NZ769" s="16"/>
      <c r="OA769" s="16"/>
      <c r="OB769" s="16"/>
      <c r="OC769" s="16"/>
      <c r="OD769" s="16"/>
      <c r="OE769" s="16"/>
      <c r="OF769" s="16"/>
      <c r="OG769" s="16"/>
      <c r="OH769" s="16"/>
      <c r="OI769" s="16"/>
      <c r="OJ769" s="16"/>
      <c r="OK769" s="16"/>
      <c r="OL769" s="16"/>
      <c r="OM769" s="16"/>
      <c r="ON769" s="16"/>
      <c r="OO769" s="16"/>
      <c r="OP769" s="16"/>
      <c r="OQ769" s="16"/>
      <c r="OR769" s="16"/>
      <c r="OS769" s="16"/>
      <c r="OT769" s="16"/>
      <c r="OU769" s="16"/>
      <c r="OV769" s="16"/>
      <c r="OW769" s="16"/>
      <c r="OX769" s="16"/>
      <c r="OY769" s="16"/>
      <c r="OZ769" s="16"/>
      <c r="PA769" s="16"/>
      <c r="PB769" s="16"/>
      <c r="PC769" s="16"/>
      <c r="PD769" s="16"/>
      <c r="PE769" s="16"/>
    </row>
    <row r="770" spans="1:421" s="21" customFormat="1" ht="18.600000000000001" customHeight="1" x14ac:dyDescent="0.25">
      <c r="A770" s="119" t="s">
        <v>1206</v>
      </c>
      <c r="B770" s="27" t="s">
        <v>1197</v>
      </c>
      <c r="C770" s="27" t="s">
        <v>1207</v>
      </c>
      <c r="D770" s="30" t="str">
        <f>HYPERLINK("https://twitter.com/PresidentAM_eng","https://twitter.com/PresidentAM_eng")</f>
        <v>https://twitter.com/PresidentAM_eng</v>
      </c>
      <c r="E770" s="30" t="str">
        <f>HYPERLINK("http://twiplomacy.com/info/asia/Armenia","http://twiplomacy.com/info/asia/Armenia")</f>
        <v>http://twiplomacy.com/info/asia/Armenia</v>
      </c>
      <c r="F770" s="10" t="s">
        <v>154</v>
      </c>
      <c r="G770" s="10" t="s">
        <v>159</v>
      </c>
      <c r="H770" s="10" t="s">
        <v>781</v>
      </c>
      <c r="I770" s="10" t="s">
        <v>782</v>
      </c>
      <c r="J770" s="27" t="s">
        <v>789</v>
      </c>
      <c r="K770" s="15" t="s">
        <v>829</v>
      </c>
      <c r="L770" s="10" t="s">
        <v>771</v>
      </c>
      <c r="M770" s="10" t="s">
        <v>771</v>
      </c>
      <c r="N770" s="10"/>
      <c r="O770" s="13"/>
      <c r="P770" s="81"/>
      <c r="Q770" s="81"/>
      <c r="R770" s="27" t="s">
        <v>2995</v>
      </c>
      <c r="S770" s="10" t="s">
        <v>1208</v>
      </c>
      <c r="T770" s="10" t="s">
        <v>771</v>
      </c>
      <c r="U770" s="10" t="s">
        <v>771</v>
      </c>
      <c r="V770" s="10" t="s">
        <v>771</v>
      </c>
      <c r="W770" s="10"/>
      <c r="X770" s="27" t="s">
        <v>1206</v>
      </c>
      <c r="Y770" s="27" t="s">
        <v>1197</v>
      </c>
      <c r="Z770" s="80">
        <v>0</v>
      </c>
      <c r="AA770" s="27">
        <v>2</v>
      </c>
      <c r="AB770" s="80">
        <v>160</v>
      </c>
      <c r="AC770" s="27">
        <v>0</v>
      </c>
      <c r="AD770" s="27" t="s">
        <v>4353</v>
      </c>
      <c r="AE770" s="27">
        <v>975927512</v>
      </c>
      <c r="AF770" s="27" t="s">
        <v>1207</v>
      </c>
      <c r="AG770" s="27" t="s">
        <v>1209</v>
      </c>
      <c r="AH770" s="79"/>
      <c r="AI770" s="79"/>
      <c r="AJ770" s="79"/>
      <c r="AK770" s="79"/>
      <c r="AL770" s="13"/>
      <c r="AM770" s="13"/>
      <c r="AN770" s="27" t="s">
        <v>1206</v>
      </c>
      <c r="AO770" s="27">
        <v>0</v>
      </c>
      <c r="AP770" s="27">
        <v>3</v>
      </c>
      <c r="AQ770" s="27">
        <v>2</v>
      </c>
      <c r="AR770" s="27">
        <f>SUM(AO770:AQ770)</f>
        <v>5</v>
      </c>
      <c r="AS770" s="27"/>
      <c r="AT770" s="27" t="s">
        <v>5437</v>
      </c>
      <c r="AU770" s="84" t="s">
        <v>4920</v>
      </c>
      <c r="AV770" s="77"/>
      <c r="AW770" s="77"/>
      <c r="AX770" s="77"/>
      <c r="AY770" s="77"/>
      <c r="AZ770" s="77"/>
      <c r="BA770" s="77"/>
      <c r="BB770" s="77"/>
      <c r="BC770" s="77"/>
      <c r="BD770" s="77"/>
      <c r="BE770" s="77"/>
      <c r="BF770" s="77"/>
      <c r="BG770" s="77"/>
      <c r="BH770" s="77"/>
      <c r="BI770" s="77"/>
      <c r="BJ770" s="77"/>
      <c r="BK770" s="77"/>
      <c r="BL770" s="77"/>
      <c r="BM770" s="77"/>
      <c r="BN770" s="71"/>
      <c r="BO770" s="71"/>
      <c r="BP770" s="71"/>
      <c r="BQ770" s="77"/>
      <c r="BR770" s="77"/>
      <c r="BS770" s="77"/>
      <c r="BT770" s="77"/>
      <c r="BU770" s="77"/>
      <c r="BV770" s="77"/>
      <c r="BW770" s="77"/>
      <c r="BX770" s="77"/>
      <c r="BY770" s="77"/>
      <c r="BZ770" s="77"/>
      <c r="CA770" s="77"/>
      <c r="CB770" s="77"/>
      <c r="CC770" s="16"/>
      <c r="CD770" s="16"/>
      <c r="CE770" s="16"/>
      <c r="CF770" s="16"/>
      <c r="CG770" s="16"/>
      <c r="CH770" s="16"/>
      <c r="CI770" s="16"/>
      <c r="CJ770" s="16"/>
      <c r="CK770" s="16"/>
      <c r="CL770" s="16"/>
      <c r="CM770" s="16"/>
      <c r="CN770" s="16"/>
      <c r="CO770" s="16"/>
      <c r="CP770" s="16"/>
      <c r="CQ770" s="16"/>
      <c r="CR770" s="16"/>
      <c r="CS770" s="16"/>
      <c r="CT770" s="16"/>
      <c r="CU770" s="16"/>
      <c r="CV770" s="16"/>
      <c r="CW770" s="16"/>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7"/>
      <c r="DV770" s="77"/>
      <c r="DW770" s="77"/>
      <c r="DX770" s="77"/>
      <c r="DY770" s="77"/>
      <c r="DZ770" s="77"/>
      <c r="EA770" s="77"/>
      <c r="EB770" s="77"/>
      <c r="EC770" s="77"/>
      <c r="ED770" s="77"/>
      <c r="EE770" s="77"/>
      <c r="EF770" s="77"/>
      <c r="EG770" s="77"/>
      <c r="EH770" s="77"/>
      <c r="EI770" s="77"/>
      <c r="EJ770" s="77"/>
      <c r="EK770" s="77"/>
      <c r="EL770" s="77"/>
      <c r="EM770" s="77"/>
      <c r="EN770" s="77"/>
      <c r="EO770" s="77"/>
      <c r="EP770" s="77"/>
      <c r="EQ770" s="77"/>
      <c r="ER770" s="16"/>
      <c r="ES770" s="16"/>
      <c r="ET770" s="16"/>
      <c r="EU770" s="16"/>
      <c r="EV770" s="16"/>
      <c r="EW770" s="16"/>
      <c r="EX770" s="16"/>
      <c r="EY770" s="16"/>
      <c r="EZ770" s="16"/>
      <c r="FA770" s="16"/>
      <c r="FB770" s="16"/>
      <c r="FC770" s="16"/>
      <c r="FD770" s="16"/>
      <c r="FE770" s="16"/>
      <c r="FF770" s="16"/>
      <c r="FG770" s="16"/>
      <c r="FH770" s="16"/>
      <c r="FI770" s="16"/>
      <c r="FJ770" s="16"/>
      <c r="FK770" s="16"/>
      <c r="FL770" s="16"/>
      <c r="FM770" s="16"/>
      <c r="FN770" s="16"/>
      <c r="FO770" s="16"/>
      <c r="FP770" s="16"/>
      <c r="FQ770" s="16"/>
      <c r="FR770" s="16"/>
      <c r="FS770" s="16"/>
      <c r="FT770" s="16"/>
      <c r="FU770" s="16"/>
      <c r="FV770" s="16"/>
      <c r="FW770" s="16"/>
      <c r="FX770" s="16"/>
      <c r="FY770" s="16"/>
      <c r="FZ770" s="16"/>
      <c r="GA770" s="16"/>
      <c r="GB770" s="16"/>
      <c r="GC770" s="16"/>
      <c r="GD770" s="16"/>
      <c r="GE770" s="16"/>
      <c r="GF770" s="16"/>
      <c r="GG770" s="16"/>
      <c r="GH770" s="16"/>
      <c r="GI770" s="16"/>
      <c r="GJ770" s="16"/>
      <c r="GK770" s="16"/>
      <c r="HL770" s="16"/>
      <c r="HM770" s="16"/>
      <c r="HN770" s="16"/>
      <c r="HO770" s="16"/>
      <c r="HP770" s="16"/>
      <c r="HQ770" s="16"/>
      <c r="HR770" s="16"/>
      <c r="HS770" s="16"/>
      <c r="HT770" s="16"/>
      <c r="HU770" s="16"/>
      <c r="HV770" s="16"/>
      <c r="HW770" s="16"/>
      <c r="HX770" s="16"/>
      <c r="HY770" s="16"/>
      <c r="HZ770" s="16"/>
      <c r="IA770" s="16"/>
      <c r="IB770" s="16"/>
      <c r="IC770" s="16"/>
      <c r="IF770" s="77"/>
      <c r="IG770" s="77"/>
      <c r="IH770" s="77"/>
      <c r="II770" s="77"/>
      <c r="IJ770" s="77"/>
      <c r="IK770" s="77"/>
      <c r="IL770" s="77"/>
      <c r="IM770" s="77"/>
      <c r="IN770" s="77"/>
      <c r="IO770" s="77"/>
      <c r="IP770" s="77"/>
      <c r="IQ770" s="77"/>
      <c r="IR770" s="77"/>
      <c r="IS770" s="77"/>
      <c r="IT770" s="77"/>
      <c r="IU770" s="77"/>
      <c r="IV770" s="77"/>
      <c r="IW770" s="77"/>
      <c r="IX770" s="77"/>
      <c r="IY770" s="77"/>
      <c r="IZ770" s="77"/>
      <c r="JA770" s="77"/>
      <c r="JB770" s="77"/>
      <c r="JC770" s="77"/>
      <c r="JD770" s="77"/>
      <c r="JE770" s="77"/>
      <c r="JF770" s="77"/>
      <c r="JG770" s="77"/>
      <c r="JH770" s="77"/>
      <c r="JI770" s="77"/>
      <c r="JJ770" s="77"/>
      <c r="JK770" s="77"/>
      <c r="JL770" s="77"/>
      <c r="JM770" s="77"/>
      <c r="JN770" s="77"/>
      <c r="JO770" s="77"/>
      <c r="JP770" s="77"/>
      <c r="JQ770" s="77"/>
      <c r="JR770" s="77"/>
      <c r="JS770" s="77"/>
      <c r="JT770" s="77"/>
      <c r="JU770" s="77"/>
      <c r="JV770" s="77"/>
      <c r="JW770" s="77"/>
      <c r="JX770" s="77"/>
      <c r="JY770" s="16"/>
      <c r="JZ770" s="16"/>
      <c r="KA770" s="16"/>
      <c r="KB770" s="16"/>
      <c r="KC770" s="16"/>
      <c r="KD770" s="16"/>
      <c r="KE770" s="16"/>
      <c r="KF770" s="16"/>
      <c r="KG770" s="16"/>
      <c r="KH770" s="16"/>
      <c r="KI770" s="16"/>
      <c r="KJ770" s="16"/>
      <c r="KK770" s="16"/>
      <c r="KL770" s="16"/>
      <c r="LL770" s="77"/>
      <c r="LM770" s="77"/>
      <c r="LN770" s="77"/>
      <c r="LO770" s="77"/>
      <c r="LP770" s="77"/>
      <c r="LQ770" s="77"/>
      <c r="LR770" s="77"/>
      <c r="LS770" s="77"/>
      <c r="LT770" s="77"/>
      <c r="LU770" s="77"/>
      <c r="LV770" s="77"/>
      <c r="ND770" s="77"/>
    </row>
    <row r="771" spans="1:421" s="21" customFormat="1" ht="18.600000000000001" customHeight="1" x14ac:dyDescent="0.25">
      <c r="A771" s="119" t="s">
        <v>1210</v>
      </c>
      <c r="B771" s="27" t="s">
        <v>1197</v>
      </c>
      <c r="C771" s="27" t="s">
        <v>1211</v>
      </c>
      <c r="D771" s="30" t="str">
        <f>HYPERLINK("https://twitter.com/PresidentAM_rus","https://twitter.com/PresidentAM_rus")</f>
        <v>https://twitter.com/PresidentAM_rus</v>
      </c>
      <c r="E771" s="30" t="str">
        <f>HYPERLINK("http://twiplomacy.com/info/asia/Armenia","http://twiplomacy.com/info/asia/Armenia")</f>
        <v>http://twiplomacy.com/info/asia/Armenia</v>
      </c>
      <c r="F771" s="10" t="s">
        <v>154</v>
      </c>
      <c r="G771" s="10" t="s">
        <v>159</v>
      </c>
      <c r="H771" s="10" t="s">
        <v>781</v>
      </c>
      <c r="I771" s="10" t="s">
        <v>782</v>
      </c>
      <c r="J771" s="27" t="s">
        <v>789</v>
      </c>
      <c r="K771" s="15" t="s">
        <v>829</v>
      </c>
      <c r="L771" s="10" t="s">
        <v>771</v>
      </c>
      <c r="M771" s="10" t="s">
        <v>771</v>
      </c>
      <c r="N771" s="10"/>
      <c r="O771" s="13"/>
      <c r="P771" s="81"/>
      <c r="Q771" s="81"/>
      <c r="R771" s="27" t="s">
        <v>2995</v>
      </c>
      <c r="S771" s="10" t="s">
        <v>1212</v>
      </c>
      <c r="T771" s="10" t="s">
        <v>771</v>
      </c>
      <c r="U771" s="10" t="s">
        <v>771</v>
      </c>
      <c r="V771" s="10" t="s">
        <v>771</v>
      </c>
      <c r="W771" s="10"/>
      <c r="X771" s="27" t="s">
        <v>1210</v>
      </c>
      <c r="Y771" s="27" t="s">
        <v>1197</v>
      </c>
      <c r="Z771" s="80">
        <v>0</v>
      </c>
      <c r="AA771" s="27">
        <v>2</v>
      </c>
      <c r="AB771" s="80">
        <v>85</v>
      </c>
      <c r="AC771" s="27">
        <v>0</v>
      </c>
      <c r="AD771" s="27" t="s">
        <v>4354</v>
      </c>
      <c r="AE771" s="27">
        <v>975934998</v>
      </c>
      <c r="AF771" s="27" t="s">
        <v>1211</v>
      </c>
      <c r="AG771" s="27" t="s">
        <v>1213</v>
      </c>
      <c r="AH771" s="79"/>
      <c r="AI771" s="79"/>
      <c r="AJ771" s="79"/>
      <c r="AK771" s="79"/>
      <c r="AL771" s="13"/>
      <c r="AM771" s="13"/>
      <c r="AN771" s="27" t="s">
        <v>1210</v>
      </c>
      <c r="AO771" s="27">
        <v>0</v>
      </c>
      <c r="AP771" s="27">
        <v>3</v>
      </c>
      <c r="AQ771" s="27">
        <v>2</v>
      </c>
      <c r="AR771" s="27">
        <f>SUM(AO771:AQ771)</f>
        <v>5</v>
      </c>
      <c r="AS771" s="27"/>
      <c r="AT771" s="27" t="s">
        <v>5437</v>
      </c>
      <c r="AU771" s="84" t="s">
        <v>4921</v>
      </c>
      <c r="AV771" s="77"/>
      <c r="AW771" s="77"/>
      <c r="AX771" s="77"/>
      <c r="AY771" s="77"/>
      <c r="AZ771" s="77"/>
      <c r="BA771" s="77"/>
      <c r="BB771" s="77"/>
      <c r="BC771" s="77"/>
      <c r="BD771" s="77"/>
      <c r="BE771" s="77"/>
      <c r="BF771" s="77"/>
      <c r="BG771" s="77"/>
      <c r="BH771" s="77"/>
      <c r="BI771" s="77"/>
      <c r="BJ771" s="77"/>
      <c r="BK771" s="77"/>
      <c r="BL771" s="77"/>
      <c r="BQ771" s="77"/>
      <c r="BR771" s="77"/>
      <c r="BS771" s="77"/>
      <c r="BT771" s="77"/>
      <c r="BU771" s="77"/>
      <c r="BV771" s="77"/>
      <c r="BW771" s="77"/>
      <c r="BX771" s="77"/>
      <c r="BY771" s="77"/>
      <c r="BZ771" s="77"/>
      <c r="CA771" s="77"/>
      <c r="CB771" s="77"/>
      <c r="CC771" s="77"/>
      <c r="CD771" s="77"/>
      <c r="CE771" s="77"/>
      <c r="CF771" s="77"/>
      <c r="CG771" s="77"/>
      <c r="CH771" s="77"/>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7"/>
      <c r="DV771" s="77"/>
      <c r="DW771" s="77"/>
      <c r="DX771" s="77"/>
      <c r="DY771" s="77"/>
      <c r="DZ771" s="77"/>
      <c r="EA771" s="77"/>
      <c r="EB771" s="77"/>
      <c r="EC771" s="77"/>
      <c r="ED771" s="77"/>
      <c r="EE771" s="77"/>
      <c r="EF771" s="77"/>
      <c r="EG771" s="77"/>
      <c r="EH771" s="77"/>
      <c r="EI771" s="77"/>
      <c r="EJ771" s="77"/>
      <c r="EK771" s="77"/>
      <c r="EL771" s="77"/>
      <c r="EM771" s="77"/>
      <c r="EN771" s="77"/>
      <c r="EO771" s="77"/>
      <c r="EQ771" s="77"/>
      <c r="ER771" s="77"/>
      <c r="ES771" s="77"/>
      <c r="ET771" s="77"/>
      <c r="EU771" s="77"/>
      <c r="EV771" s="77"/>
      <c r="EW771" s="77"/>
      <c r="EX771" s="77"/>
      <c r="EY771" s="77"/>
      <c r="EZ771" s="77"/>
      <c r="FA771" s="77"/>
      <c r="FB771" s="77"/>
      <c r="FC771" s="77"/>
      <c r="FD771" s="77"/>
      <c r="FE771" s="77"/>
      <c r="FF771" s="77"/>
      <c r="FG771" s="77"/>
      <c r="FH771" s="77"/>
      <c r="FI771" s="77"/>
      <c r="FJ771" s="77"/>
      <c r="FK771" s="77"/>
      <c r="FL771" s="77"/>
      <c r="FM771" s="77"/>
      <c r="FN771" s="77"/>
      <c r="FO771" s="77"/>
      <c r="FP771" s="77"/>
      <c r="FQ771" s="77"/>
      <c r="FR771" s="77"/>
      <c r="FS771" s="77"/>
      <c r="FT771" s="77"/>
      <c r="FU771" s="77"/>
      <c r="FV771" s="77"/>
      <c r="FW771" s="77"/>
      <c r="FX771" s="77"/>
      <c r="FY771" s="77"/>
      <c r="FZ771" s="77"/>
      <c r="GA771" s="77"/>
      <c r="GB771" s="77"/>
      <c r="GC771" s="77"/>
      <c r="GD771" s="77"/>
      <c r="GE771" s="77"/>
      <c r="GF771" s="77"/>
      <c r="GG771" s="77"/>
      <c r="GH771" s="77"/>
      <c r="GI771" s="77"/>
      <c r="GJ771" s="77"/>
      <c r="GK771" s="77"/>
      <c r="GL771" s="77"/>
      <c r="GM771" s="77"/>
      <c r="GN771" s="77"/>
      <c r="GO771" s="77"/>
      <c r="GP771" s="77"/>
      <c r="GQ771" s="77"/>
      <c r="GR771" s="77"/>
      <c r="GS771" s="77"/>
      <c r="GT771" s="77"/>
      <c r="GU771" s="77"/>
      <c r="GV771" s="77"/>
      <c r="GW771" s="77"/>
      <c r="GX771" s="77"/>
      <c r="GY771" s="77"/>
      <c r="GZ771" s="77"/>
      <c r="HA771" s="77"/>
      <c r="HB771" s="77"/>
      <c r="HC771" s="77"/>
      <c r="HD771" s="77"/>
      <c r="HE771" s="77"/>
      <c r="HF771" s="77"/>
      <c r="HG771" s="77"/>
      <c r="HH771" s="77"/>
      <c r="HI771" s="77"/>
      <c r="HJ771" s="77"/>
      <c r="HK771" s="77"/>
      <c r="HL771" s="77"/>
      <c r="HM771" s="77"/>
      <c r="HN771" s="77"/>
      <c r="HO771" s="77"/>
      <c r="HP771" s="77"/>
      <c r="HQ771" s="77"/>
      <c r="HR771" s="77"/>
      <c r="HS771" s="77"/>
      <c r="HT771" s="77"/>
      <c r="HU771" s="77"/>
      <c r="HV771" s="77"/>
      <c r="HW771" s="77"/>
      <c r="HX771" s="77"/>
      <c r="HY771" s="77"/>
      <c r="HZ771" s="77"/>
      <c r="IA771" s="77"/>
      <c r="IB771" s="77"/>
      <c r="IC771" s="77"/>
      <c r="ID771" s="77"/>
      <c r="IE771" s="77"/>
      <c r="IF771" s="77"/>
      <c r="IG771" s="77"/>
      <c r="IH771" s="77"/>
      <c r="II771" s="77"/>
      <c r="IJ771" s="77"/>
      <c r="IK771" s="77"/>
      <c r="IL771" s="77"/>
      <c r="IM771" s="77"/>
      <c r="IN771" s="77"/>
      <c r="IO771" s="77"/>
      <c r="IP771" s="77"/>
      <c r="IQ771" s="77"/>
      <c r="IR771" s="77"/>
      <c r="IS771" s="77"/>
      <c r="IT771" s="77"/>
      <c r="IU771" s="77"/>
      <c r="IV771" s="77"/>
      <c r="IW771" s="77"/>
      <c r="IX771" s="77"/>
      <c r="IY771" s="77"/>
      <c r="IZ771" s="77"/>
      <c r="JA771" s="77"/>
      <c r="JB771" s="77"/>
      <c r="JC771" s="77"/>
      <c r="JD771" s="77"/>
      <c r="JE771" s="77"/>
      <c r="JF771" s="77"/>
      <c r="JG771" s="77"/>
      <c r="JH771" s="77"/>
      <c r="JI771" s="77"/>
      <c r="JJ771" s="77"/>
      <c r="JK771" s="77"/>
      <c r="JL771" s="77"/>
      <c r="JM771" s="77"/>
      <c r="JN771" s="77"/>
      <c r="JO771" s="77"/>
      <c r="JP771" s="77"/>
      <c r="JQ771" s="77"/>
      <c r="JR771" s="77"/>
      <c r="JS771" s="77"/>
      <c r="JT771" s="77"/>
      <c r="JU771" s="77"/>
      <c r="JV771" s="77"/>
      <c r="JW771" s="77"/>
      <c r="JX771" s="77"/>
      <c r="KM771" s="77"/>
      <c r="KN771" s="77"/>
      <c r="KO771" s="77"/>
      <c r="KP771" s="77"/>
      <c r="KQ771" s="77"/>
      <c r="KR771" s="77"/>
      <c r="KS771" s="77"/>
      <c r="KT771" s="77"/>
      <c r="KU771" s="77"/>
      <c r="KV771" s="77"/>
      <c r="KW771" s="77"/>
      <c r="KX771" s="77"/>
      <c r="KY771" s="77"/>
      <c r="KZ771" s="77"/>
      <c r="LA771" s="77"/>
      <c r="LB771" s="77"/>
      <c r="LC771" s="77"/>
      <c r="LD771" s="77"/>
      <c r="LE771" s="77"/>
      <c r="LF771" s="77"/>
      <c r="LG771" s="77"/>
      <c r="LH771" s="77"/>
      <c r="LI771" s="77"/>
      <c r="LJ771" s="77"/>
      <c r="LK771" s="77"/>
      <c r="LL771" s="77"/>
      <c r="LM771" s="77"/>
      <c r="LN771" s="77"/>
      <c r="LO771" s="77"/>
      <c r="LP771" s="77"/>
      <c r="LQ771" s="77"/>
      <c r="LR771" s="77"/>
      <c r="LS771" s="77"/>
      <c r="LT771" s="77"/>
      <c r="LU771" s="77"/>
      <c r="LV771" s="77"/>
      <c r="LW771" s="77"/>
      <c r="LX771" s="77"/>
      <c r="MS771" s="16"/>
      <c r="MT771" s="77"/>
      <c r="MU771" s="77"/>
      <c r="MV771" s="77"/>
      <c r="MW771" s="77"/>
      <c r="MX771" s="77"/>
      <c r="MY771" s="77"/>
      <c r="MZ771" s="77"/>
      <c r="NA771" s="77"/>
      <c r="NB771" s="77"/>
      <c r="NC771" s="77"/>
    </row>
    <row r="772" spans="1:421" s="21" customFormat="1" ht="18.600000000000001" customHeight="1" x14ac:dyDescent="0.25">
      <c r="A772" s="119" t="s">
        <v>2876</v>
      </c>
      <c r="B772" s="27" t="s">
        <v>2877</v>
      </c>
      <c r="C772" s="27" t="s">
        <v>2878</v>
      </c>
      <c r="D772" s="30" t="str">
        <f>HYPERLINK("https://twitter.com/press_president","https://twitter.com/press_president")</f>
        <v>https://twitter.com/press_president</v>
      </c>
      <c r="E772" s="30" t="str">
        <f>HYPERLINK("http://twiplomacy.com/info/asia/Armenia","http://twiplomacy.com/info/asia/Armenia")</f>
        <v>http://twiplomacy.com/info/asia/Armenia</v>
      </c>
      <c r="F772" s="14" t="s">
        <v>154</v>
      </c>
      <c r="G772" s="14" t="s">
        <v>159</v>
      </c>
      <c r="H772" s="14" t="s">
        <v>781</v>
      </c>
      <c r="I772" s="14" t="s">
        <v>782</v>
      </c>
      <c r="J772" s="27" t="s">
        <v>789</v>
      </c>
      <c r="K772" s="14" t="s">
        <v>829</v>
      </c>
      <c r="L772" s="14" t="s">
        <v>771</v>
      </c>
      <c r="M772" s="14" t="s">
        <v>771</v>
      </c>
      <c r="N772" s="14"/>
      <c r="O772" s="13"/>
      <c r="P772" s="81"/>
      <c r="Q772" s="81"/>
      <c r="R772" s="27" t="s">
        <v>2995</v>
      </c>
      <c r="S772" s="10" t="s">
        <v>2879</v>
      </c>
      <c r="T772" s="10" t="s">
        <v>771</v>
      </c>
      <c r="U772" s="10" t="s">
        <v>771</v>
      </c>
      <c r="V772" s="10" t="s">
        <v>771</v>
      </c>
      <c r="W772" s="10"/>
      <c r="X772" s="27" t="s">
        <v>2876</v>
      </c>
      <c r="Y772" s="27" t="s">
        <v>2877</v>
      </c>
      <c r="Z772" s="80">
        <v>0</v>
      </c>
      <c r="AA772" s="27">
        <v>3</v>
      </c>
      <c r="AB772" s="80">
        <v>46</v>
      </c>
      <c r="AC772" s="27">
        <v>0</v>
      </c>
      <c r="AD772" s="27" t="s">
        <v>4370</v>
      </c>
      <c r="AE772" s="27">
        <v>975960930</v>
      </c>
      <c r="AF772" s="27" t="s">
        <v>2878</v>
      </c>
      <c r="AG772" s="27" t="s">
        <v>1203</v>
      </c>
      <c r="AH772" s="79"/>
      <c r="AI772" s="79"/>
      <c r="AJ772" s="79"/>
      <c r="AK772" s="79"/>
      <c r="AL772" s="13"/>
      <c r="AM772" s="13"/>
      <c r="AN772" s="27" t="s">
        <v>2876</v>
      </c>
      <c r="AO772" s="27">
        <v>3</v>
      </c>
      <c r="AP772" s="27">
        <v>2</v>
      </c>
      <c r="AQ772" s="27">
        <v>0</v>
      </c>
      <c r="AR772" s="27">
        <f>SUM(AO772:AQ772)</f>
        <v>5</v>
      </c>
      <c r="AS772" s="27" t="s">
        <v>5444</v>
      </c>
      <c r="AT772" s="27" t="s">
        <v>5055</v>
      </c>
      <c r="AU772" s="84"/>
      <c r="AV772" s="71"/>
      <c r="AW772" s="71"/>
      <c r="AX772" s="71"/>
      <c r="AY772" s="71"/>
      <c r="AZ772" s="71"/>
      <c r="BA772" s="71"/>
      <c r="BB772" s="71"/>
      <c r="BC772" s="71"/>
      <c r="BD772" s="71"/>
      <c r="BE772" s="71"/>
      <c r="BF772" s="71"/>
      <c r="BG772" s="71"/>
      <c r="BH772" s="71"/>
      <c r="BI772" s="71"/>
      <c r="BJ772" s="71"/>
      <c r="BK772" s="71"/>
      <c r="BL772" s="71"/>
      <c r="BM772" s="71"/>
      <c r="BN772" s="71"/>
      <c r="BO772" s="71"/>
      <c r="BP772" s="71"/>
      <c r="BQ772" s="77"/>
      <c r="BR772" s="77"/>
      <c r="BS772" s="77"/>
      <c r="BT772" s="77"/>
      <c r="BU772" s="77"/>
      <c r="BV772" s="77"/>
      <c r="BW772" s="77"/>
      <c r="BX772" s="77"/>
      <c r="BY772" s="77"/>
      <c r="BZ772" s="77"/>
      <c r="CA772" s="77"/>
      <c r="CB772" s="77"/>
      <c r="CK772" s="77"/>
      <c r="CL772" s="77"/>
      <c r="CM772" s="77"/>
      <c r="CN772" s="77"/>
      <c r="CO772" s="77"/>
      <c r="CP772" s="77"/>
      <c r="CQ772" s="77"/>
      <c r="CR772" s="77"/>
      <c r="CS772" s="77"/>
      <c r="CT772" s="77"/>
      <c r="CU772" s="77"/>
      <c r="CV772" s="77"/>
      <c r="CW772" s="77"/>
      <c r="CX772" s="16"/>
      <c r="CY772" s="16"/>
      <c r="CZ772" s="16"/>
      <c r="DA772" s="16"/>
      <c r="DB772" s="16"/>
      <c r="DC772" s="16"/>
      <c r="DD772" s="16"/>
      <c r="DE772" s="16"/>
      <c r="DF772" s="16"/>
      <c r="DG772" s="16"/>
      <c r="DH772" s="16"/>
      <c r="DI772" s="16"/>
      <c r="DJ772" s="16"/>
      <c r="DK772" s="16"/>
      <c r="DL772" s="16"/>
      <c r="DM772" s="16"/>
      <c r="DN772" s="16"/>
      <c r="DO772" s="16"/>
      <c r="DP772" s="16"/>
      <c r="DQ772" s="16"/>
      <c r="DR772" s="16"/>
      <c r="DS772" s="16"/>
      <c r="DT772" s="16"/>
      <c r="DU772" s="16"/>
      <c r="DV772" s="16"/>
      <c r="DW772" s="16"/>
      <c r="DX772" s="16"/>
      <c r="DY772" s="16"/>
      <c r="DZ772" s="16"/>
      <c r="EA772" s="16"/>
      <c r="EB772" s="16"/>
      <c r="EC772" s="16"/>
      <c r="ED772" s="16"/>
      <c r="EE772" s="16"/>
      <c r="EF772" s="16"/>
      <c r="EG772" s="16"/>
      <c r="EH772" s="16"/>
      <c r="EI772" s="16"/>
      <c r="EJ772" s="16"/>
      <c r="EK772" s="16"/>
      <c r="EL772" s="16"/>
      <c r="EM772" s="77"/>
      <c r="EN772" s="77"/>
      <c r="EO772" s="77"/>
      <c r="EP772" s="77"/>
      <c r="ER772" s="77"/>
      <c r="ES772" s="77"/>
      <c r="ET772" s="77"/>
      <c r="EU772" s="77"/>
      <c r="EV772" s="77"/>
      <c r="EW772" s="77"/>
      <c r="EX772" s="77"/>
      <c r="EY772" s="77"/>
      <c r="EZ772" s="77"/>
      <c r="FA772" s="77"/>
      <c r="FB772" s="77"/>
      <c r="FC772" s="77"/>
      <c r="FD772" s="77"/>
      <c r="FE772" s="77"/>
      <c r="FF772" s="77"/>
      <c r="FG772" s="77"/>
      <c r="FH772" s="77"/>
      <c r="FI772" s="77"/>
      <c r="FJ772" s="77"/>
      <c r="FK772" s="77"/>
      <c r="FL772" s="77"/>
      <c r="FM772" s="77"/>
      <c r="FN772" s="77"/>
      <c r="FO772" s="77"/>
      <c r="FP772" s="77"/>
      <c r="FQ772" s="77"/>
      <c r="FR772" s="77"/>
      <c r="FS772" s="77"/>
      <c r="FT772" s="77"/>
      <c r="FU772" s="77"/>
      <c r="FV772" s="77"/>
      <c r="FW772" s="77"/>
      <c r="FX772" s="77"/>
      <c r="FY772" s="77"/>
      <c r="FZ772" s="77"/>
      <c r="GA772" s="77"/>
      <c r="GB772" s="77"/>
      <c r="GC772" s="77"/>
      <c r="GD772" s="77"/>
      <c r="GE772" s="77"/>
      <c r="GF772" s="77"/>
      <c r="GG772" s="77"/>
      <c r="GH772" s="77"/>
      <c r="GI772" s="77"/>
      <c r="GJ772" s="77"/>
      <c r="GK772" s="77"/>
      <c r="GL772" s="77"/>
      <c r="GM772" s="77"/>
      <c r="GN772" s="77"/>
      <c r="GO772" s="77"/>
      <c r="GP772" s="77"/>
      <c r="GQ772" s="77"/>
      <c r="GR772" s="77"/>
      <c r="GS772" s="77"/>
      <c r="GT772" s="77"/>
      <c r="GU772" s="77"/>
      <c r="GV772" s="77"/>
      <c r="GW772" s="77"/>
      <c r="GX772" s="77"/>
      <c r="GY772" s="77"/>
      <c r="GZ772" s="77"/>
      <c r="HA772" s="77"/>
      <c r="HB772" s="77"/>
      <c r="HC772" s="77"/>
      <c r="HD772" s="77"/>
      <c r="HE772" s="77"/>
      <c r="HF772" s="77"/>
      <c r="HG772" s="77"/>
      <c r="HH772" s="77"/>
      <c r="HI772" s="77"/>
      <c r="HJ772" s="77"/>
      <c r="HK772" s="77"/>
      <c r="HL772" s="77"/>
      <c r="HM772" s="77"/>
      <c r="HN772" s="77"/>
      <c r="HO772" s="77"/>
      <c r="HP772" s="77"/>
      <c r="HQ772" s="77"/>
      <c r="HR772" s="77"/>
      <c r="HS772" s="77"/>
      <c r="HT772" s="77"/>
      <c r="HU772" s="77"/>
      <c r="HV772" s="77"/>
      <c r="HW772" s="77"/>
      <c r="HX772" s="77"/>
      <c r="HY772" s="77"/>
      <c r="HZ772" s="77"/>
      <c r="IA772" s="77"/>
      <c r="IB772" s="77"/>
      <c r="IC772" s="77"/>
      <c r="ID772" s="77"/>
      <c r="IE772" s="77"/>
      <c r="IF772" s="77"/>
      <c r="IG772" s="77"/>
      <c r="IH772" s="77"/>
      <c r="II772" s="77"/>
      <c r="IJ772" s="77"/>
      <c r="IK772" s="77"/>
      <c r="IL772" s="77"/>
      <c r="IM772" s="77"/>
      <c r="IN772" s="77"/>
      <c r="IO772" s="77"/>
      <c r="IP772" s="77"/>
      <c r="IQ772" s="77"/>
      <c r="IR772" s="77"/>
      <c r="IS772" s="77"/>
      <c r="IT772" s="77"/>
      <c r="IU772" s="77"/>
      <c r="IV772" s="77"/>
      <c r="IW772" s="77"/>
      <c r="IX772" s="77"/>
      <c r="IY772" s="77"/>
      <c r="IZ772" s="77"/>
      <c r="JA772" s="77"/>
      <c r="JB772" s="77"/>
      <c r="JC772" s="77"/>
      <c r="JD772" s="77"/>
      <c r="JE772" s="77"/>
      <c r="JF772" s="77"/>
      <c r="JG772" s="77"/>
      <c r="JH772" s="77"/>
      <c r="JI772" s="77"/>
      <c r="JJ772" s="77"/>
      <c r="JK772" s="77"/>
      <c r="JL772" s="77"/>
      <c r="JM772" s="77"/>
      <c r="JN772" s="77"/>
      <c r="JO772" s="77"/>
      <c r="JP772" s="77"/>
      <c r="JQ772" s="77"/>
      <c r="JR772" s="77"/>
      <c r="JS772" s="77"/>
      <c r="JT772" s="77"/>
      <c r="JU772" s="77"/>
      <c r="JV772" s="77"/>
      <c r="JW772" s="77"/>
      <c r="JX772" s="77"/>
      <c r="JY772" s="77"/>
      <c r="JZ772" s="77"/>
      <c r="KA772" s="77"/>
      <c r="KB772" s="77"/>
      <c r="KC772" s="77"/>
      <c r="KD772" s="77"/>
      <c r="KE772" s="77"/>
      <c r="KF772" s="77"/>
      <c r="KG772" s="77"/>
      <c r="KH772" s="77"/>
      <c r="KI772" s="77"/>
      <c r="KJ772" s="77"/>
      <c r="KK772" s="77"/>
      <c r="KL772" s="77"/>
      <c r="LW772" s="77"/>
      <c r="LX772" s="77"/>
      <c r="LY772" s="77"/>
      <c r="LZ772" s="77"/>
      <c r="MA772" s="77"/>
      <c r="MB772" s="77"/>
      <c r="MC772" s="77"/>
      <c r="MD772" s="77"/>
      <c r="ME772" s="77"/>
      <c r="MF772" s="77"/>
      <c r="MG772" s="77"/>
      <c r="MH772" s="77"/>
      <c r="MI772" s="77"/>
      <c r="MJ772" s="77"/>
      <c r="MK772" s="77"/>
      <c r="ML772" s="77"/>
      <c r="MM772" s="77"/>
      <c r="MN772" s="77"/>
      <c r="MO772" s="77"/>
      <c r="MP772" s="77"/>
      <c r="MQ772" s="77"/>
      <c r="MR772" s="77"/>
      <c r="MT772" s="77"/>
      <c r="MU772" s="77"/>
      <c r="MV772" s="77"/>
      <c r="MW772" s="77"/>
      <c r="MX772" s="77"/>
      <c r="MY772" s="77"/>
      <c r="MZ772" s="77"/>
      <c r="NA772" s="77"/>
      <c r="NB772" s="77"/>
      <c r="NC772" s="77"/>
    </row>
    <row r="773" spans="1:421" s="21" customFormat="1" ht="18.600000000000001" customHeight="1" x14ac:dyDescent="0.25">
      <c r="A773" s="119" t="s">
        <v>1236</v>
      </c>
      <c r="B773" s="27" t="s">
        <v>3421</v>
      </c>
      <c r="C773" s="27" t="s">
        <v>3422</v>
      </c>
      <c r="D773" s="33" t="s">
        <v>1238</v>
      </c>
      <c r="E773" s="100" t="s">
        <v>1237</v>
      </c>
      <c r="F773" s="38" t="s">
        <v>154</v>
      </c>
      <c r="G773" s="38" t="s">
        <v>329</v>
      </c>
      <c r="H773" s="38" t="s">
        <v>788</v>
      </c>
      <c r="I773" s="38" t="s">
        <v>782</v>
      </c>
      <c r="J773" s="27" t="s">
        <v>789</v>
      </c>
      <c r="K773" s="10" t="s">
        <v>829</v>
      </c>
      <c r="L773" s="10" t="s">
        <v>771</v>
      </c>
      <c r="M773" s="10" t="s">
        <v>770</v>
      </c>
      <c r="N773" s="10"/>
      <c r="O773" s="13"/>
      <c r="P773" s="81"/>
      <c r="Q773" s="81"/>
      <c r="R773" s="27" t="s">
        <v>2995</v>
      </c>
      <c r="S773" s="12" t="s">
        <v>3151</v>
      </c>
      <c r="T773" s="10">
        <v>1</v>
      </c>
      <c r="U773" s="10" t="s">
        <v>771</v>
      </c>
      <c r="V773" s="10" t="s">
        <v>771</v>
      </c>
      <c r="W773" s="10"/>
      <c r="X773" s="27" t="s">
        <v>1236</v>
      </c>
      <c r="Y773" s="27" t="s">
        <v>3421</v>
      </c>
      <c r="Z773" s="80">
        <v>0</v>
      </c>
      <c r="AA773" s="27">
        <v>4</v>
      </c>
      <c r="AB773" s="80">
        <v>25</v>
      </c>
      <c r="AC773" s="27">
        <v>0</v>
      </c>
      <c r="AD773" s="27" t="s">
        <v>3423</v>
      </c>
      <c r="AE773" s="27">
        <v>1168672866</v>
      </c>
      <c r="AF773" s="27" t="s">
        <v>3422</v>
      </c>
      <c r="AG773" s="27"/>
      <c r="AH773" s="79"/>
      <c r="AI773" s="79"/>
      <c r="AJ773" s="79"/>
      <c r="AK773" s="79"/>
      <c r="AL773" s="13"/>
      <c r="AM773" s="13"/>
      <c r="AN773" s="27" t="s">
        <v>1236</v>
      </c>
      <c r="AO773" s="27">
        <v>0</v>
      </c>
      <c r="AP773" s="27">
        <v>0</v>
      </c>
      <c r="AQ773" s="27">
        <v>0</v>
      </c>
      <c r="AR773" s="27">
        <f>SUM(AO773:AQ773)</f>
        <v>0</v>
      </c>
      <c r="AS773" s="27"/>
      <c r="AT773" s="27"/>
      <c r="AU773" s="84"/>
      <c r="AV773" s="77"/>
      <c r="AW773" s="77"/>
      <c r="AX773" s="77"/>
      <c r="AY773" s="77"/>
      <c r="AZ773" s="77"/>
      <c r="BA773" s="77"/>
      <c r="BB773" s="77"/>
      <c r="BC773" s="77"/>
      <c r="BD773" s="77"/>
      <c r="BE773" s="77"/>
      <c r="BF773" s="77"/>
      <c r="BG773" s="77"/>
      <c r="BH773" s="77"/>
      <c r="BI773" s="77"/>
      <c r="BJ773" s="77"/>
      <c r="BK773" s="77"/>
      <c r="BL773" s="77"/>
      <c r="BM773" s="77"/>
      <c r="BN773" s="77"/>
      <c r="BO773" s="77"/>
      <c r="BP773" s="77"/>
      <c r="BQ773" s="77"/>
      <c r="BR773" s="77"/>
      <c r="BS773" s="77"/>
      <c r="BT773" s="77"/>
      <c r="BU773" s="77"/>
      <c r="BV773" s="77"/>
      <c r="BW773" s="77"/>
      <c r="BX773" s="77"/>
      <c r="BY773" s="77"/>
      <c r="BZ773" s="77"/>
      <c r="CA773" s="77"/>
      <c r="CB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7"/>
      <c r="DV773" s="77"/>
      <c r="DW773" s="77"/>
      <c r="DX773" s="77"/>
      <c r="DY773" s="77"/>
      <c r="DZ773" s="77"/>
      <c r="EA773" s="77"/>
      <c r="EB773" s="77"/>
      <c r="EC773" s="77"/>
      <c r="ED773" s="77"/>
      <c r="EE773" s="77"/>
      <c r="EF773" s="77"/>
      <c r="EG773" s="77"/>
      <c r="EH773" s="77"/>
      <c r="EI773" s="77"/>
      <c r="EJ773" s="77"/>
      <c r="EK773" s="77"/>
      <c r="EL773" s="77"/>
      <c r="EM773" s="16"/>
      <c r="EN773" s="16"/>
      <c r="EO773" s="16"/>
      <c r="EP773" s="77"/>
      <c r="EQ773" s="77"/>
      <c r="ER773" s="77"/>
      <c r="ES773" s="77"/>
      <c r="ET773" s="77"/>
      <c r="EU773" s="77"/>
      <c r="EV773" s="77"/>
      <c r="EW773" s="77"/>
      <c r="EX773" s="77"/>
      <c r="EY773" s="77"/>
      <c r="EZ773" s="77"/>
      <c r="FA773" s="77"/>
      <c r="FB773" s="77"/>
      <c r="FC773" s="77"/>
      <c r="FD773" s="77"/>
      <c r="FE773" s="77"/>
      <c r="FF773" s="77"/>
      <c r="FG773" s="77"/>
      <c r="FH773" s="77"/>
      <c r="FI773" s="77"/>
      <c r="FJ773" s="77"/>
      <c r="FK773" s="77"/>
      <c r="FL773" s="77"/>
      <c r="FM773" s="77"/>
      <c r="FN773" s="77"/>
      <c r="FO773" s="77"/>
      <c r="FP773" s="77"/>
      <c r="FQ773" s="77"/>
      <c r="FR773" s="77"/>
      <c r="FS773" s="77"/>
      <c r="FT773" s="77"/>
      <c r="FU773" s="77"/>
      <c r="FV773" s="77"/>
      <c r="FW773" s="77"/>
      <c r="FX773" s="77"/>
      <c r="FY773" s="77"/>
      <c r="FZ773" s="77"/>
      <c r="GA773" s="77"/>
      <c r="GB773" s="77"/>
      <c r="GC773" s="77"/>
      <c r="GD773" s="77"/>
      <c r="GE773" s="77"/>
      <c r="GF773" s="77"/>
      <c r="GG773" s="77"/>
      <c r="GH773" s="77"/>
      <c r="GI773" s="77"/>
      <c r="GJ773" s="77"/>
      <c r="GK773" s="77"/>
      <c r="GL773" s="77"/>
      <c r="GM773" s="77"/>
      <c r="GN773" s="77"/>
      <c r="GO773" s="77"/>
      <c r="GP773" s="77"/>
      <c r="GQ773" s="77"/>
      <c r="GR773" s="77"/>
      <c r="GS773" s="77"/>
      <c r="GT773" s="77"/>
      <c r="GU773" s="77"/>
      <c r="GV773" s="77"/>
      <c r="GW773" s="77"/>
      <c r="GX773" s="77"/>
      <c r="GY773" s="77"/>
      <c r="GZ773" s="77"/>
      <c r="HA773" s="77"/>
      <c r="HB773" s="77"/>
      <c r="HC773" s="77"/>
      <c r="HD773" s="77"/>
      <c r="HE773" s="77"/>
      <c r="HF773" s="77"/>
      <c r="HG773" s="77"/>
      <c r="HH773" s="77"/>
      <c r="HI773" s="77"/>
      <c r="HJ773" s="77"/>
      <c r="HK773" s="77"/>
      <c r="HL773" s="77"/>
      <c r="HM773" s="77"/>
      <c r="HN773" s="77"/>
      <c r="HO773" s="77"/>
      <c r="HP773" s="77"/>
      <c r="HQ773" s="77"/>
      <c r="HR773" s="77"/>
      <c r="HS773" s="77"/>
      <c r="HT773" s="77"/>
      <c r="HU773" s="77"/>
      <c r="HV773" s="77"/>
      <c r="HW773" s="77"/>
      <c r="HX773" s="77"/>
      <c r="HY773" s="77"/>
      <c r="HZ773" s="77"/>
      <c r="IA773" s="77"/>
      <c r="IB773" s="77"/>
      <c r="IC773" s="77"/>
      <c r="ID773" s="77"/>
      <c r="IE773" s="77"/>
      <c r="IF773" s="77"/>
      <c r="IG773" s="77"/>
      <c r="IH773" s="77"/>
      <c r="II773" s="77"/>
      <c r="IJ773" s="77"/>
      <c r="IK773" s="77"/>
      <c r="IL773" s="77"/>
      <c r="IM773" s="77"/>
      <c r="IN773" s="77"/>
      <c r="IO773" s="77"/>
      <c r="IP773" s="77"/>
      <c r="IQ773" s="77"/>
      <c r="IR773" s="77"/>
      <c r="IS773" s="77"/>
      <c r="IT773" s="77"/>
      <c r="IU773" s="77"/>
      <c r="IV773" s="77"/>
      <c r="IW773" s="77"/>
      <c r="IX773" s="77"/>
      <c r="IY773" s="77"/>
      <c r="IZ773" s="77"/>
      <c r="JA773" s="77"/>
      <c r="JB773" s="77"/>
      <c r="JC773" s="77"/>
      <c r="JD773" s="77"/>
      <c r="JE773" s="77"/>
      <c r="JF773" s="77"/>
      <c r="JG773" s="77"/>
      <c r="JH773" s="77"/>
      <c r="JI773" s="77"/>
      <c r="JJ773" s="77"/>
      <c r="JK773" s="77"/>
      <c r="JL773" s="77"/>
      <c r="JM773" s="77"/>
      <c r="JN773" s="77"/>
      <c r="JO773" s="77"/>
      <c r="JP773" s="77"/>
      <c r="JQ773" s="77"/>
      <c r="JR773" s="77"/>
      <c r="JS773" s="77"/>
      <c r="JT773" s="77"/>
      <c r="JU773" s="77"/>
      <c r="JV773" s="77"/>
      <c r="JW773" s="77"/>
      <c r="JX773" s="77"/>
      <c r="KM773" s="77"/>
      <c r="KN773" s="77"/>
      <c r="KO773" s="77"/>
      <c r="KP773" s="77"/>
      <c r="KQ773" s="77"/>
      <c r="KR773" s="77"/>
      <c r="KS773" s="77"/>
      <c r="KT773" s="77"/>
      <c r="KU773" s="77"/>
      <c r="KV773" s="77"/>
      <c r="KW773" s="77"/>
      <c r="KX773" s="77"/>
      <c r="KY773" s="77"/>
      <c r="KZ773" s="77"/>
      <c r="LA773" s="77"/>
      <c r="LB773" s="77"/>
      <c r="LC773" s="77"/>
      <c r="LD773" s="77"/>
      <c r="LE773" s="77"/>
      <c r="LF773" s="77"/>
      <c r="LG773" s="77"/>
      <c r="LH773" s="77"/>
      <c r="LI773" s="77"/>
      <c r="LJ773" s="77"/>
      <c r="LK773" s="77"/>
      <c r="LL773" s="77"/>
      <c r="LM773" s="77"/>
      <c r="LN773" s="77"/>
      <c r="LO773" s="77"/>
      <c r="LP773" s="77"/>
      <c r="LQ773" s="77"/>
      <c r="LR773" s="77"/>
      <c r="LS773" s="77"/>
      <c r="LT773" s="77"/>
      <c r="LU773" s="77"/>
      <c r="LV773" s="77"/>
      <c r="MT773" s="77"/>
      <c r="MU773" s="77"/>
      <c r="MV773" s="77"/>
      <c r="MW773" s="77"/>
      <c r="MX773" s="77"/>
      <c r="MY773" s="77"/>
      <c r="MZ773" s="77"/>
      <c r="NA773" s="77"/>
      <c r="NB773" s="77"/>
      <c r="NC773" s="77"/>
    </row>
    <row r="774" spans="1:421" s="24" customFormat="1" ht="18.600000000000001" customHeight="1" x14ac:dyDescent="0.25">
      <c r="A774" s="119" t="s">
        <v>2886</v>
      </c>
      <c r="B774" s="27" t="s">
        <v>2887</v>
      </c>
      <c r="C774" s="27"/>
      <c r="D774" s="30" t="str">
        <f>HYPERLINK("https://twitter.com/GeorgianGovernm","https://twitter.com/GeorgianGovernm")</f>
        <v>https://twitter.com/GeorgianGovernm</v>
      </c>
      <c r="E774" s="30" t="str">
        <f>HYPERLINK("http://twiplomacy.com/info/asia/Georgia","http://twiplomacy.com/info/asia/Georgia")</f>
        <v>http://twiplomacy.com/info/asia/Georgia</v>
      </c>
      <c r="F774" s="14" t="s">
        <v>154</v>
      </c>
      <c r="G774" s="14" t="s">
        <v>178</v>
      </c>
      <c r="H774" s="14" t="s">
        <v>788</v>
      </c>
      <c r="I774" s="14" t="s">
        <v>782</v>
      </c>
      <c r="J774" s="27" t="s">
        <v>789</v>
      </c>
      <c r="K774" s="15" t="s">
        <v>829</v>
      </c>
      <c r="L774" s="14" t="s">
        <v>771</v>
      </c>
      <c r="M774" s="14" t="s">
        <v>771</v>
      </c>
      <c r="N774" s="14"/>
      <c r="O774" s="13"/>
      <c r="P774" s="81"/>
      <c r="Q774" s="81"/>
      <c r="R774" s="27" t="s">
        <v>2995</v>
      </c>
      <c r="S774" s="10" t="s">
        <v>2888</v>
      </c>
      <c r="T774" s="10" t="s">
        <v>771</v>
      </c>
      <c r="U774" s="10" t="s">
        <v>771</v>
      </c>
      <c r="V774" s="10" t="s">
        <v>771</v>
      </c>
      <c r="W774" s="14"/>
      <c r="X774" s="27" t="s">
        <v>2886</v>
      </c>
      <c r="Y774" s="27" t="s">
        <v>2887</v>
      </c>
      <c r="Z774" s="80">
        <v>0</v>
      </c>
      <c r="AA774" s="27">
        <v>0</v>
      </c>
      <c r="AB774" s="80">
        <v>47</v>
      </c>
      <c r="AC774" s="27">
        <v>0</v>
      </c>
      <c r="AD774" s="27" t="s">
        <v>3718</v>
      </c>
      <c r="AE774" s="27">
        <v>632907601</v>
      </c>
      <c r="AF774" s="27"/>
      <c r="AG774" s="27"/>
      <c r="AH774" s="79"/>
      <c r="AI774" s="79"/>
      <c r="AJ774" s="79"/>
      <c r="AK774" s="79"/>
      <c r="AL774" s="13"/>
      <c r="AM774" s="13"/>
      <c r="AN774" s="27" t="s">
        <v>2886</v>
      </c>
      <c r="AO774" s="27">
        <v>0</v>
      </c>
      <c r="AP774" s="27">
        <v>2</v>
      </c>
      <c r="AQ774" s="27">
        <v>0</v>
      </c>
      <c r="AR774" s="27">
        <f>SUM(AO774:AQ774)</f>
        <v>2</v>
      </c>
      <c r="AS774" s="27"/>
      <c r="AT774" s="27" t="s">
        <v>5055</v>
      </c>
      <c r="AU774" s="84"/>
      <c r="AV774" s="71"/>
      <c r="AW774" s="71"/>
      <c r="AX774" s="71"/>
      <c r="AY774" s="71"/>
      <c r="AZ774" s="71"/>
      <c r="BA774" s="71"/>
      <c r="BB774" s="71"/>
      <c r="BC774" s="71"/>
      <c r="BD774" s="71"/>
      <c r="BE774" s="71"/>
      <c r="BF774" s="71"/>
      <c r="BG774" s="71"/>
      <c r="BH774" s="71"/>
      <c r="BI774" s="71"/>
      <c r="BJ774" s="71"/>
      <c r="BK774" s="71"/>
      <c r="BL774" s="71"/>
      <c r="BM774" s="71"/>
      <c r="BN774" s="77"/>
      <c r="BO774" s="77"/>
      <c r="BP774" s="77"/>
      <c r="BQ774" s="77"/>
      <c r="BR774" s="77"/>
      <c r="BS774" s="77"/>
      <c r="BT774" s="77"/>
      <c r="BU774" s="77"/>
      <c r="BV774" s="77"/>
      <c r="BW774" s="77"/>
      <c r="BX774" s="77"/>
      <c r="BY774" s="77"/>
      <c r="BZ774" s="77"/>
      <c r="CA774" s="77"/>
      <c r="CB774" s="77"/>
      <c r="CC774" s="77"/>
      <c r="CD774" s="77"/>
      <c r="CE774" s="77"/>
      <c r="CF774" s="77"/>
      <c r="CG774" s="77"/>
      <c r="CH774" s="77"/>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7"/>
      <c r="DV774" s="77"/>
      <c r="DW774" s="77"/>
      <c r="DX774" s="77"/>
      <c r="DY774" s="77"/>
      <c r="DZ774" s="77"/>
      <c r="EA774" s="77"/>
      <c r="EB774" s="77"/>
      <c r="EC774" s="77"/>
      <c r="ED774" s="77"/>
      <c r="EE774" s="77"/>
      <c r="EF774" s="77"/>
      <c r="EG774" s="77"/>
      <c r="EH774" s="77"/>
      <c r="EI774" s="77"/>
      <c r="EJ774" s="77"/>
      <c r="EK774" s="77"/>
      <c r="EL774" s="77"/>
      <c r="EM774" s="77"/>
      <c r="EN774" s="77"/>
      <c r="EO774" s="77"/>
      <c r="EP774" s="77"/>
      <c r="GL774" s="77"/>
      <c r="GM774" s="77"/>
      <c r="GN774" s="77"/>
      <c r="GO774" s="77"/>
      <c r="GP774" s="77"/>
      <c r="GQ774" s="77"/>
      <c r="GR774" s="77"/>
      <c r="GS774" s="77"/>
      <c r="GT774" s="77"/>
      <c r="GU774" s="77"/>
      <c r="GV774" s="77"/>
      <c r="GW774" s="77"/>
      <c r="GX774" s="77"/>
      <c r="GY774" s="77"/>
      <c r="GZ774" s="77"/>
      <c r="HA774" s="77"/>
      <c r="HB774" s="77"/>
      <c r="HC774" s="77"/>
      <c r="HD774" s="77"/>
      <c r="HE774" s="77"/>
      <c r="HF774" s="77"/>
      <c r="HG774" s="77"/>
      <c r="HH774" s="77"/>
      <c r="HI774" s="77"/>
      <c r="HJ774" s="77"/>
      <c r="HK774" s="77"/>
      <c r="HL774" s="77"/>
      <c r="HM774" s="77"/>
      <c r="HN774" s="77"/>
      <c r="HO774" s="77"/>
      <c r="HP774" s="77"/>
      <c r="HQ774" s="77"/>
      <c r="HR774" s="77"/>
      <c r="HS774" s="77"/>
      <c r="HT774" s="77"/>
      <c r="HU774" s="77"/>
      <c r="HV774" s="77"/>
      <c r="HW774" s="77"/>
      <c r="HX774" s="77"/>
      <c r="HY774" s="77"/>
      <c r="HZ774" s="77"/>
      <c r="IA774" s="77"/>
      <c r="IB774" s="77"/>
      <c r="IC774" s="77"/>
      <c r="ID774" s="77"/>
      <c r="IE774" s="77"/>
      <c r="JY774" s="77"/>
      <c r="JZ774" s="77"/>
      <c r="KA774" s="77"/>
      <c r="KB774" s="77"/>
      <c r="KC774" s="77"/>
      <c r="KD774" s="77"/>
      <c r="KE774" s="77"/>
      <c r="KF774" s="77"/>
      <c r="KG774" s="77"/>
      <c r="KH774" s="77"/>
      <c r="KI774" s="77"/>
      <c r="KJ774" s="77"/>
      <c r="KK774" s="77"/>
      <c r="KL774" s="77"/>
      <c r="LY774" s="77"/>
      <c r="LZ774" s="77"/>
      <c r="MA774" s="77"/>
      <c r="MB774" s="77"/>
      <c r="MC774" s="77"/>
      <c r="MD774" s="77"/>
      <c r="ME774" s="77"/>
      <c r="MF774" s="77"/>
      <c r="MG774" s="77"/>
      <c r="MH774" s="77"/>
      <c r="MI774" s="77"/>
      <c r="MJ774" s="77"/>
      <c r="MK774" s="77"/>
      <c r="ML774" s="77"/>
      <c r="MM774" s="77"/>
      <c r="MN774" s="77"/>
      <c r="MO774" s="77"/>
      <c r="MP774" s="77"/>
      <c r="MQ774" s="77"/>
      <c r="MR774" s="77"/>
      <c r="MS774" s="77"/>
      <c r="ND774" s="77"/>
    </row>
    <row r="775" spans="1:421" s="21" customFormat="1" ht="18.600000000000001" customHeight="1" x14ac:dyDescent="0.25">
      <c r="A775" s="119" t="s">
        <v>4384</v>
      </c>
      <c r="B775" s="27" t="s">
        <v>4385</v>
      </c>
      <c r="C775" s="27"/>
      <c r="D775" s="30" t="str">
        <f>HYPERLINK("https://twitter.com/PrimeMinisterGE","https://twitter.com/PrimeMinisterGE")</f>
        <v>https://twitter.com/PrimeMinisterGE</v>
      </c>
      <c r="E775" s="30" t="str">
        <f>HYPERLINK("http://twiplomacy.com/info/asia/Georgia","http://twiplomacy.com/info/asia/Georgia")</f>
        <v>http://twiplomacy.com/info/asia/Georgia</v>
      </c>
      <c r="F775" s="10" t="s">
        <v>154</v>
      </c>
      <c r="G775" s="10" t="s">
        <v>178</v>
      </c>
      <c r="H775" s="10" t="s">
        <v>776</v>
      </c>
      <c r="I775" s="10" t="s">
        <v>782</v>
      </c>
      <c r="J775" s="27" t="s">
        <v>789</v>
      </c>
      <c r="K775" s="10" t="s">
        <v>777</v>
      </c>
      <c r="L775" s="10" t="s">
        <v>771</v>
      </c>
      <c r="M775" s="10" t="s">
        <v>771</v>
      </c>
      <c r="N775" s="12" t="s">
        <v>4639</v>
      </c>
      <c r="O775" s="13"/>
      <c r="P775" s="81"/>
      <c r="Q775" s="81"/>
      <c r="R775" s="27" t="s">
        <v>2995</v>
      </c>
      <c r="S775" s="10" t="s">
        <v>1273</v>
      </c>
      <c r="T775" s="10" t="s">
        <v>771</v>
      </c>
      <c r="U775" s="10" t="s">
        <v>771</v>
      </c>
      <c r="V775" s="10" t="s">
        <v>771</v>
      </c>
      <c r="W775" s="10"/>
      <c r="X775" s="27" t="s">
        <v>4384</v>
      </c>
      <c r="Y775" s="27" t="s">
        <v>4385</v>
      </c>
      <c r="Z775" s="80">
        <v>0</v>
      </c>
      <c r="AA775" s="27">
        <v>0</v>
      </c>
      <c r="AB775" s="80">
        <v>7</v>
      </c>
      <c r="AC775" s="27">
        <v>0</v>
      </c>
      <c r="AD775" s="27" t="s">
        <v>4386</v>
      </c>
      <c r="AE775" s="27">
        <v>4829231729</v>
      </c>
      <c r="AF775" s="27"/>
      <c r="AG775" s="27"/>
      <c r="AH775" s="79"/>
      <c r="AI775" s="79"/>
      <c r="AJ775" s="79"/>
      <c r="AK775" s="79"/>
      <c r="AL775" s="13"/>
      <c r="AM775" s="13"/>
      <c r="AN775" s="27" t="s">
        <v>4384</v>
      </c>
      <c r="AO775" s="27">
        <v>0</v>
      </c>
      <c r="AP775" s="27">
        <v>1</v>
      </c>
      <c r="AQ775" s="27">
        <v>0</v>
      </c>
      <c r="AR775" s="27">
        <f>SUM(AO775:AQ775)</f>
        <v>1</v>
      </c>
      <c r="AS775" s="27"/>
      <c r="AT775" s="27" t="s">
        <v>3196</v>
      </c>
      <c r="AU775" s="84"/>
      <c r="AV775" s="77"/>
      <c r="AW775" s="77"/>
      <c r="AX775" s="77"/>
      <c r="AY775" s="77"/>
      <c r="AZ775" s="77"/>
      <c r="BA775" s="77"/>
      <c r="BB775" s="77"/>
      <c r="BC775" s="77"/>
      <c r="BD775" s="77"/>
      <c r="BE775" s="77"/>
      <c r="BF775" s="77"/>
      <c r="BG775" s="77"/>
      <c r="BH775" s="77"/>
      <c r="BI775" s="77"/>
      <c r="BJ775" s="77"/>
      <c r="BK775" s="77"/>
      <c r="BL775" s="77"/>
      <c r="BM775" s="77"/>
      <c r="BN775" s="77"/>
      <c r="BO775" s="77"/>
      <c r="BP775" s="77"/>
      <c r="BQ775" s="77"/>
      <c r="BR775" s="77"/>
      <c r="BS775" s="77"/>
      <c r="BT775" s="77"/>
      <c r="BU775" s="77"/>
      <c r="BV775" s="77"/>
      <c r="BW775" s="77"/>
      <c r="BX775" s="77"/>
      <c r="BY775" s="77"/>
      <c r="BZ775" s="77"/>
      <c r="CA775" s="77"/>
      <c r="CB775" s="77"/>
      <c r="CC775" s="77"/>
      <c r="CD775" s="77"/>
      <c r="CE775" s="77"/>
      <c r="CF775" s="77"/>
      <c r="CG775" s="77"/>
      <c r="CH775" s="77"/>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7"/>
      <c r="DV775" s="77"/>
      <c r="DW775" s="77"/>
      <c r="DX775" s="77"/>
      <c r="DY775" s="77"/>
      <c r="DZ775" s="77"/>
      <c r="EA775" s="77"/>
      <c r="EB775" s="77"/>
      <c r="EC775" s="77"/>
      <c r="ED775" s="77"/>
      <c r="EE775" s="77"/>
      <c r="EF775" s="77"/>
      <c r="EG775" s="77"/>
      <c r="EH775" s="77"/>
      <c r="EI775" s="77"/>
      <c r="EJ775" s="77"/>
      <c r="EK775" s="77"/>
      <c r="EL775" s="77"/>
      <c r="EM775" s="77"/>
      <c r="EN775" s="77"/>
      <c r="EO775" s="77"/>
      <c r="EP775" s="77"/>
      <c r="ER775" s="77"/>
      <c r="ES775" s="77"/>
      <c r="ET775" s="77"/>
      <c r="EU775" s="77"/>
      <c r="EV775" s="77"/>
      <c r="EW775" s="77"/>
      <c r="EX775" s="77"/>
      <c r="EY775" s="77"/>
      <c r="EZ775" s="77"/>
      <c r="FA775" s="77"/>
      <c r="FB775" s="77"/>
      <c r="FC775" s="77"/>
      <c r="FD775" s="77"/>
      <c r="FE775" s="77"/>
      <c r="FF775" s="77"/>
      <c r="FG775" s="77"/>
      <c r="FH775" s="77"/>
      <c r="FI775" s="77"/>
      <c r="FJ775" s="77"/>
      <c r="FK775" s="77"/>
      <c r="FL775" s="77"/>
      <c r="FM775" s="77"/>
      <c r="FN775" s="77"/>
      <c r="FO775" s="77"/>
      <c r="FP775" s="77"/>
      <c r="FQ775" s="77"/>
      <c r="FR775" s="77"/>
      <c r="FS775" s="77"/>
      <c r="FT775" s="77"/>
      <c r="FU775" s="77"/>
      <c r="FV775" s="77"/>
      <c r="FW775" s="77"/>
      <c r="FX775" s="77"/>
      <c r="FY775" s="77"/>
      <c r="FZ775" s="77"/>
      <c r="GA775" s="77"/>
      <c r="GB775" s="77"/>
      <c r="GC775" s="77"/>
      <c r="GD775" s="77"/>
      <c r="GE775" s="77"/>
      <c r="GF775" s="77"/>
      <c r="GG775" s="77"/>
      <c r="GH775" s="77"/>
      <c r="GI775" s="77"/>
      <c r="GJ775" s="77"/>
      <c r="GK775" s="77"/>
      <c r="GL775" s="77"/>
      <c r="GM775" s="77"/>
      <c r="GN775" s="77"/>
      <c r="GO775" s="77"/>
      <c r="GP775" s="77"/>
      <c r="GQ775" s="77"/>
      <c r="GR775" s="77"/>
      <c r="GS775" s="77"/>
      <c r="GT775" s="77"/>
      <c r="GU775" s="77"/>
      <c r="GV775" s="77"/>
      <c r="GW775" s="77"/>
      <c r="GX775" s="77"/>
      <c r="GY775" s="77"/>
      <c r="GZ775" s="77"/>
      <c r="HA775" s="77"/>
      <c r="HB775" s="77"/>
      <c r="HC775" s="77"/>
      <c r="HD775" s="77"/>
      <c r="HE775" s="77"/>
      <c r="HF775" s="77"/>
      <c r="HG775" s="77"/>
      <c r="HH775" s="77"/>
      <c r="HI775" s="77"/>
      <c r="HJ775" s="77"/>
      <c r="HK775" s="77"/>
      <c r="ID775" s="77"/>
      <c r="IE775" s="77"/>
      <c r="IF775" s="77"/>
      <c r="IG775" s="77"/>
      <c r="IH775" s="77"/>
      <c r="II775" s="77"/>
      <c r="IJ775" s="77"/>
      <c r="IK775" s="77"/>
      <c r="IL775" s="77"/>
      <c r="IM775" s="77"/>
      <c r="IN775" s="77"/>
      <c r="IO775" s="77"/>
      <c r="IP775" s="77"/>
      <c r="IQ775" s="77"/>
      <c r="IR775" s="77"/>
      <c r="IS775" s="77"/>
      <c r="IT775" s="77"/>
      <c r="IU775" s="77"/>
      <c r="IV775" s="77"/>
      <c r="IW775" s="77"/>
      <c r="IX775" s="77"/>
      <c r="IY775" s="77"/>
      <c r="IZ775" s="77"/>
      <c r="JA775" s="77"/>
      <c r="JB775" s="77"/>
      <c r="JC775" s="77"/>
      <c r="JD775" s="77"/>
      <c r="JE775" s="77"/>
      <c r="JF775" s="77"/>
      <c r="JG775" s="77"/>
      <c r="JH775" s="77"/>
      <c r="JI775" s="77"/>
      <c r="JJ775" s="77"/>
      <c r="JK775" s="77"/>
      <c r="JL775" s="77"/>
      <c r="JM775" s="77"/>
      <c r="JN775" s="77"/>
      <c r="JO775" s="77"/>
      <c r="JP775" s="77"/>
      <c r="JQ775" s="77"/>
      <c r="JR775" s="77"/>
      <c r="JS775" s="77"/>
      <c r="JT775" s="77"/>
      <c r="JU775" s="77"/>
      <c r="JV775" s="77"/>
      <c r="JW775" s="77"/>
      <c r="JX775" s="77"/>
      <c r="KM775" s="77"/>
      <c r="KN775" s="77"/>
      <c r="KO775" s="77"/>
      <c r="KP775" s="77"/>
      <c r="KQ775" s="77"/>
      <c r="KR775" s="77"/>
      <c r="KS775" s="77"/>
      <c r="KT775" s="77"/>
      <c r="KU775" s="77"/>
      <c r="KV775" s="77"/>
      <c r="KW775" s="77"/>
      <c r="KX775" s="77"/>
      <c r="KY775" s="77"/>
      <c r="KZ775" s="77"/>
      <c r="LA775" s="77"/>
      <c r="LB775" s="77"/>
      <c r="LC775" s="77"/>
      <c r="LD775" s="77"/>
      <c r="LE775" s="77"/>
      <c r="LF775" s="77"/>
      <c r="LG775" s="77"/>
      <c r="LH775" s="77"/>
      <c r="LI775" s="77"/>
      <c r="LJ775" s="77"/>
      <c r="LK775" s="77"/>
      <c r="LL775" s="77"/>
      <c r="LM775" s="77"/>
      <c r="LN775" s="77"/>
      <c r="LO775" s="77"/>
      <c r="LP775" s="77"/>
      <c r="LQ775" s="77"/>
      <c r="LR775" s="77"/>
      <c r="LS775" s="77"/>
      <c r="LT775" s="77"/>
      <c r="LU775" s="77"/>
      <c r="LV775" s="77"/>
      <c r="LW775" s="16"/>
      <c r="LX775" s="16"/>
      <c r="MT775" s="77"/>
      <c r="MU775" s="77"/>
      <c r="MV775" s="77"/>
      <c r="MW775" s="77"/>
      <c r="MX775" s="77"/>
      <c r="MY775" s="77"/>
      <c r="MZ775" s="77"/>
      <c r="NA775" s="77"/>
      <c r="NB775" s="77"/>
      <c r="NC775" s="77"/>
    </row>
    <row r="776" spans="1:421" s="21" customFormat="1" ht="18.600000000000001" customHeight="1" x14ac:dyDescent="0.25">
      <c r="A776" s="119" t="s">
        <v>2889</v>
      </c>
      <c r="B776" s="27" t="s">
        <v>2890</v>
      </c>
      <c r="C776" s="27"/>
      <c r="D776" s="30" t="str">
        <f>HYPERLINK("https://twitter.com/MFAIraq","https://twitter.com/MFAIraq")</f>
        <v>https://twitter.com/MFAIraq</v>
      </c>
      <c r="E776" s="30" t="str">
        <f>HYPERLINK("http://twiplomacy.com/info/asia/Iraq","http://twiplomacy.com/info/asia/Iraq")</f>
        <v>http://twiplomacy.com/info/asia/Iraq</v>
      </c>
      <c r="F776" s="10" t="s">
        <v>154</v>
      </c>
      <c r="G776" s="10" t="s">
        <v>201</v>
      </c>
      <c r="H776" s="10" t="s">
        <v>795</v>
      </c>
      <c r="I776" s="10" t="s">
        <v>782</v>
      </c>
      <c r="J776" s="27" t="s">
        <v>789</v>
      </c>
      <c r="K776" s="10" t="s">
        <v>829</v>
      </c>
      <c r="L776" s="14" t="s">
        <v>771</v>
      </c>
      <c r="M776" s="14" t="s">
        <v>771</v>
      </c>
      <c r="N776" s="14"/>
      <c r="O776" s="13"/>
      <c r="P776" s="81"/>
      <c r="Q776" s="81"/>
      <c r="R776" s="27" t="s">
        <v>2995</v>
      </c>
      <c r="S776" s="10" t="s">
        <v>2891</v>
      </c>
      <c r="T776" s="10" t="s">
        <v>771</v>
      </c>
      <c r="U776" s="10" t="s">
        <v>771</v>
      </c>
      <c r="V776" s="10" t="s">
        <v>771</v>
      </c>
      <c r="W776" s="10"/>
      <c r="X776" s="27" t="s">
        <v>2889</v>
      </c>
      <c r="Y776" s="27" t="s">
        <v>2890</v>
      </c>
      <c r="Z776" s="80">
        <v>0</v>
      </c>
      <c r="AA776" s="27">
        <v>13</v>
      </c>
      <c r="AB776" s="80">
        <v>114</v>
      </c>
      <c r="AC776" s="27">
        <v>0</v>
      </c>
      <c r="AD776" s="27" t="s">
        <v>4082</v>
      </c>
      <c r="AE776" s="27">
        <v>1299160086</v>
      </c>
      <c r="AF776" s="27"/>
      <c r="AG776" s="27"/>
      <c r="AH776" s="79"/>
      <c r="AI776" s="79"/>
      <c r="AJ776" s="79"/>
      <c r="AK776" s="79"/>
      <c r="AL776" s="13"/>
      <c r="AM776" s="13"/>
      <c r="AN776" s="27" t="s">
        <v>2889</v>
      </c>
      <c r="AO776" s="27">
        <v>9</v>
      </c>
      <c r="AP776" s="27">
        <v>9</v>
      </c>
      <c r="AQ776" s="27">
        <v>4</v>
      </c>
      <c r="AR776" s="27">
        <f>SUM(AO776:AQ776)</f>
        <v>22</v>
      </c>
      <c r="AS776" s="27" t="s">
        <v>5304</v>
      </c>
      <c r="AT776" s="27" t="s">
        <v>5305</v>
      </c>
      <c r="AU776" s="84" t="s">
        <v>4846</v>
      </c>
      <c r="AV776" s="77"/>
      <c r="AW776" s="77"/>
      <c r="AX776" s="77"/>
      <c r="AY776" s="77"/>
      <c r="AZ776" s="77"/>
      <c r="BA776" s="77"/>
      <c r="BB776" s="77"/>
      <c r="BC776" s="77"/>
      <c r="BD776" s="77"/>
      <c r="BE776" s="77"/>
      <c r="BF776" s="77"/>
      <c r="BG776" s="77"/>
      <c r="BH776" s="77"/>
      <c r="BI776" s="77"/>
      <c r="BJ776" s="77"/>
      <c r="BK776" s="77"/>
      <c r="BL776" s="77"/>
      <c r="BM776" s="77"/>
      <c r="BN776" s="77"/>
      <c r="BO776" s="77"/>
      <c r="BP776" s="77"/>
      <c r="BQ776" s="77"/>
      <c r="BR776" s="77"/>
      <c r="BS776" s="77"/>
      <c r="BT776" s="77"/>
      <c r="BU776" s="77"/>
      <c r="BV776" s="77"/>
      <c r="BW776" s="77"/>
      <c r="BX776" s="77"/>
      <c r="BY776" s="77"/>
      <c r="BZ776" s="77"/>
      <c r="CA776" s="77"/>
      <c r="CB776" s="77"/>
      <c r="CC776" s="77"/>
      <c r="CD776" s="77"/>
      <c r="CE776" s="77"/>
      <c r="CF776" s="77"/>
      <c r="CG776" s="77"/>
      <c r="CH776" s="77"/>
      <c r="CI776" s="77"/>
      <c r="CJ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7"/>
      <c r="DV776" s="77"/>
      <c r="DW776" s="77"/>
      <c r="DX776" s="77"/>
      <c r="DY776" s="77"/>
      <c r="DZ776" s="77"/>
      <c r="EA776" s="77"/>
      <c r="EB776" s="77"/>
      <c r="EC776" s="77"/>
      <c r="ED776" s="77"/>
      <c r="EE776" s="77"/>
      <c r="EF776" s="77"/>
      <c r="EG776" s="77"/>
      <c r="EH776" s="77"/>
      <c r="EI776" s="77"/>
      <c r="EJ776" s="77"/>
      <c r="EK776" s="77"/>
      <c r="EL776" s="77"/>
      <c r="EM776" s="16"/>
      <c r="EN776" s="16"/>
      <c r="EO776" s="16"/>
      <c r="EP776" s="77"/>
      <c r="EQ776" s="77"/>
      <c r="GL776" s="77"/>
      <c r="GM776" s="77"/>
      <c r="GN776" s="77"/>
      <c r="GO776" s="77"/>
      <c r="GP776" s="77"/>
      <c r="GQ776" s="77"/>
      <c r="GR776" s="77"/>
      <c r="GS776" s="77"/>
      <c r="GT776" s="77"/>
      <c r="GU776" s="77"/>
      <c r="GV776" s="77"/>
      <c r="GW776" s="77"/>
      <c r="GX776" s="77"/>
      <c r="GY776" s="77"/>
      <c r="GZ776" s="77"/>
      <c r="HA776" s="77"/>
      <c r="HB776" s="77"/>
      <c r="HC776" s="77"/>
      <c r="HD776" s="77"/>
      <c r="HE776" s="77"/>
      <c r="HF776" s="77"/>
      <c r="HG776" s="77"/>
      <c r="HH776" s="77"/>
      <c r="HI776" s="77"/>
      <c r="HJ776" s="77"/>
      <c r="HK776" s="77"/>
      <c r="HL776" s="77"/>
      <c r="HM776" s="77"/>
      <c r="HN776" s="77"/>
      <c r="HO776" s="77"/>
      <c r="HP776" s="77"/>
      <c r="HQ776" s="77"/>
      <c r="HR776" s="77"/>
      <c r="HS776" s="77"/>
      <c r="HT776" s="77"/>
      <c r="HU776" s="77"/>
      <c r="HV776" s="77"/>
      <c r="HW776" s="77"/>
      <c r="HX776" s="77"/>
      <c r="HY776" s="77"/>
      <c r="HZ776" s="77"/>
      <c r="IA776" s="77"/>
      <c r="IB776" s="77"/>
      <c r="IC776" s="77"/>
      <c r="ID776" s="16"/>
      <c r="IE776" s="16"/>
      <c r="IF776" s="77"/>
      <c r="IG776" s="77"/>
      <c r="IH776" s="77"/>
      <c r="II776" s="77"/>
      <c r="IJ776" s="77"/>
      <c r="IK776" s="77"/>
      <c r="IL776" s="77"/>
      <c r="IM776" s="77"/>
      <c r="IN776" s="77"/>
      <c r="IO776" s="77"/>
      <c r="IP776" s="77"/>
      <c r="IQ776" s="77"/>
      <c r="IR776" s="77"/>
      <c r="IS776" s="77"/>
      <c r="IT776" s="77"/>
      <c r="IU776" s="77"/>
      <c r="IV776" s="77"/>
      <c r="IW776" s="77"/>
      <c r="IX776" s="77"/>
      <c r="IY776" s="77"/>
      <c r="IZ776" s="77"/>
      <c r="JA776" s="77"/>
      <c r="JB776" s="77"/>
      <c r="JC776" s="77"/>
      <c r="JD776" s="77"/>
      <c r="JE776" s="77"/>
      <c r="JF776" s="77"/>
      <c r="JG776" s="77"/>
      <c r="JH776" s="77"/>
      <c r="JI776" s="77"/>
      <c r="JJ776" s="77"/>
      <c r="JK776" s="77"/>
      <c r="JL776" s="77"/>
      <c r="JM776" s="77"/>
      <c r="JN776" s="77"/>
      <c r="JO776" s="77"/>
      <c r="JP776" s="77"/>
      <c r="JQ776" s="77"/>
      <c r="JR776" s="77"/>
      <c r="JS776" s="77"/>
      <c r="JT776" s="77"/>
      <c r="JU776" s="77"/>
      <c r="JV776" s="77"/>
      <c r="JW776" s="77"/>
      <c r="JX776" s="77"/>
      <c r="JY776" s="77"/>
      <c r="JZ776" s="77"/>
      <c r="KA776" s="77"/>
      <c r="KB776" s="77"/>
      <c r="KC776" s="77"/>
      <c r="KD776" s="77"/>
      <c r="KE776" s="77"/>
      <c r="KF776" s="77"/>
      <c r="KG776" s="77"/>
      <c r="KH776" s="77"/>
      <c r="KI776" s="77"/>
      <c r="KJ776" s="77"/>
      <c r="KK776" s="77"/>
      <c r="KL776" s="77"/>
      <c r="KM776" s="77"/>
      <c r="KN776" s="77"/>
      <c r="KO776" s="77"/>
      <c r="KP776" s="77"/>
      <c r="KQ776" s="77"/>
      <c r="KR776" s="77"/>
      <c r="KS776" s="77"/>
      <c r="KT776" s="77"/>
      <c r="KU776" s="77"/>
      <c r="KV776" s="77"/>
      <c r="KW776" s="77"/>
      <c r="KX776" s="77"/>
      <c r="KY776" s="77"/>
      <c r="KZ776" s="77"/>
      <c r="LA776" s="77"/>
      <c r="LB776" s="77"/>
      <c r="LC776" s="77"/>
      <c r="LD776" s="77"/>
      <c r="LE776" s="77"/>
      <c r="LF776" s="77"/>
      <c r="LG776" s="77"/>
      <c r="LH776" s="77"/>
      <c r="LI776" s="77"/>
      <c r="LJ776" s="77"/>
      <c r="LK776" s="77"/>
      <c r="LL776" s="77"/>
      <c r="LM776" s="77"/>
      <c r="LN776" s="77"/>
      <c r="LO776" s="77"/>
      <c r="LP776" s="77"/>
      <c r="LQ776" s="77"/>
      <c r="LR776" s="77"/>
      <c r="LS776" s="77"/>
      <c r="LT776" s="77"/>
      <c r="LU776" s="77"/>
      <c r="LV776" s="77"/>
      <c r="LY776" s="77"/>
      <c r="LZ776" s="77"/>
      <c r="MA776" s="77"/>
      <c r="MB776" s="77"/>
      <c r="MC776" s="77"/>
      <c r="MD776" s="77"/>
      <c r="ME776" s="77"/>
      <c r="MF776" s="77"/>
      <c r="MG776" s="77"/>
      <c r="MH776" s="77"/>
      <c r="MI776" s="77"/>
      <c r="MJ776" s="77"/>
      <c r="MK776" s="77"/>
      <c r="ML776" s="77"/>
      <c r="MM776" s="77"/>
      <c r="MN776" s="77"/>
      <c r="MO776" s="77"/>
      <c r="MP776" s="77"/>
      <c r="MQ776" s="77"/>
      <c r="MR776" s="77"/>
      <c r="MT776" s="77"/>
      <c r="MU776" s="77"/>
      <c r="MV776" s="77"/>
      <c r="MW776" s="77"/>
      <c r="MX776" s="77"/>
      <c r="MY776" s="77"/>
      <c r="MZ776" s="77"/>
      <c r="NA776" s="77"/>
      <c r="NB776" s="77"/>
      <c r="NC776" s="77"/>
      <c r="ND776" s="16"/>
    </row>
    <row r="777" spans="1:421" s="21" customFormat="1" ht="18.600000000000001" customHeight="1" x14ac:dyDescent="0.25">
      <c r="A777" s="119" t="s">
        <v>243</v>
      </c>
      <c r="B777" s="27" t="s">
        <v>1468</v>
      </c>
      <c r="C777" s="27" t="s">
        <v>1469</v>
      </c>
      <c r="D777" s="30" t="str">
        <f>HYPERLINK("https://twitter.com/anifah_aman","https://twitter.com/anifah_aman")</f>
        <v>https://twitter.com/anifah_aman</v>
      </c>
      <c r="E777" s="30" t="str">
        <f>HYPERLINK("http://twiplomacy.com/info/asia/Malaysia","http://twiplomacy.com/info/asia/Malaysia")</f>
        <v>http://twiplomacy.com/info/asia/Malaysia</v>
      </c>
      <c r="F777" s="10" t="s">
        <v>154</v>
      </c>
      <c r="G777" s="10" t="s">
        <v>239</v>
      </c>
      <c r="H777" s="10" t="s">
        <v>860</v>
      </c>
      <c r="I777" s="10" t="s">
        <v>773</v>
      </c>
      <c r="J777" s="27" t="s">
        <v>789</v>
      </c>
      <c r="K777" s="10" t="s">
        <v>829</v>
      </c>
      <c r="L777" s="10" t="s">
        <v>774</v>
      </c>
      <c r="M777" s="10" t="s">
        <v>771</v>
      </c>
      <c r="N777" s="10"/>
      <c r="O777" s="13"/>
      <c r="P777" s="81"/>
      <c r="Q777" s="81"/>
      <c r="R777" s="27" t="s">
        <v>2995</v>
      </c>
      <c r="S777" s="10" t="s">
        <v>1470</v>
      </c>
      <c r="T777" s="10" t="s">
        <v>771</v>
      </c>
      <c r="U777" s="10" t="s">
        <v>771</v>
      </c>
      <c r="V777" s="10" t="s">
        <v>771</v>
      </c>
      <c r="W777" s="10"/>
      <c r="X777" s="27" t="s">
        <v>243</v>
      </c>
      <c r="Y777" s="27" t="s">
        <v>1468</v>
      </c>
      <c r="Z777" s="80">
        <v>0</v>
      </c>
      <c r="AA777" s="27">
        <v>0</v>
      </c>
      <c r="AB777" s="80">
        <v>1283</v>
      </c>
      <c r="AC777" s="27">
        <v>0</v>
      </c>
      <c r="AD777" s="27" t="s">
        <v>3467</v>
      </c>
      <c r="AE777" s="27">
        <v>251988561</v>
      </c>
      <c r="AF777" s="27" t="s">
        <v>1469</v>
      </c>
      <c r="AG777" s="27" t="s">
        <v>239</v>
      </c>
      <c r="AH777" s="79"/>
      <c r="AI777" s="79"/>
      <c r="AJ777" s="79"/>
      <c r="AK777" s="79"/>
      <c r="AL777" s="13"/>
      <c r="AM777" s="13"/>
      <c r="AN777" s="27" t="s">
        <v>243</v>
      </c>
      <c r="AO777" s="27">
        <v>0</v>
      </c>
      <c r="AP777" s="27">
        <v>4</v>
      </c>
      <c r="AQ777" s="27">
        <v>0</v>
      </c>
      <c r="AR777" s="27">
        <f>SUM(AO777:AQ777)</f>
        <v>4</v>
      </c>
      <c r="AS777" s="27"/>
      <c r="AT777" s="27" t="s">
        <v>5018</v>
      </c>
      <c r="AU777" s="84"/>
      <c r="AV777" s="77"/>
      <c r="AW777" s="77"/>
      <c r="AX777" s="77"/>
      <c r="AY777" s="77"/>
      <c r="AZ777" s="77"/>
      <c r="BA777" s="77"/>
      <c r="BB777" s="77"/>
      <c r="BC777" s="77"/>
      <c r="BD777" s="77"/>
      <c r="BE777" s="77"/>
      <c r="BF777" s="77"/>
      <c r="BG777" s="77"/>
      <c r="BH777" s="77"/>
      <c r="BI777" s="77"/>
      <c r="BJ777" s="77"/>
      <c r="BK777" s="77"/>
      <c r="BL777" s="77"/>
      <c r="BM777" s="77"/>
      <c r="BN777" s="77"/>
      <c r="BO777" s="77"/>
      <c r="BP777" s="77"/>
      <c r="BQ777" s="77"/>
      <c r="BR777" s="77"/>
      <c r="BS777" s="77"/>
      <c r="BT777" s="77"/>
      <c r="BU777" s="77"/>
      <c r="BV777" s="77"/>
      <c r="BW777" s="77"/>
      <c r="BX777" s="77"/>
      <c r="BY777" s="77"/>
      <c r="BZ777" s="77"/>
      <c r="CA777" s="77"/>
      <c r="CB777" s="77"/>
      <c r="CC777" s="77"/>
      <c r="CD777" s="77"/>
      <c r="CE777" s="77"/>
      <c r="CF777" s="77"/>
      <c r="CG777" s="77"/>
      <c r="CH777" s="77"/>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7"/>
      <c r="DV777" s="77"/>
      <c r="DW777" s="77"/>
      <c r="DX777" s="77"/>
      <c r="DY777" s="77"/>
      <c r="DZ777" s="77"/>
      <c r="EA777" s="77"/>
      <c r="EB777" s="77"/>
      <c r="EC777" s="77"/>
      <c r="ED777" s="77"/>
      <c r="EE777" s="77"/>
      <c r="EF777" s="77"/>
      <c r="EG777" s="77"/>
      <c r="EH777" s="77"/>
      <c r="EI777" s="77"/>
      <c r="EJ777" s="77"/>
      <c r="EK777" s="77"/>
      <c r="EL777" s="77"/>
      <c r="EM777" s="77"/>
      <c r="EN777" s="77"/>
      <c r="EO777" s="77"/>
      <c r="EP777" s="77"/>
      <c r="EQ777" s="77"/>
      <c r="ER777" s="77"/>
      <c r="ES777" s="77"/>
      <c r="ET777" s="77"/>
      <c r="EU777" s="77"/>
      <c r="EV777" s="77"/>
      <c r="EW777" s="77"/>
      <c r="EX777" s="77"/>
      <c r="EY777" s="77"/>
      <c r="EZ777" s="77"/>
      <c r="FA777" s="77"/>
      <c r="FB777" s="77"/>
      <c r="FC777" s="77"/>
      <c r="FD777" s="77"/>
      <c r="FE777" s="77"/>
      <c r="FF777" s="77"/>
      <c r="FG777" s="77"/>
      <c r="FH777" s="77"/>
      <c r="FI777" s="77"/>
      <c r="FJ777" s="77"/>
      <c r="FK777" s="77"/>
      <c r="FL777" s="77"/>
      <c r="FM777" s="77"/>
      <c r="FN777" s="77"/>
      <c r="FO777" s="77"/>
      <c r="FP777" s="77"/>
      <c r="FQ777" s="77"/>
      <c r="FR777" s="77"/>
      <c r="FS777" s="77"/>
      <c r="FT777" s="77"/>
      <c r="FU777" s="77"/>
      <c r="FV777" s="77"/>
      <c r="FW777" s="77"/>
      <c r="FX777" s="77"/>
      <c r="FY777" s="77"/>
      <c r="FZ777" s="77"/>
      <c r="GA777" s="77"/>
      <c r="GB777" s="77"/>
      <c r="GC777" s="77"/>
      <c r="GD777" s="77"/>
      <c r="GE777" s="77"/>
      <c r="GF777" s="77"/>
      <c r="GG777" s="77"/>
      <c r="GH777" s="77"/>
      <c r="GI777" s="77"/>
      <c r="GJ777" s="77"/>
      <c r="GK777" s="77"/>
      <c r="HL777" s="77"/>
      <c r="HM777" s="77"/>
      <c r="HN777" s="77"/>
      <c r="HO777" s="77"/>
      <c r="HP777" s="77"/>
      <c r="HQ777" s="77"/>
      <c r="HR777" s="77"/>
      <c r="HS777" s="77"/>
      <c r="HT777" s="77"/>
      <c r="HU777" s="77"/>
      <c r="HV777" s="77"/>
      <c r="HW777" s="77"/>
      <c r="HX777" s="77"/>
      <c r="HY777" s="77"/>
      <c r="HZ777" s="77"/>
      <c r="IA777" s="77"/>
      <c r="IB777" s="77"/>
      <c r="IC777" s="77"/>
      <c r="ID777" s="77"/>
      <c r="IE777" s="77"/>
      <c r="JY777" s="77"/>
      <c r="JZ777" s="77"/>
      <c r="KA777" s="77"/>
      <c r="KB777" s="77"/>
      <c r="KC777" s="77"/>
      <c r="KD777" s="77"/>
      <c r="KE777" s="77"/>
      <c r="KF777" s="77"/>
      <c r="KG777" s="77"/>
      <c r="KH777" s="77"/>
      <c r="KI777" s="77"/>
      <c r="KJ777" s="77"/>
      <c r="KK777" s="77"/>
      <c r="KL777" s="77"/>
      <c r="KM777" s="77"/>
      <c r="KN777" s="77"/>
      <c r="KO777" s="77"/>
      <c r="KP777" s="77"/>
      <c r="KQ777" s="77"/>
      <c r="KR777" s="77"/>
      <c r="KS777" s="77"/>
      <c r="KT777" s="77"/>
      <c r="KU777" s="77"/>
      <c r="KV777" s="77"/>
      <c r="KW777" s="77"/>
      <c r="KX777" s="77"/>
      <c r="KY777" s="77"/>
      <c r="KZ777" s="77"/>
      <c r="LA777" s="77"/>
      <c r="LB777" s="77"/>
      <c r="LC777" s="77"/>
      <c r="LD777" s="77"/>
      <c r="LE777" s="77"/>
      <c r="LF777" s="77"/>
      <c r="LG777" s="77"/>
      <c r="LH777" s="77"/>
      <c r="LI777" s="77"/>
      <c r="LJ777" s="77"/>
      <c r="LK777" s="77"/>
      <c r="LW777" s="77"/>
      <c r="LX777" s="77"/>
      <c r="LY777" s="77"/>
      <c r="LZ777" s="77"/>
      <c r="MA777" s="77"/>
      <c r="MB777" s="77"/>
      <c r="MC777" s="77"/>
      <c r="MD777" s="77"/>
      <c r="ME777" s="77"/>
      <c r="MF777" s="77"/>
      <c r="MG777" s="77"/>
      <c r="MH777" s="77"/>
      <c r="MI777" s="77"/>
      <c r="MJ777" s="77"/>
      <c r="MK777" s="77"/>
      <c r="ML777" s="77"/>
      <c r="MM777" s="77"/>
      <c r="MN777" s="77"/>
      <c r="MO777" s="77"/>
      <c r="MP777" s="77"/>
      <c r="MQ777" s="77"/>
      <c r="MR777" s="77"/>
      <c r="MS777" s="77"/>
    </row>
    <row r="778" spans="1:421" s="21" customFormat="1" ht="18.600000000000001" customHeight="1" x14ac:dyDescent="0.25">
      <c r="A778" s="119" t="s">
        <v>242</v>
      </c>
      <c r="B778" s="27" t="s">
        <v>1468</v>
      </c>
      <c r="C778" s="27" t="s">
        <v>1469</v>
      </c>
      <c r="D778" s="30" t="str">
        <f>HYPERLINK("https://twitter.com/Anifah_myg","https://twitter.com/Anifah_myg")</f>
        <v>https://twitter.com/Anifah_myg</v>
      </c>
      <c r="E778" s="30" t="str">
        <f>HYPERLINK("http://twiplomacy.com/info/asia/Malaysia","http://twiplomacy.com/info/asia/Malaysia")</f>
        <v>http://twiplomacy.com/info/asia/Malaysia</v>
      </c>
      <c r="F778" s="10" t="s">
        <v>154</v>
      </c>
      <c r="G778" s="10" t="s">
        <v>239</v>
      </c>
      <c r="H778" s="10" t="s">
        <v>860</v>
      </c>
      <c r="I778" s="14" t="s">
        <v>773</v>
      </c>
      <c r="J778" s="27" t="s">
        <v>789</v>
      </c>
      <c r="K778" s="14" t="s">
        <v>829</v>
      </c>
      <c r="L778" s="14" t="s">
        <v>774</v>
      </c>
      <c r="M778" s="14" t="s">
        <v>771</v>
      </c>
      <c r="N778" s="14"/>
      <c r="O778" s="13"/>
      <c r="P778" s="81"/>
      <c r="Q778" s="81"/>
      <c r="R778" s="27" t="s">
        <v>2995</v>
      </c>
      <c r="S778" s="10" t="s">
        <v>2903</v>
      </c>
      <c r="T778" s="10" t="s">
        <v>771</v>
      </c>
      <c r="U778" s="10" t="s">
        <v>771</v>
      </c>
      <c r="V778" s="10" t="s">
        <v>771</v>
      </c>
      <c r="W778" s="10"/>
      <c r="X778" s="27" t="s">
        <v>242</v>
      </c>
      <c r="Y778" s="27" t="s">
        <v>1468</v>
      </c>
      <c r="Z778" s="80">
        <v>0</v>
      </c>
      <c r="AA778" s="27">
        <v>1</v>
      </c>
      <c r="AB778" s="80">
        <v>2016</v>
      </c>
      <c r="AC778" s="27">
        <v>0</v>
      </c>
      <c r="AD778" s="27" t="s">
        <v>3468</v>
      </c>
      <c r="AE778" s="27">
        <v>254466065</v>
      </c>
      <c r="AF778" s="27" t="s">
        <v>1469</v>
      </c>
      <c r="AG778" s="27" t="s">
        <v>239</v>
      </c>
      <c r="AH778" s="79"/>
      <c r="AI778" s="79"/>
      <c r="AJ778" s="79"/>
      <c r="AK778" s="79"/>
      <c r="AL778" s="13"/>
      <c r="AM778" s="13"/>
      <c r="AN778" s="27" t="s">
        <v>242</v>
      </c>
      <c r="AO778" s="27">
        <v>1</v>
      </c>
      <c r="AP778" s="27">
        <v>8</v>
      </c>
      <c r="AQ778" s="27">
        <v>0</v>
      </c>
      <c r="AR778" s="27">
        <f>SUM(AO778:AQ778)</f>
        <v>9</v>
      </c>
      <c r="AS778" s="27" t="s">
        <v>240</v>
      </c>
      <c r="AT778" s="27" t="s">
        <v>5019</v>
      </c>
      <c r="AU778" s="84"/>
      <c r="AV778" s="77"/>
      <c r="AW778" s="77"/>
      <c r="AX778" s="77"/>
      <c r="AY778" s="77"/>
      <c r="AZ778" s="77"/>
      <c r="BA778" s="77"/>
      <c r="BB778" s="77"/>
      <c r="BC778" s="77"/>
      <c r="BD778" s="77"/>
      <c r="BE778" s="77"/>
      <c r="BF778" s="77"/>
      <c r="BG778" s="77"/>
      <c r="BH778" s="77"/>
      <c r="BI778" s="77"/>
      <c r="BJ778" s="77"/>
      <c r="BK778" s="77"/>
      <c r="BL778" s="77"/>
      <c r="BM778" s="77"/>
      <c r="BN778" s="77"/>
      <c r="BO778" s="77"/>
      <c r="BP778" s="77"/>
      <c r="BQ778" s="77"/>
      <c r="BR778" s="77"/>
      <c r="BS778" s="77"/>
      <c r="BT778" s="77"/>
      <c r="BU778" s="77"/>
      <c r="BV778" s="77"/>
      <c r="BW778" s="77"/>
      <c r="BX778" s="77"/>
      <c r="BY778" s="77"/>
      <c r="BZ778" s="77"/>
      <c r="CA778" s="77"/>
      <c r="CB778" s="77"/>
      <c r="CC778" s="77"/>
      <c r="CD778" s="77"/>
      <c r="CE778" s="77"/>
      <c r="CF778" s="77"/>
      <c r="CG778" s="77"/>
      <c r="CH778" s="77"/>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7"/>
      <c r="DV778" s="77"/>
      <c r="DW778" s="77"/>
      <c r="DX778" s="77"/>
      <c r="DY778" s="77"/>
      <c r="DZ778" s="77"/>
      <c r="EA778" s="77"/>
      <c r="EB778" s="77"/>
      <c r="EC778" s="77"/>
      <c r="ED778" s="77"/>
      <c r="EE778" s="77"/>
      <c r="EF778" s="77"/>
      <c r="EG778" s="77"/>
      <c r="EH778" s="77"/>
      <c r="EI778" s="77"/>
      <c r="EJ778" s="77"/>
      <c r="EK778" s="77"/>
      <c r="EL778" s="77"/>
      <c r="EM778" s="77"/>
      <c r="EN778" s="77"/>
      <c r="EO778" s="77"/>
      <c r="EP778" s="77"/>
      <c r="EQ778" s="77"/>
      <c r="ER778" s="77"/>
      <c r="ES778" s="77"/>
      <c r="ET778" s="77"/>
      <c r="EU778" s="77"/>
      <c r="EV778" s="77"/>
      <c r="EW778" s="77"/>
      <c r="EX778" s="77"/>
      <c r="EY778" s="77"/>
      <c r="EZ778" s="77"/>
      <c r="FA778" s="77"/>
      <c r="FB778" s="77"/>
      <c r="FC778" s="77"/>
      <c r="FD778" s="77"/>
      <c r="FE778" s="77"/>
      <c r="FF778" s="77"/>
      <c r="FG778" s="77"/>
      <c r="FH778" s="77"/>
      <c r="FI778" s="77"/>
      <c r="FJ778" s="77"/>
      <c r="FK778" s="77"/>
      <c r="FL778" s="77"/>
      <c r="FM778" s="77"/>
      <c r="FN778" s="77"/>
      <c r="FO778" s="77"/>
      <c r="FP778" s="77"/>
      <c r="FQ778" s="77"/>
      <c r="FR778" s="77"/>
      <c r="FS778" s="77"/>
      <c r="FT778" s="77"/>
      <c r="FU778" s="77"/>
      <c r="FV778" s="77"/>
      <c r="FW778" s="77"/>
      <c r="FX778" s="77"/>
      <c r="FY778" s="77"/>
      <c r="FZ778" s="77"/>
      <c r="GA778" s="77"/>
      <c r="GB778" s="77"/>
      <c r="GC778" s="77"/>
      <c r="GD778" s="77"/>
      <c r="GE778" s="77"/>
      <c r="GF778" s="77"/>
      <c r="GG778" s="77"/>
      <c r="GH778" s="77"/>
      <c r="GI778" s="77"/>
      <c r="GJ778" s="77"/>
      <c r="GK778" s="77"/>
      <c r="GL778" s="77"/>
      <c r="GM778" s="77"/>
      <c r="GN778" s="77"/>
      <c r="GO778" s="77"/>
      <c r="GP778" s="77"/>
      <c r="GQ778" s="77"/>
      <c r="GR778" s="77"/>
      <c r="GS778" s="77"/>
      <c r="GT778" s="77"/>
      <c r="GU778" s="77"/>
      <c r="GV778" s="77"/>
      <c r="GW778" s="77"/>
      <c r="GX778" s="77"/>
      <c r="GY778" s="77"/>
      <c r="GZ778" s="77"/>
      <c r="HA778" s="77"/>
      <c r="HB778" s="77"/>
      <c r="HC778" s="77"/>
      <c r="HD778" s="77"/>
      <c r="HE778" s="77"/>
      <c r="HF778" s="77"/>
      <c r="HG778" s="77"/>
      <c r="HH778" s="77"/>
      <c r="HI778" s="77"/>
      <c r="HJ778" s="77"/>
      <c r="HK778" s="77"/>
      <c r="HL778" s="16"/>
      <c r="HM778" s="16"/>
      <c r="HN778" s="16"/>
      <c r="HO778" s="16"/>
      <c r="HP778" s="16"/>
      <c r="HQ778" s="16"/>
      <c r="HR778" s="16"/>
      <c r="HS778" s="16"/>
      <c r="HT778" s="16"/>
      <c r="HU778" s="16"/>
      <c r="HV778" s="16"/>
      <c r="HW778" s="16"/>
      <c r="HX778" s="16"/>
      <c r="HY778" s="16"/>
      <c r="HZ778" s="16"/>
      <c r="IA778" s="16"/>
      <c r="IB778" s="16"/>
      <c r="IC778" s="16"/>
      <c r="LL778" s="77"/>
      <c r="LM778" s="77"/>
      <c r="LN778" s="77"/>
      <c r="LO778" s="77"/>
      <c r="LP778" s="77"/>
      <c r="LQ778" s="77"/>
      <c r="LR778" s="77"/>
      <c r="LS778" s="77"/>
      <c r="LT778" s="77"/>
      <c r="LU778" s="77"/>
      <c r="LV778" s="77"/>
      <c r="LW778" s="77"/>
      <c r="LX778" s="77"/>
    </row>
    <row r="779" spans="1:421" s="21" customFormat="1" ht="18.600000000000001" customHeight="1" x14ac:dyDescent="0.25">
      <c r="A779" s="119" t="s">
        <v>247</v>
      </c>
      <c r="B779" s="27" t="s">
        <v>2915</v>
      </c>
      <c r="C779" s="27"/>
      <c r="D779" s="30" t="str">
        <f>HYPERLINK("https://twitter.com/dunyamaumoon","https://twitter.com/dunyamaumoon")</f>
        <v>https://twitter.com/dunyamaumoon</v>
      </c>
      <c r="E779" s="30" t="str">
        <f>HYPERLINK("http://twiplomacy.com/info/asia/Maldives","http://twiplomacy.com/info/asia/Maldives")</f>
        <v>http://twiplomacy.com/info/asia/Maldives</v>
      </c>
      <c r="F779" s="14" t="s">
        <v>154</v>
      </c>
      <c r="G779" s="14" t="s">
        <v>244</v>
      </c>
      <c r="H779" s="14" t="s">
        <v>860</v>
      </c>
      <c r="I779" s="14" t="s">
        <v>773</v>
      </c>
      <c r="J779" s="27" t="s">
        <v>789</v>
      </c>
      <c r="K779" s="14" t="s">
        <v>829</v>
      </c>
      <c r="L779" s="14"/>
      <c r="M779" s="14" t="s">
        <v>771</v>
      </c>
      <c r="N779" s="14"/>
      <c r="O779" s="13"/>
      <c r="P779" s="81"/>
      <c r="Q779" s="81"/>
      <c r="R779" s="27" t="s">
        <v>2995</v>
      </c>
      <c r="S779" s="10" t="s">
        <v>2916</v>
      </c>
      <c r="T779" s="10" t="s">
        <v>771</v>
      </c>
      <c r="U779" s="10" t="s">
        <v>771</v>
      </c>
      <c r="V779" s="10" t="s">
        <v>771</v>
      </c>
      <c r="W779" s="14"/>
      <c r="X779" s="27" t="s">
        <v>247</v>
      </c>
      <c r="Y779" s="27" t="s">
        <v>2915</v>
      </c>
      <c r="Z779" s="80">
        <v>0</v>
      </c>
      <c r="AA779" s="27">
        <v>33</v>
      </c>
      <c r="AB779" s="80">
        <v>112</v>
      </c>
      <c r="AC779" s="27">
        <v>3</v>
      </c>
      <c r="AD779" s="27" t="s">
        <v>3631</v>
      </c>
      <c r="AE779" s="27">
        <v>1354787041</v>
      </c>
      <c r="AF779" s="27"/>
      <c r="AG779" s="27"/>
      <c r="AH779" s="79"/>
      <c r="AI779" s="79"/>
      <c r="AJ779" s="79"/>
      <c r="AK779" s="79"/>
      <c r="AL779" s="13"/>
      <c r="AM779" s="13"/>
      <c r="AN779" s="27" t="s">
        <v>247</v>
      </c>
      <c r="AO779" s="27">
        <v>1</v>
      </c>
      <c r="AP779" s="27">
        <v>0</v>
      </c>
      <c r="AQ779" s="27">
        <v>1</v>
      </c>
      <c r="AR779" s="27">
        <f>SUM(AO779:AQ779)</f>
        <v>2</v>
      </c>
      <c r="AS779" s="27" t="s">
        <v>246</v>
      </c>
      <c r="AT779" s="27"/>
      <c r="AU779" s="84" t="s">
        <v>248</v>
      </c>
      <c r="AV779" s="77"/>
      <c r="AW779" s="77"/>
      <c r="AX779" s="77"/>
      <c r="AY779" s="77"/>
      <c r="AZ779" s="77"/>
      <c r="BA779" s="77"/>
      <c r="BB779" s="77"/>
      <c r="BC779" s="77"/>
      <c r="BD779" s="77"/>
      <c r="BE779" s="77"/>
      <c r="BF779" s="77"/>
      <c r="BG779" s="77"/>
      <c r="BH779" s="77"/>
      <c r="BI779" s="77"/>
      <c r="BJ779" s="77"/>
      <c r="BK779" s="77"/>
      <c r="BL779" s="77"/>
      <c r="BM779" s="77"/>
      <c r="BN779" s="77"/>
      <c r="BO779" s="77"/>
      <c r="BP779" s="77"/>
      <c r="CC779" s="77"/>
      <c r="CD779" s="77"/>
      <c r="CE779" s="77"/>
      <c r="CF779" s="77"/>
      <c r="CG779" s="77"/>
      <c r="CH779" s="77"/>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7"/>
      <c r="DV779" s="77"/>
      <c r="DW779" s="77"/>
      <c r="DX779" s="77"/>
      <c r="DY779" s="77"/>
      <c r="DZ779" s="77"/>
      <c r="EA779" s="77"/>
      <c r="EB779" s="77"/>
      <c r="EC779" s="77"/>
      <c r="ED779" s="77"/>
      <c r="EE779" s="77"/>
      <c r="EF779" s="77"/>
      <c r="EG779" s="77"/>
      <c r="EH779" s="77"/>
      <c r="EI779" s="77"/>
      <c r="EJ779" s="77"/>
      <c r="EK779" s="77"/>
      <c r="EL779" s="77"/>
      <c r="EM779" s="77"/>
      <c r="EN779" s="77"/>
      <c r="EO779" s="77"/>
      <c r="EP779" s="77"/>
      <c r="EQ779" s="77"/>
      <c r="ER779" s="77"/>
      <c r="ES779" s="77"/>
      <c r="ET779" s="77"/>
      <c r="EU779" s="77"/>
      <c r="EV779" s="77"/>
      <c r="EW779" s="77"/>
      <c r="EX779" s="77"/>
      <c r="EY779" s="77"/>
      <c r="EZ779" s="77"/>
      <c r="FA779" s="77"/>
      <c r="FB779" s="77"/>
      <c r="FC779" s="77"/>
      <c r="FD779" s="77"/>
      <c r="FE779" s="77"/>
      <c r="FF779" s="77"/>
      <c r="FG779" s="77"/>
      <c r="FH779" s="77"/>
      <c r="FI779" s="77"/>
      <c r="FJ779" s="77"/>
      <c r="FK779" s="77"/>
      <c r="FL779" s="77"/>
      <c r="FM779" s="77"/>
      <c r="FN779" s="77"/>
      <c r="FO779" s="77"/>
      <c r="FP779" s="77"/>
      <c r="FQ779" s="77"/>
      <c r="FR779" s="77"/>
      <c r="FS779" s="77"/>
      <c r="FT779" s="77"/>
      <c r="FU779" s="77"/>
      <c r="FV779" s="77"/>
      <c r="FW779" s="77"/>
      <c r="FX779" s="77"/>
      <c r="FY779" s="77"/>
      <c r="FZ779" s="77"/>
      <c r="GA779" s="77"/>
      <c r="GB779" s="77"/>
      <c r="GC779" s="77"/>
      <c r="GD779" s="77"/>
      <c r="GE779" s="77"/>
      <c r="GF779" s="77"/>
      <c r="GG779" s="77"/>
      <c r="GH779" s="77"/>
      <c r="GI779" s="77"/>
      <c r="GJ779" s="77"/>
      <c r="GK779" s="77"/>
      <c r="GL779" s="77"/>
      <c r="GM779" s="77"/>
      <c r="GN779" s="77"/>
      <c r="GO779" s="77"/>
      <c r="GP779" s="77"/>
      <c r="GQ779" s="77"/>
      <c r="GR779" s="77"/>
      <c r="GS779" s="77"/>
      <c r="GT779" s="77"/>
      <c r="GU779" s="77"/>
      <c r="GV779" s="77"/>
      <c r="GW779" s="77"/>
      <c r="GX779" s="77"/>
      <c r="GY779" s="77"/>
      <c r="GZ779" s="77"/>
      <c r="HA779" s="77"/>
      <c r="HB779" s="77"/>
      <c r="HC779" s="77"/>
      <c r="HD779" s="77"/>
      <c r="HE779" s="77"/>
      <c r="HF779" s="77"/>
      <c r="HG779" s="77"/>
      <c r="HH779" s="77"/>
      <c r="HI779" s="77"/>
      <c r="HJ779" s="77"/>
      <c r="HK779" s="77"/>
      <c r="HL779" s="77"/>
      <c r="HM779" s="77"/>
      <c r="HN779" s="77"/>
      <c r="HO779" s="77"/>
      <c r="HP779" s="77"/>
      <c r="HQ779" s="77"/>
      <c r="HR779" s="77"/>
      <c r="HS779" s="77"/>
      <c r="HT779" s="77"/>
      <c r="HU779" s="77"/>
      <c r="HV779" s="77"/>
      <c r="HW779" s="77"/>
      <c r="HX779" s="77"/>
      <c r="HY779" s="77"/>
      <c r="HZ779" s="77"/>
      <c r="IA779" s="77"/>
      <c r="IB779" s="77"/>
      <c r="IC779" s="77"/>
      <c r="IF779" s="77"/>
      <c r="IG779" s="77"/>
      <c r="IH779" s="77"/>
      <c r="II779" s="77"/>
      <c r="IJ779" s="77"/>
      <c r="IK779" s="77"/>
      <c r="IL779" s="77"/>
      <c r="IM779" s="77"/>
      <c r="IN779" s="77"/>
      <c r="IO779" s="77"/>
      <c r="IP779" s="77"/>
      <c r="IQ779" s="77"/>
      <c r="IR779" s="77"/>
      <c r="IS779" s="77"/>
      <c r="IT779" s="77"/>
      <c r="IU779" s="77"/>
      <c r="IV779" s="77"/>
      <c r="IW779" s="77"/>
      <c r="IX779" s="77"/>
      <c r="IY779" s="77"/>
      <c r="IZ779" s="77"/>
      <c r="JA779" s="77"/>
      <c r="JB779" s="77"/>
      <c r="JC779" s="77"/>
      <c r="JD779" s="77"/>
      <c r="JE779" s="77"/>
      <c r="JF779" s="77"/>
      <c r="JG779" s="77"/>
      <c r="JH779" s="77"/>
      <c r="JI779" s="77"/>
      <c r="JJ779" s="77"/>
      <c r="JK779" s="77"/>
      <c r="JL779" s="77"/>
      <c r="JM779" s="77"/>
      <c r="JN779" s="77"/>
      <c r="JO779" s="77"/>
      <c r="JP779" s="77"/>
      <c r="JQ779" s="77"/>
      <c r="JR779" s="77"/>
      <c r="JS779" s="77"/>
      <c r="JT779" s="77"/>
      <c r="JU779" s="77"/>
      <c r="JV779" s="77"/>
      <c r="JW779" s="77"/>
      <c r="JX779" s="77"/>
      <c r="JY779" s="16"/>
      <c r="JZ779" s="16"/>
      <c r="KA779" s="16"/>
      <c r="KB779" s="16"/>
      <c r="KC779" s="16"/>
      <c r="KD779" s="16"/>
      <c r="KE779" s="16"/>
      <c r="KF779" s="16"/>
      <c r="KG779" s="16"/>
      <c r="KH779" s="16"/>
      <c r="KI779" s="16"/>
      <c r="KJ779" s="16"/>
      <c r="KK779" s="16"/>
      <c r="KL779" s="16"/>
      <c r="LW779" s="77"/>
      <c r="LX779" s="77"/>
      <c r="LY779" s="77"/>
      <c r="LZ779" s="77"/>
      <c r="MA779" s="77"/>
      <c r="MB779" s="77"/>
      <c r="MC779" s="77"/>
      <c r="MD779" s="77"/>
      <c r="ME779" s="77"/>
      <c r="MF779" s="77"/>
      <c r="MG779" s="77"/>
      <c r="MH779" s="77"/>
      <c r="MI779" s="77"/>
      <c r="MJ779" s="77"/>
      <c r="MK779" s="77"/>
      <c r="ML779" s="77"/>
      <c r="MM779" s="77"/>
      <c r="MN779" s="77"/>
      <c r="MO779" s="77"/>
      <c r="MP779" s="77"/>
      <c r="MQ779" s="77"/>
      <c r="MR779" s="77"/>
      <c r="MT779" s="16"/>
      <c r="MU779" s="16"/>
      <c r="MV779" s="16"/>
      <c r="MW779" s="16"/>
      <c r="MX779" s="16"/>
      <c r="MY779" s="16"/>
      <c r="MZ779" s="16"/>
      <c r="NA779" s="16"/>
      <c r="NB779" s="16"/>
      <c r="NC779" s="16"/>
    </row>
    <row r="780" spans="1:421" s="21" customFormat="1" ht="18.600000000000001" customHeight="1" x14ac:dyDescent="0.25">
      <c r="A780" s="119" t="s">
        <v>1511</v>
      </c>
      <c r="B780" s="27" t="s">
        <v>1512</v>
      </c>
      <c r="C780" s="27" t="s">
        <v>1513</v>
      </c>
      <c r="D780" s="30" t="str">
        <f>HYPERLINK("https://twitter.com/GovernmentMN","https://twitter.com/GovernmentMN")</f>
        <v>https://twitter.com/GovernmentMN</v>
      </c>
      <c r="E780" s="30" t="str">
        <f>HYPERLINK("http://twiplomacy.com/info/asia/Mongolia","http://twiplomacy.com/info/asia/Mongolia")</f>
        <v>http://twiplomacy.com/info/asia/Mongolia</v>
      </c>
      <c r="F780" s="10" t="s">
        <v>154</v>
      </c>
      <c r="G780" s="10" t="s">
        <v>252</v>
      </c>
      <c r="H780" s="10" t="s">
        <v>788</v>
      </c>
      <c r="I780" s="10" t="s">
        <v>782</v>
      </c>
      <c r="J780" s="27" t="s">
        <v>789</v>
      </c>
      <c r="K780" s="15" t="s">
        <v>829</v>
      </c>
      <c r="L780" s="10" t="s">
        <v>771</v>
      </c>
      <c r="M780" s="10" t="s">
        <v>771</v>
      </c>
      <c r="N780" s="10"/>
      <c r="O780" s="13"/>
      <c r="P780" s="81"/>
      <c r="Q780" s="81"/>
      <c r="R780" s="27" t="s">
        <v>2995</v>
      </c>
      <c r="S780" s="10" t="s">
        <v>1514</v>
      </c>
      <c r="T780" s="10" t="s">
        <v>771</v>
      </c>
      <c r="U780" s="10" t="s">
        <v>771</v>
      </c>
      <c r="V780" s="10" t="s">
        <v>771</v>
      </c>
      <c r="W780" s="10"/>
      <c r="X780" s="27" t="s">
        <v>1511</v>
      </c>
      <c r="Y780" s="27" t="s">
        <v>1512</v>
      </c>
      <c r="Z780" s="80">
        <v>0</v>
      </c>
      <c r="AA780" s="27">
        <v>4</v>
      </c>
      <c r="AB780" s="80">
        <v>376</v>
      </c>
      <c r="AC780" s="27">
        <v>0</v>
      </c>
      <c r="AD780" s="27" t="s">
        <v>3757</v>
      </c>
      <c r="AE780" s="27">
        <v>280835808</v>
      </c>
      <c r="AF780" s="27" t="s">
        <v>1513</v>
      </c>
      <c r="AG780" s="27" t="s">
        <v>1490</v>
      </c>
      <c r="AH780" s="79"/>
      <c r="AI780" s="79"/>
      <c r="AJ780" s="79"/>
      <c r="AK780" s="79"/>
      <c r="AL780" s="13"/>
      <c r="AM780" s="13"/>
      <c r="AN780" s="27" t="s">
        <v>1511</v>
      </c>
      <c r="AO780" s="27">
        <v>0</v>
      </c>
      <c r="AP780" s="27">
        <v>2</v>
      </c>
      <c r="AQ780" s="27">
        <v>0</v>
      </c>
      <c r="AR780" s="27">
        <f>SUM(AO780:AQ780)</f>
        <v>2</v>
      </c>
      <c r="AS780" s="27"/>
      <c r="AT780" s="27" t="s">
        <v>5055</v>
      </c>
      <c r="AU780" s="84"/>
      <c r="AV780" s="77"/>
      <c r="AW780" s="77"/>
      <c r="AX780" s="77"/>
      <c r="AY780" s="77"/>
      <c r="AZ780" s="77"/>
      <c r="BA780" s="77"/>
      <c r="BB780" s="77"/>
      <c r="BC780" s="77"/>
      <c r="BD780" s="77"/>
      <c r="BE780" s="77"/>
      <c r="BF780" s="77"/>
      <c r="BG780" s="77"/>
      <c r="BH780" s="77"/>
      <c r="BI780" s="77"/>
      <c r="BJ780" s="77"/>
      <c r="BK780" s="77"/>
      <c r="BL780" s="77"/>
      <c r="BM780" s="68"/>
      <c r="BN780" s="68"/>
      <c r="BO780" s="68"/>
      <c r="BP780" s="68"/>
      <c r="BQ780" s="71"/>
      <c r="BR780" s="71"/>
      <c r="BS780" s="71"/>
      <c r="BT780" s="71"/>
      <c r="BU780" s="71"/>
      <c r="BV780" s="71"/>
      <c r="BW780" s="71"/>
      <c r="BX780" s="71"/>
      <c r="BY780" s="71"/>
      <c r="BZ780" s="71"/>
      <c r="CA780" s="71"/>
      <c r="CB780" s="71"/>
      <c r="CC780" s="77"/>
      <c r="CD780" s="77"/>
      <c r="CE780" s="77"/>
      <c r="CF780" s="77"/>
      <c r="CG780" s="77"/>
      <c r="CH780" s="77"/>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7"/>
      <c r="DV780" s="77"/>
      <c r="DW780" s="77"/>
      <c r="DX780" s="77"/>
      <c r="DY780" s="77"/>
      <c r="DZ780" s="77"/>
      <c r="EA780" s="77"/>
      <c r="EB780" s="77"/>
      <c r="EC780" s="77"/>
      <c r="ED780" s="77"/>
      <c r="EE780" s="77"/>
      <c r="EF780" s="77"/>
      <c r="EG780" s="77"/>
      <c r="EH780" s="77"/>
      <c r="EI780" s="77"/>
      <c r="EJ780" s="77"/>
      <c r="EK780" s="77"/>
      <c r="EL780" s="77"/>
      <c r="EM780" s="77"/>
      <c r="EN780" s="77"/>
      <c r="EO780" s="77"/>
      <c r="EP780" s="77"/>
      <c r="EQ780" s="77"/>
      <c r="GL780" s="77"/>
      <c r="GM780" s="77"/>
      <c r="GN780" s="77"/>
      <c r="GO780" s="77"/>
      <c r="GP780" s="77"/>
      <c r="GQ780" s="77"/>
      <c r="GR780" s="77"/>
      <c r="GS780" s="77"/>
      <c r="GT780" s="77"/>
      <c r="GU780" s="77"/>
      <c r="GV780" s="77"/>
      <c r="GW780" s="77"/>
      <c r="GX780" s="77"/>
      <c r="GY780" s="77"/>
      <c r="GZ780" s="77"/>
      <c r="HA780" s="77"/>
      <c r="HB780" s="77"/>
      <c r="HC780" s="77"/>
      <c r="HD780" s="77"/>
      <c r="HE780" s="77"/>
      <c r="HF780" s="77"/>
      <c r="HG780" s="77"/>
      <c r="HH780" s="77"/>
      <c r="HI780" s="77"/>
      <c r="HJ780" s="77"/>
      <c r="HK780" s="77"/>
      <c r="ID780" s="77"/>
      <c r="IE780" s="77"/>
      <c r="KM780" s="77"/>
      <c r="KN780" s="77"/>
      <c r="KO780" s="77"/>
      <c r="KP780" s="77"/>
      <c r="KQ780" s="77"/>
      <c r="KR780" s="77"/>
      <c r="KS780" s="77"/>
      <c r="KT780" s="77"/>
      <c r="KU780" s="77"/>
      <c r="KV780" s="77"/>
      <c r="KW780" s="77"/>
      <c r="KX780" s="77"/>
      <c r="KY780" s="77"/>
      <c r="KZ780" s="77"/>
      <c r="LA780" s="77"/>
      <c r="LB780" s="77"/>
      <c r="LC780" s="77"/>
      <c r="LD780" s="77"/>
      <c r="LE780" s="77"/>
      <c r="LF780" s="77"/>
      <c r="LG780" s="77"/>
      <c r="LH780" s="77"/>
      <c r="LI780" s="77"/>
      <c r="LJ780" s="77"/>
      <c r="LK780" s="77"/>
      <c r="LL780" s="77"/>
      <c r="LM780" s="77"/>
      <c r="LN780" s="77"/>
      <c r="LO780" s="77"/>
      <c r="LP780" s="77"/>
      <c r="LQ780" s="77"/>
      <c r="LR780" s="77"/>
      <c r="LS780" s="77"/>
      <c r="LT780" s="77"/>
      <c r="LU780" s="77"/>
      <c r="LV780" s="77"/>
      <c r="LW780" s="77"/>
      <c r="LX780" s="77"/>
      <c r="MT780" s="77"/>
      <c r="MU780" s="77"/>
      <c r="MV780" s="77"/>
      <c r="MW780" s="77"/>
      <c r="MX780" s="77"/>
      <c r="MY780" s="77"/>
      <c r="MZ780" s="77"/>
      <c r="NA780" s="77"/>
      <c r="NB780" s="77"/>
      <c r="NC780" s="77"/>
    </row>
    <row r="781" spans="1:421" s="21" customFormat="1" ht="18.600000000000001" customHeight="1" x14ac:dyDescent="0.25">
      <c r="A781" s="119" t="s">
        <v>2927</v>
      </c>
      <c r="B781" s="27" t="s">
        <v>2928</v>
      </c>
      <c r="C781" s="27"/>
      <c r="D781" s="30" t="str">
        <f>HYPERLINK("https://twitter.com/th_mfa","https://twitter.com/th_mfa")</f>
        <v>https://twitter.com/th_mfa</v>
      </c>
      <c r="E781" s="30" t="str">
        <f>HYPERLINK("http://twiplomacy.com/info/asia/Thailand","http://twiplomacy.com/info/asia/Thailand")</f>
        <v>http://twiplomacy.com/info/asia/Thailand</v>
      </c>
      <c r="F781" s="14" t="s">
        <v>154</v>
      </c>
      <c r="G781" s="10" t="s">
        <v>313</v>
      </c>
      <c r="H781" s="10" t="s">
        <v>795</v>
      </c>
      <c r="I781" s="10" t="s">
        <v>782</v>
      </c>
      <c r="J781" s="27" t="s">
        <v>789</v>
      </c>
      <c r="K781" s="15" t="s">
        <v>829</v>
      </c>
      <c r="L781" s="14" t="s">
        <v>771</v>
      </c>
      <c r="M781" s="14" t="s">
        <v>771</v>
      </c>
      <c r="N781" s="14"/>
      <c r="O781" s="13"/>
      <c r="P781" s="81"/>
      <c r="Q781" s="81"/>
      <c r="R781" s="27" t="s">
        <v>2995</v>
      </c>
      <c r="S781" s="10" t="s">
        <v>2929</v>
      </c>
      <c r="T781" s="10" t="s">
        <v>771</v>
      </c>
      <c r="U781" s="10" t="s">
        <v>771</v>
      </c>
      <c r="V781" s="10" t="s">
        <v>771</v>
      </c>
      <c r="W781" s="10"/>
      <c r="X781" s="27" t="s">
        <v>2927</v>
      </c>
      <c r="Y781" s="27" t="s">
        <v>2928</v>
      </c>
      <c r="Z781" s="80">
        <v>0</v>
      </c>
      <c r="AA781" s="27">
        <v>0</v>
      </c>
      <c r="AB781" s="80">
        <v>47</v>
      </c>
      <c r="AC781" s="27">
        <v>0</v>
      </c>
      <c r="AD781" s="27" t="s">
        <v>4520</v>
      </c>
      <c r="AE781" s="27">
        <v>78548126</v>
      </c>
      <c r="AF781" s="27"/>
      <c r="AG781" s="27"/>
      <c r="AH781" s="79"/>
      <c r="AI781" s="79"/>
      <c r="AJ781" s="79"/>
      <c r="AK781" s="79"/>
      <c r="AL781" s="13"/>
      <c r="AM781" s="13"/>
      <c r="AN781" s="27" t="s">
        <v>2927</v>
      </c>
      <c r="AO781" s="27">
        <v>0</v>
      </c>
      <c r="AP781" s="27">
        <v>1</v>
      </c>
      <c r="AQ781" s="27">
        <v>0</v>
      </c>
      <c r="AR781" s="27">
        <f>SUM(AO781:AQ781)</f>
        <v>1</v>
      </c>
      <c r="AS781" s="27"/>
      <c r="AT781" s="27" t="s">
        <v>415</v>
      </c>
      <c r="AU781" s="84"/>
      <c r="AV781" s="68"/>
      <c r="AW781" s="68"/>
      <c r="AX781" s="68"/>
      <c r="AY781" s="68"/>
      <c r="AZ781" s="68"/>
      <c r="BA781" s="68"/>
      <c r="BB781" s="68"/>
      <c r="BC781" s="68"/>
      <c r="BD781" s="68"/>
      <c r="BE781" s="68"/>
      <c r="BF781" s="68"/>
      <c r="BG781" s="68"/>
      <c r="BH781" s="68"/>
      <c r="BI781" s="68"/>
      <c r="BJ781" s="68"/>
      <c r="BK781" s="68"/>
      <c r="BL781" s="68"/>
      <c r="BM781" s="68"/>
      <c r="BN781" s="77"/>
      <c r="BO781" s="77"/>
      <c r="BP781" s="77"/>
      <c r="BQ781" s="77"/>
      <c r="BR781" s="77"/>
      <c r="BS781" s="77"/>
      <c r="BT781" s="77"/>
      <c r="BU781" s="77"/>
      <c r="BV781" s="77"/>
      <c r="BW781" s="77"/>
      <c r="BX781" s="77"/>
      <c r="BY781" s="77"/>
      <c r="BZ781" s="77"/>
      <c r="CA781" s="77"/>
      <c r="CB781" s="77"/>
      <c r="CC781" s="77"/>
      <c r="CD781" s="77"/>
      <c r="CE781" s="77"/>
      <c r="CF781" s="77"/>
      <c r="CG781" s="77"/>
      <c r="CH781" s="77"/>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7"/>
      <c r="DV781" s="77"/>
      <c r="DW781" s="77"/>
      <c r="DX781" s="77"/>
      <c r="DY781" s="77"/>
      <c r="DZ781" s="77"/>
      <c r="EA781" s="77"/>
      <c r="EB781" s="77"/>
      <c r="EC781" s="77"/>
      <c r="ED781" s="77"/>
      <c r="EE781" s="77"/>
      <c r="EF781" s="77"/>
      <c r="EG781" s="77"/>
      <c r="EH781" s="77"/>
      <c r="EI781" s="77"/>
      <c r="EJ781" s="77"/>
      <c r="EK781" s="77"/>
      <c r="EL781" s="77"/>
      <c r="EM781" s="77"/>
      <c r="EN781" s="77"/>
      <c r="EO781" s="77"/>
      <c r="EP781" s="77"/>
      <c r="EQ781" s="77"/>
      <c r="ER781" s="77"/>
      <c r="ES781" s="77"/>
      <c r="ET781" s="77"/>
      <c r="EU781" s="77"/>
      <c r="EV781" s="77"/>
      <c r="EW781" s="77"/>
      <c r="EX781" s="77"/>
      <c r="EY781" s="77"/>
      <c r="EZ781" s="77"/>
      <c r="FA781" s="77"/>
      <c r="FB781" s="77"/>
      <c r="FC781" s="77"/>
      <c r="FD781" s="77"/>
      <c r="FE781" s="77"/>
      <c r="FF781" s="77"/>
      <c r="FG781" s="77"/>
      <c r="FH781" s="77"/>
      <c r="FI781" s="77"/>
      <c r="FJ781" s="77"/>
      <c r="FK781" s="77"/>
      <c r="FL781" s="77"/>
      <c r="FM781" s="77"/>
      <c r="FN781" s="77"/>
      <c r="FO781" s="77"/>
      <c r="FP781" s="77"/>
      <c r="FQ781" s="77"/>
      <c r="FR781" s="77"/>
      <c r="FS781" s="77"/>
      <c r="FT781" s="77"/>
      <c r="FU781" s="77"/>
      <c r="FV781" s="77"/>
      <c r="FW781" s="77"/>
      <c r="FX781" s="77"/>
      <c r="FY781" s="77"/>
      <c r="FZ781" s="77"/>
      <c r="GA781" s="77"/>
      <c r="GB781" s="77"/>
      <c r="GC781" s="77"/>
      <c r="GD781" s="77"/>
      <c r="GE781" s="77"/>
      <c r="GF781" s="77"/>
      <c r="GG781" s="77"/>
      <c r="GH781" s="77"/>
      <c r="GI781" s="77"/>
      <c r="GJ781" s="77"/>
      <c r="GK781" s="77"/>
      <c r="GL781" s="77"/>
      <c r="GM781" s="77"/>
      <c r="GN781" s="77"/>
      <c r="GO781" s="77"/>
      <c r="GP781" s="77"/>
      <c r="GQ781" s="77"/>
      <c r="GR781" s="77"/>
      <c r="GS781" s="77"/>
      <c r="GT781" s="77"/>
      <c r="GU781" s="77"/>
      <c r="GV781" s="77"/>
      <c r="GW781" s="77"/>
      <c r="GX781" s="77"/>
      <c r="GY781" s="77"/>
      <c r="GZ781" s="77"/>
      <c r="HA781" s="77"/>
      <c r="HB781" s="77"/>
      <c r="HC781" s="77"/>
      <c r="HD781" s="77"/>
      <c r="HE781" s="77"/>
      <c r="HF781" s="77"/>
      <c r="HG781" s="77"/>
      <c r="HH781" s="77"/>
      <c r="HI781" s="77"/>
      <c r="HJ781" s="77"/>
      <c r="HK781" s="77"/>
      <c r="HL781" s="77"/>
      <c r="HM781" s="77"/>
      <c r="HN781" s="77"/>
      <c r="HO781" s="77"/>
      <c r="HP781" s="77"/>
      <c r="HQ781" s="77"/>
      <c r="HR781" s="77"/>
      <c r="HS781" s="77"/>
      <c r="HT781" s="77"/>
      <c r="HU781" s="77"/>
      <c r="HV781" s="77"/>
      <c r="HW781" s="77"/>
      <c r="HX781" s="77"/>
      <c r="HY781" s="77"/>
      <c r="HZ781" s="77"/>
      <c r="IA781" s="77"/>
      <c r="IB781" s="77"/>
      <c r="IC781" s="77"/>
      <c r="ID781" s="77"/>
      <c r="IE781" s="77"/>
      <c r="IF781" s="77"/>
      <c r="IG781" s="77"/>
      <c r="IH781" s="77"/>
      <c r="II781" s="77"/>
      <c r="IJ781" s="77"/>
      <c r="IK781" s="77"/>
      <c r="IL781" s="77"/>
      <c r="IM781" s="77"/>
      <c r="IN781" s="77"/>
      <c r="IO781" s="77"/>
      <c r="IP781" s="77"/>
      <c r="IQ781" s="77"/>
      <c r="IR781" s="77"/>
      <c r="IS781" s="77"/>
      <c r="IT781" s="77"/>
      <c r="IU781" s="77"/>
      <c r="IV781" s="77"/>
      <c r="IW781" s="77"/>
      <c r="IX781" s="77"/>
      <c r="IY781" s="77"/>
      <c r="IZ781" s="77"/>
      <c r="JA781" s="77"/>
      <c r="JB781" s="77"/>
      <c r="JC781" s="77"/>
      <c r="JD781" s="77"/>
      <c r="JE781" s="77"/>
      <c r="JF781" s="77"/>
      <c r="JG781" s="77"/>
      <c r="JH781" s="77"/>
      <c r="JI781" s="77"/>
      <c r="JJ781" s="77"/>
      <c r="JK781" s="77"/>
      <c r="JL781" s="77"/>
      <c r="JM781" s="77"/>
      <c r="JN781" s="77"/>
      <c r="JO781" s="77"/>
      <c r="JP781" s="77"/>
      <c r="JQ781" s="77"/>
      <c r="JR781" s="77"/>
      <c r="JS781" s="77"/>
      <c r="JT781" s="77"/>
      <c r="JU781" s="77"/>
      <c r="JV781" s="77"/>
      <c r="JW781" s="77"/>
      <c r="JX781" s="77"/>
      <c r="JY781" s="77"/>
      <c r="JZ781" s="77"/>
      <c r="KA781" s="77"/>
      <c r="KB781" s="77"/>
      <c r="KC781" s="77"/>
      <c r="KD781" s="77"/>
      <c r="KE781" s="77"/>
      <c r="KF781" s="77"/>
      <c r="KG781" s="77"/>
      <c r="KH781" s="77"/>
      <c r="KI781" s="77"/>
      <c r="KJ781" s="77"/>
      <c r="KK781" s="77"/>
      <c r="KL781" s="77"/>
      <c r="KM781" s="77"/>
      <c r="KN781" s="77"/>
      <c r="KO781" s="77"/>
      <c r="KP781" s="77"/>
      <c r="KQ781" s="77"/>
      <c r="KR781" s="77"/>
      <c r="KS781" s="77"/>
      <c r="KT781" s="77"/>
      <c r="KU781" s="77"/>
      <c r="KV781" s="77"/>
      <c r="KW781" s="77"/>
      <c r="KX781" s="77"/>
      <c r="KY781" s="77"/>
      <c r="KZ781" s="77"/>
      <c r="LA781" s="77"/>
      <c r="LB781" s="77"/>
      <c r="LC781" s="77"/>
      <c r="LD781" s="77"/>
      <c r="LE781" s="77"/>
      <c r="LF781" s="77"/>
      <c r="LG781" s="77"/>
      <c r="LH781" s="77"/>
      <c r="LI781" s="77"/>
      <c r="LJ781" s="77"/>
      <c r="LK781" s="77"/>
      <c r="LL781" s="77"/>
      <c r="LM781" s="77"/>
      <c r="LN781" s="77"/>
      <c r="LO781" s="77"/>
      <c r="LP781" s="77"/>
      <c r="LQ781" s="77"/>
      <c r="LR781" s="77"/>
      <c r="LS781" s="77"/>
      <c r="LT781" s="77"/>
      <c r="LU781" s="77"/>
      <c r="LV781" s="77"/>
      <c r="LW781" s="77"/>
      <c r="LX781" s="77"/>
      <c r="MS781" s="77"/>
    </row>
    <row r="782" spans="1:421" s="21" customFormat="1" ht="18.600000000000001" customHeight="1" x14ac:dyDescent="0.25">
      <c r="A782" s="119" t="s">
        <v>323</v>
      </c>
      <c r="B782" s="27" t="s">
        <v>2935</v>
      </c>
      <c r="C782" s="27"/>
      <c r="D782" s="30" t="str">
        <f>HYPERLINK("https://twitter.com/mofa_uae","https://twitter.com/mofa_uae")</f>
        <v>https://twitter.com/mofa_uae</v>
      </c>
      <c r="E782" s="30" t="str">
        <f>HYPERLINK("http://twiplomacy.com/info/asia/United-Arab-Emirates","http://twiplomacy.com/info/asia/United-Arab-Emirates")</f>
        <v>http://twiplomacy.com/info/asia/United-Arab-Emirates</v>
      </c>
      <c r="F782" s="10" t="s">
        <v>154</v>
      </c>
      <c r="G782" s="10" t="s">
        <v>317</v>
      </c>
      <c r="H782" s="10" t="s">
        <v>795</v>
      </c>
      <c r="I782" s="14" t="s">
        <v>782</v>
      </c>
      <c r="J782" s="27" t="s">
        <v>789</v>
      </c>
      <c r="K782" s="15" t="s">
        <v>829</v>
      </c>
      <c r="L782" s="14" t="s">
        <v>771</v>
      </c>
      <c r="M782" s="14" t="s">
        <v>771</v>
      </c>
      <c r="N782" s="14"/>
      <c r="O782" s="13"/>
      <c r="P782" s="81"/>
      <c r="Q782" s="81"/>
      <c r="R782" s="27" t="s">
        <v>2995</v>
      </c>
      <c r="S782" s="10" t="s">
        <v>2936</v>
      </c>
      <c r="T782" s="10" t="s">
        <v>771</v>
      </c>
      <c r="U782" s="10" t="s">
        <v>771</v>
      </c>
      <c r="V782" s="10" t="s">
        <v>771</v>
      </c>
      <c r="W782" s="10"/>
      <c r="X782" s="27" t="s">
        <v>323</v>
      </c>
      <c r="Y782" s="27" t="s">
        <v>2935</v>
      </c>
      <c r="Z782" s="80">
        <v>0</v>
      </c>
      <c r="AA782" s="27">
        <v>0</v>
      </c>
      <c r="AB782" s="80">
        <v>202</v>
      </c>
      <c r="AC782" s="27">
        <v>0</v>
      </c>
      <c r="AD782" s="27" t="s">
        <v>4138</v>
      </c>
      <c r="AE782" s="27">
        <v>165651660</v>
      </c>
      <c r="AF782" s="27"/>
      <c r="AG782" s="27" t="s">
        <v>1676</v>
      </c>
      <c r="AH782" s="79"/>
      <c r="AI782" s="79"/>
      <c r="AJ782" s="79"/>
      <c r="AK782" s="79"/>
      <c r="AL782" s="13"/>
      <c r="AM782" s="13"/>
      <c r="AN782" s="27" t="s">
        <v>323</v>
      </c>
      <c r="AO782" s="27">
        <v>0</v>
      </c>
      <c r="AP782" s="27">
        <v>9</v>
      </c>
      <c r="AQ782" s="27">
        <v>0</v>
      </c>
      <c r="AR782" s="27">
        <f>SUM(AO782:AQ782)</f>
        <v>9</v>
      </c>
      <c r="AS782" s="27"/>
      <c r="AT782" s="27" t="s">
        <v>5336</v>
      </c>
      <c r="AU782" s="84"/>
      <c r="AV782" s="77"/>
      <c r="AW782" s="77"/>
      <c r="AX782" s="77"/>
      <c r="AY782" s="77"/>
      <c r="AZ782" s="77"/>
      <c r="BA782" s="77"/>
      <c r="BB782" s="77"/>
      <c r="BC782" s="77"/>
      <c r="BD782" s="77"/>
      <c r="BE782" s="77"/>
      <c r="BF782" s="77"/>
      <c r="BG782" s="77"/>
      <c r="BH782" s="77"/>
      <c r="BI782" s="77"/>
      <c r="BJ782" s="77"/>
      <c r="BK782" s="77"/>
      <c r="BL782" s="77"/>
      <c r="BM782" s="77"/>
      <c r="BN782" s="77"/>
      <c r="BO782" s="77"/>
      <c r="BP782" s="77"/>
      <c r="BQ782" s="16"/>
      <c r="BR782" s="16"/>
      <c r="BS782" s="16"/>
      <c r="BT782" s="16"/>
      <c r="BU782" s="16"/>
      <c r="BV782" s="16"/>
      <c r="BW782" s="16"/>
      <c r="BX782" s="16"/>
      <c r="BY782" s="16"/>
      <c r="BZ782" s="16"/>
      <c r="CA782" s="16"/>
      <c r="CB782" s="16"/>
      <c r="CC782" s="77"/>
      <c r="CD782" s="77"/>
      <c r="CE782" s="77"/>
      <c r="CF782" s="77"/>
      <c r="CG782" s="77"/>
      <c r="CH782" s="77"/>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7"/>
      <c r="DV782" s="77"/>
      <c r="DW782" s="77"/>
      <c r="DX782" s="77"/>
      <c r="DY782" s="77"/>
      <c r="DZ782" s="77"/>
      <c r="EA782" s="77"/>
      <c r="EB782" s="77"/>
      <c r="EC782" s="77"/>
      <c r="ED782" s="77"/>
      <c r="EE782" s="77"/>
      <c r="EF782" s="77"/>
      <c r="EG782" s="77"/>
      <c r="EH782" s="77"/>
      <c r="EI782" s="77"/>
      <c r="EJ782" s="77"/>
      <c r="EK782" s="77"/>
      <c r="EL782" s="77"/>
      <c r="EM782" s="16"/>
      <c r="EN782" s="16"/>
      <c r="EO782" s="16"/>
      <c r="EP782" s="77"/>
      <c r="EQ782" s="77"/>
      <c r="ER782" s="77"/>
      <c r="ES782" s="77"/>
      <c r="ET782" s="77"/>
      <c r="EU782" s="77"/>
      <c r="EV782" s="77"/>
      <c r="EW782" s="77"/>
      <c r="EX782" s="77"/>
      <c r="EY782" s="77"/>
      <c r="EZ782" s="77"/>
      <c r="FA782" s="77"/>
      <c r="FB782" s="77"/>
      <c r="FC782" s="77"/>
      <c r="FD782" s="77"/>
      <c r="FE782" s="77"/>
      <c r="FF782" s="77"/>
      <c r="FG782" s="77"/>
      <c r="FH782" s="77"/>
      <c r="FI782" s="77"/>
      <c r="FJ782" s="77"/>
      <c r="FK782" s="77"/>
      <c r="FL782" s="77"/>
      <c r="FM782" s="77"/>
      <c r="FN782" s="77"/>
      <c r="FO782" s="77"/>
      <c r="FP782" s="77"/>
      <c r="FQ782" s="77"/>
      <c r="FR782" s="77"/>
      <c r="FS782" s="77"/>
      <c r="FT782" s="77"/>
      <c r="FU782" s="77"/>
      <c r="FV782" s="77"/>
      <c r="FW782" s="77"/>
      <c r="FX782" s="77"/>
      <c r="FY782" s="77"/>
      <c r="FZ782" s="77"/>
      <c r="GA782" s="77"/>
      <c r="GB782" s="77"/>
      <c r="GC782" s="77"/>
      <c r="GD782" s="77"/>
      <c r="GE782" s="77"/>
      <c r="GF782" s="77"/>
      <c r="GG782" s="77"/>
      <c r="GH782" s="77"/>
      <c r="GI782" s="77"/>
      <c r="GJ782" s="77"/>
      <c r="GK782" s="77"/>
      <c r="GL782" s="77"/>
      <c r="GM782" s="77"/>
      <c r="GN782" s="77"/>
      <c r="GO782" s="77"/>
      <c r="GP782" s="77"/>
      <c r="GQ782" s="77"/>
      <c r="GR782" s="77"/>
      <c r="GS782" s="77"/>
      <c r="GT782" s="77"/>
      <c r="GU782" s="77"/>
      <c r="GV782" s="77"/>
      <c r="GW782" s="77"/>
      <c r="GX782" s="77"/>
      <c r="GY782" s="77"/>
      <c r="GZ782" s="77"/>
      <c r="HA782" s="77"/>
      <c r="HB782" s="77"/>
      <c r="HC782" s="77"/>
      <c r="HD782" s="77"/>
      <c r="HE782" s="77"/>
      <c r="HF782" s="77"/>
      <c r="HG782" s="77"/>
      <c r="HH782" s="77"/>
      <c r="HI782" s="77"/>
      <c r="HJ782" s="77"/>
      <c r="HK782" s="77"/>
      <c r="HL782" s="77"/>
      <c r="HM782" s="77"/>
      <c r="HN782" s="77"/>
      <c r="HO782" s="77"/>
      <c r="HP782" s="77"/>
      <c r="HQ782" s="77"/>
      <c r="HR782" s="77"/>
      <c r="HS782" s="77"/>
      <c r="HT782" s="77"/>
      <c r="HU782" s="77"/>
      <c r="HV782" s="77"/>
      <c r="HW782" s="77"/>
      <c r="HX782" s="77"/>
      <c r="HY782" s="77"/>
      <c r="HZ782" s="77"/>
      <c r="IA782" s="77"/>
      <c r="IB782" s="77"/>
      <c r="IC782" s="77"/>
      <c r="ID782" s="77"/>
      <c r="IE782" s="77"/>
      <c r="IF782" s="16"/>
      <c r="IG782" s="16"/>
      <c r="IH782" s="16"/>
      <c r="II782" s="16"/>
      <c r="IJ782" s="16"/>
      <c r="IK782" s="16"/>
      <c r="IL782" s="16"/>
      <c r="IM782" s="16"/>
      <c r="IN782" s="16"/>
      <c r="IO782" s="16"/>
      <c r="IP782" s="16"/>
      <c r="IQ782" s="16"/>
      <c r="IR782" s="16"/>
      <c r="IS782" s="16"/>
      <c r="IT782" s="16"/>
      <c r="IU782" s="16"/>
      <c r="IV782" s="16"/>
      <c r="IW782" s="16"/>
      <c r="IX782" s="16"/>
      <c r="IY782" s="16"/>
      <c r="IZ782" s="16"/>
      <c r="JA782" s="16"/>
      <c r="JB782" s="16"/>
      <c r="JC782" s="16"/>
      <c r="JD782" s="16"/>
      <c r="JE782" s="16"/>
      <c r="JF782" s="16"/>
      <c r="JG782" s="16"/>
      <c r="JH782" s="16"/>
      <c r="JI782" s="16"/>
      <c r="JJ782" s="16"/>
      <c r="JK782" s="16"/>
      <c r="JL782" s="16"/>
      <c r="JM782" s="16"/>
      <c r="JN782" s="16"/>
      <c r="JO782" s="16"/>
      <c r="JP782" s="16"/>
      <c r="JQ782" s="16"/>
      <c r="JR782" s="16"/>
      <c r="JS782" s="16"/>
      <c r="JT782" s="16"/>
      <c r="JU782" s="16"/>
      <c r="JV782" s="16"/>
      <c r="JW782" s="16"/>
      <c r="JX782" s="16"/>
      <c r="KM782" s="77"/>
      <c r="KN782" s="77"/>
      <c r="KO782" s="77"/>
      <c r="KP782" s="77"/>
      <c r="KQ782" s="77"/>
      <c r="KR782" s="77"/>
      <c r="KS782" s="77"/>
      <c r="KT782" s="77"/>
      <c r="KU782" s="77"/>
      <c r="KV782" s="77"/>
      <c r="KW782" s="77"/>
      <c r="KX782" s="77"/>
      <c r="KY782" s="77"/>
      <c r="KZ782" s="77"/>
      <c r="LA782" s="77"/>
      <c r="LB782" s="77"/>
      <c r="LC782" s="77"/>
      <c r="LD782" s="77"/>
      <c r="LE782" s="77"/>
      <c r="LF782" s="77"/>
      <c r="LG782" s="77"/>
      <c r="LH782" s="77"/>
      <c r="LI782" s="77"/>
      <c r="LJ782" s="77"/>
      <c r="LK782" s="77"/>
      <c r="LW782" s="77"/>
      <c r="LX782" s="77"/>
      <c r="MS782" s="77"/>
      <c r="MT782" s="16"/>
      <c r="MU782" s="16"/>
      <c r="MV782" s="16"/>
      <c r="MW782" s="16"/>
      <c r="MX782" s="16"/>
      <c r="MY782" s="16"/>
      <c r="MZ782" s="16"/>
      <c r="NA782" s="16"/>
      <c r="NB782" s="16"/>
      <c r="NC782" s="16"/>
    </row>
    <row r="783" spans="1:421" s="40" customFormat="1" ht="18.600000000000001" customHeight="1" x14ac:dyDescent="0.25">
      <c r="A783" s="119" t="s">
        <v>359</v>
      </c>
      <c r="B783" s="27" t="s">
        <v>1765</v>
      </c>
      <c r="C783" s="27" t="s">
        <v>1766</v>
      </c>
      <c r="D783" s="30" t="str">
        <f>HYPERLINK("https://twitter.com/uredprh","https://twitter.com/uredprh")</f>
        <v>https://twitter.com/uredprh</v>
      </c>
      <c r="E783" s="30" t="str">
        <f>HYPERLINK("http://twiplomacy.com/info/europe/Croatia","http://twiplomacy.com/info/europe/Croatia")</f>
        <v>http://twiplomacy.com/info/europe/Croatia</v>
      </c>
      <c r="F783" s="10" t="s">
        <v>332</v>
      </c>
      <c r="G783" s="10" t="s">
        <v>358</v>
      </c>
      <c r="H783" s="10" t="s">
        <v>781</v>
      </c>
      <c r="I783" s="10" t="s">
        <v>782</v>
      </c>
      <c r="J783" s="27" t="s">
        <v>789</v>
      </c>
      <c r="K783" s="15" t="s">
        <v>829</v>
      </c>
      <c r="L783" s="10"/>
      <c r="M783" s="10" t="s">
        <v>771</v>
      </c>
      <c r="N783" s="10"/>
      <c r="O783" s="13"/>
      <c r="P783" s="81"/>
      <c r="Q783" s="81"/>
      <c r="R783" s="27" t="s">
        <v>2995</v>
      </c>
      <c r="S783" s="10" t="s">
        <v>1767</v>
      </c>
      <c r="T783" s="10" t="s">
        <v>771</v>
      </c>
      <c r="U783" s="10" t="s">
        <v>771</v>
      </c>
      <c r="V783" s="10" t="s">
        <v>771</v>
      </c>
      <c r="W783" s="10"/>
      <c r="X783" s="27" t="s">
        <v>359</v>
      </c>
      <c r="Y783" s="27" t="s">
        <v>1765</v>
      </c>
      <c r="Z783" s="80">
        <v>0</v>
      </c>
      <c r="AA783" s="27">
        <v>0</v>
      </c>
      <c r="AB783" s="80">
        <v>198</v>
      </c>
      <c r="AC783" s="27">
        <v>0</v>
      </c>
      <c r="AD783" s="27" t="s">
        <v>4558</v>
      </c>
      <c r="AE783" s="27">
        <v>1049824686</v>
      </c>
      <c r="AF783" s="27" t="s">
        <v>1766</v>
      </c>
      <c r="AG783" s="27" t="s">
        <v>1768</v>
      </c>
      <c r="AH783" s="79"/>
      <c r="AI783" s="79"/>
      <c r="AJ783" s="79"/>
      <c r="AK783" s="79"/>
      <c r="AL783" s="13"/>
      <c r="AM783" s="13"/>
      <c r="AN783" s="27" t="s">
        <v>359</v>
      </c>
      <c r="AO783" s="27">
        <v>0</v>
      </c>
      <c r="AP783" s="27">
        <v>1</v>
      </c>
      <c r="AQ783" s="27">
        <v>0</v>
      </c>
      <c r="AR783" s="27">
        <f>SUM(AO783:AQ783)</f>
        <v>1</v>
      </c>
      <c r="AS783" s="27"/>
      <c r="AT783" s="27" t="s">
        <v>360</v>
      </c>
      <c r="AU783" s="84"/>
      <c r="AV783" s="77"/>
      <c r="AW783" s="77"/>
      <c r="AX783" s="77"/>
      <c r="AY783" s="77"/>
      <c r="AZ783" s="77"/>
      <c r="BA783" s="77"/>
      <c r="BB783" s="77"/>
      <c r="BC783" s="77"/>
      <c r="BD783" s="77"/>
      <c r="BE783" s="77"/>
      <c r="BF783" s="77"/>
      <c r="BG783" s="77"/>
      <c r="BH783" s="77"/>
      <c r="BI783" s="77"/>
      <c r="BJ783" s="77"/>
      <c r="BK783" s="77"/>
      <c r="BL783" s="77"/>
      <c r="BM783" s="77"/>
      <c r="BN783" s="77"/>
      <c r="BO783" s="77"/>
      <c r="BP783" s="77"/>
      <c r="BQ783" s="77"/>
      <c r="BR783" s="77"/>
      <c r="BS783" s="77"/>
      <c r="BT783" s="77"/>
      <c r="BU783" s="77"/>
      <c r="BV783" s="77"/>
      <c r="BW783" s="77"/>
      <c r="BX783" s="77"/>
      <c r="BY783" s="77"/>
      <c r="BZ783" s="77"/>
      <c r="CA783" s="77"/>
      <c r="CB783" s="77"/>
      <c r="CC783" s="16"/>
      <c r="CD783" s="16"/>
      <c r="CE783" s="16"/>
      <c r="CF783" s="16"/>
      <c r="CG783" s="16"/>
      <c r="CH783" s="16"/>
      <c r="CI783" s="16"/>
      <c r="CJ783" s="16"/>
      <c r="CK783" s="16"/>
      <c r="CL783" s="16"/>
      <c r="CM783" s="16"/>
      <c r="CN783" s="16"/>
      <c r="CO783" s="16"/>
      <c r="CP783" s="16"/>
      <c r="CQ783" s="16"/>
      <c r="CR783" s="16"/>
      <c r="CS783" s="16"/>
      <c r="CT783" s="16"/>
      <c r="CU783" s="16"/>
      <c r="CV783" s="16"/>
      <c r="CW783" s="16"/>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7"/>
      <c r="DV783" s="77"/>
      <c r="DW783" s="77"/>
      <c r="DX783" s="77"/>
      <c r="DY783" s="77"/>
      <c r="DZ783" s="77"/>
      <c r="EA783" s="77"/>
      <c r="EB783" s="77"/>
      <c r="EC783" s="77"/>
      <c r="ED783" s="77"/>
      <c r="EE783" s="77"/>
      <c r="EF783" s="77"/>
      <c r="EG783" s="77"/>
      <c r="EH783" s="77"/>
      <c r="EI783" s="77"/>
      <c r="EJ783" s="77"/>
      <c r="EK783" s="77"/>
      <c r="EL783" s="77"/>
      <c r="EM783" s="77"/>
      <c r="EN783" s="77"/>
      <c r="EO783" s="77"/>
      <c r="ER783" s="77"/>
      <c r="ES783" s="77"/>
      <c r="ET783" s="77"/>
      <c r="EU783" s="77"/>
      <c r="EV783" s="77"/>
      <c r="EW783" s="77"/>
      <c r="EX783" s="77"/>
      <c r="EY783" s="77"/>
      <c r="EZ783" s="77"/>
      <c r="FA783" s="77"/>
      <c r="FB783" s="77"/>
      <c r="FC783" s="77"/>
      <c r="FD783" s="77"/>
      <c r="FE783" s="77"/>
      <c r="FF783" s="77"/>
      <c r="FG783" s="77"/>
      <c r="FH783" s="77"/>
      <c r="FI783" s="77"/>
      <c r="FJ783" s="77"/>
      <c r="FK783" s="77"/>
      <c r="FL783" s="77"/>
      <c r="FM783" s="77"/>
      <c r="FN783" s="77"/>
      <c r="FO783" s="77"/>
      <c r="FP783" s="77"/>
      <c r="FQ783" s="77"/>
      <c r="FR783" s="77"/>
      <c r="FS783" s="77"/>
      <c r="FT783" s="77"/>
      <c r="FU783" s="77"/>
      <c r="FV783" s="77"/>
      <c r="FW783" s="77"/>
      <c r="FX783" s="77"/>
      <c r="FY783" s="77"/>
      <c r="FZ783" s="77"/>
      <c r="GA783" s="77"/>
      <c r="GB783" s="77"/>
      <c r="GC783" s="77"/>
      <c r="GD783" s="77"/>
      <c r="GE783" s="77"/>
      <c r="GF783" s="77"/>
      <c r="GG783" s="77"/>
      <c r="GH783" s="77"/>
      <c r="GI783" s="77"/>
      <c r="GJ783" s="77"/>
      <c r="GK783" s="77"/>
      <c r="GL783" s="77"/>
      <c r="GM783" s="77"/>
      <c r="GN783" s="77"/>
      <c r="GO783" s="77"/>
      <c r="GP783" s="77"/>
      <c r="GQ783" s="77"/>
      <c r="GR783" s="77"/>
      <c r="GS783" s="77"/>
      <c r="GT783" s="77"/>
      <c r="GU783" s="77"/>
      <c r="GV783" s="77"/>
      <c r="GW783" s="77"/>
      <c r="GX783" s="77"/>
      <c r="GY783" s="77"/>
      <c r="GZ783" s="77"/>
      <c r="HA783" s="77"/>
      <c r="HB783" s="77"/>
      <c r="HC783" s="77"/>
      <c r="HD783" s="77"/>
      <c r="HE783" s="77"/>
      <c r="HF783" s="77"/>
      <c r="HG783" s="77"/>
      <c r="HH783" s="77"/>
      <c r="HI783" s="77"/>
      <c r="HJ783" s="77"/>
      <c r="HK783" s="77"/>
      <c r="HL783" s="77"/>
      <c r="HM783" s="77"/>
      <c r="HN783" s="77"/>
      <c r="HO783" s="77"/>
      <c r="HP783" s="77"/>
      <c r="HQ783" s="77"/>
      <c r="HR783" s="77"/>
      <c r="HS783" s="77"/>
      <c r="HT783" s="77"/>
      <c r="HU783" s="77"/>
      <c r="HV783" s="77"/>
      <c r="HW783" s="77"/>
      <c r="HX783" s="77"/>
      <c r="HY783" s="77"/>
      <c r="HZ783" s="77"/>
      <c r="IA783" s="77"/>
      <c r="IB783" s="77"/>
      <c r="IC783" s="77"/>
      <c r="IF783" s="77"/>
      <c r="IG783" s="77"/>
      <c r="IH783" s="77"/>
      <c r="II783" s="77"/>
      <c r="IJ783" s="77"/>
      <c r="IK783" s="77"/>
      <c r="IL783" s="77"/>
      <c r="IM783" s="77"/>
      <c r="IN783" s="77"/>
      <c r="IO783" s="77"/>
      <c r="IP783" s="77"/>
      <c r="IQ783" s="77"/>
      <c r="IR783" s="77"/>
      <c r="IS783" s="77"/>
      <c r="IT783" s="77"/>
      <c r="IU783" s="77"/>
      <c r="IV783" s="77"/>
      <c r="IW783" s="77"/>
      <c r="IX783" s="77"/>
      <c r="IY783" s="77"/>
      <c r="IZ783" s="77"/>
      <c r="JA783" s="77"/>
      <c r="JB783" s="77"/>
      <c r="JC783" s="77"/>
      <c r="JD783" s="77"/>
      <c r="JE783" s="77"/>
      <c r="JF783" s="77"/>
      <c r="JG783" s="77"/>
      <c r="JH783" s="77"/>
      <c r="JI783" s="77"/>
      <c r="JJ783" s="77"/>
      <c r="JK783" s="77"/>
      <c r="JL783" s="77"/>
      <c r="JM783" s="77"/>
      <c r="JN783" s="77"/>
      <c r="JO783" s="77"/>
      <c r="JP783" s="77"/>
      <c r="JQ783" s="77"/>
      <c r="JR783" s="77"/>
      <c r="JS783" s="77"/>
      <c r="JT783" s="77"/>
      <c r="JU783" s="77"/>
      <c r="JV783" s="77"/>
      <c r="JW783" s="77"/>
      <c r="JX783" s="77"/>
      <c r="KM783" s="77"/>
      <c r="KN783" s="77"/>
      <c r="KO783" s="77"/>
      <c r="KP783" s="77"/>
      <c r="KQ783" s="77"/>
      <c r="KR783" s="77"/>
      <c r="KS783" s="77"/>
      <c r="KT783" s="77"/>
      <c r="KU783" s="77"/>
      <c r="KV783" s="77"/>
      <c r="KW783" s="77"/>
      <c r="KX783" s="77"/>
      <c r="KY783" s="77"/>
      <c r="KZ783" s="77"/>
      <c r="LA783" s="77"/>
      <c r="LB783" s="77"/>
      <c r="LC783" s="77"/>
      <c r="LD783" s="77"/>
      <c r="LE783" s="77"/>
      <c r="LF783" s="77"/>
      <c r="LG783" s="77"/>
      <c r="LH783" s="77"/>
      <c r="LI783" s="77"/>
      <c r="LJ783" s="77"/>
      <c r="LK783" s="77"/>
      <c r="LL783" s="77"/>
      <c r="LM783" s="77"/>
      <c r="LN783" s="77"/>
      <c r="LO783" s="77"/>
      <c r="LP783" s="77"/>
      <c r="LQ783" s="77"/>
      <c r="LR783" s="77"/>
      <c r="LS783" s="77"/>
      <c r="LT783" s="77"/>
      <c r="LU783" s="77"/>
      <c r="LV783" s="77"/>
      <c r="ND783" s="77"/>
    </row>
    <row r="784" spans="1:421" s="21" customFormat="1" ht="18.600000000000001" customHeight="1" x14ac:dyDescent="0.25">
      <c r="A784" s="119" t="s">
        <v>3235</v>
      </c>
      <c r="B784" s="27" t="s">
        <v>4517</v>
      </c>
      <c r="C784" s="27"/>
      <c r="D784" s="30" t="s">
        <v>3234</v>
      </c>
      <c r="E784" s="30" t="str">
        <f>HYPERLINK("http://twiplomacy.com/info/europe/Monaco","http://twiplomacy.com/info/europe/Monaco")</f>
        <v>http://twiplomacy.com/info/europe/Monaco</v>
      </c>
      <c r="F784" s="10" t="s">
        <v>332</v>
      </c>
      <c r="G784" s="10" t="s">
        <v>460</v>
      </c>
      <c r="H784" s="10" t="s">
        <v>776</v>
      </c>
      <c r="I784" s="10" t="s">
        <v>773</v>
      </c>
      <c r="J784" s="27" t="s">
        <v>789</v>
      </c>
      <c r="K784" s="15" t="s">
        <v>829</v>
      </c>
      <c r="L784" s="10" t="s">
        <v>771</v>
      </c>
      <c r="M784" s="10" t="s">
        <v>771</v>
      </c>
      <c r="N784" s="20"/>
      <c r="O784" s="13"/>
      <c r="P784" s="81"/>
      <c r="Q784" s="81"/>
      <c r="R784" s="27" t="s">
        <v>2995</v>
      </c>
      <c r="S784" s="12" t="s">
        <v>3236</v>
      </c>
      <c r="T784" s="10" t="s">
        <v>771</v>
      </c>
      <c r="U784" s="10" t="s">
        <v>771</v>
      </c>
      <c r="V784" s="10" t="s">
        <v>771</v>
      </c>
      <c r="W784" s="10"/>
      <c r="X784" s="27" t="s">
        <v>3235</v>
      </c>
      <c r="Y784" s="27" t="s">
        <v>4517</v>
      </c>
      <c r="Z784" s="80">
        <v>0</v>
      </c>
      <c r="AA784" s="27">
        <v>26</v>
      </c>
      <c r="AB784" s="80">
        <v>25</v>
      </c>
      <c r="AC784" s="27">
        <v>0</v>
      </c>
      <c r="AD784" s="27" t="s">
        <v>4518</v>
      </c>
      <c r="AE784" s="27">
        <v>7.0604483280074304E+17</v>
      </c>
      <c r="AF784" s="27"/>
      <c r="AG784" s="27"/>
      <c r="AH784" s="79"/>
      <c r="AI784" s="79"/>
      <c r="AJ784" s="79"/>
      <c r="AK784" s="79"/>
      <c r="AL784" s="13"/>
      <c r="AM784" s="13"/>
      <c r="AN784" s="27" t="s">
        <v>3235</v>
      </c>
      <c r="AO784" s="27">
        <v>2</v>
      </c>
      <c r="AP784" s="27">
        <v>1</v>
      </c>
      <c r="AQ784" s="27">
        <v>1</v>
      </c>
      <c r="AR784" s="27">
        <f>SUM(AO784:AQ784)</f>
        <v>4</v>
      </c>
      <c r="AS784" s="27" t="s">
        <v>5513</v>
      </c>
      <c r="AT784" s="27" t="s">
        <v>465</v>
      </c>
      <c r="AU784" s="84" t="s">
        <v>462</v>
      </c>
      <c r="AV784" s="77"/>
      <c r="AW784" s="77"/>
      <c r="AX784" s="77"/>
      <c r="AY784" s="77"/>
      <c r="AZ784" s="77"/>
      <c r="BA784" s="77"/>
      <c r="BB784" s="77"/>
      <c r="BC784" s="77"/>
      <c r="BD784" s="77"/>
      <c r="BE784" s="77"/>
      <c r="BF784" s="77"/>
      <c r="BG784" s="77"/>
      <c r="BH784" s="77"/>
      <c r="BI784" s="77"/>
      <c r="BJ784" s="77"/>
      <c r="BK784" s="77"/>
      <c r="BL784" s="77"/>
      <c r="BM784" s="77"/>
      <c r="BN784" s="77"/>
      <c r="BO784" s="77"/>
      <c r="BP784" s="77"/>
      <c r="BQ784" s="77"/>
      <c r="BR784" s="77"/>
      <c r="BS784" s="77"/>
      <c r="BT784" s="77"/>
      <c r="BU784" s="77"/>
      <c r="BV784" s="77"/>
      <c r="BW784" s="77"/>
      <c r="BX784" s="77"/>
      <c r="BY784" s="77"/>
      <c r="BZ784" s="77"/>
      <c r="CA784" s="77"/>
      <c r="CB784" s="77"/>
      <c r="CC784" s="77"/>
      <c r="CD784" s="77"/>
      <c r="CE784" s="77"/>
      <c r="CF784" s="77"/>
      <c r="CG784" s="77"/>
      <c r="CH784" s="77"/>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7"/>
      <c r="DV784" s="77"/>
      <c r="DW784" s="77"/>
      <c r="DX784" s="77"/>
      <c r="DY784" s="77"/>
      <c r="DZ784" s="77"/>
      <c r="EA784" s="77"/>
      <c r="EB784" s="77"/>
      <c r="EC784" s="77"/>
      <c r="ED784" s="77"/>
      <c r="EE784" s="77"/>
      <c r="EF784" s="77"/>
      <c r="EG784" s="77"/>
      <c r="EH784" s="77"/>
      <c r="EI784" s="77"/>
      <c r="EJ784" s="77"/>
      <c r="EK784" s="77"/>
      <c r="EL784" s="77"/>
      <c r="EM784" s="77"/>
      <c r="EN784" s="77"/>
      <c r="EO784" s="77"/>
      <c r="EP784" s="77"/>
      <c r="EQ784" s="77"/>
      <c r="GL784" s="77"/>
      <c r="GM784" s="77"/>
      <c r="GN784" s="77"/>
      <c r="GO784" s="77"/>
      <c r="GP784" s="77"/>
      <c r="GQ784" s="77"/>
      <c r="GR784" s="77"/>
      <c r="GS784" s="77"/>
      <c r="GT784" s="77"/>
      <c r="GU784" s="77"/>
      <c r="GV784" s="77"/>
      <c r="GW784" s="77"/>
      <c r="GX784" s="77"/>
      <c r="GY784" s="77"/>
      <c r="GZ784" s="77"/>
      <c r="HA784" s="77"/>
      <c r="HB784" s="77"/>
      <c r="HC784" s="77"/>
      <c r="HD784" s="77"/>
      <c r="HE784" s="77"/>
      <c r="HF784" s="77"/>
      <c r="HG784" s="77"/>
      <c r="HH784" s="77"/>
      <c r="HI784" s="77"/>
      <c r="HJ784" s="77"/>
      <c r="HK784" s="77"/>
      <c r="HL784" s="77"/>
      <c r="HM784" s="77"/>
      <c r="HN784" s="77"/>
      <c r="HO784" s="77"/>
      <c r="HP784" s="77"/>
      <c r="HQ784" s="77"/>
      <c r="HR784" s="77"/>
      <c r="HS784" s="77"/>
      <c r="HT784" s="77"/>
      <c r="HU784" s="77"/>
      <c r="HV784" s="77"/>
      <c r="HW784" s="77"/>
      <c r="HX784" s="77"/>
      <c r="HY784" s="77"/>
      <c r="HZ784" s="77"/>
      <c r="IA784" s="77"/>
      <c r="IB784" s="77"/>
      <c r="IC784" s="77"/>
      <c r="ID784" s="77"/>
      <c r="IE784" s="77"/>
      <c r="JY784" s="77"/>
      <c r="JZ784" s="77"/>
      <c r="KA784" s="77"/>
      <c r="KB784" s="77"/>
      <c r="KC784" s="77"/>
      <c r="KD784" s="77"/>
      <c r="KE784" s="77"/>
      <c r="KF784" s="77"/>
      <c r="KG784" s="77"/>
      <c r="KH784" s="77"/>
      <c r="KI784" s="77"/>
      <c r="KJ784" s="77"/>
      <c r="KK784" s="77"/>
      <c r="KL784" s="77"/>
      <c r="KM784" s="77"/>
      <c r="KN784" s="77"/>
      <c r="KO784" s="77"/>
      <c r="KP784" s="77"/>
      <c r="KQ784" s="77"/>
      <c r="KR784" s="77"/>
      <c r="KS784" s="77"/>
      <c r="KT784" s="77"/>
      <c r="KU784" s="77"/>
      <c r="KV784" s="77"/>
      <c r="KW784" s="77"/>
      <c r="KX784" s="77"/>
      <c r="KY784" s="77"/>
      <c r="KZ784" s="77"/>
      <c r="LA784" s="77"/>
      <c r="LB784" s="77"/>
      <c r="LC784" s="77"/>
      <c r="LD784" s="77"/>
      <c r="LE784" s="77"/>
      <c r="LF784" s="77"/>
      <c r="LG784" s="77"/>
      <c r="LH784" s="77"/>
      <c r="LI784" s="77"/>
      <c r="LJ784" s="77"/>
      <c r="LK784" s="77"/>
      <c r="LL784" s="77"/>
      <c r="LM784" s="77"/>
      <c r="LN784" s="77"/>
      <c r="LO784" s="77"/>
      <c r="LP784" s="77"/>
      <c r="LQ784" s="77"/>
      <c r="LR784" s="77"/>
      <c r="LS784" s="77"/>
      <c r="LT784" s="77"/>
      <c r="LU784" s="77"/>
      <c r="LV784" s="77"/>
      <c r="ND784" s="77"/>
    </row>
    <row r="785" spans="1:368" s="21" customFormat="1" ht="18.600000000000001" customHeight="1" x14ac:dyDescent="0.25">
      <c r="A785" s="119" t="s">
        <v>3332</v>
      </c>
      <c r="B785" s="27" t="s">
        <v>4551</v>
      </c>
      <c r="C785" s="27"/>
      <c r="D785" s="12" t="s">
        <v>3346</v>
      </c>
      <c r="E785" s="31" t="s">
        <v>2999</v>
      </c>
      <c r="F785" s="20" t="s">
        <v>332</v>
      </c>
      <c r="G785" s="20" t="s">
        <v>556</v>
      </c>
      <c r="H785" s="10" t="s">
        <v>3345</v>
      </c>
      <c r="I785" s="10" t="s">
        <v>773</v>
      </c>
      <c r="J785" s="27" t="s">
        <v>789</v>
      </c>
      <c r="K785" s="14" t="s">
        <v>829</v>
      </c>
      <c r="L785" s="10"/>
      <c r="M785" s="10"/>
      <c r="N785" s="30"/>
      <c r="O785" s="13"/>
      <c r="P785" s="81"/>
      <c r="Q785" s="81"/>
      <c r="R785" s="27" t="s">
        <v>2995</v>
      </c>
      <c r="S785" s="12" t="s">
        <v>3409</v>
      </c>
      <c r="T785" s="10" t="s">
        <v>771</v>
      </c>
      <c r="U785" s="10" t="s">
        <v>771</v>
      </c>
      <c r="V785" s="10" t="s">
        <v>771</v>
      </c>
      <c r="W785" s="10"/>
      <c r="X785" s="27" t="s">
        <v>3332</v>
      </c>
      <c r="Y785" s="27" t="s">
        <v>4551</v>
      </c>
      <c r="Z785" s="80">
        <v>0</v>
      </c>
      <c r="AA785" s="27">
        <v>22</v>
      </c>
      <c r="AB785" s="80">
        <v>5</v>
      </c>
      <c r="AC785" s="27">
        <v>0</v>
      </c>
      <c r="AD785" s="27" t="s">
        <v>4552</v>
      </c>
      <c r="AE785" s="27">
        <v>3029896268</v>
      </c>
      <c r="AF785" s="27"/>
      <c r="AG785" s="27"/>
      <c r="AH785" s="79"/>
      <c r="AI785" s="79"/>
      <c r="AJ785" s="79"/>
      <c r="AK785" s="79"/>
      <c r="AL785" s="13"/>
      <c r="AM785" s="13"/>
      <c r="AN785" s="27" t="s">
        <v>3332</v>
      </c>
      <c r="AO785" s="27">
        <v>3</v>
      </c>
      <c r="AP785" s="27">
        <v>0</v>
      </c>
      <c r="AQ785" s="27">
        <v>0</v>
      </c>
      <c r="AR785" s="27">
        <f>SUM(AO785:AQ785)</f>
        <v>3</v>
      </c>
      <c r="AS785" s="27" t="s">
        <v>5535</v>
      </c>
      <c r="AT785" s="27"/>
      <c r="AU785" s="84"/>
      <c r="AV785" s="77"/>
      <c r="AW785" s="77"/>
      <c r="AX785" s="77"/>
      <c r="AY785" s="77"/>
      <c r="AZ785" s="77"/>
      <c r="BA785" s="77"/>
      <c r="BB785" s="77"/>
      <c r="BC785" s="77"/>
      <c r="BD785" s="77"/>
      <c r="BE785" s="77"/>
      <c r="BF785" s="77"/>
      <c r="BG785" s="77"/>
      <c r="BH785" s="77"/>
      <c r="BI785" s="77"/>
      <c r="BJ785" s="77"/>
      <c r="BK785" s="77"/>
      <c r="BL785" s="77"/>
      <c r="BM785" s="77"/>
      <c r="BN785" s="77"/>
      <c r="BO785" s="77"/>
      <c r="BP785" s="77"/>
      <c r="CC785" s="77"/>
      <c r="CD785" s="77"/>
      <c r="CE785" s="77"/>
      <c r="CF785" s="77"/>
      <c r="CG785" s="77"/>
      <c r="CH785" s="77"/>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7"/>
      <c r="DV785" s="77"/>
      <c r="DW785" s="77"/>
      <c r="DX785" s="77"/>
      <c r="DY785" s="77"/>
      <c r="DZ785" s="77"/>
      <c r="EA785" s="77"/>
      <c r="EB785" s="77"/>
      <c r="EC785" s="77"/>
      <c r="ED785" s="77"/>
      <c r="EE785" s="77"/>
      <c r="EF785" s="77"/>
      <c r="EG785" s="77"/>
      <c r="EH785" s="77"/>
      <c r="EI785" s="77"/>
      <c r="EJ785" s="77"/>
      <c r="EK785" s="77"/>
      <c r="EL785" s="77"/>
      <c r="EM785" s="16"/>
      <c r="EN785" s="16"/>
      <c r="EO785" s="16"/>
      <c r="EP785" s="77"/>
      <c r="HL785" s="77"/>
      <c r="HM785" s="77"/>
      <c r="HN785" s="77"/>
      <c r="HO785" s="77"/>
      <c r="HP785" s="77"/>
      <c r="HQ785" s="77"/>
      <c r="HR785" s="77"/>
      <c r="HS785" s="77"/>
      <c r="HT785" s="77"/>
      <c r="HU785" s="77"/>
      <c r="HV785" s="77"/>
      <c r="HW785" s="77"/>
      <c r="HX785" s="77"/>
      <c r="HY785" s="77"/>
      <c r="HZ785" s="77"/>
      <c r="IA785" s="77"/>
      <c r="IB785" s="77"/>
      <c r="IC785" s="77"/>
      <c r="IF785" s="77"/>
      <c r="IG785" s="77"/>
      <c r="IH785" s="77"/>
      <c r="II785" s="77"/>
      <c r="IJ785" s="77"/>
      <c r="IK785" s="77"/>
      <c r="IL785" s="77"/>
      <c r="IM785" s="77"/>
      <c r="IN785" s="77"/>
      <c r="IO785" s="77"/>
      <c r="IP785" s="77"/>
      <c r="IQ785" s="77"/>
      <c r="IR785" s="77"/>
      <c r="IS785" s="77"/>
      <c r="IT785" s="77"/>
      <c r="IU785" s="77"/>
      <c r="IV785" s="77"/>
      <c r="IW785" s="77"/>
      <c r="IX785" s="77"/>
      <c r="IY785" s="77"/>
      <c r="IZ785" s="77"/>
      <c r="JA785" s="77"/>
      <c r="JB785" s="77"/>
      <c r="JC785" s="77"/>
      <c r="JD785" s="77"/>
      <c r="JE785" s="77"/>
      <c r="JF785" s="77"/>
      <c r="JG785" s="77"/>
      <c r="JH785" s="77"/>
      <c r="JI785" s="77"/>
      <c r="JJ785" s="77"/>
      <c r="JK785" s="77"/>
      <c r="JL785" s="77"/>
      <c r="JM785" s="77"/>
      <c r="JN785" s="77"/>
      <c r="JO785" s="77"/>
      <c r="JP785" s="77"/>
      <c r="JQ785" s="77"/>
      <c r="JR785" s="77"/>
      <c r="JS785" s="77"/>
      <c r="JT785" s="77"/>
      <c r="JU785" s="77"/>
      <c r="JV785" s="77"/>
      <c r="JW785" s="77"/>
      <c r="JX785" s="77"/>
      <c r="JY785" s="77"/>
      <c r="JZ785" s="77"/>
      <c r="KA785" s="77"/>
      <c r="KB785" s="77"/>
      <c r="KC785" s="77"/>
      <c r="KD785" s="77"/>
      <c r="KE785" s="77"/>
      <c r="KF785" s="77"/>
      <c r="KG785" s="77"/>
      <c r="KH785" s="77"/>
      <c r="KI785" s="77"/>
      <c r="KJ785" s="77"/>
      <c r="KK785" s="77"/>
      <c r="KL785" s="77"/>
      <c r="LL785" s="77"/>
      <c r="LM785" s="77"/>
      <c r="LN785" s="77"/>
      <c r="LO785" s="77"/>
      <c r="LP785" s="77"/>
      <c r="LQ785" s="77"/>
      <c r="LR785" s="77"/>
      <c r="LS785" s="77"/>
      <c r="LT785" s="77"/>
      <c r="LU785" s="77"/>
      <c r="LV785" s="77"/>
      <c r="LW785" s="77"/>
      <c r="LX785" s="77"/>
      <c r="MS785" s="77"/>
      <c r="MT785" s="77"/>
      <c r="MU785" s="77"/>
      <c r="MV785" s="77"/>
      <c r="MW785" s="77"/>
      <c r="MX785" s="77"/>
      <c r="MY785" s="77"/>
      <c r="MZ785" s="77"/>
      <c r="NA785" s="77"/>
      <c r="NB785" s="77"/>
      <c r="NC785" s="77"/>
    </row>
    <row r="786" spans="1:368" s="21" customFormat="1" ht="18.600000000000001" customHeight="1" x14ac:dyDescent="0.25">
      <c r="A786" s="119" t="s">
        <v>511</v>
      </c>
      <c r="B786" s="27" t="s">
        <v>2186</v>
      </c>
      <c r="C786" s="27" t="s">
        <v>2187</v>
      </c>
      <c r="D786" s="30" t="str">
        <f>HYPERLINK("https://twitter.com/DacicIvica","https://twitter.com/DacicIvica")</f>
        <v>https://twitter.com/DacicIvica</v>
      </c>
      <c r="E786" s="30" t="str">
        <f>HYPERLINK("http://twiplomacy.com/info/europe/Serbia","http://twiplomacy.com/info/europe/Serbia")</f>
        <v>http://twiplomacy.com/info/europe/Serbia</v>
      </c>
      <c r="F786" s="10" t="s">
        <v>332</v>
      </c>
      <c r="G786" s="10" t="s">
        <v>506</v>
      </c>
      <c r="H786" s="10" t="s">
        <v>860</v>
      </c>
      <c r="I786" s="10" t="s">
        <v>773</v>
      </c>
      <c r="J786" s="27" t="s">
        <v>789</v>
      </c>
      <c r="K786" s="10" t="s">
        <v>829</v>
      </c>
      <c r="L786" s="10" t="s">
        <v>771</v>
      </c>
      <c r="M786" s="10" t="s">
        <v>771</v>
      </c>
      <c r="N786" s="20"/>
      <c r="O786" s="13"/>
      <c r="P786" s="81"/>
      <c r="Q786" s="81"/>
      <c r="R786" s="27" t="s">
        <v>2995</v>
      </c>
      <c r="S786" s="30" t="str">
        <f>HYPERLINK("https://twitter.com/DacicIvica/lists","https://twitter.com/DacicIvica/lists")</f>
        <v>https://twitter.com/DacicIvica/lists</v>
      </c>
      <c r="T786" s="10" t="s">
        <v>771</v>
      </c>
      <c r="U786" s="10" t="s">
        <v>771</v>
      </c>
      <c r="V786" s="10" t="s">
        <v>771</v>
      </c>
      <c r="W786" s="10"/>
      <c r="X786" s="27" t="s">
        <v>511</v>
      </c>
      <c r="Y786" s="27" t="s">
        <v>2186</v>
      </c>
      <c r="Z786" s="80">
        <v>0</v>
      </c>
      <c r="AA786" s="27">
        <v>0</v>
      </c>
      <c r="AB786" s="80">
        <v>5286</v>
      </c>
      <c r="AC786" s="27">
        <v>0</v>
      </c>
      <c r="AD786" s="27" t="s">
        <v>3599</v>
      </c>
      <c r="AE786" s="27">
        <v>383069429</v>
      </c>
      <c r="AF786" s="27" t="s">
        <v>2187</v>
      </c>
      <c r="AG786" s="27" t="s">
        <v>2188</v>
      </c>
      <c r="AH786" s="79"/>
      <c r="AI786" s="79"/>
      <c r="AJ786" s="79"/>
      <c r="AK786" s="79"/>
      <c r="AL786" s="13"/>
      <c r="AM786" s="13"/>
      <c r="AN786" s="27" t="s">
        <v>511</v>
      </c>
      <c r="AO786" s="27">
        <v>0</v>
      </c>
      <c r="AP786" s="27">
        <v>6</v>
      </c>
      <c r="AQ786" s="27">
        <v>0</v>
      </c>
      <c r="AR786" s="27">
        <f>SUM(AO786:AQ786)</f>
        <v>6</v>
      </c>
      <c r="AS786" s="27"/>
      <c r="AT786" s="27" t="s">
        <v>5076</v>
      </c>
      <c r="AU786" s="84"/>
      <c r="AV786" s="77"/>
      <c r="AW786" s="77"/>
      <c r="AX786" s="77"/>
      <c r="AY786" s="77"/>
      <c r="AZ786" s="77"/>
      <c r="BA786" s="77"/>
      <c r="BB786" s="77"/>
      <c r="BC786" s="77"/>
      <c r="BD786" s="77"/>
      <c r="BE786" s="77"/>
      <c r="BF786" s="77"/>
      <c r="BG786" s="77"/>
      <c r="BH786" s="77"/>
      <c r="BI786" s="77"/>
      <c r="BJ786" s="77"/>
      <c r="BK786" s="77"/>
      <c r="BL786" s="77"/>
      <c r="BM786" s="77"/>
      <c r="BN786" s="77"/>
      <c r="BO786" s="77"/>
      <c r="BP786" s="77"/>
      <c r="BQ786" s="77"/>
      <c r="BR786" s="77"/>
      <c r="BS786" s="77"/>
      <c r="BT786" s="77"/>
      <c r="BU786" s="77"/>
      <c r="BV786" s="77"/>
      <c r="BW786" s="77"/>
      <c r="BX786" s="77"/>
      <c r="BY786" s="77"/>
      <c r="BZ786" s="77"/>
      <c r="CA786" s="77"/>
      <c r="CB786" s="77"/>
      <c r="CC786" s="16"/>
      <c r="CD786" s="16"/>
      <c r="CE786" s="16"/>
      <c r="CF786" s="16"/>
      <c r="CG786" s="16"/>
      <c r="CH786" s="16"/>
      <c r="CI786" s="16"/>
      <c r="CJ786" s="16"/>
      <c r="CK786" s="16"/>
      <c r="CL786" s="16"/>
      <c r="CM786" s="16"/>
      <c r="CN786" s="16"/>
      <c r="CO786" s="16"/>
      <c r="CP786" s="16"/>
      <c r="CQ786" s="16"/>
      <c r="CR786" s="16"/>
      <c r="CS786" s="16"/>
      <c r="CT786" s="16"/>
      <c r="CU786" s="16"/>
      <c r="CV786" s="16"/>
      <c r="CW786" s="16"/>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7"/>
      <c r="DV786" s="77"/>
      <c r="DW786" s="77"/>
      <c r="DX786" s="77"/>
      <c r="DY786" s="77"/>
      <c r="DZ786" s="77"/>
      <c r="EA786" s="77"/>
      <c r="EB786" s="77"/>
      <c r="EC786" s="77"/>
      <c r="ED786" s="77"/>
      <c r="EE786" s="77"/>
      <c r="EF786" s="77"/>
      <c r="EG786" s="77"/>
      <c r="EH786" s="77"/>
      <c r="EI786" s="77"/>
      <c r="EJ786" s="77"/>
      <c r="EK786" s="77"/>
      <c r="EL786" s="77"/>
      <c r="EM786" s="77"/>
      <c r="EN786" s="77"/>
      <c r="EO786" s="77"/>
      <c r="EP786" s="77"/>
      <c r="EQ786" s="77"/>
      <c r="GL786" s="77"/>
      <c r="GM786" s="77"/>
      <c r="GN786" s="77"/>
      <c r="GO786" s="77"/>
      <c r="GP786" s="77"/>
      <c r="GQ786" s="77"/>
      <c r="GR786" s="77"/>
      <c r="GS786" s="77"/>
      <c r="GT786" s="77"/>
      <c r="GU786" s="77"/>
      <c r="GV786" s="77"/>
      <c r="GW786" s="77"/>
      <c r="GX786" s="77"/>
      <c r="GY786" s="77"/>
      <c r="GZ786" s="77"/>
      <c r="HA786" s="77"/>
      <c r="HB786" s="77"/>
      <c r="HC786" s="77"/>
      <c r="HD786" s="77"/>
      <c r="HE786" s="77"/>
      <c r="HF786" s="77"/>
      <c r="HG786" s="77"/>
      <c r="HH786" s="77"/>
      <c r="HI786" s="77"/>
      <c r="HJ786" s="77"/>
      <c r="HK786" s="77"/>
      <c r="HL786" s="77"/>
      <c r="HM786" s="77"/>
      <c r="HN786" s="77"/>
      <c r="HO786" s="77"/>
      <c r="HP786" s="77"/>
      <c r="HQ786" s="77"/>
      <c r="HR786" s="77"/>
      <c r="HS786" s="77"/>
      <c r="HT786" s="77"/>
      <c r="HU786" s="77"/>
      <c r="HV786" s="77"/>
      <c r="HW786" s="77"/>
      <c r="HX786" s="77"/>
      <c r="HY786" s="77"/>
      <c r="HZ786" s="77"/>
      <c r="IA786" s="77"/>
      <c r="IB786" s="77"/>
      <c r="IC786" s="77"/>
      <c r="ID786" s="77"/>
      <c r="IE786" s="77"/>
      <c r="JY786" s="77"/>
      <c r="JZ786" s="77"/>
      <c r="KA786" s="77"/>
      <c r="KB786" s="77"/>
      <c r="KC786" s="77"/>
      <c r="KD786" s="77"/>
      <c r="KE786" s="77"/>
      <c r="KF786" s="77"/>
      <c r="KG786" s="77"/>
      <c r="KH786" s="77"/>
      <c r="KI786" s="77"/>
      <c r="KJ786" s="77"/>
      <c r="KK786" s="77"/>
      <c r="KL786" s="77"/>
      <c r="KM786" s="77"/>
      <c r="KN786" s="77"/>
      <c r="KO786" s="77"/>
      <c r="KP786" s="77"/>
      <c r="KQ786" s="77"/>
      <c r="KR786" s="77"/>
      <c r="KS786" s="77"/>
      <c r="KT786" s="77"/>
      <c r="KU786" s="77"/>
      <c r="KV786" s="77"/>
      <c r="KW786" s="77"/>
      <c r="KX786" s="77"/>
      <c r="KY786" s="77"/>
      <c r="KZ786" s="77"/>
      <c r="LA786" s="77"/>
      <c r="LB786" s="77"/>
      <c r="LC786" s="77"/>
      <c r="LD786" s="77"/>
      <c r="LE786" s="77"/>
      <c r="LF786" s="77"/>
      <c r="LG786" s="77"/>
      <c r="LH786" s="77"/>
      <c r="LI786" s="77"/>
      <c r="LJ786" s="77"/>
      <c r="LK786" s="77"/>
      <c r="LW786" s="77"/>
      <c r="LX786" s="77"/>
      <c r="LY786" s="77"/>
      <c r="LZ786" s="77"/>
      <c r="MA786" s="77"/>
      <c r="MB786" s="77"/>
      <c r="MC786" s="77"/>
      <c r="MD786" s="77"/>
      <c r="ME786" s="77"/>
      <c r="MF786" s="77"/>
      <c r="MG786" s="77"/>
      <c r="MH786" s="77"/>
      <c r="MI786" s="77"/>
      <c r="MJ786" s="77"/>
      <c r="MK786" s="77"/>
      <c r="ML786" s="77"/>
      <c r="MM786" s="77"/>
      <c r="MN786" s="77"/>
      <c r="MO786" s="77"/>
      <c r="MP786" s="77"/>
      <c r="MQ786" s="77"/>
      <c r="MR786" s="77"/>
      <c r="ND786" s="77"/>
    </row>
    <row r="787" spans="1:368" s="21" customFormat="1" ht="18.600000000000001" customHeight="1" x14ac:dyDescent="0.25">
      <c r="A787" s="119" t="s">
        <v>530</v>
      </c>
      <c r="B787" s="27" t="s">
        <v>530</v>
      </c>
      <c r="C787" s="27"/>
      <c r="D787" s="30" t="s">
        <v>3279</v>
      </c>
      <c r="E787" s="30" t="str">
        <f>HYPERLINK("http://twiplomacy.com/info/europe/sweden/","http://twiplomacy.com/info/europe/sweden/")</f>
        <v>http://twiplomacy.com/info/europe/sweden/</v>
      </c>
      <c r="F787" s="10" t="s">
        <v>332</v>
      </c>
      <c r="G787" s="10" t="s">
        <v>529</v>
      </c>
      <c r="H787" s="10" t="s">
        <v>2224</v>
      </c>
      <c r="I787" s="10" t="s">
        <v>782</v>
      </c>
      <c r="J787" s="27" t="s">
        <v>789</v>
      </c>
      <c r="K787" s="15" t="s">
        <v>829</v>
      </c>
      <c r="L787" s="10" t="s">
        <v>771</v>
      </c>
      <c r="M787" s="10" t="s">
        <v>771</v>
      </c>
      <c r="N787" s="30"/>
      <c r="O787" s="13"/>
      <c r="P787" s="81"/>
      <c r="Q787" s="81"/>
      <c r="R787" s="27" t="s">
        <v>2995</v>
      </c>
      <c r="S787" s="12" t="s">
        <v>3287</v>
      </c>
      <c r="T787" s="10" t="s">
        <v>771</v>
      </c>
      <c r="U787" s="10" t="s">
        <v>771</v>
      </c>
      <c r="V787" s="10" t="s">
        <v>771</v>
      </c>
      <c r="W787" s="10"/>
      <c r="X787" s="27" t="s">
        <v>530</v>
      </c>
      <c r="Y787" s="27" t="s">
        <v>530</v>
      </c>
      <c r="Z787" s="80">
        <v>0</v>
      </c>
      <c r="AA787" s="27">
        <v>0</v>
      </c>
      <c r="AB787" s="80">
        <v>2321</v>
      </c>
      <c r="AC787" s="27">
        <v>0</v>
      </c>
      <c r="AD787" s="27" t="s">
        <v>3960</v>
      </c>
      <c r="AE787" s="27">
        <v>26999576</v>
      </c>
      <c r="AF787" s="27"/>
      <c r="AG787" s="27"/>
      <c r="AH787" s="79"/>
      <c r="AI787" s="79"/>
      <c r="AJ787" s="79"/>
      <c r="AK787" s="79"/>
      <c r="AL787" s="13"/>
      <c r="AM787" s="13"/>
      <c r="AN787" s="27" t="s">
        <v>530</v>
      </c>
      <c r="AO787" s="27">
        <v>0</v>
      </c>
      <c r="AP787" s="27">
        <v>0</v>
      </c>
      <c r="AQ787" s="27">
        <v>0</v>
      </c>
      <c r="AR787" s="27">
        <f>SUM(AO787:AQ787)</f>
        <v>0</v>
      </c>
      <c r="AS787" s="27"/>
      <c r="AT787" s="27"/>
      <c r="AU787" s="84"/>
      <c r="BQ787" s="16"/>
      <c r="BR787" s="16"/>
      <c r="BS787" s="16"/>
      <c r="BT787" s="16"/>
      <c r="BU787" s="16"/>
      <c r="BV787" s="16"/>
      <c r="BW787" s="16"/>
      <c r="BX787" s="16"/>
      <c r="BY787" s="16"/>
      <c r="BZ787" s="16"/>
      <c r="CA787" s="16"/>
      <c r="CB787" s="16"/>
      <c r="CC787" s="77"/>
      <c r="CD787" s="77"/>
      <c r="CE787" s="77"/>
      <c r="CF787" s="77"/>
      <c r="CG787" s="77"/>
      <c r="CH787" s="77"/>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7"/>
      <c r="DV787" s="77"/>
      <c r="DW787" s="77"/>
      <c r="DX787" s="77"/>
      <c r="DY787" s="77"/>
      <c r="DZ787" s="77"/>
      <c r="EA787" s="77"/>
      <c r="EB787" s="77"/>
      <c r="EC787" s="77"/>
      <c r="ED787" s="77"/>
      <c r="EE787" s="77"/>
      <c r="EF787" s="77"/>
      <c r="EG787" s="77"/>
      <c r="EH787" s="77"/>
      <c r="EI787" s="77"/>
      <c r="EJ787" s="77"/>
      <c r="EK787" s="77"/>
      <c r="EL787" s="77"/>
      <c r="EQ787" s="77"/>
      <c r="ER787" s="77"/>
      <c r="ES787" s="77"/>
      <c r="ET787" s="77"/>
      <c r="EU787" s="77"/>
      <c r="EV787" s="77"/>
      <c r="EW787" s="77"/>
      <c r="EX787" s="77"/>
      <c r="EY787" s="77"/>
      <c r="EZ787" s="77"/>
      <c r="FA787" s="77"/>
      <c r="FB787" s="77"/>
      <c r="FC787" s="77"/>
      <c r="FD787" s="77"/>
      <c r="FE787" s="77"/>
      <c r="FF787" s="77"/>
      <c r="FG787" s="77"/>
      <c r="FH787" s="77"/>
      <c r="FI787" s="77"/>
      <c r="FJ787" s="77"/>
      <c r="FK787" s="77"/>
      <c r="FL787" s="77"/>
      <c r="FM787" s="77"/>
      <c r="FN787" s="77"/>
      <c r="FO787" s="77"/>
      <c r="FP787" s="77"/>
      <c r="FQ787" s="77"/>
      <c r="FR787" s="77"/>
      <c r="FS787" s="77"/>
      <c r="FT787" s="77"/>
      <c r="FU787" s="77"/>
      <c r="FV787" s="77"/>
      <c r="FW787" s="77"/>
      <c r="FX787" s="77"/>
      <c r="FY787" s="77"/>
      <c r="FZ787" s="77"/>
      <c r="GA787" s="77"/>
      <c r="GB787" s="77"/>
      <c r="GC787" s="77"/>
      <c r="GD787" s="77"/>
      <c r="GE787" s="77"/>
      <c r="GF787" s="77"/>
      <c r="GG787" s="77"/>
      <c r="GH787" s="77"/>
      <c r="GI787" s="77"/>
      <c r="GJ787" s="77"/>
      <c r="GK787" s="77"/>
      <c r="HL787" s="77"/>
      <c r="HM787" s="77"/>
      <c r="HN787" s="77"/>
      <c r="HO787" s="77"/>
      <c r="HP787" s="77"/>
      <c r="HQ787" s="77"/>
      <c r="HR787" s="77"/>
      <c r="HS787" s="77"/>
      <c r="HT787" s="77"/>
      <c r="HU787" s="77"/>
      <c r="HV787" s="77"/>
      <c r="HW787" s="77"/>
      <c r="HX787" s="77"/>
      <c r="HY787" s="77"/>
      <c r="HZ787" s="77"/>
      <c r="IA787" s="77"/>
      <c r="IB787" s="77"/>
      <c r="IC787" s="77"/>
      <c r="ID787" s="77"/>
      <c r="IE787" s="77"/>
      <c r="IF787" s="77"/>
      <c r="IG787" s="77"/>
      <c r="IH787" s="77"/>
      <c r="II787" s="77"/>
      <c r="IJ787" s="77"/>
      <c r="IK787" s="77"/>
      <c r="IL787" s="77"/>
      <c r="IM787" s="77"/>
      <c r="IN787" s="77"/>
      <c r="IO787" s="77"/>
      <c r="IP787" s="77"/>
      <c r="IQ787" s="77"/>
      <c r="IR787" s="77"/>
      <c r="IS787" s="77"/>
      <c r="IT787" s="77"/>
      <c r="IU787" s="77"/>
      <c r="IV787" s="77"/>
      <c r="IW787" s="77"/>
      <c r="IX787" s="77"/>
      <c r="IY787" s="77"/>
      <c r="IZ787" s="77"/>
      <c r="JA787" s="77"/>
      <c r="JB787" s="77"/>
      <c r="JC787" s="77"/>
      <c r="JD787" s="77"/>
      <c r="JE787" s="77"/>
      <c r="JF787" s="77"/>
      <c r="JG787" s="77"/>
      <c r="JH787" s="77"/>
      <c r="JI787" s="77"/>
      <c r="JJ787" s="77"/>
      <c r="JK787" s="77"/>
      <c r="JL787" s="77"/>
      <c r="JM787" s="77"/>
      <c r="JN787" s="77"/>
      <c r="JO787" s="77"/>
      <c r="JP787" s="77"/>
      <c r="JQ787" s="77"/>
      <c r="JR787" s="77"/>
      <c r="JS787" s="77"/>
      <c r="JT787" s="77"/>
      <c r="JU787" s="77"/>
      <c r="JV787" s="77"/>
      <c r="JW787" s="77"/>
      <c r="JX787" s="77"/>
      <c r="JY787" s="77"/>
      <c r="JZ787" s="77"/>
      <c r="KA787" s="77"/>
      <c r="KB787" s="77"/>
      <c r="KC787" s="77"/>
      <c r="KD787" s="77"/>
      <c r="KE787" s="77"/>
      <c r="KF787" s="77"/>
      <c r="KG787" s="77"/>
      <c r="KH787" s="77"/>
      <c r="KI787" s="77"/>
      <c r="KJ787" s="77"/>
      <c r="KK787" s="77"/>
      <c r="KL787" s="77"/>
      <c r="LW787" s="16"/>
      <c r="LX787" s="16"/>
      <c r="LY787" s="77"/>
      <c r="LZ787" s="77"/>
      <c r="MA787" s="77"/>
      <c r="MB787" s="77"/>
      <c r="MC787" s="77"/>
      <c r="MD787" s="77"/>
      <c r="ME787" s="77"/>
      <c r="MF787" s="77"/>
      <c r="MG787" s="77"/>
      <c r="MH787" s="77"/>
      <c r="MI787" s="77"/>
      <c r="MJ787" s="77"/>
      <c r="MK787" s="77"/>
      <c r="ML787" s="77"/>
      <c r="MM787" s="77"/>
      <c r="MN787" s="77"/>
      <c r="MO787" s="77"/>
      <c r="MP787" s="77"/>
      <c r="MQ787" s="77"/>
      <c r="MR787" s="77"/>
    </row>
    <row r="788" spans="1:368" s="21" customFormat="1" ht="18.600000000000001" customHeight="1" x14ac:dyDescent="0.25">
      <c r="A788" s="119" t="s">
        <v>679</v>
      </c>
      <c r="B788" s="27" t="s">
        <v>4304</v>
      </c>
      <c r="C788" s="27"/>
      <c r="D788" s="30" t="str">
        <f>HYPERLINK("https://twitter.com/PrensaMichelle","https://twitter.com/PrensaMichelle")</f>
        <v>https://twitter.com/PrensaMichelle</v>
      </c>
      <c r="E788" s="30" t="str">
        <f>HYPERLINK("http://twiplomacy.com/info/south-america/Chile","http://twiplomacy.com/info/south-america/Chile")</f>
        <v>http://twiplomacy.com/info/south-america/Chile</v>
      </c>
      <c r="F788" s="10" t="s">
        <v>668</v>
      </c>
      <c r="G788" s="10" t="s">
        <v>678</v>
      </c>
      <c r="H788" s="10" t="s">
        <v>772</v>
      </c>
      <c r="I788" s="10" t="s">
        <v>773</v>
      </c>
      <c r="J788" s="27" t="s">
        <v>2226</v>
      </c>
      <c r="K788" s="10" t="s">
        <v>2709</v>
      </c>
      <c r="L788" s="10" t="s">
        <v>771</v>
      </c>
      <c r="M788" s="10" t="s">
        <v>770</v>
      </c>
      <c r="N788" s="30" t="str">
        <f>HYPERLINK("https://twitter.com/PrensaMichelle/statuses/319918989033758720","https://twitter.com/PrensaMichelle/statuses/319918989033758720")</f>
        <v>https://twitter.com/PrensaMichelle/statuses/319918989033758720</v>
      </c>
      <c r="O788" s="13"/>
      <c r="P788" s="81"/>
      <c r="Q788" s="81"/>
      <c r="R788" s="27" t="s">
        <v>2995</v>
      </c>
      <c r="S788" s="10" t="s">
        <v>2710</v>
      </c>
      <c r="T788" s="10" t="s">
        <v>771</v>
      </c>
      <c r="U788" s="10" t="s">
        <v>771</v>
      </c>
      <c r="V788" s="10" t="s">
        <v>771</v>
      </c>
      <c r="W788" s="10"/>
      <c r="X788" s="27" t="s">
        <v>679</v>
      </c>
      <c r="Y788" s="27" t="s">
        <v>4304</v>
      </c>
      <c r="Z788" s="80">
        <v>0</v>
      </c>
      <c r="AA788" s="27">
        <v>0</v>
      </c>
      <c r="AB788" s="80">
        <v>0</v>
      </c>
      <c r="AC788" s="27">
        <v>0</v>
      </c>
      <c r="AD788" s="27" t="s">
        <v>4305</v>
      </c>
      <c r="AE788" s="27">
        <v>4003559752</v>
      </c>
      <c r="AF788" s="27"/>
      <c r="AG788" s="27"/>
      <c r="AH788" s="79"/>
      <c r="AI788" s="79"/>
      <c r="AJ788" s="79"/>
      <c r="AK788" s="79"/>
      <c r="AL788" s="13"/>
      <c r="AM788" s="13"/>
      <c r="AN788" s="27" t="s">
        <v>679</v>
      </c>
      <c r="AO788" s="27">
        <v>0</v>
      </c>
      <c r="AP788" s="27">
        <v>0</v>
      </c>
      <c r="AQ788" s="27">
        <v>0</v>
      </c>
      <c r="AR788" s="27">
        <f>SUM(AO788:AQ788)</f>
        <v>0</v>
      </c>
      <c r="AS788" s="27"/>
      <c r="AT788" s="27"/>
      <c r="AU788" s="84"/>
      <c r="AV788" s="77"/>
      <c r="AW788" s="77"/>
      <c r="AX788" s="77"/>
      <c r="AY788" s="77"/>
      <c r="AZ788" s="77"/>
      <c r="BA788" s="77"/>
      <c r="BB788" s="77"/>
      <c r="BC788" s="77"/>
      <c r="BD788" s="77"/>
      <c r="BE788" s="77"/>
      <c r="BF788" s="77"/>
      <c r="BG788" s="77"/>
      <c r="BH788" s="77"/>
      <c r="BI788" s="77"/>
      <c r="BJ788" s="77"/>
      <c r="BK788" s="77"/>
      <c r="BL788" s="77"/>
      <c r="BM788" s="77"/>
      <c r="BN788" s="77"/>
      <c r="BO788" s="77"/>
      <c r="BP788" s="77"/>
      <c r="BQ788" s="77"/>
      <c r="BR788" s="77"/>
      <c r="BS788" s="77"/>
      <c r="BT788" s="77"/>
      <c r="BU788" s="77"/>
      <c r="BV788" s="77"/>
      <c r="BW788" s="77"/>
      <c r="BX788" s="77"/>
      <c r="BY788" s="77"/>
      <c r="BZ788" s="77"/>
      <c r="CA788" s="77"/>
      <c r="CB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7"/>
      <c r="DV788" s="77"/>
      <c r="DW788" s="77"/>
      <c r="DX788" s="77"/>
      <c r="DY788" s="77"/>
      <c r="DZ788" s="77"/>
      <c r="EA788" s="77"/>
      <c r="EB788" s="77"/>
      <c r="EC788" s="77"/>
      <c r="ED788" s="77"/>
      <c r="EE788" s="77"/>
      <c r="EF788" s="77"/>
      <c r="EG788" s="77"/>
      <c r="EH788" s="77"/>
      <c r="EI788" s="77"/>
      <c r="EJ788" s="77"/>
      <c r="EK788" s="77"/>
      <c r="EL788" s="77"/>
      <c r="EM788" s="77"/>
      <c r="EN788" s="77"/>
      <c r="EO788" s="77"/>
      <c r="EP788" s="77"/>
      <c r="ER788" s="77"/>
      <c r="ES788" s="77"/>
      <c r="ET788" s="77"/>
      <c r="EU788" s="77"/>
      <c r="EV788" s="77"/>
      <c r="EW788" s="77"/>
      <c r="EX788" s="77"/>
      <c r="EY788" s="77"/>
      <c r="EZ788" s="77"/>
      <c r="FA788" s="77"/>
      <c r="FB788" s="77"/>
      <c r="FC788" s="77"/>
      <c r="FD788" s="77"/>
      <c r="FE788" s="77"/>
      <c r="FF788" s="77"/>
      <c r="FG788" s="77"/>
      <c r="FH788" s="77"/>
      <c r="FI788" s="77"/>
      <c r="FJ788" s="77"/>
      <c r="FK788" s="77"/>
      <c r="FL788" s="77"/>
      <c r="FM788" s="77"/>
      <c r="FN788" s="77"/>
      <c r="FO788" s="77"/>
      <c r="FP788" s="77"/>
      <c r="FQ788" s="77"/>
      <c r="FR788" s="77"/>
      <c r="FS788" s="77"/>
      <c r="FT788" s="77"/>
      <c r="FU788" s="77"/>
      <c r="FV788" s="77"/>
      <c r="FW788" s="77"/>
      <c r="FX788" s="77"/>
      <c r="FY788" s="77"/>
      <c r="FZ788" s="77"/>
      <c r="GA788" s="77"/>
      <c r="GB788" s="77"/>
      <c r="GC788" s="77"/>
      <c r="GD788" s="77"/>
      <c r="GE788" s="77"/>
      <c r="GF788" s="77"/>
      <c r="GG788" s="77"/>
      <c r="GH788" s="77"/>
      <c r="GI788" s="77"/>
      <c r="GJ788" s="77"/>
      <c r="GK788" s="77"/>
      <c r="HL788" s="77"/>
      <c r="HM788" s="77"/>
      <c r="HN788" s="77"/>
      <c r="HO788" s="77"/>
      <c r="HP788" s="77"/>
      <c r="HQ788" s="77"/>
      <c r="HR788" s="77"/>
      <c r="HS788" s="77"/>
      <c r="HT788" s="77"/>
      <c r="HU788" s="77"/>
      <c r="HV788" s="77"/>
      <c r="HW788" s="77"/>
      <c r="HX788" s="77"/>
      <c r="HY788" s="77"/>
      <c r="HZ788" s="77"/>
      <c r="IA788" s="77"/>
      <c r="IB788" s="77"/>
      <c r="IC788" s="77"/>
      <c r="IF788" s="77"/>
      <c r="IG788" s="77"/>
      <c r="IH788" s="77"/>
      <c r="II788" s="77"/>
      <c r="IJ788" s="77"/>
      <c r="IK788" s="77"/>
      <c r="IL788" s="77"/>
      <c r="IM788" s="77"/>
      <c r="IN788" s="77"/>
      <c r="IO788" s="77"/>
      <c r="IP788" s="77"/>
      <c r="IQ788" s="77"/>
      <c r="IR788" s="77"/>
      <c r="IS788" s="77"/>
      <c r="IT788" s="77"/>
      <c r="IU788" s="77"/>
      <c r="IV788" s="77"/>
      <c r="IW788" s="77"/>
      <c r="IX788" s="77"/>
      <c r="IY788" s="77"/>
      <c r="IZ788" s="77"/>
      <c r="JA788" s="77"/>
      <c r="JB788" s="77"/>
      <c r="JC788" s="77"/>
      <c r="JD788" s="77"/>
      <c r="JE788" s="77"/>
      <c r="JF788" s="77"/>
      <c r="JG788" s="77"/>
      <c r="JH788" s="77"/>
      <c r="JI788" s="77"/>
      <c r="JJ788" s="77"/>
      <c r="JK788" s="77"/>
      <c r="JL788" s="77"/>
      <c r="JM788" s="77"/>
      <c r="JN788" s="77"/>
      <c r="JO788" s="77"/>
      <c r="JP788" s="77"/>
      <c r="JQ788" s="77"/>
      <c r="JR788" s="77"/>
      <c r="JS788" s="77"/>
      <c r="JT788" s="77"/>
      <c r="JU788" s="77"/>
      <c r="JV788" s="77"/>
      <c r="JW788" s="77"/>
      <c r="JX788" s="77"/>
      <c r="JY788" s="77"/>
      <c r="JZ788" s="77"/>
      <c r="KA788" s="77"/>
      <c r="KB788" s="77"/>
      <c r="KC788" s="77"/>
      <c r="KD788" s="77"/>
      <c r="KE788" s="77"/>
      <c r="KF788" s="77"/>
      <c r="KG788" s="77"/>
      <c r="KH788" s="77"/>
      <c r="KI788" s="77"/>
      <c r="KJ788" s="77"/>
      <c r="KK788" s="77"/>
      <c r="KL788" s="77"/>
      <c r="LL788" s="77"/>
      <c r="LM788" s="77"/>
      <c r="LN788" s="77"/>
      <c r="LO788" s="77"/>
      <c r="LP788" s="77"/>
      <c r="LQ788" s="77"/>
      <c r="LR788" s="77"/>
      <c r="LS788" s="77"/>
      <c r="LT788" s="77"/>
      <c r="LU788" s="77"/>
      <c r="LV788" s="77"/>
    </row>
    <row r="789" spans="1:368" s="21" customFormat="1" ht="18.600000000000001" customHeight="1" x14ac:dyDescent="0.25">
      <c r="A789" s="119" t="s">
        <v>2811</v>
      </c>
      <c r="B789" s="27" t="s">
        <v>2782</v>
      </c>
      <c r="C789" s="27"/>
      <c r="D789" s="30" t="str">
        <f>HYPERLINK("https://twitter.com/maduro_be","https://twitter.com/maduro_be")</f>
        <v>https://twitter.com/maduro_be</v>
      </c>
      <c r="E789" s="30" t="str">
        <f>HYPERLINK("http://twiplomacy.com/info/south-america/Venezuela","http://twiplomacy.com/info/south-america/Venezuela")</f>
        <v>http://twiplomacy.com/info/south-america/Venezuela</v>
      </c>
      <c r="F789" s="10" t="s">
        <v>668</v>
      </c>
      <c r="G789" s="10" t="s">
        <v>710</v>
      </c>
      <c r="H789" s="10" t="s">
        <v>772</v>
      </c>
      <c r="I789" s="10" t="s">
        <v>773</v>
      </c>
      <c r="J789" s="27" t="s">
        <v>2226</v>
      </c>
      <c r="K789" s="10" t="s">
        <v>829</v>
      </c>
      <c r="L789" s="10" t="s">
        <v>771</v>
      </c>
      <c r="M789" s="10" t="s">
        <v>770</v>
      </c>
      <c r="N789" s="10"/>
      <c r="O789" s="13"/>
      <c r="P789" s="81"/>
      <c r="Q789" s="81"/>
      <c r="R789" s="27" t="s">
        <v>2995</v>
      </c>
      <c r="S789" s="10" t="s">
        <v>2812</v>
      </c>
      <c r="T789" s="10" t="s">
        <v>771</v>
      </c>
      <c r="U789" s="10" t="s">
        <v>771</v>
      </c>
      <c r="V789" s="10" t="s">
        <v>771</v>
      </c>
      <c r="W789" s="10"/>
      <c r="X789" s="27" t="s">
        <v>2811</v>
      </c>
      <c r="Y789" s="27" t="s">
        <v>2782</v>
      </c>
      <c r="Z789" s="80">
        <v>0</v>
      </c>
      <c r="AA789" s="27">
        <v>11</v>
      </c>
      <c r="AB789" s="80">
        <v>2287</v>
      </c>
      <c r="AC789" s="27">
        <v>0</v>
      </c>
      <c r="AD789" s="27" t="s">
        <v>3982</v>
      </c>
      <c r="AE789" s="27">
        <v>1674676957</v>
      </c>
      <c r="AF789" s="27"/>
      <c r="AG789" s="27"/>
      <c r="AH789" s="79"/>
      <c r="AI789" s="79"/>
      <c r="AJ789" s="79"/>
      <c r="AK789" s="79"/>
      <c r="AL789" s="13"/>
      <c r="AM789" s="13"/>
      <c r="AN789" s="27" t="s">
        <v>2811</v>
      </c>
      <c r="AO789" s="27">
        <v>1</v>
      </c>
      <c r="AP789" s="27">
        <v>1</v>
      </c>
      <c r="AQ789" s="27">
        <v>8</v>
      </c>
      <c r="AR789" s="27">
        <f>SUM(AO789:AQ789)</f>
        <v>10</v>
      </c>
      <c r="AS789" s="27" t="s">
        <v>2808</v>
      </c>
      <c r="AT789" s="27" t="s">
        <v>360</v>
      </c>
      <c r="AU789" s="84" t="s">
        <v>4811</v>
      </c>
      <c r="AV789" s="77"/>
      <c r="AW789" s="77"/>
      <c r="AX789" s="77"/>
      <c r="AY789" s="77"/>
      <c r="AZ789" s="77"/>
      <c r="BA789" s="77"/>
      <c r="BB789" s="77"/>
      <c r="BC789" s="77"/>
      <c r="BD789" s="77"/>
      <c r="BE789" s="77"/>
      <c r="BF789" s="77"/>
      <c r="BG789" s="77"/>
      <c r="BH789" s="77"/>
      <c r="BI789" s="77"/>
      <c r="BJ789" s="77"/>
      <c r="BK789" s="77"/>
      <c r="BL789" s="77"/>
      <c r="BM789" s="77"/>
      <c r="BN789" s="77"/>
      <c r="BO789" s="77"/>
      <c r="BP789" s="77"/>
      <c r="BQ789" s="77"/>
      <c r="BR789" s="77"/>
      <c r="BS789" s="77"/>
      <c r="BT789" s="77"/>
      <c r="BU789" s="77"/>
      <c r="BV789" s="77"/>
      <c r="BW789" s="77"/>
      <c r="BX789" s="77"/>
      <c r="BY789" s="77"/>
      <c r="BZ789" s="77"/>
      <c r="CA789" s="77"/>
      <c r="CB789" s="77"/>
      <c r="CC789" s="77"/>
      <c r="CD789" s="77"/>
      <c r="CE789" s="77"/>
      <c r="CF789" s="77"/>
      <c r="CG789" s="77"/>
      <c r="CH789" s="77"/>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7"/>
      <c r="DV789" s="77"/>
      <c r="DW789" s="77"/>
      <c r="DX789" s="77"/>
      <c r="DY789" s="77"/>
      <c r="DZ789" s="77"/>
      <c r="EA789" s="77"/>
      <c r="EB789" s="77"/>
      <c r="EC789" s="77"/>
      <c r="ED789" s="77"/>
      <c r="EE789" s="77"/>
      <c r="EF789" s="77"/>
      <c r="EG789" s="77"/>
      <c r="EH789" s="77"/>
      <c r="EI789" s="77"/>
      <c r="EJ789" s="77"/>
      <c r="EK789" s="77"/>
      <c r="EL789" s="77"/>
      <c r="EM789" s="77"/>
      <c r="EN789" s="77"/>
      <c r="EO789" s="77"/>
      <c r="EP789" s="77"/>
      <c r="EQ789" s="77"/>
      <c r="ER789" s="77"/>
      <c r="ES789" s="77"/>
      <c r="ET789" s="77"/>
      <c r="EU789" s="77"/>
      <c r="EV789" s="77"/>
      <c r="EW789" s="77"/>
      <c r="EX789" s="77"/>
      <c r="EY789" s="77"/>
      <c r="EZ789" s="77"/>
      <c r="FA789" s="77"/>
      <c r="FB789" s="77"/>
      <c r="FC789" s="77"/>
      <c r="FD789" s="77"/>
      <c r="FE789" s="77"/>
      <c r="FF789" s="77"/>
      <c r="FG789" s="77"/>
      <c r="FH789" s="77"/>
      <c r="FI789" s="77"/>
      <c r="FJ789" s="77"/>
      <c r="FK789" s="77"/>
      <c r="FL789" s="77"/>
      <c r="FM789" s="77"/>
      <c r="FN789" s="77"/>
      <c r="FO789" s="77"/>
      <c r="FP789" s="77"/>
      <c r="FQ789" s="77"/>
      <c r="FR789" s="77"/>
      <c r="FS789" s="77"/>
      <c r="FT789" s="77"/>
      <c r="FU789" s="77"/>
      <c r="FV789" s="77"/>
      <c r="FW789" s="77"/>
      <c r="FX789" s="77"/>
      <c r="FY789" s="77"/>
      <c r="FZ789" s="77"/>
      <c r="GA789" s="77"/>
      <c r="GB789" s="77"/>
      <c r="GC789" s="77"/>
      <c r="GD789" s="77"/>
      <c r="GE789" s="77"/>
      <c r="GF789" s="77"/>
      <c r="GG789" s="77"/>
      <c r="GH789" s="77"/>
      <c r="GI789" s="77"/>
      <c r="GJ789" s="77"/>
      <c r="GK789" s="77"/>
      <c r="GL789" s="77"/>
      <c r="GM789" s="77"/>
      <c r="GN789" s="77"/>
      <c r="GO789" s="77"/>
      <c r="GP789" s="77"/>
      <c r="GQ789" s="77"/>
      <c r="GR789" s="77"/>
      <c r="GS789" s="77"/>
      <c r="GT789" s="77"/>
      <c r="GU789" s="77"/>
      <c r="GV789" s="77"/>
      <c r="GW789" s="77"/>
      <c r="GX789" s="77"/>
      <c r="GY789" s="77"/>
      <c r="GZ789" s="77"/>
      <c r="HA789" s="77"/>
      <c r="HB789" s="77"/>
      <c r="HC789" s="77"/>
      <c r="HD789" s="77"/>
      <c r="HE789" s="77"/>
      <c r="HF789" s="77"/>
      <c r="HG789" s="77"/>
      <c r="HH789" s="77"/>
      <c r="HI789" s="77"/>
      <c r="HJ789" s="77"/>
      <c r="HK789" s="77"/>
      <c r="ID789" s="77"/>
      <c r="IE789" s="77"/>
      <c r="IF789" s="77"/>
      <c r="IG789" s="77"/>
      <c r="IH789" s="77"/>
      <c r="II789" s="77"/>
      <c r="IJ789" s="77"/>
      <c r="IK789" s="77"/>
      <c r="IL789" s="77"/>
      <c r="IM789" s="77"/>
      <c r="IN789" s="77"/>
      <c r="IO789" s="77"/>
      <c r="IP789" s="77"/>
      <c r="IQ789" s="77"/>
      <c r="IR789" s="77"/>
      <c r="IS789" s="77"/>
      <c r="IT789" s="77"/>
      <c r="IU789" s="77"/>
      <c r="IV789" s="77"/>
      <c r="IW789" s="77"/>
      <c r="IX789" s="77"/>
      <c r="IY789" s="77"/>
      <c r="IZ789" s="77"/>
      <c r="JA789" s="77"/>
      <c r="JB789" s="77"/>
      <c r="JC789" s="77"/>
      <c r="JD789" s="77"/>
      <c r="JE789" s="77"/>
      <c r="JF789" s="77"/>
      <c r="JG789" s="77"/>
      <c r="JH789" s="77"/>
      <c r="JI789" s="77"/>
      <c r="JJ789" s="77"/>
      <c r="JK789" s="77"/>
      <c r="JL789" s="77"/>
      <c r="JM789" s="77"/>
      <c r="JN789" s="77"/>
      <c r="JO789" s="77"/>
      <c r="JP789" s="77"/>
      <c r="JQ789" s="77"/>
      <c r="JR789" s="77"/>
      <c r="JS789" s="77"/>
      <c r="JT789" s="77"/>
      <c r="JU789" s="77"/>
      <c r="JV789" s="77"/>
      <c r="JW789" s="77"/>
      <c r="JX789" s="77"/>
      <c r="KM789" s="77"/>
      <c r="KN789" s="77"/>
      <c r="KO789" s="77"/>
      <c r="KP789" s="77"/>
      <c r="KQ789" s="77"/>
      <c r="KR789" s="77"/>
      <c r="KS789" s="77"/>
      <c r="KT789" s="77"/>
      <c r="KU789" s="77"/>
      <c r="KV789" s="77"/>
      <c r="KW789" s="77"/>
      <c r="KX789" s="77"/>
      <c r="KY789" s="77"/>
      <c r="KZ789" s="77"/>
      <c r="LA789" s="77"/>
      <c r="LB789" s="77"/>
      <c r="LC789" s="77"/>
      <c r="LD789" s="77"/>
      <c r="LE789" s="77"/>
      <c r="LF789" s="77"/>
      <c r="LG789" s="77"/>
      <c r="LH789" s="77"/>
      <c r="LI789" s="77"/>
      <c r="LJ789" s="77"/>
      <c r="LK789" s="77"/>
      <c r="LW789" s="77"/>
      <c r="LX789" s="77"/>
      <c r="LY789" s="77"/>
      <c r="LZ789" s="77"/>
      <c r="MA789" s="77"/>
      <c r="MB789" s="77"/>
      <c r="MC789" s="77"/>
      <c r="MD789" s="77"/>
      <c r="ME789" s="77"/>
      <c r="MF789" s="77"/>
      <c r="MG789" s="77"/>
      <c r="MH789" s="77"/>
      <c r="MI789" s="77"/>
      <c r="MJ789" s="77"/>
      <c r="MK789" s="77"/>
      <c r="ML789" s="77"/>
      <c r="MM789" s="77"/>
      <c r="MN789" s="77"/>
      <c r="MO789" s="77"/>
      <c r="MP789" s="77"/>
      <c r="MQ789" s="77"/>
      <c r="MR789" s="77"/>
    </row>
    <row r="790" spans="1:368" s="21" customFormat="1" ht="18.600000000000001" customHeight="1" x14ac:dyDescent="0.25">
      <c r="A790" s="119" t="s">
        <v>2822</v>
      </c>
      <c r="B790" s="27" t="s">
        <v>2782</v>
      </c>
      <c r="C790" s="27"/>
      <c r="D790" s="30" t="str">
        <f>HYPERLINK("https://twitter.com/maduro_cn","https://twitter.com/maduro_cn")</f>
        <v>https://twitter.com/maduro_cn</v>
      </c>
      <c r="E790" s="30" t="str">
        <f>HYPERLINK("http://twiplomacy.com/info/south-america/Venezuela","http://twiplomacy.com/info/south-america/Venezuela")</f>
        <v>http://twiplomacy.com/info/south-america/Venezuela</v>
      </c>
      <c r="F790" s="10" t="s">
        <v>668</v>
      </c>
      <c r="G790" s="10" t="s">
        <v>710</v>
      </c>
      <c r="H790" s="10" t="s">
        <v>772</v>
      </c>
      <c r="I790" s="10" t="s">
        <v>773</v>
      </c>
      <c r="J790" s="27" t="s">
        <v>2226</v>
      </c>
      <c r="K790" s="10" t="s">
        <v>829</v>
      </c>
      <c r="L790" s="10" t="s">
        <v>771</v>
      </c>
      <c r="M790" s="10" t="s">
        <v>770</v>
      </c>
      <c r="N790" s="10"/>
      <c r="O790" s="13"/>
      <c r="P790" s="81"/>
      <c r="Q790" s="81"/>
      <c r="R790" s="27" t="s">
        <v>2995</v>
      </c>
      <c r="S790" s="10" t="s">
        <v>2823</v>
      </c>
      <c r="T790" s="10" t="s">
        <v>771</v>
      </c>
      <c r="U790" s="10" t="s">
        <v>771</v>
      </c>
      <c r="V790" s="10" t="s">
        <v>771</v>
      </c>
      <c r="W790" s="10"/>
      <c r="X790" s="27" t="s">
        <v>2822</v>
      </c>
      <c r="Y790" s="27" t="s">
        <v>2782</v>
      </c>
      <c r="Z790" s="80">
        <v>0</v>
      </c>
      <c r="AA790" s="27">
        <v>8</v>
      </c>
      <c r="AB790" s="80">
        <v>947</v>
      </c>
      <c r="AC790" s="27">
        <v>0</v>
      </c>
      <c r="AD790" s="27" t="s">
        <v>3984</v>
      </c>
      <c r="AE790" s="27">
        <v>1660580893</v>
      </c>
      <c r="AF790" s="27"/>
      <c r="AG790" s="27"/>
      <c r="AH790" s="79"/>
      <c r="AI790" s="79"/>
      <c r="AJ790" s="79"/>
      <c r="AK790" s="79"/>
      <c r="AL790" s="13"/>
      <c r="AM790" s="13"/>
      <c r="AN790" s="27" t="s">
        <v>2822</v>
      </c>
      <c r="AO790" s="27">
        <v>0</v>
      </c>
      <c r="AP790" s="27">
        <v>2</v>
      </c>
      <c r="AQ790" s="27">
        <v>7</v>
      </c>
      <c r="AR790" s="27">
        <f>SUM(AO790:AQ790)</f>
        <v>9</v>
      </c>
      <c r="AS790" s="27"/>
      <c r="AT790" s="27" t="s">
        <v>5259</v>
      </c>
      <c r="AU790" s="84" t="s">
        <v>4813</v>
      </c>
      <c r="AV790" s="77"/>
      <c r="AW790" s="77"/>
      <c r="AX790" s="77"/>
      <c r="AY790" s="77"/>
      <c r="AZ790" s="77"/>
      <c r="BA790" s="77"/>
      <c r="BB790" s="77"/>
      <c r="BC790" s="77"/>
      <c r="BD790" s="77"/>
      <c r="BE790" s="77"/>
      <c r="BF790" s="77"/>
      <c r="BG790" s="77"/>
      <c r="BH790" s="77"/>
      <c r="BI790" s="77"/>
      <c r="BJ790" s="77"/>
      <c r="BK790" s="77"/>
      <c r="BL790" s="77"/>
      <c r="BM790" s="77"/>
      <c r="BN790" s="77"/>
      <c r="BO790" s="77"/>
      <c r="BP790" s="77"/>
      <c r="BQ790" s="77"/>
      <c r="BR790" s="77"/>
      <c r="BS790" s="77"/>
      <c r="BT790" s="77"/>
      <c r="BU790" s="77"/>
      <c r="BV790" s="77"/>
      <c r="BW790" s="77"/>
      <c r="BX790" s="77"/>
      <c r="BY790" s="77"/>
      <c r="BZ790" s="77"/>
      <c r="CA790" s="77"/>
      <c r="CB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7"/>
      <c r="DV790" s="77"/>
      <c r="DW790" s="77"/>
      <c r="DX790" s="77"/>
      <c r="DY790" s="77"/>
      <c r="DZ790" s="77"/>
      <c r="EA790" s="77"/>
      <c r="EB790" s="77"/>
      <c r="EC790" s="77"/>
      <c r="ED790" s="77"/>
      <c r="EE790" s="77"/>
      <c r="EF790" s="77"/>
      <c r="EG790" s="77"/>
      <c r="EH790" s="77"/>
      <c r="EI790" s="77"/>
      <c r="EJ790" s="77"/>
      <c r="EK790" s="77"/>
      <c r="EL790" s="77"/>
      <c r="EP790" s="77"/>
      <c r="ER790" s="77"/>
      <c r="ES790" s="77"/>
      <c r="ET790" s="77"/>
      <c r="EU790" s="77"/>
      <c r="EV790" s="77"/>
      <c r="EW790" s="77"/>
      <c r="EX790" s="77"/>
      <c r="EY790" s="77"/>
      <c r="EZ790" s="77"/>
      <c r="FA790" s="77"/>
      <c r="FB790" s="77"/>
      <c r="FC790" s="77"/>
      <c r="FD790" s="77"/>
      <c r="FE790" s="77"/>
      <c r="FF790" s="77"/>
      <c r="FG790" s="77"/>
      <c r="FH790" s="77"/>
      <c r="FI790" s="77"/>
      <c r="FJ790" s="77"/>
      <c r="FK790" s="77"/>
      <c r="FL790" s="77"/>
      <c r="FM790" s="77"/>
      <c r="FN790" s="77"/>
      <c r="FO790" s="77"/>
      <c r="FP790" s="77"/>
      <c r="FQ790" s="77"/>
      <c r="FR790" s="77"/>
      <c r="FS790" s="77"/>
      <c r="FT790" s="77"/>
      <c r="FU790" s="77"/>
      <c r="FV790" s="77"/>
      <c r="FW790" s="77"/>
      <c r="FX790" s="77"/>
      <c r="FY790" s="77"/>
      <c r="FZ790" s="77"/>
      <c r="GA790" s="77"/>
      <c r="GB790" s="77"/>
      <c r="GC790" s="77"/>
      <c r="GD790" s="77"/>
      <c r="GE790" s="77"/>
      <c r="GF790" s="77"/>
      <c r="GG790" s="77"/>
      <c r="GH790" s="77"/>
      <c r="GI790" s="77"/>
      <c r="GJ790" s="77"/>
      <c r="GK790" s="77"/>
      <c r="HL790" s="77"/>
      <c r="HM790" s="77"/>
      <c r="HN790" s="77"/>
      <c r="HO790" s="77"/>
      <c r="HP790" s="77"/>
      <c r="HQ790" s="77"/>
      <c r="HR790" s="77"/>
      <c r="HS790" s="77"/>
      <c r="HT790" s="77"/>
      <c r="HU790" s="77"/>
      <c r="HV790" s="77"/>
      <c r="HW790" s="77"/>
      <c r="HX790" s="77"/>
      <c r="HY790" s="77"/>
      <c r="HZ790" s="77"/>
      <c r="IA790" s="77"/>
      <c r="IB790" s="77"/>
      <c r="IC790" s="77"/>
      <c r="ID790" s="77"/>
      <c r="IE790" s="77"/>
      <c r="IF790" s="77"/>
      <c r="IG790" s="77"/>
      <c r="IH790" s="77"/>
      <c r="II790" s="77"/>
      <c r="IJ790" s="77"/>
      <c r="IK790" s="77"/>
      <c r="IL790" s="77"/>
      <c r="IM790" s="77"/>
      <c r="IN790" s="77"/>
      <c r="IO790" s="77"/>
      <c r="IP790" s="77"/>
      <c r="IQ790" s="77"/>
      <c r="IR790" s="77"/>
      <c r="IS790" s="77"/>
      <c r="IT790" s="77"/>
      <c r="IU790" s="77"/>
      <c r="IV790" s="77"/>
      <c r="IW790" s="77"/>
      <c r="IX790" s="77"/>
      <c r="IY790" s="77"/>
      <c r="IZ790" s="77"/>
      <c r="JA790" s="77"/>
      <c r="JB790" s="77"/>
      <c r="JC790" s="77"/>
      <c r="JD790" s="77"/>
      <c r="JE790" s="77"/>
      <c r="JF790" s="77"/>
      <c r="JG790" s="77"/>
      <c r="JH790" s="77"/>
      <c r="JI790" s="77"/>
      <c r="JJ790" s="77"/>
      <c r="JK790" s="77"/>
      <c r="JL790" s="77"/>
      <c r="JM790" s="77"/>
      <c r="JN790" s="77"/>
      <c r="JO790" s="77"/>
      <c r="JP790" s="77"/>
      <c r="JQ790" s="77"/>
      <c r="JR790" s="77"/>
      <c r="JS790" s="77"/>
      <c r="JT790" s="77"/>
      <c r="JU790" s="77"/>
      <c r="JV790" s="77"/>
      <c r="JW790" s="77"/>
      <c r="JX790" s="77"/>
      <c r="JY790" s="77"/>
      <c r="JZ790" s="77"/>
      <c r="KA790" s="77"/>
      <c r="KB790" s="77"/>
      <c r="KC790" s="77"/>
      <c r="KD790" s="77"/>
      <c r="KE790" s="77"/>
      <c r="KF790" s="77"/>
      <c r="KG790" s="77"/>
      <c r="KH790" s="77"/>
      <c r="KI790" s="77"/>
      <c r="KJ790" s="77"/>
      <c r="KK790" s="77"/>
      <c r="KL790" s="77"/>
      <c r="KM790" s="77"/>
      <c r="KN790" s="77"/>
      <c r="KO790" s="77"/>
      <c r="KP790" s="77"/>
      <c r="KQ790" s="77"/>
      <c r="KR790" s="77"/>
      <c r="KS790" s="77"/>
      <c r="KT790" s="77"/>
      <c r="KU790" s="77"/>
      <c r="KV790" s="77"/>
      <c r="KW790" s="77"/>
      <c r="KX790" s="77"/>
      <c r="KY790" s="77"/>
      <c r="KZ790" s="77"/>
      <c r="LA790" s="77"/>
      <c r="LB790" s="77"/>
      <c r="LC790" s="77"/>
      <c r="LD790" s="77"/>
      <c r="LE790" s="77"/>
      <c r="LF790" s="77"/>
      <c r="LG790" s="77"/>
      <c r="LH790" s="77"/>
      <c r="LI790" s="77"/>
      <c r="LJ790" s="77"/>
      <c r="LK790" s="77"/>
      <c r="LW790" s="77"/>
      <c r="LX790" s="77"/>
      <c r="ND790" s="77"/>
    </row>
    <row r="791" spans="1:368" s="21" customFormat="1" ht="18.600000000000001" customHeight="1" x14ac:dyDescent="0.25">
      <c r="A791" s="119" t="s">
        <v>2816</v>
      </c>
      <c r="B791" s="27" t="s">
        <v>2782</v>
      </c>
      <c r="C791" s="27"/>
      <c r="D791" s="30" t="str">
        <f>HYPERLINK("https://twitter.com/maduro_de","https://twitter.com/maduro_de")</f>
        <v>https://twitter.com/maduro_de</v>
      </c>
      <c r="E791" s="30" t="str">
        <f>HYPERLINK("http://twiplomacy.com/info/south-america/Venezuela","http://twiplomacy.com/info/south-america/Venezuela")</f>
        <v>http://twiplomacy.com/info/south-america/Venezuela</v>
      </c>
      <c r="F791" s="10" t="s">
        <v>668</v>
      </c>
      <c r="G791" s="10" t="s">
        <v>710</v>
      </c>
      <c r="H791" s="10" t="s">
        <v>772</v>
      </c>
      <c r="I791" s="10" t="s">
        <v>773</v>
      </c>
      <c r="J791" s="27" t="s">
        <v>1716</v>
      </c>
      <c r="K791" s="10" t="s">
        <v>829</v>
      </c>
      <c r="L791" s="10" t="s">
        <v>771</v>
      </c>
      <c r="M791" s="10" t="s">
        <v>770</v>
      </c>
      <c r="N791" s="10"/>
      <c r="O791" s="13"/>
      <c r="P791" s="81"/>
      <c r="Q791" s="81"/>
      <c r="R791" s="27" t="s">
        <v>2995</v>
      </c>
      <c r="S791" s="10" t="s">
        <v>2817</v>
      </c>
      <c r="T791" s="10" t="s">
        <v>771</v>
      </c>
      <c r="U791" s="10" t="s">
        <v>771</v>
      </c>
      <c r="V791" s="10" t="s">
        <v>771</v>
      </c>
      <c r="W791" s="10"/>
      <c r="X791" s="27" t="s">
        <v>2816</v>
      </c>
      <c r="Y791" s="27" t="s">
        <v>2782</v>
      </c>
      <c r="Z791" s="80">
        <v>0</v>
      </c>
      <c r="AA791" s="27">
        <v>10</v>
      </c>
      <c r="AB791" s="80">
        <v>1548</v>
      </c>
      <c r="AC791" s="27">
        <v>0</v>
      </c>
      <c r="AD791" s="27" t="s">
        <v>3985</v>
      </c>
      <c r="AE791" s="27">
        <v>1660761476</v>
      </c>
      <c r="AF791" s="27"/>
      <c r="AG791" s="27"/>
      <c r="AH791" s="79"/>
      <c r="AI791" s="79"/>
      <c r="AJ791" s="79"/>
      <c r="AK791" s="79"/>
      <c r="AL791" s="13"/>
      <c r="AM791" s="13"/>
      <c r="AN791" s="27" t="s">
        <v>2816</v>
      </c>
      <c r="AO791" s="27">
        <v>0</v>
      </c>
      <c r="AP791" s="27">
        <v>2</v>
      </c>
      <c r="AQ791" s="27">
        <v>8</v>
      </c>
      <c r="AR791" s="27">
        <f>SUM(AO791:AQ791)</f>
        <v>10</v>
      </c>
      <c r="AS791" s="27"/>
      <c r="AT791" s="27" t="s">
        <v>5259</v>
      </c>
      <c r="AU791" s="84" t="s">
        <v>4814</v>
      </c>
      <c r="AV791" s="77"/>
      <c r="AW791" s="77"/>
      <c r="AX791" s="77"/>
      <c r="AY791" s="77"/>
      <c r="AZ791" s="77"/>
      <c r="BA791" s="77"/>
      <c r="BB791" s="77"/>
      <c r="BC791" s="77"/>
      <c r="BD791" s="77"/>
      <c r="BE791" s="77"/>
      <c r="BF791" s="77"/>
      <c r="BG791" s="77"/>
      <c r="BH791" s="77"/>
      <c r="BI791" s="77"/>
      <c r="BJ791" s="77"/>
      <c r="BK791" s="77"/>
      <c r="BL791" s="77"/>
      <c r="BM791" s="77"/>
      <c r="BN791" s="77"/>
      <c r="BO791" s="77"/>
      <c r="BP791" s="77"/>
      <c r="BQ791" s="77"/>
      <c r="BR791" s="77"/>
      <c r="BS791" s="77"/>
      <c r="BT791" s="77"/>
      <c r="BU791" s="77"/>
      <c r="BV791" s="77"/>
      <c r="BW791" s="77"/>
      <c r="BX791" s="77"/>
      <c r="BY791" s="77"/>
      <c r="BZ791" s="77"/>
      <c r="CA791" s="77"/>
      <c r="CB791" s="77"/>
      <c r="CC791" s="77"/>
      <c r="CD791" s="77"/>
      <c r="CE791" s="77"/>
      <c r="CF791" s="77"/>
      <c r="CG791" s="77"/>
      <c r="CH791" s="77"/>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7"/>
      <c r="DV791" s="77"/>
      <c r="DW791" s="77"/>
      <c r="DX791" s="77"/>
      <c r="DY791" s="77"/>
      <c r="DZ791" s="77"/>
      <c r="EA791" s="77"/>
      <c r="EB791" s="77"/>
      <c r="EC791" s="77"/>
      <c r="ED791" s="77"/>
      <c r="EE791" s="77"/>
      <c r="EF791" s="77"/>
      <c r="EG791" s="77"/>
      <c r="EH791" s="77"/>
      <c r="EI791" s="77"/>
      <c r="EJ791" s="77"/>
      <c r="EK791" s="77"/>
      <c r="EL791" s="77"/>
      <c r="EP791" s="77"/>
      <c r="ER791" s="77"/>
      <c r="ES791" s="77"/>
      <c r="ET791" s="77"/>
      <c r="EU791" s="77"/>
      <c r="EV791" s="77"/>
      <c r="EW791" s="77"/>
      <c r="EX791" s="77"/>
      <c r="EY791" s="77"/>
      <c r="EZ791" s="77"/>
      <c r="FA791" s="77"/>
      <c r="FB791" s="77"/>
      <c r="FC791" s="77"/>
      <c r="FD791" s="77"/>
      <c r="FE791" s="77"/>
      <c r="FF791" s="77"/>
      <c r="FG791" s="77"/>
      <c r="FH791" s="77"/>
      <c r="FI791" s="77"/>
      <c r="FJ791" s="77"/>
      <c r="FK791" s="77"/>
      <c r="FL791" s="77"/>
      <c r="FM791" s="77"/>
      <c r="FN791" s="77"/>
      <c r="FO791" s="77"/>
      <c r="FP791" s="77"/>
      <c r="FQ791" s="77"/>
      <c r="FR791" s="77"/>
      <c r="FS791" s="77"/>
      <c r="FT791" s="77"/>
      <c r="FU791" s="77"/>
      <c r="FV791" s="77"/>
      <c r="FW791" s="77"/>
      <c r="FX791" s="77"/>
      <c r="FY791" s="77"/>
      <c r="FZ791" s="77"/>
      <c r="GA791" s="77"/>
      <c r="GB791" s="77"/>
      <c r="GC791" s="77"/>
      <c r="GD791" s="77"/>
      <c r="GE791" s="77"/>
      <c r="GF791" s="77"/>
      <c r="GG791" s="77"/>
      <c r="GH791" s="77"/>
      <c r="GI791" s="77"/>
      <c r="GJ791" s="77"/>
      <c r="GK791" s="77"/>
      <c r="HL791" s="77"/>
      <c r="HM791" s="77"/>
      <c r="HN791" s="77"/>
      <c r="HO791" s="77"/>
      <c r="HP791" s="77"/>
      <c r="HQ791" s="77"/>
      <c r="HR791" s="77"/>
      <c r="HS791" s="77"/>
      <c r="HT791" s="77"/>
      <c r="HU791" s="77"/>
      <c r="HV791" s="77"/>
      <c r="HW791" s="77"/>
      <c r="HX791" s="77"/>
      <c r="HY791" s="77"/>
      <c r="HZ791" s="77"/>
      <c r="IA791" s="77"/>
      <c r="IB791" s="77"/>
      <c r="IC791" s="77"/>
      <c r="ID791" s="77"/>
      <c r="IE791" s="77"/>
      <c r="IF791" s="77"/>
      <c r="IG791" s="77"/>
      <c r="IH791" s="77"/>
      <c r="II791" s="77"/>
      <c r="IJ791" s="77"/>
      <c r="IK791" s="77"/>
      <c r="IL791" s="77"/>
      <c r="IM791" s="77"/>
      <c r="IN791" s="77"/>
      <c r="IO791" s="77"/>
      <c r="IP791" s="77"/>
      <c r="IQ791" s="77"/>
      <c r="IR791" s="77"/>
      <c r="IS791" s="77"/>
      <c r="IT791" s="77"/>
      <c r="IU791" s="77"/>
      <c r="IV791" s="77"/>
      <c r="IW791" s="77"/>
      <c r="IX791" s="77"/>
      <c r="IY791" s="77"/>
      <c r="IZ791" s="77"/>
      <c r="JA791" s="77"/>
      <c r="JB791" s="77"/>
      <c r="JC791" s="77"/>
      <c r="JD791" s="77"/>
      <c r="JE791" s="77"/>
      <c r="JF791" s="77"/>
      <c r="JG791" s="77"/>
      <c r="JH791" s="77"/>
      <c r="JI791" s="77"/>
      <c r="JJ791" s="77"/>
      <c r="JK791" s="77"/>
      <c r="JL791" s="77"/>
      <c r="JM791" s="77"/>
      <c r="JN791" s="77"/>
      <c r="JO791" s="77"/>
      <c r="JP791" s="77"/>
      <c r="JQ791" s="77"/>
      <c r="JR791" s="77"/>
      <c r="JS791" s="77"/>
      <c r="JT791" s="77"/>
      <c r="JU791" s="77"/>
      <c r="JV791" s="77"/>
      <c r="JW791" s="77"/>
      <c r="JX791" s="77"/>
      <c r="JY791" s="77"/>
      <c r="JZ791" s="77"/>
      <c r="KA791" s="77"/>
      <c r="KB791" s="77"/>
      <c r="KC791" s="77"/>
      <c r="KD791" s="77"/>
      <c r="KE791" s="77"/>
      <c r="KF791" s="77"/>
      <c r="KG791" s="77"/>
      <c r="KH791" s="77"/>
      <c r="KI791" s="77"/>
      <c r="KJ791" s="77"/>
      <c r="KK791" s="77"/>
      <c r="KL791" s="77"/>
      <c r="KM791" s="77"/>
      <c r="KN791" s="77"/>
      <c r="KO791" s="77"/>
      <c r="KP791" s="77"/>
      <c r="KQ791" s="77"/>
      <c r="KR791" s="77"/>
      <c r="KS791" s="77"/>
      <c r="KT791" s="77"/>
      <c r="KU791" s="77"/>
      <c r="KV791" s="77"/>
      <c r="KW791" s="77"/>
      <c r="KX791" s="77"/>
      <c r="KY791" s="77"/>
      <c r="KZ791" s="77"/>
      <c r="LA791" s="77"/>
      <c r="LB791" s="77"/>
      <c r="LC791" s="77"/>
      <c r="LD791" s="77"/>
      <c r="LE791" s="77"/>
      <c r="LF791" s="77"/>
      <c r="LG791" s="77"/>
      <c r="LH791" s="77"/>
      <c r="LI791" s="77"/>
      <c r="LJ791" s="77"/>
      <c r="LK791" s="77"/>
      <c r="LY791" s="77"/>
      <c r="LZ791" s="77"/>
      <c r="MA791" s="77"/>
      <c r="MB791" s="77"/>
      <c r="MC791" s="77"/>
      <c r="MD791" s="77"/>
      <c r="ME791" s="77"/>
      <c r="MF791" s="77"/>
      <c r="MG791" s="77"/>
      <c r="MH791" s="77"/>
      <c r="MI791" s="77"/>
      <c r="MJ791" s="77"/>
      <c r="MK791" s="77"/>
      <c r="ML791" s="77"/>
      <c r="MM791" s="77"/>
      <c r="MN791" s="77"/>
      <c r="MO791" s="77"/>
      <c r="MP791" s="77"/>
      <c r="MQ791" s="77"/>
      <c r="MR791" s="77"/>
      <c r="MS791" s="16"/>
    </row>
    <row r="792" spans="1:368" s="21" customFormat="1" ht="18.600000000000001" customHeight="1" x14ac:dyDescent="0.25">
      <c r="A792" s="119" t="s">
        <v>2813</v>
      </c>
      <c r="B792" s="27" t="s">
        <v>2782</v>
      </c>
      <c r="C792" s="27"/>
      <c r="D792" s="30" t="str">
        <f>HYPERLINK("https://twitter.com/maduro_hi","https://twitter.com/maduro_hi")</f>
        <v>https://twitter.com/maduro_hi</v>
      </c>
      <c r="E792" s="30" t="str">
        <f>HYPERLINK("http://twiplomacy.com/info/south-america/Venezuela","http://twiplomacy.com/info/south-america/Venezuela")</f>
        <v>http://twiplomacy.com/info/south-america/Venezuela</v>
      </c>
      <c r="F792" s="10" t="s">
        <v>668</v>
      </c>
      <c r="G792" s="10" t="s">
        <v>710</v>
      </c>
      <c r="H792" s="10" t="s">
        <v>772</v>
      </c>
      <c r="I792" s="10" t="s">
        <v>773</v>
      </c>
      <c r="J792" s="27" t="s">
        <v>2815</v>
      </c>
      <c r="K792" s="10" t="s">
        <v>829</v>
      </c>
      <c r="L792" s="10" t="s">
        <v>771</v>
      </c>
      <c r="M792" s="10" t="s">
        <v>770</v>
      </c>
      <c r="N792" s="10"/>
      <c r="O792" s="13"/>
      <c r="P792" s="81"/>
      <c r="Q792" s="81"/>
      <c r="R792" s="27" t="s">
        <v>2995</v>
      </c>
      <c r="S792" s="10" t="s">
        <v>2814</v>
      </c>
      <c r="T792" s="10" t="s">
        <v>771</v>
      </c>
      <c r="U792" s="10" t="s">
        <v>771</v>
      </c>
      <c r="V792" s="10" t="s">
        <v>771</v>
      </c>
      <c r="W792" s="10"/>
      <c r="X792" s="27" t="s">
        <v>2813</v>
      </c>
      <c r="Y792" s="27" t="s">
        <v>2782</v>
      </c>
      <c r="Z792" s="80">
        <v>0</v>
      </c>
      <c r="AA792" s="27">
        <v>9</v>
      </c>
      <c r="AB792" s="80">
        <v>1655</v>
      </c>
      <c r="AC792" s="27">
        <v>0</v>
      </c>
      <c r="AD792" s="27" t="s">
        <v>3989</v>
      </c>
      <c r="AE792" s="27">
        <v>1678650541</v>
      </c>
      <c r="AF792" s="27"/>
      <c r="AG792" s="27"/>
      <c r="AH792" s="79"/>
      <c r="AI792" s="79"/>
      <c r="AJ792" s="79"/>
      <c r="AK792" s="79"/>
      <c r="AL792" s="13"/>
      <c r="AM792" s="13"/>
      <c r="AN792" s="27" t="s">
        <v>2813</v>
      </c>
      <c r="AO792" s="27">
        <v>0</v>
      </c>
      <c r="AP792" s="27">
        <v>3</v>
      </c>
      <c r="AQ792" s="27">
        <v>7</v>
      </c>
      <c r="AR792" s="27">
        <f>SUM(AO792:AQ792)</f>
        <v>10</v>
      </c>
      <c r="AS792" s="27"/>
      <c r="AT792" s="27" t="s">
        <v>5262</v>
      </c>
      <c r="AU792" s="84" t="s">
        <v>4816</v>
      </c>
      <c r="AV792" s="77"/>
      <c r="AW792" s="77"/>
      <c r="AX792" s="77"/>
      <c r="AY792" s="77"/>
      <c r="AZ792" s="77"/>
      <c r="BA792" s="77"/>
      <c r="BB792" s="77"/>
      <c r="BC792" s="77"/>
      <c r="BD792" s="77"/>
      <c r="BE792" s="77"/>
      <c r="BF792" s="77"/>
      <c r="BG792" s="77"/>
      <c r="BH792" s="77"/>
      <c r="BI792" s="77"/>
      <c r="BJ792" s="77"/>
      <c r="BK792" s="77"/>
      <c r="BL792" s="77"/>
      <c r="BM792" s="77"/>
      <c r="BN792" s="77"/>
      <c r="BO792" s="77"/>
      <c r="BP792" s="77"/>
      <c r="BQ792" s="77"/>
      <c r="BR792" s="77"/>
      <c r="BS792" s="77"/>
      <c r="BT792" s="77"/>
      <c r="BU792" s="77"/>
      <c r="BV792" s="77"/>
      <c r="BW792" s="77"/>
      <c r="BX792" s="77"/>
      <c r="BY792" s="77"/>
      <c r="BZ792" s="77"/>
      <c r="CA792" s="77"/>
      <c r="CB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7"/>
      <c r="DV792" s="77"/>
      <c r="DW792" s="77"/>
      <c r="DX792" s="77"/>
      <c r="DY792" s="77"/>
      <c r="DZ792" s="77"/>
      <c r="EA792" s="77"/>
      <c r="EB792" s="77"/>
      <c r="EC792" s="77"/>
      <c r="ED792" s="77"/>
      <c r="EE792" s="77"/>
      <c r="EF792" s="77"/>
      <c r="EG792" s="77"/>
      <c r="EH792" s="77"/>
      <c r="EI792" s="77"/>
      <c r="EJ792" s="77"/>
      <c r="EK792" s="77"/>
      <c r="EL792" s="77"/>
      <c r="EM792" s="77"/>
      <c r="EN792" s="77"/>
      <c r="EO792" s="77"/>
      <c r="ER792" s="77"/>
      <c r="ES792" s="77"/>
      <c r="ET792" s="77"/>
      <c r="EU792" s="77"/>
      <c r="EV792" s="77"/>
      <c r="EW792" s="77"/>
      <c r="EX792" s="77"/>
      <c r="EY792" s="77"/>
      <c r="EZ792" s="77"/>
      <c r="FA792" s="77"/>
      <c r="FB792" s="77"/>
      <c r="FC792" s="77"/>
      <c r="FD792" s="77"/>
      <c r="FE792" s="77"/>
      <c r="FF792" s="77"/>
      <c r="FG792" s="77"/>
      <c r="FH792" s="77"/>
      <c r="FI792" s="77"/>
      <c r="FJ792" s="77"/>
      <c r="FK792" s="77"/>
      <c r="FL792" s="77"/>
      <c r="FM792" s="77"/>
      <c r="FN792" s="77"/>
      <c r="FO792" s="77"/>
      <c r="FP792" s="77"/>
      <c r="FQ792" s="77"/>
      <c r="FR792" s="77"/>
      <c r="FS792" s="77"/>
      <c r="FT792" s="77"/>
      <c r="FU792" s="77"/>
      <c r="FV792" s="77"/>
      <c r="FW792" s="77"/>
      <c r="FX792" s="77"/>
      <c r="FY792" s="77"/>
      <c r="FZ792" s="77"/>
      <c r="GA792" s="77"/>
      <c r="GB792" s="77"/>
      <c r="GC792" s="77"/>
      <c r="GD792" s="77"/>
      <c r="GE792" s="77"/>
      <c r="GF792" s="77"/>
      <c r="GG792" s="77"/>
      <c r="GH792" s="77"/>
      <c r="GI792" s="77"/>
      <c r="GJ792" s="77"/>
      <c r="GK792" s="77"/>
      <c r="GL792" s="77"/>
      <c r="GM792" s="77"/>
      <c r="GN792" s="77"/>
      <c r="GO792" s="77"/>
      <c r="GP792" s="77"/>
      <c r="GQ792" s="77"/>
      <c r="GR792" s="77"/>
      <c r="GS792" s="77"/>
      <c r="GT792" s="77"/>
      <c r="GU792" s="77"/>
      <c r="GV792" s="77"/>
      <c r="GW792" s="77"/>
      <c r="GX792" s="77"/>
      <c r="GY792" s="77"/>
      <c r="GZ792" s="77"/>
      <c r="HA792" s="77"/>
      <c r="HB792" s="77"/>
      <c r="HC792" s="77"/>
      <c r="HD792" s="77"/>
      <c r="HE792" s="77"/>
      <c r="HF792" s="77"/>
      <c r="HG792" s="77"/>
      <c r="HH792" s="77"/>
      <c r="HI792" s="77"/>
      <c r="HJ792" s="77"/>
      <c r="HK792" s="77"/>
      <c r="HL792" s="77"/>
      <c r="HM792" s="77"/>
      <c r="HN792" s="77"/>
      <c r="HO792" s="77"/>
      <c r="HP792" s="77"/>
      <c r="HQ792" s="77"/>
      <c r="HR792" s="77"/>
      <c r="HS792" s="77"/>
      <c r="HT792" s="77"/>
      <c r="HU792" s="77"/>
      <c r="HV792" s="77"/>
      <c r="HW792" s="77"/>
      <c r="HX792" s="77"/>
      <c r="HY792" s="77"/>
      <c r="HZ792" s="77"/>
      <c r="IA792" s="77"/>
      <c r="IB792" s="77"/>
      <c r="IC792" s="77"/>
      <c r="IF792" s="77"/>
      <c r="IG792" s="77"/>
      <c r="IH792" s="77"/>
      <c r="II792" s="77"/>
      <c r="IJ792" s="77"/>
      <c r="IK792" s="77"/>
      <c r="IL792" s="77"/>
      <c r="IM792" s="77"/>
      <c r="IN792" s="77"/>
      <c r="IO792" s="77"/>
      <c r="IP792" s="77"/>
      <c r="IQ792" s="77"/>
      <c r="IR792" s="77"/>
      <c r="IS792" s="77"/>
      <c r="IT792" s="77"/>
      <c r="IU792" s="77"/>
      <c r="IV792" s="77"/>
      <c r="IW792" s="77"/>
      <c r="IX792" s="77"/>
      <c r="IY792" s="77"/>
      <c r="IZ792" s="77"/>
      <c r="JA792" s="77"/>
      <c r="JB792" s="77"/>
      <c r="JC792" s="77"/>
      <c r="JD792" s="77"/>
      <c r="JE792" s="77"/>
      <c r="JF792" s="77"/>
      <c r="JG792" s="77"/>
      <c r="JH792" s="77"/>
      <c r="JI792" s="77"/>
      <c r="JJ792" s="77"/>
      <c r="JK792" s="77"/>
      <c r="JL792" s="77"/>
      <c r="JM792" s="77"/>
      <c r="JN792" s="77"/>
      <c r="JO792" s="77"/>
      <c r="JP792" s="77"/>
      <c r="JQ792" s="77"/>
      <c r="JR792" s="77"/>
      <c r="JS792" s="77"/>
      <c r="JT792" s="77"/>
      <c r="JU792" s="77"/>
      <c r="JV792" s="77"/>
      <c r="JW792" s="77"/>
      <c r="JX792" s="77"/>
      <c r="KM792" s="77"/>
      <c r="KN792" s="77"/>
      <c r="KO792" s="77"/>
      <c r="KP792" s="77"/>
      <c r="KQ792" s="77"/>
      <c r="KR792" s="77"/>
      <c r="KS792" s="77"/>
      <c r="KT792" s="77"/>
      <c r="KU792" s="77"/>
      <c r="KV792" s="77"/>
      <c r="KW792" s="77"/>
      <c r="KX792" s="77"/>
      <c r="KY792" s="77"/>
      <c r="KZ792" s="77"/>
      <c r="LA792" s="77"/>
      <c r="LB792" s="77"/>
      <c r="LC792" s="77"/>
      <c r="LD792" s="77"/>
      <c r="LE792" s="77"/>
      <c r="LF792" s="77"/>
      <c r="LG792" s="77"/>
      <c r="LH792" s="77"/>
      <c r="LI792" s="77"/>
      <c r="LJ792" s="77"/>
      <c r="LK792" s="77"/>
      <c r="LY792" s="77"/>
      <c r="LZ792" s="77"/>
      <c r="MA792" s="77"/>
      <c r="MB792" s="77"/>
      <c r="MC792" s="77"/>
      <c r="MD792" s="77"/>
      <c r="ME792" s="77"/>
      <c r="MF792" s="77"/>
      <c r="MG792" s="77"/>
      <c r="MH792" s="77"/>
      <c r="MI792" s="77"/>
      <c r="MJ792" s="77"/>
      <c r="MK792" s="77"/>
      <c r="ML792" s="77"/>
      <c r="MM792" s="77"/>
      <c r="MN792" s="77"/>
      <c r="MO792" s="77"/>
      <c r="MP792" s="77"/>
      <c r="MQ792" s="77"/>
      <c r="MR792" s="77"/>
    </row>
    <row r="793" spans="1:368" s="21" customFormat="1" ht="18.600000000000001" customHeight="1" x14ac:dyDescent="0.25">
      <c r="A793" s="119" t="s">
        <v>2826</v>
      </c>
      <c r="B793" s="27" t="s">
        <v>2782</v>
      </c>
      <c r="C793" s="27"/>
      <c r="D793" s="30" t="str">
        <f>HYPERLINK("https://twitter.com/maduro_it","https://twitter.com/maduro_it")</f>
        <v>https://twitter.com/maduro_it</v>
      </c>
      <c r="E793" s="30" t="str">
        <f>HYPERLINK("http://twiplomacy.com/info/south-america/Venezuela","http://twiplomacy.com/info/south-america/Venezuela")</f>
        <v>http://twiplomacy.com/info/south-america/Venezuela</v>
      </c>
      <c r="F793" s="10" t="s">
        <v>668</v>
      </c>
      <c r="G793" s="10" t="s">
        <v>710</v>
      </c>
      <c r="H793" s="10" t="s">
        <v>772</v>
      </c>
      <c r="I793" s="10" t="s">
        <v>773</v>
      </c>
      <c r="J793" s="27" t="s">
        <v>1852</v>
      </c>
      <c r="K793" s="10" t="s">
        <v>829</v>
      </c>
      <c r="L793" s="10" t="s">
        <v>771</v>
      </c>
      <c r="M793" s="10" t="s">
        <v>770</v>
      </c>
      <c r="N793" s="10"/>
      <c r="O793" s="13"/>
      <c r="P793" s="81"/>
      <c r="Q793" s="81"/>
      <c r="R793" s="27" t="s">
        <v>2995</v>
      </c>
      <c r="S793" s="10" t="s">
        <v>2827</v>
      </c>
      <c r="T793" s="10" t="s">
        <v>771</v>
      </c>
      <c r="U793" s="10" t="s">
        <v>771</v>
      </c>
      <c r="V793" s="10" t="s">
        <v>771</v>
      </c>
      <c r="W793" s="10"/>
      <c r="X793" s="27" t="s">
        <v>2826</v>
      </c>
      <c r="Y793" s="27" t="s">
        <v>2782</v>
      </c>
      <c r="Z793" s="80">
        <v>0</v>
      </c>
      <c r="AA793" s="27">
        <v>9</v>
      </c>
      <c r="AB793" s="80">
        <v>581</v>
      </c>
      <c r="AC793" s="27">
        <v>0</v>
      </c>
      <c r="AD793" s="27" t="s">
        <v>3990</v>
      </c>
      <c r="AE793" s="27">
        <v>1660762963</v>
      </c>
      <c r="AF793" s="27"/>
      <c r="AG793" s="27"/>
      <c r="AH793" s="79"/>
      <c r="AI793" s="79"/>
      <c r="AJ793" s="79"/>
      <c r="AK793" s="79"/>
      <c r="AL793" s="13"/>
      <c r="AM793" s="13"/>
      <c r="AN793" s="27" t="s">
        <v>2826</v>
      </c>
      <c r="AO793" s="27">
        <v>2</v>
      </c>
      <c r="AP793" s="27">
        <v>1</v>
      </c>
      <c r="AQ793" s="27">
        <v>6</v>
      </c>
      <c r="AR793" s="27">
        <f>SUM(AO793:AQ793)</f>
        <v>9</v>
      </c>
      <c r="AS793" s="27" t="s">
        <v>5263</v>
      </c>
      <c r="AT793" s="27" t="s">
        <v>360</v>
      </c>
      <c r="AU793" s="84" t="s">
        <v>4817</v>
      </c>
      <c r="AV793" s="71"/>
      <c r="AW793" s="71"/>
      <c r="AX793" s="71"/>
      <c r="AY793" s="71"/>
      <c r="AZ793" s="71"/>
      <c r="BA793" s="71"/>
      <c r="BB793" s="71"/>
      <c r="BC793" s="71"/>
      <c r="BD793" s="71"/>
      <c r="BE793" s="71"/>
      <c r="BF793" s="71"/>
      <c r="BG793" s="71"/>
      <c r="BH793" s="71"/>
      <c r="BI793" s="71"/>
      <c r="BJ793" s="71"/>
      <c r="BK793" s="71"/>
      <c r="BL793" s="71"/>
      <c r="BM793" s="71"/>
      <c r="BN793" s="71"/>
      <c r="BO793" s="71"/>
      <c r="BP793" s="71"/>
      <c r="BQ793" s="77"/>
      <c r="BR793" s="77"/>
      <c r="BS793" s="77"/>
      <c r="BT793" s="77"/>
      <c r="BU793" s="77"/>
      <c r="BV793" s="77"/>
      <c r="BW793" s="77"/>
      <c r="BX793" s="77"/>
      <c r="BY793" s="77"/>
      <c r="BZ793" s="77"/>
      <c r="CA793" s="77"/>
      <c r="CB793" s="77"/>
      <c r="CC793" s="77"/>
      <c r="CD793" s="77"/>
      <c r="CE793" s="77"/>
      <c r="CF793" s="77"/>
      <c r="CG793" s="77"/>
      <c r="CH793" s="77"/>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7"/>
      <c r="DV793" s="77"/>
      <c r="DW793" s="77"/>
      <c r="DX793" s="77"/>
      <c r="DY793" s="77"/>
      <c r="DZ793" s="77"/>
      <c r="EA793" s="77"/>
      <c r="EB793" s="77"/>
      <c r="EC793" s="77"/>
      <c r="ED793" s="77"/>
      <c r="EE793" s="77"/>
      <c r="EF793" s="77"/>
      <c r="EG793" s="77"/>
      <c r="EH793" s="77"/>
      <c r="EI793" s="77"/>
      <c r="EJ793" s="77"/>
      <c r="EK793" s="77"/>
      <c r="EL793" s="77"/>
      <c r="EM793" s="77"/>
      <c r="EN793" s="77"/>
      <c r="EO793" s="77"/>
      <c r="EQ793" s="77"/>
      <c r="GL793" s="77"/>
      <c r="GM793" s="77"/>
      <c r="GN793" s="77"/>
      <c r="GO793" s="77"/>
      <c r="GP793" s="77"/>
      <c r="GQ793" s="77"/>
      <c r="GR793" s="77"/>
      <c r="GS793" s="77"/>
      <c r="GT793" s="77"/>
      <c r="GU793" s="77"/>
      <c r="GV793" s="77"/>
      <c r="GW793" s="77"/>
      <c r="GX793" s="77"/>
      <c r="GY793" s="77"/>
      <c r="GZ793" s="77"/>
      <c r="HA793" s="77"/>
      <c r="HB793" s="77"/>
      <c r="HC793" s="77"/>
      <c r="HD793" s="77"/>
      <c r="HE793" s="77"/>
      <c r="HF793" s="77"/>
      <c r="HG793" s="77"/>
      <c r="HH793" s="77"/>
      <c r="HI793" s="77"/>
      <c r="HJ793" s="77"/>
      <c r="HK793" s="77"/>
      <c r="HL793" s="77"/>
      <c r="HM793" s="77"/>
      <c r="HN793" s="77"/>
      <c r="HO793" s="77"/>
      <c r="HP793" s="77"/>
      <c r="HQ793" s="77"/>
      <c r="HR793" s="77"/>
      <c r="HS793" s="77"/>
      <c r="HT793" s="77"/>
      <c r="HU793" s="77"/>
      <c r="HV793" s="77"/>
      <c r="HW793" s="77"/>
      <c r="HX793" s="77"/>
      <c r="HY793" s="77"/>
      <c r="HZ793" s="77"/>
      <c r="IA793" s="77"/>
      <c r="IB793" s="77"/>
      <c r="IC793" s="77"/>
      <c r="IF793" s="16"/>
      <c r="IG793" s="16"/>
      <c r="IH793" s="16"/>
      <c r="II793" s="16"/>
      <c r="IJ793" s="16"/>
      <c r="IK793" s="16"/>
      <c r="IL793" s="16"/>
      <c r="IM793" s="16"/>
      <c r="IN793" s="16"/>
      <c r="IO793" s="16"/>
      <c r="IP793" s="16"/>
      <c r="IQ793" s="16"/>
      <c r="IR793" s="16"/>
      <c r="IS793" s="16"/>
      <c r="IT793" s="16"/>
      <c r="IU793" s="16"/>
      <c r="IV793" s="16"/>
      <c r="IW793" s="16"/>
      <c r="IX793" s="16"/>
      <c r="IY793" s="16"/>
      <c r="IZ793" s="16"/>
      <c r="JA793" s="16"/>
      <c r="JB793" s="16"/>
      <c r="JC793" s="16"/>
      <c r="JD793" s="16"/>
      <c r="JE793" s="16"/>
      <c r="JF793" s="16"/>
      <c r="JG793" s="16"/>
      <c r="JH793" s="16"/>
      <c r="JI793" s="16"/>
      <c r="JJ793" s="16"/>
      <c r="JK793" s="16"/>
      <c r="JL793" s="16"/>
      <c r="JM793" s="16"/>
      <c r="JN793" s="16"/>
      <c r="JO793" s="16"/>
      <c r="JP793" s="16"/>
      <c r="JQ793" s="16"/>
      <c r="JR793" s="16"/>
      <c r="JS793" s="16"/>
      <c r="JT793" s="16"/>
      <c r="JU793" s="16"/>
      <c r="JV793" s="16"/>
      <c r="JW793" s="16"/>
      <c r="JX793" s="16"/>
      <c r="JY793" s="77"/>
      <c r="JZ793" s="77"/>
      <c r="KA793" s="77"/>
      <c r="KB793" s="77"/>
      <c r="KC793" s="77"/>
      <c r="KD793" s="77"/>
      <c r="KE793" s="77"/>
      <c r="KF793" s="77"/>
      <c r="KG793" s="77"/>
      <c r="KH793" s="77"/>
      <c r="KI793" s="77"/>
      <c r="KJ793" s="77"/>
      <c r="KK793" s="77"/>
      <c r="KL793" s="77"/>
      <c r="LL793" s="77"/>
      <c r="LM793" s="77"/>
      <c r="LN793" s="77"/>
      <c r="LO793" s="77"/>
      <c r="LP793" s="77"/>
      <c r="LQ793" s="77"/>
      <c r="LR793" s="77"/>
      <c r="LS793" s="77"/>
      <c r="LT793" s="77"/>
      <c r="LU793" s="77"/>
      <c r="LV793" s="77"/>
      <c r="LW793" s="77"/>
      <c r="LX793" s="77"/>
    </row>
    <row r="794" spans="1:368" s="21" customFormat="1" ht="18.600000000000001" customHeight="1" x14ac:dyDescent="0.25">
      <c r="A794" s="119" t="s">
        <v>2820</v>
      </c>
      <c r="B794" s="27" t="s">
        <v>2782</v>
      </c>
      <c r="C794" s="27"/>
      <c r="D794" s="30" t="str">
        <f>HYPERLINK("https://twitter.com/maduro_ja","https://twitter.com/maduro_ja")</f>
        <v>https://twitter.com/maduro_ja</v>
      </c>
      <c r="E794" s="30" t="str">
        <f>HYPERLINK("http://twiplomacy.com/info/south-america/Venezuela","http://twiplomacy.com/info/south-america/Venezuela")</f>
        <v>http://twiplomacy.com/info/south-america/Venezuela</v>
      </c>
      <c r="F794" s="10" t="s">
        <v>668</v>
      </c>
      <c r="G794" s="10" t="s">
        <v>710</v>
      </c>
      <c r="H794" s="10" t="s">
        <v>772</v>
      </c>
      <c r="I794" s="10" t="s">
        <v>773</v>
      </c>
      <c r="J794" s="27" t="s">
        <v>1382</v>
      </c>
      <c r="K794" s="10" t="s">
        <v>829</v>
      </c>
      <c r="L794" s="10" t="s">
        <v>771</v>
      </c>
      <c r="M794" s="10" t="s">
        <v>770</v>
      </c>
      <c r="N794" s="10"/>
      <c r="O794" s="13"/>
      <c r="P794" s="81"/>
      <c r="Q794" s="81"/>
      <c r="R794" s="27" t="s">
        <v>2995</v>
      </c>
      <c r="S794" s="10" t="s">
        <v>2821</v>
      </c>
      <c r="T794" s="10" t="s">
        <v>771</v>
      </c>
      <c r="U794" s="10" t="s">
        <v>771</v>
      </c>
      <c r="V794" s="10" t="s">
        <v>771</v>
      </c>
      <c r="W794" s="10"/>
      <c r="X794" s="27" t="s">
        <v>2820</v>
      </c>
      <c r="Y794" s="27" t="s">
        <v>2782</v>
      </c>
      <c r="Z794" s="80">
        <v>0</v>
      </c>
      <c r="AA794" s="27">
        <v>9</v>
      </c>
      <c r="AB794" s="80">
        <v>955</v>
      </c>
      <c r="AC794" s="27">
        <v>0</v>
      </c>
      <c r="AD794" s="27" t="s">
        <v>3991</v>
      </c>
      <c r="AE794" s="27">
        <v>1678613736</v>
      </c>
      <c r="AF794" s="27"/>
      <c r="AG794" s="27"/>
      <c r="AH794" s="79"/>
      <c r="AI794" s="79"/>
      <c r="AJ794" s="79"/>
      <c r="AK794" s="79"/>
      <c r="AL794" s="13"/>
      <c r="AM794" s="13"/>
      <c r="AN794" s="27" t="s">
        <v>2820</v>
      </c>
      <c r="AO794" s="27">
        <v>0</v>
      </c>
      <c r="AP794" s="27">
        <v>1</v>
      </c>
      <c r="AQ794" s="27">
        <v>8</v>
      </c>
      <c r="AR794" s="27">
        <f>SUM(AO794:AQ794)</f>
        <v>9</v>
      </c>
      <c r="AS794" s="27"/>
      <c r="AT794" s="27" t="s">
        <v>360</v>
      </c>
      <c r="AU794" s="84" t="s">
        <v>4818</v>
      </c>
      <c r="AV794" s="77"/>
      <c r="AW794" s="77"/>
      <c r="AX794" s="77"/>
      <c r="AY794" s="77"/>
      <c r="AZ794" s="77"/>
      <c r="BA794" s="77"/>
      <c r="BB794" s="77"/>
      <c r="BC794" s="77"/>
      <c r="BD794" s="77"/>
      <c r="BE794" s="77"/>
      <c r="BF794" s="77"/>
      <c r="BG794" s="77"/>
      <c r="BH794" s="77"/>
      <c r="BI794" s="77"/>
      <c r="BJ794" s="77"/>
      <c r="BK794" s="77"/>
      <c r="BL794" s="77"/>
      <c r="BM794" s="77"/>
      <c r="BN794" s="77"/>
      <c r="BO794" s="77"/>
      <c r="BP794" s="77"/>
      <c r="BQ794" s="77"/>
      <c r="BR794" s="77"/>
      <c r="BS794" s="77"/>
      <c r="BT794" s="77"/>
      <c r="BU794" s="77"/>
      <c r="BV794" s="77"/>
      <c r="BW794" s="77"/>
      <c r="BX794" s="77"/>
      <c r="BY794" s="77"/>
      <c r="BZ794" s="77"/>
      <c r="CA794" s="77"/>
      <c r="CB794" s="77"/>
      <c r="CC794" s="77"/>
      <c r="CD794" s="77"/>
      <c r="CE794" s="77"/>
      <c r="CF794" s="77"/>
      <c r="CG794" s="77"/>
      <c r="CH794" s="77"/>
      <c r="CI794" s="77"/>
      <c r="CJ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7"/>
      <c r="DV794" s="77"/>
      <c r="DW794" s="77"/>
      <c r="DX794" s="77"/>
      <c r="DY794" s="77"/>
      <c r="DZ794" s="77"/>
      <c r="EA794" s="77"/>
      <c r="EB794" s="77"/>
      <c r="EC794" s="77"/>
      <c r="ED794" s="77"/>
      <c r="EE794" s="77"/>
      <c r="EF794" s="77"/>
      <c r="EG794" s="77"/>
      <c r="EH794" s="77"/>
      <c r="EI794" s="77"/>
      <c r="EJ794" s="77"/>
      <c r="EK794" s="77"/>
      <c r="EL794" s="77"/>
      <c r="EM794" s="77"/>
      <c r="EN794" s="77"/>
      <c r="EO794" s="77"/>
      <c r="EP794" s="77"/>
      <c r="EQ794" s="77"/>
      <c r="ER794" s="77"/>
      <c r="ES794" s="77"/>
      <c r="ET794" s="77"/>
      <c r="EU794" s="77"/>
      <c r="EV794" s="77"/>
      <c r="EW794" s="77"/>
      <c r="EX794" s="77"/>
      <c r="EY794" s="77"/>
      <c r="EZ794" s="77"/>
      <c r="FA794" s="77"/>
      <c r="FB794" s="77"/>
      <c r="FC794" s="77"/>
      <c r="FD794" s="77"/>
      <c r="FE794" s="77"/>
      <c r="FF794" s="77"/>
      <c r="FG794" s="77"/>
      <c r="FH794" s="77"/>
      <c r="FI794" s="77"/>
      <c r="FJ794" s="77"/>
      <c r="FK794" s="77"/>
      <c r="FL794" s="77"/>
      <c r="FM794" s="77"/>
      <c r="FN794" s="77"/>
      <c r="FO794" s="77"/>
      <c r="FP794" s="77"/>
      <c r="FQ794" s="77"/>
      <c r="FR794" s="77"/>
      <c r="FS794" s="77"/>
      <c r="FT794" s="77"/>
      <c r="FU794" s="77"/>
      <c r="FV794" s="77"/>
      <c r="FW794" s="77"/>
      <c r="FX794" s="77"/>
      <c r="FY794" s="77"/>
      <c r="FZ794" s="77"/>
      <c r="GA794" s="77"/>
      <c r="GB794" s="77"/>
      <c r="GC794" s="77"/>
      <c r="GD794" s="77"/>
      <c r="GE794" s="77"/>
      <c r="GF794" s="77"/>
      <c r="GG794" s="77"/>
      <c r="GH794" s="77"/>
      <c r="GI794" s="77"/>
      <c r="GJ794" s="77"/>
      <c r="GK794" s="77"/>
      <c r="GL794" s="77"/>
      <c r="GM794" s="77"/>
      <c r="GN794" s="77"/>
      <c r="GO794" s="77"/>
      <c r="GP794" s="77"/>
      <c r="GQ794" s="77"/>
      <c r="GR794" s="77"/>
      <c r="GS794" s="77"/>
      <c r="GT794" s="77"/>
      <c r="GU794" s="77"/>
      <c r="GV794" s="77"/>
      <c r="GW794" s="77"/>
      <c r="GX794" s="77"/>
      <c r="GY794" s="77"/>
      <c r="GZ794" s="77"/>
      <c r="HA794" s="77"/>
      <c r="HB794" s="77"/>
      <c r="HC794" s="77"/>
      <c r="HD794" s="77"/>
      <c r="HE794" s="77"/>
      <c r="HF794" s="77"/>
      <c r="HG794" s="77"/>
      <c r="HH794" s="77"/>
      <c r="HI794" s="77"/>
      <c r="HJ794" s="77"/>
      <c r="HK794" s="77"/>
      <c r="HL794" s="77"/>
      <c r="HM794" s="77"/>
      <c r="HN794" s="77"/>
      <c r="HO794" s="77"/>
      <c r="HP794" s="77"/>
      <c r="HQ794" s="77"/>
      <c r="HR794" s="77"/>
      <c r="HS794" s="77"/>
      <c r="HT794" s="77"/>
      <c r="HU794" s="77"/>
      <c r="HV794" s="77"/>
      <c r="HW794" s="77"/>
      <c r="HX794" s="77"/>
      <c r="HY794" s="77"/>
      <c r="HZ794" s="77"/>
      <c r="IA794" s="77"/>
      <c r="IB794" s="77"/>
      <c r="IC794" s="77"/>
      <c r="IF794" s="77"/>
      <c r="IG794" s="77"/>
      <c r="IH794" s="77"/>
      <c r="II794" s="77"/>
      <c r="IJ794" s="77"/>
      <c r="IK794" s="77"/>
      <c r="IL794" s="77"/>
      <c r="IM794" s="77"/>
      <c r="IN794" s="77"/>
      <c r="IO794" s="77"/>
      <c r="IP794" s="77"/>
      <c r="IQ794" s="77"/>
      <c r="IR794" s="77"/>
      <c r="IS794" s="77"/>
      <c r="IT794" s="77"/>
      <c r="IU794" s="77"/>
      <c r="IV794" s="77"/>
      <c r="IW794" s="77"/>
      <c r="IX794" s="77"/>
      <c r="IY794" s="77"/>
      <c r="IZ794" s="77"/>
      <c r="JA794" s="77"/>
      <c r="JB794" s="77"/>
      <c r="JC794" s="77"/>
      <c r="JD794" s="77"/>
      <c r="JE794" s="77"/>
      <c r="JF794" s="77"/>
      <c r="JG794" s="77"/>
      <c r="JH794" s="77"/>
      <c r="JI794" s="77"/>
      <c r="JJ794" s="77"/>
      <c r="JK794" s="77"/>
      <c r="JL794" s="77"/>
      <c r="JM794" s="77"/>
      <c r="JN794" s="77"/>
      <c r="JO794" s="77"/>
      <c r="JP794" s="77"/>
      <c r="JQ794" s="77"/>
      <c r="JR794" s="77"/>
      <c r="JS794" s="77"/>
      <c r="JT794" s="77"/>
      <c r="JU794" s="77"/>
      <c r="JV794" s="77"/>
      <c r="JW794" s="77"/>
      <c r="JX794" s="77"/>
      <c r="JY794" s="77"/>
      <c r="JZ794" s="77"/>
      <c r="KA794" s="77"/>
      <c r="KB794" s="77"/>
      <c r="KC794" s="77"/>
      <c r="KD794" s="77"/>
      <c r="KE794" s="77"/>
      <c r="KF794" s="77"/>
      <c r="KG794" s="77"/>
      <c r="KH794" s="77"/>
      <c r="KI794" s="77"/>
      <c r="KJ794" s="77"/>
      <c r="KK794" s="77"/>
      <c r="KL794" s="77"/>
      <c r="KM794" s="77"/>
      <c r="KN794" s="77"/>
      <c r="KO794" s="77"/>
      <c r="KP794" s="77"/>
      <c r="KQ794" s="77"/>
      <c r="KR794" s="77"/>
      <c r="KS794" s="77"/>
      <c r="KT794" s="77"/>
      <c r="KU794" s="77"/>
      <c r="KV794" s="77"/>
      <c r="KW794" s="77"/>
      <c r="KX794" s="77"/>
      <c r="KY794" s="77"/>
      <c r="KZ794" s="77"/>
      <c r="LA794" s="77"/>
      <c r="LB794" s="77"/>
      <c r="LC794" s="77"/>
      <c r="LD794" s="77"/>
      <c r="LE794" s="77"/>
      <c r="LF794" s="77"/>
      <c r="LG794" s="77"/>
      <c r="LH794" s="77"/>
      <c r="LI794" s="77"/>
      <c r="LJ794" s="77"/>
      <c r="LK794" s="77"/>
      <c r="LL794" s="77"/>
      <c r="LM794" s="77"/>
      <c r="LN794" s="77"/>
      <c r="LO794" s="77"/>
      <c r="LP794" s="77"/>
      <c r="LQ794" s="77"/>
      <c r="LR794" s="77"/>
      <c r="LS794" s="77"/>
      <c r="LT794" s="77"/>
      <c r="LU794" s="77"/>
      <c r="LV794" s="77"/>
      <c r="LW794" s="77"/>
      <c r="LX794" s="77"/>
      <c r="LY794" s="77"/>
      <c r="LZ794" s="77"/>
      <c r="MA794" s="77"/>
      <c r="MB794" s="77"/>
      <c r="MC794" s="77"/>
      <c r="MD794" s="77"/>
      <c r="ME794" s="77"/>
      <c r="MF794" s="77"/>
      <c r="MG794" s="77"/>
      <c r="MH794" s="77"/>
      <c r="MI794" s="77"/>
      <c r="MJ794" s="77"/>
      <c r="MK794" s="77"/>
      <c r="ML794" s="77"/>
      <c r="MM794" s="77"/>
      <c r="MN794" s="77"/>
      <c r="MO794" s="77"/>
      <c r="MP794" s="77"/>
      <c r="MQ794" s="77"/>
      <c r="MR794" s="77"/>
      <c r="ND794" s="77"/>
    </row>
    <row r="795" spans="1:368" s="21" customFormat="1" ht="18.600000000000001" customHeight="1" thickBot="1" x14ac:dyDescent="0.3">
      <c r="A795" s="122" t="s">
        <v>2818</v>
      </c>
      <c r="B795" s="53" t="s">
        <v>2782</v>
      </c>
      <c r="C795" s="53"/>
      <c r="D795" s="50" t="str">
        <f>HYPERLINK("https://twitter.com/maduro_pl","https://twitter.com/maduro_pl")</f>
        <v>https://twitter.com/maduro_pl</v>
      </c>
      <c r="E795" s="50" t="str">
        <f>HYPERLINK("http://twiplomacy.com/info/south-america/Venezuela","http://twiplomacy.com/info/south-america/Venezuela")</f>
        <v>http://twiplomacy.com/info/south-america/Venezuela</v>
      </c>
      <c r="F795" s="78" t="s">
        <v>668</v>
      </c>
      <c r="G795" s="78" t="s">
        <v>710</v>
      </c>
      <c r="H795" s="78" t="s">
        <v>772</v>
      </c>
      <c r="I795" s="78" t="s">
        <v>773</v>
      </c>
      <c r="J795" s="53" t="s">
        <v>2115</v>
      </c>
      <c r="K795" s="78" t="s">
        <v>829</v>
      </c>
      <c r="L795" s="78" t="s">
        <v>771</v>
      </c>
      <c r="M795" s="78" t="s">
        <v>770</v>
      </c>
      <c r="N795" s="78"/>
      <c r="O795" s="129"/>
      <c r="P795" s="131"/>
      <c r="Q795" s="131"/>
      <c r="R795" s="53" t="s">
        <v>2995</v>
      </c>
      <c r="S795" s="78" t="s">
        <v>2819</v>
      </c>
      <c r="T795" s="78" t="s">
        <v>771</v>
      </c>
      <c r="U795" s="78" t="s">
        <v>771</v>
      </c>
      <c r="V795" s="78" t="s">
        <v>771</v>
      </c>
      <c r="W795" s="78"/>
      <c r="X795" s="53" t="s">
        <v>2818</v>
      </c>
      <c r="Y795" s="53" t="s">
        <v>2782</v>
      </c>
      <c r="Z795" s="123">
        <v>0</v>
      </c>
      <c r="AA795" s="53">
        <v>7</v>
      </c>
      <c r="AB795" s="123">
        <v>1011</v>
      </c>
      <c r="AC795" s="53">
        <v>0</v>
      </c>
      <c r="AD795" s="53" t="s">
        <v>3992</v>
      </c>
      <c r="AE795" s="53">
        <v>1679096863</v>
      </c>
      <c r="AF795" s="53"/>
      <c r="AG795" s="53"/>
      <c r="AH795" s="87"/>
      <c r="AI795" s="87"/>
      <c r="AJ795" s="87"/>
      <c r="AK795" s="87"/>
      <c r="AL795" s="129"/>
      <c r="AM795" s="129"/>
      <c r="AN795" s="53" t="s">
        <v>2818</v>
      </c>
      <c r="AO795" s="53">
        <v>0</v>
      </c>
      <c r="AP795" s="53">
        <v>3</v>
      </c>
      <c r="AQ795" s="53">
        <v>6</v>
      </c>
      <c r="AR795" s="53">
        <f>SUM(AO795:AQ795)</f>
        <v>9</v>
      </c>
      <c r="AS795" s="53"/>
      <c r="AT795" s="53" t="s">
        <v>5262</v>
      </c>
      <c r="AU795" s="124" t="s">
        <v>4819</v>
      </c>
      <c r="AV795" s="77"/>
      <c r="AW795" s="77"/>
      <c r="AX795" s="77"/>
      <c r="AY795" s="77"/>
      <c r="AZ795" s="77"/>
      <c r="BA795" s="77"/>
      <c r="BB795" s="77"/>
      <c r="BC795" s="77"/>
      <c r="BD795" s="77"/>
      <c r="BE795" s="77"/>
      <c r="BF795" s="77"/>
      <c r="BG795" s="77"/>
      <c r="BH795" s="77"/>
      <c r="BI795" s="77"/>
      <c r="BJ795" s="77"/>
      <c r="BK795" s="77"/>
      <c r="BL795" s="77"/>
      <c r="BQ795" s="77"/>
      <c r="BR795" s="77"/>
      <c r="BS795" s="77"/>
      <c r="BT795" s="77"/>
      <c r="BU795" s="77"/>
      <c r="BV795" s="77"/>
      <c r="BW795" s="77"/>
      <c r="BX795" s="77"/>
      <c r="BY795" s="77"/>
      <c r="BZ795" s="77"/>
      <c r="CA795" s="77"/>
      <c r="CB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7"/>
      <c r="DV795" s="77"/>
      <c r="DW795" s="77"/>
      <c r="DX795" s="77"/>
      <c r="DY795" s="77"/>
      <c r="DZ795" s="77"/>
      <c r="EA795" s="77"/>
      <c r="EB795" s="77"/>
      <c r="EC795" s="77"/>
      <c r="ED795" s="77"/>
      <c r="EE795" s="77"/>
      <c r="EF795" s="77"/>
      <c r="EG795" s="77"/>
      <c r="EH795" s="77"/>
      <c r="EI795" s="77"/>
      <c r="EJ795" s="77"/>
      <c r="EK795" s="77"/>
      <c r="EL795" s="77"/>
      <c r="EM795" s="77"/>
      <c r="EN795" s="77"/>
      <c r="EO795" s="77"/>
      <c r="EP795" s="77"/>
      <c r="EQ795" s="77"/>
      <c r="ER795" s="77"/>
      <c r="ES795" s="77"/>
      <c r="ET795" s="77"/>
      <c r="EU795" s="77"/>
      <c r="EV795" s="77"/>
      <c r="EW795" s="77"/>
      <c r="EX795" s="77"/>
      <c r="EY795" s="77"/>
      <c r="EZ795" s="77"/>
      <c r="FA795" s="77"/>
      <c r="FB795" s="77"/>
      <c r="FC795" s="77"/>
      <c r="FD795" s="77"/>
      <c r="FE795" s="77"/>
      <c r="FF795" s="77"/>
      <c r="FG795" s="77"/>
      <c r="FH795" s="77"/>
      <c r="FI795" s="77"/>
      <c r="FJ795" s="77"/>
      <c r="FK795" s="77"/>
      <c r="FL795" s="77"/>
      <c r="FM795" s="77"/>
      <c r="FN795" s="77"/>
      <c r="FO795" s="77"/>
      <c r="FP795" s="77"/>
      <c r="FQ795" s="77"/>
      <c r="FR795" s="77"/>
      <c r="FS795" s="77"/>
      <c r="FT795" s="77"/>
      <c r="FU795" s="77"/>
      <c r="FV795" s="77"/>
      <c r="FW795" s="77"/>
      <c r="FX795" s="77"/>
      <c r="FY795" s="77"/>
      <c r="FZ795" s="77"/>
      <c r="GA795" s="77"/>
      <c r="GB795" s="77"/>
      <c r="GC795" s="77"/>
      <c r="GD795" s="77"/>
      <c r="GE795" s="77"/>
      <c r="GF795" s="77"/>
      <c r="GG795" s="77"/>
      <c r="GH795" s="77"/>
      <c r="GI795" s="77"/>
      <c r="GJ795" s="77"/>
      <c r="GK795" s="77"/>
      <c r="GL795" s="77"/>
      <c r="GM795" s="77"/>
      <c r="GN795" s="77"/>
      <c r="GO795" s="77"/>
      <c r="GP795" s="77"/>
      <c r="GQ795" s="77"/>
      <c r="GR795" s="77"/>
      <c r="GS795" s="77"/>
      <c r="GT795" s="77"/>
      <c r="GU795" s="77"/>
      <c r="GV795" s="77"/>
      <c r="GW795" s="77"/>
      <c r="GX795" s="77"/>
      <c r="GY795" s="77"/>
      <c r="GZ795" s="77"/>
      <c r="HA795" s="77"/>
      <c r="HB795" s="77"/>
      <c r="HC795" s="77"/>
      <c r="HD795" s="77"/>
      <c r="HE795" s="77"/>
      <c r="HF795" s="77"/>
      <c r="HG795" s="77"/>
      <c r="HH795" s="77"/>
      <c r="HI795" s="77"/>
      <c r="HJ795" s="77"/>
      <c r="HK795" s="77"/>
      <c r="HL795" s="77"/>
      <c r="HM795" s="77"/>
      <c r="HN795" s="77"/>
      <c r="HO795" s="77"/>
      <c r="HP795" s="77"/>
      <c r="HQ795" s="77"/>
      <c r="HR795" s="77"/>
      <c r="HS795" s="77"/>
      <c r="HT795" s="77"/>
      <c r="HU795" s="77"/>
      <c r="HV795" s="77"/>
      <c r="HW795" s="77"/>
      <c r="HX795" s="77"/>
      <c r="HY795" s="77"/>
      <c r="HZ795" s="77"/>
      <c r="IA795" s="77"/>
      <c r="IB795" s="77"/>
      <c r="IC795" s="77"/>
      <c r="ID795" s="77"/>
      <c r="IE795" s="77"/>
      <c r="KM795" s="77"/>
      <c r="KN795" s="77"/>
      <c r="KO795" s="77"/>
      <c r="KP795" s="77"/>
      <c r="KQ795" s="77"/>
      <c r="KR795" s="77"/>
      <c r="KS795" s="77"/>
      <c r="KT795" s="77"/>
      <c r="KU795" s="77"/>
      <c r="KV795" s="77"/>
      <c r="KW795" s="77"/>
      <c r="KX795" s="77"/>
      <c r="KY795" s="77"/>
      <c r="KZ795" s="77"/>
      <c r="LA795" s="77"/>
      <c r="LB795" s="77"/>
      <c r="LC795" s="77"/>
      <c r="LD795" s="77"/>
      <c r="LE795" s="77"/>
      <c r="LF795" s="77"/>
      <c r="LG795" s="77"/>
      <c r="LH795" s="77"/>
      <c r="LI795" s="77"/>
      <c r="LJ795" s="77"/>
      <c r="LK795" s="77"/>
      <c r="LL795" s="77"/>
      <c r="LM795" s="77"/>
      <c r="LN795" s="77"/>
      <c r="LO795" s="77"/>
      <c r="LP795" s="77"/>
      <c r="LQ795" s="77"/>
      <c r="LR795" s="77"/>
      <c r="LS795" s="77"/>
      <c r="LT795" s="77"/>
      <c r="LU795" s="77"/>
      <c r="LV795" s="77"/>
      <c r="LW795" s="77"/>
      <c r="LX795" s="77"/>
      <c r="ND795" s="77"/>
    </row>
    <row r="796" spans="1:368" s="21" customFormat="1" ht="18.600000000000001" customHeight="1" x14ac:dyDescent="0.25">
      <c r="A796" s="22"/>
      <c r="B796" s="22"/>
      <c r="C796" s="22"/>
      <c r="D796" s="23"/>
      <c r="E796" s="26"/>
      <c r="F796" s="25"/>
      <c r="G796" s="25"/>
      <c r="H796" s="25"/>
      <c r="I796" s="25"/>
      <c r="J796" s="22"/>
      <c r="K796" s="25"/>
      <c r="L796" s="25"/>
      <c r="M796" s="25"/>
      <c r="N796" s="25"/>
      <c r="O796" s="22"/>
      <c r="P796" s="22"/>
      <c r="Q796" s="22"/>
      <c r="R796" s="22"/>
      <c r="S796" s="25"/>
      <c r="T796" s="25"/>
      <c r="U796" s="25"/>
      <c r="V796" s="25"/>
      <c r="W796" s="25"/>
      <c r="X796" s="25"/>
      <c r="Y796" s="25"/>
      <c r="Z796" s="22"/>
      <c r="AA796" s="22"/>
      <c r="AB796" s="22"/>
      <c r="AC796" s="22"/>
      <c r="AD796" s="22"/>
      <c r="AE796" s="22"/>
      <c r="AF796" s="25"/>
      <c r="AG796" s="22"/>
      <c r="AH796" s="22"/>
      <c r="AI796" s="22"/>
      <c r="AJ796" s="22"/>
      <c r="AK796" s="22"/>
      <c r="AL796" s="22"/>
      <c r="AM796" s="22"/>
      <c r="AN796" s="25"/>
      <c r="AO796" s="22"/>
      <c r="AP796" s="22"/>
      <c r="AQ796" s="22"/>
      <c r="AR796" s="22"/>
      <c r="AS796" s="22"/>
      <c r="AT796" s="22"/>
      <c r="AU796" s="22"/>
      <c r="AV796" s="25"/>
      <c r="AW796" s="25"/>
      <c r="AX796" s="25"/>
      <c r="AY796" s="25"/>
      <c r="AZ796" s="25"/>
      <c r="BA796" s="25"/>
      <c r="BB796" s="25"/>
      <c r="BC796" s="25"/>
      <c r="BD796" s="25"/>
      <c r="BE796" s="25"/>
      <c r="BF796" s="25"/>
      <c r="BG796" s="25"/>
      <c r="BH796" s="25"/>
      <c r="BI796" s="25"/>
      <c r="BJ796" s="25"/>
      <c r="BK796" s="25"/>
      <c r="BL796" s="25"/>
    </row>
    <row r="797" spans="1:368" s="21" customFormat="1" ht="18.600000000000001" customHeight="1" x14ac:dyDescent="0.25">
      <c r="A797" s="22"/>
      <c r="B797" s="22"/>
      <c r="C797" s="22"/>
      <c r="D797" s="23"/>
      <c r="E797" s="26"/>
      <c r="F797" s="25"/>
      <c r="G797" s="25"/>
      <c r="H797" s="25"/>
      <c r="I797" s="25"/>
      <c r="J797" s="22"/>
      <c r="K797" s="25"/>
      <c r="L797" s="25"/>
      <c r="M797" s="25"/>
      <c r="N797" s="25"/>
      <c r="O797" s="22"/>
      <c r="P797" s="22"/>
      <c r="Q797" s="22"/>
      <c r="R797" s="22"/>
      <c r="S797" s="25"/>
      <c r="T797" s="25"/>
      <c r="U797" s="25"/>
      <c r="V797" s="25"/>
      <c r="W797" s="25"/>
      <c r="X797" s="25"/>
      <c r="Y797" s="25"/>
      <c r="Z797" s="22"/>
      <c r="AA797" s="22"/>
      <c r="AB797" s="22"/>
      <c r="AC797" s="22"/>
      <c r="AD797" s="22"/>
      <c r="AE797" s="22"/>
      <c r="AF797" s="25"/>
      <c r="AG797" s="22"/>
      <c r="AH797" s="22"/>
      <c r="AI797" s="22"/>
      <c r="AJ797" s="22"/>
      <c r="AK797" s="22"/>
      <c r="AL797" s="22"/>
      <c r="AM797" s="22"/>
      <c r="AN797" s="25"/>
      <c r="AO797" s="22"/>
      <c r="AP797" s="22"/>
      <c r="AQ797" s="22"/>
      <c r="AR797" s="22"/>
      <c r="AS797" s="22"/>
      <c r="AT797" s="22"/>
      <c r="AU797" s="22"/>
      <c r="AV797" s="25"/>
      <c r="AW797" s="25"/>
      <c r="AX797" s="25"/>
      <c r="AY797" s="25"/>
      <c r="AZ797" s="25"/>
      <c r="BA797" s="25"/>
      <c r="BB797" s="25"/>
      <c r="BC797" s="25"/>
      <c r="BD797" s="25"/>
      <c r="BE797" s="25"/>
      <c r="BF797" s="25"/>
      <c r="BG797" s="25"/>
      <c r="BH797" s="25"/>
      <c r="BI797" s="25"/>
      <c r="BJ797" s="25"/>
      <c r="BK797" s="25"/>
      <c r="BL797" s="25"/>
    </row>
    <row r="798" spans="1:368" s="21" customFormat="1" ht="18.600000000000001" customHeight="1" x14ac:dyDescent="0.25">
      <c r="A798" s="22"/>
      <c r="B798" s="22"/>
      <c r="C798" s="22"/>
      <c r="D798" s="23"/>
      <c r="E798" s="26"/>
      <c r="F798" s="25"/>
      <c r="G798" s="25"/>
      <c r="H798" s="25"/>
      <c r="I798" s="25"/>
      <c r="J798" s="22"/>
      <c r="K798" s="25"/>
      <c r="L798" s="25"/>
      <c r="M798" s="25"/>
      <c r="N798" s="25"/>
      <c r="O798" s="22"/>
      <c r="P798" s="22"/>
      <c r="Q798" s="22"/>
      <c r="R798" s="22"/>
      <c r="S798" s="25"/>
      <c r="T798" s="25"/>
      <c r="U798" s="25"/>
      <c r="V798" s="25"/>
      <c r="W798" s="25"/>
      <c r="X798" s="25"/>
      <c r="Y798" s="25"/>
      <c r="Z798" s="22"/>
      <c r="AA798" s="22"/>
      <c r="AB798" s="22"/>
      <c r="AC798" s="22"/>
      <c r="AD798" s="22"/>
      <c r="AE798" s="22"/>
      <c r="AF798" s="25"/>
      <c r="AG798" s="22"/>
      <c r="AH798" s="22"/>
      <c r="AI798" s="22"/>
      <c r="AJ798" s="22"/>
      <c r="AK798" s="22"/>
      <c r="AL798" s="22"/>
      <c r="AM798" s="22"/>
      <c r="AN798" s="25"/>
      <c r="AO798" s="22"/>
      <c r="AP798" s="22"/>
      <c r="AQ798" s="22"/>
      <c r="AR798" s="22"/>
      <c r="AS798" s="22"/>
      <c r="AT798" s="22"/>
      <c r="AU798" s="22"/>
      <c r="AV798" s="25"/>
      <c r="AW798" s="25"/>
      <c r="AX798" s="25"/>
      <c r="AY798" s="25"/>
      <c r="AZ798" s="25"/>
      <c r="BA798" s="25"/>
      <c r="BB798" s="25"/>
      <c r="BC798" s="25"/>
      <c r="BD798" s="25"/>
      <c r="BE798" s="25"/>
      <c r="BF798" s="25"/>
      <c r="BG798" s="25"/>
      <c r="BH798" s="25"/>
      <c r="BI798" s="25"/>
      <c r="BJ798" s="25"/>
      <c r="BK798" s="25"/>
      <c r="BL798" s="25"/>
    </row>
    <row r="799" spans="1:368" s="21" customFormat="1" ht="18.600000000000001" customHeight="1" x14ac:dyDescent="0.25">
      <c r="A799" s="22"/>
      <c r="B799" s="22"/>
      <c r="C799" s="22"/>
      <c r="D799" s="23"/>
      <c r="E799" s="26"/>
      <c r="F799" s="25"/>
      <c r="G799" s="25"/>
      <c r="H799" s="25"/>
      <c r="I799" s="25"/>
      <c r="J799" s="22"/>
      <c r="K799" s="25"/>
      <c r="L799" s="25"/>
      <c r="M799" s="25"/>
      <c r="N799" s="25"/>
      <c r="O799" s="22"/>
      <c r="P799" s="22"/>
      <c r="Q799" s="22"/>
      <c r="R799" s="22"/>
      <c r="S799" s="25"/>
      <c r="T799" s="25"/>
      <c r="U799" s="25"/>
      <c r="V799" s="25"/>
      <c r="W799" s="25"/>
      <c r="X799" s="25"/>
      <c r="Y799" s="25"/>
      <c r="Z799" s="22"/>
      <c r="AA799" s="22"/>
      <c r="AB799" s="22"/>
      <c r="AC799" s="22"/>
      <c r="AD799" s="22"/>
      <c r="AE799" s="22"/>
      <c r="AF799" s="25"/>
      <c r="AG799" s="22"/>
      <c r="AH799" s="22"/>
      <c r="AI799" s="22"/>
      <c r="AJ799" s="22"/>
      <c r="AK799" s="22"/>
      <c r="AL799" s="22"/>
      <c r="AM799" s="22"/>
      <c r="AN799" s="25"/>
      <c r="AO799" s="22"/>
      <c r="AP799" s="22"/>
      <c r="AQ799" s="22"/>
      <c r="AR799" s="22"/>
      <c r="AS799" s="22"/>
      <c r="AT799" s="22"/>
      <c r="AU799" s="22"/>
      <c r="AV799" s="25"/>
      <c r="AW799" s="25"/>
      <c r="AX799" s="25"/>
      <c r="AY799" s="25"/>
      <c r="AZ799" s="25"/>
      <c r="BA799" s="25"/>
      <c r="BB799" s="25"/>
      <c r="BC799" s="25"/>
      <c r="BD799" s="25"/>
      <c r="BE799" s="25"/>
      <c r="BF799" s="25"/>
      <c r="BG799" s="25"/>
      <c r="BH799" s="25"/>
      <c r="BI799" s="25"/>
      <c r="BJ799" s="25"/>
      <c r="BK799" s="25"/>
      <c r="BL799" s="25"/>
    </row>
    <row r="800" spans="1:368" s="21" customFormat="1" ht="18.600000000000001" customHeight="1" x14ac:dyDescent="0.25">
      <c r="A800" s="22"/>
      <c r="B800" s="22"/>
      <c r="C800" s="22"/>
      <c r="D800" s="23"/>
      <c r="E800" s="26"/>
      <c r="F800" s="25"/>
      <c r="G800" s="25"/>
      <c r="H800" s="25"/>
      <c r="I800" s="25"/>
      <c r="J800" s="22"/>
      <c r="K800" s="25"/>
      <c r="L800" s="25"/>
      <c r="M800" s="25"/>
      <c r="N800" s="25"/>
      <c r="O800" s="22"/>
      <c r="P800" s="22"/>
      <c r="Q800" s="22"/>
      <c r="R800" s="22"/>
      <c r="S800" s="25"/>
      <c r="T800" s="25"/>
      <c r="U800" s="25"/>
      <c r="V800" s="25"/>
      <c r="W800" s="25"/>
      <c r="X800" s="25"/>
      <c r="Y800" s="25"/>
      <c r="Z800" s="22"/>
      <c r="AA800" s="22"/>
      <c r="AB800" s="22"/>
      <c r="AC800" s="22"/>
      <c r="AD800" s="22"/>
      <c r="AE800" s="22"/>
      <c r="AF800" s="25"/>
      <c r="AG800" s="22"/>
      <c r="AH800" s="22"/>
      <c r="AI800" s="22"/>
      <c r="AJ800" s="22"/>
      <c r="AK800" s="22"/>
      <c r="AL800" s="22"/>
      <c r="AM800" s="22"/>
      <c r="AN800" s="25"/>
      <c r="AO800" s="22"/>
      <c r="AP800" s="22"/>
      <c r="AQ800" s="22"/>
      <c r="AR800" s="22"/>
      <c r="AS800" s="22"/>
      <c r="AT800" s="22"/>
      <c r="AU800" s="22"/>
      <c r="AV800" s="25"/>
      <c r="AW800" s="25"/>
      <c r="AX800" s="25"/>
      <c r="AY800" s="25"/>
      <c r="AZ800" s="25"/>
      <c r="BA800" s="25"/>
      <c r="BB800" s="25"/>
      <c r="BC800" s="25"/>
      <c r="BD800" s="25"/>
      <c r="BE800" s="25"/>
      <c r="BF800" s="25"/>
      <c r="BG800" s="25"/>
      <c r="BH800" s="25"/>
      <c r="BI800" s="25"/>
      <c r="BJ800" s="25"/>
      <c r="BK800" s="25"/>
      <c r="BL800" s="25"/>
    </row>
    <row r="801" spans="1:64" s="21" customFormat="1" ht="18.600000000000001" customHeight="1" x14ac:dyDescent="0.25">
      <c r="A801" s="22"/>
      <c r="B801" s="22"/>
      <c r="C801" s="22"/>
      <c r="D801" s="23"/>
      <c r="E801" s="26"/>
      <c r="F801" s="25"/>
      <c r="G801" s="25"/>
      <c r="H801" s="25"/>
      <c r="I801" s="25"/>
      <c r="J801" s="22"/>
      <c r="K801" s="25"/>
      <c r="L801" s="25"/>
      <c r="M801" s="25"/>
      <c r="N801" s="25"/>
      <c r="O801" s="22"/>
      <c r="P801" s="22"/>
      <c r="Q801" s="22"/>
      <c r="R801" s="22"/>
      <c r="S801" s="25"/>
      <c r="T801" s="25"/>
      <c r="U801" s="25"/>
      <c r="V801" s="25"/>
      <c r="W801" s="25"/>
      <c r="X801" s="25"/>
      <c r="Y801" s="25"/>
      <c r="Z801" s="22"/>
      <c r="AA801" s="22"/>
      <c r="AB801" s="22"/>
      <c r="AC801" s="22"/>
      <c r="AD801" s="22"/>
      <c r="AE801" s="22"/>
      <c r="AF801" s="25"/>
      <c r="AG801" s="22"/>
      <c r="AH801" s="22"/>
      <c r="AI801" s="22"/>
      <c r="AJ801" s="22"/>
      <c r="AK801" s="22"/>
      <c r="AL801" s="22"/>
      <c r="AM801" s="22"/>
      <c r="AN801" s="25"/>
      <c r="AO801" s="22"/>
      <c r="AP801" s="22"/>
      <c r="AQ801" s="22"/>
      <c r="AR801" s="22"/>
      <c r="AS801" s="22"/>
      <c r="AT801" s="22"/>
      <c r="AU801" s="22"/>
      <c r="AV801" s="25"/>
      <c r="AW801" s="25"/>
      <c r="AX801" s="25"/>
      <c r="AY801" s="25"/>
      <c r="AZ801" s="25"/>
      <c r="BA801" s="25"/>
      <c r="BB801" s="25"/>
      <c r="BC801" s="25"/>
      <c r="BD801" s="25"/>
      <c r="BE801" s="25"/>
      <c r="BF801" s="25"/>
      <c r="BG801" s="25"/>
      <c r="BH801" s="25"/>
      <c r="BI801" s="25"/>
      <c r="BJ801" s="25"/>
      <c r="BK801" s="25"/>
      <c r="BL801" s="25"/>
    </row>
    <row r="802" spans="1:64" s="21" customFormat="1" ht="18.600000000000001" customHeight="1" x14ac:dyDescent="0.25">
      <c r="A802" s="22"/>
      <c r="B802" s="22"/>
      <c r="C802" s="22"/>
      <c r="D802" s="23"/>
      <c r="E802" s="26"/>
      <c r="F802" s="25"/>
      <c r="G802" s="25"/>
      <c r="H802" s="25"/>
      <c r="I802" s="25"/>
      <c r="J802" s="22"/>
      <c r="K802" s="25"/>
      <c r="L802" s="25"/>
      <c r="M802" s="25"/>
      <c r="N802" s="25"/>
      <c r="O802" s="22"/>
      <c r="P802" s="22"/>
      <c r="Q802" s="22"/>
      <c r="R802" s="22"/>
      <c r="S802" s="25"/>
      <c r="T802" s="25"/>
      <c r="U802" s="25"/>
      <c r="V802" s="25"/>
      <c r="W802" s="25"/>
      <c r="X802" s="25"/>
      <c r="Y802" s="25"/>
      <c r="Z802" s="22"/>
      <c r="AA802" s="22"/>
      <c r="AB802" s="22"/>
      <c r="AC802" s="22"/>
      <c r="AD802" s="22"/>
      <c r="AE802" s="22"/>
      <c r="AF802" s="25"/>
      <c r="AG802" s="22"/>
      <c r="AH802" s="22"/>
      <c r="AI802" s="22"/>
      <c r="AJ802" s="22"/>
      <c r="AK802" s="22"/>
      <c r="AL802" s="22"/>
      <c r="AM802" s="22"/>
      <c r="AN802" s="25"/>
      <c r="AO802" s="22"/>
      <c r="AP802" s="22"/>
      <c r="AQ802" s="22"/>
      <c r="AR802" s="22"/>
      <c r="AS802" s="22"/>
      <c r="AT802" s="22"/>
      <c r="AU802" s="22"/>
      <c r="AV802" s="25"/>
      <c r="AW802" s="25"/>
      <c r="AX802" s="25"/>
      <c r="AY802" s="25"/>
      <c r="AZ802" s="25"/>
      <c r="BA802" s="25"/>
      <c r="BB802" s="25"/>
      <c r="BC802" s="25"/>
      <c r="BD802" s="25"/>
      <c r="BE802" s="25"/>
      <c r="BF802" s="25"/>
      <c r="BG802" s="25"/>
      <c r="BH802" s="25"/>
      <c r="BI802" s="25"/>
      <c r="BJ802" s="25"/>
      <c r="BK802" s="25"/>
      <c r="BL802" s="25"/>
    </row>
    <row r="803" spans="1:64" s="21" customFormat="1" ht="18.600000000000001" customHeight="1" x14ac:dyDescent="0.25">
      <c r="A803" s="22"/>
      <c r="B803" s="22"/>
      <c r="C803" s="22"/>
      <c r="D803" s="23"/>
      <c r="E803" s="26"/>
      <c r="F803" s="25"/>
      <c r="G803" s="25"/>
      <c r="H803" s="25"/>
      <c r="I803" s="25"/>
      <c r="J803" s="22"/>
      <c r="K803" s="25"/>
      <c r="L803" s="25"/>
      <c r="M803" s="25"/>
      <c r="N803" s="25"/>
      <c r="O803" s="22"/>
      <c r="P803" s="22"/>
      <c r="Q803" s="22"/>
      <c r="R803" s="22"/>
      <c r="S803" s="25"/>
      <c r="T803" s="25"/>
      <c r="U803" s="25"/>
      <c r="V803" s="25"/>
      <c r="W803" s="25"/>
      <c r="X803" s="25"/>
      <c r="Y803" s="25"/>
      <c r="Z803" s="22"/>
      <c r="AA803" s="22"/>
      <c r="AB803" s="22"/>
      <c r="AC803" s="22"/>
      <c r="AD803" s="22"/>
      <c r="AE803" s="22"/>
      <c r="AF803" s="25"/>
      <c r="AG803" s="22"/>
      <c r="AH803" s="22"/>
      <c r="AI803" s="22"/>
      <c r="AJ803" s="22"/>
      <c r="AK803" s="22"/>
      <c r="AL803" s="22"/>
      <c r="AM803" s="22"/>
      <c r="AN803" s="25"/>
      <c r="AO803" s="22"/>
      <c r="AP803" s="22"/>
      <c r="AQ803" s="22"/>
      <c r="AR803" s="22"/>
      <c r="AS803" s="22"/>
      <c r="AT803" s="22"/>
      <c r="AU803" s="22"/>
      <c r="AV803" s="25"/>
      <c r="AW803" s="25"/>
      <c r="AX803" s="25"/>
      <c r="AY803" s="25"/>
      <c r="AZ803" s="25"/>
      <c r="BA803" s="25"/>
      <c r="BB803" s="25"/>
      <c r="BC803" s="25"/>
      <c r="BD803" s="25"/>
      <c r="BE803" s="25"/>
      <c r="BF803" s="25"/>
      <c r="BG803" s="25"/>
      <c r="BH803" s="25"/>
      <c r="BI803" s="25"/>
      <c r="BJ803" s="25"/>
      <c r="BK803" s="25"/>
      <c r="BL803" s="25"/>
    </row>
    <row r="804" spans="1:64" s="21" customFormat="1" ht="18.600000000000001" customHeight="1" x14ac:dyDescent="0.25">
      <c r="A804" s="22"/>
      <c r="B804" s="22"/>
      <c r="C804" s="22"/>
      <c r="D804" s="23"/>
      <c r="E804" s="26"/>
      <c r="F804" s="25"/>
      <c r="G804" s="25"/>
      <c r="H804" s="25"/>
      <c r="I804" s="25"/>
      <c r="J804" s="22"/>
      <c r="K804" s="25"/>
      <c r="L804" s="25"/>
      <c r="M804" s="25"/>
      <c r="N804" s="25"/>
      <c r="O804" s="22"/>
      <c r="P804" s="22"/>
      <c r="Q804" s="22"/>
      <c r="R804" s="22"/>
      <c r="S804" s="25"/>
      <c r="T804" s="25"/>
      <c r="U804" s="25"/>
      <c r="V804" s="25"/>
      <c r="W804" s="25"/>
      <c r="X804" s="25"/>
      <c r="Y804" s="25"/>
      <c r="Z804" s="22"/>
      <c r="AA804" s="22"/>
      <c r="AB804" s="22"/>
      <c r="AC804" s="22"/>
      <c r="AD804" s="22"/>
      <c r="AE804" s="22"/>
      <c r="AF804" s="25"/>
      <c r="AG804" s="22"/>
      <c r="AH804" s="22"/>
      <c r="AI804" s="22"/>
      <c r="AJ804" s="22"/>
      <c r="AK804" s="22"/>
      <c r="AL804" s="22"/>
      <c r="AM804" s="22"/>
      <c r="AN804" s="25"/>
      <c r="AO804" s="22"/>
      <c r="AP804" s="22"/>
      <c r="AQ804" s="22"/>
      <c r="AR804" s="22"/>
      <c r="AS804" s="22"/>
      <c r="AT804" s="22"/>
      <c r="AU804" s="22"/>
      <c r="AV804" s="25"/>
      <c r="AW804" s="25"/>
      <c r="AX804" s="25"/>
      <c r="AY804" s="25"/>
      <c r="AZ804" s="25"/>
      <c r="BA804" s="25"/>
      <c r="BB804" s="25"/>
      <c r="BC804" s="25"/>
      <c r="BD804" s="25"/>
      <c r="BE804" s="25"/>
      <c r="BF804" s="25"/>
      <c r="BG804" s="25"/>
      <c r="BH804" s="25"/>
      <c r="BI804" s="25"/>
      <c r="BJ804" s="25"/>
      <c r="BK804" s="25"/>
      <c r="BL804" s="25"/>
    </row>
    <row r="805" spans="1:64" s="21" customFormat="1" ht="18.600000000000001" customHeight="1" x14ac:dyDescent="0.25">
      <c r="A805" s="22"/>
      <c r="B805" s="22"/>
      <c r="C805" s="22"/>
      <c r="D805" s="23"/>
      <c r="E805" s="26"/>
      <c r="F805" s="25"/>
      <c r="G805" s="25"/>
      <c r="H805" s="25"/>
      <c r="I805" s="25"/>
      <c r="J805" s="22"/>
      <c r="K805" s="25"/>
      <c r="L805" s="25"/>
      <c r="M805" s="25"/>
      <c r="N805" s="25"/>
      <c r="O805" s="22"/>
      <c r="P805" s="22"/>
      <c r="Q805" s="22"/>
      <c r="R805" s="22"/>
      <c r="S805" s="25"/>
      <c r="T805" s="25"/>
      <c r="U805" s="25"/>
      <c r="V805" s="25"/>
      <c r="W805" s="25"/>
      <c r="X805" s="25"/>
      <c r="Y805" s="25"/>
      <c r="Z805" s="22"/>
      <c r="AA805" s="22"/>
      <c r="AB805" s="22"/>
      <c r="AC805" s="22"/>
      <c r="AD805" s="22"/>
      <c r="AE805" s="22"/>
      <c r="AF805" s="25"/>
      <c r="AG805" s="22"/>
      <c r="AH805" s="22"/>
      <c r="AI805" s="22"/>
      <c r="AJ805" s="22"/>
      <c r="AK805" s="22"/>
      <c r="AL805" s="22"/>
      <c r="AM805" s="22"/>
      <c r="AN805" s="25"/>
      <c r="AO805" s="22"/>
      <c r="AP805" s="22"/>
      <c r="AQ805" s="22"/>
      <c r="AR805" s="22"/>
      <c r="AS805" s="22"/>
      <c r="AT805" s="22"/>
      <c r="AU805" s="22"/>
      <c r="AV805" s="25"/>
      <c r="AW805" s="25"/>
      <c r="AX805" s="25"/>
      <c r="AY805" s="25"/>
      <c r="AZ805" s="25"/>
      <c r="BA805" s="25"/>
      <c r="BB805" s="25"/>
      <c r="BC805" s="25"/>
      <c r="BD805" s="25"/>
      <c r="BE805" s="25"/>
      <c r="BF805" s="25"/>
      <c r="BG805" s="25"/>
      <c r="BH805" s="25"/>
      <c r="BI805" s="25"/>
      <c r="BJ805" s="25"/>
      <c r="BK805" s="25"/>
      <c r="BL805" s="25"/>
    </row>
    <row r="806" spans="1:64" s="21" customFormat="1" ht="18.600000000000001" customHeight="1" x14ac:dyDescent="0.25">
      <c r="A806" s="22"/>
      <c r="B806" s="22"/>
      <c r="C806" s="22"/>
      <c r="D806" s="23"/>
      <c r="E806" s="26"/>
      <c r="F806" s="25"/>
      <c r="G806" s="25"/>
      <c r="H806" s="25"/>
      <c r="I806" s="25"/>
      <c r="J806" s="22"/>
      <c r="K806" s="25"/>
      <c r="L806" s="25"/>
      <c r="M806" s="25"/>
      <c r="N806" s="25"/>
      <c r="O806" s="22"/>
      <c r="P806" s="22"/>
      <c r="Q806" s="22"/>
      <c r="R806" s="22"/>
      <c r="S806" s="25"/>
      <c r="T806" s="25"/>
      <c r="U806" s="25"/>
      <c r="V806" s="25"/>
      <c r="W806" s="25"/>
      <c r="X806" s="25"/>
      <c r="Y806" s="25"/>
      <c r="Z806" s="22"/>
      <c r="AA806" s="22"/>
      <c r="AB806" s="22"/>
      <c r="AC806" s="22"/>
      <c r="AD806" s="22"/>
      <c r="AE806" s="22"/>
      <c r="AF806" s="25"/>
      <c r="AG806" s="22"/>
      <c r="AH806" s="22"/>
      <c r="AI806" s="22"/>
      <c r="AJ806" s="22"/>
      <c r="AK806" s="22"/>
      <c r="AL806" s="22"/>
      <c r="AM806" s="22"/>
      <c r="AN806" s="25"/>
      <c r="AO806" s="22"/>
      <c r="AP806" s="22"/>
      <c r="AQ806" s="22"/>
      <c r="AR806" s="22"/>
      <c r="AS806" s="22"/>
      <c r="AT806" s="22"/>
      <c r="AU806" s="22"/>
      <c r="AV806" s="25"/>
      <c r="AW806" s="25"/>
      <c r="AX806" s="25"/>
      <c r="AY806" s="25"/>
      <c r="AZ806" s="25"/>
      <c r="BA806" s="25"/>
      <c r="BB806" s="25"/>
      <c r="BC806" s="25"/>
      <c r="BD806" s="25"/>
      <c r="BE806" s="25"/>
      <c r="BF806" s="25"/>
      <c r="BG806" s="25"/>
      <c r="BH806" s="25"/>
      <c r="BI806" s="25"/>
      <c r="BJ806" s="25"/>
      <c r="BK806" s="25"/>
      <c r="BL806" s="25"/>
    </row>
    <row r="807" spans="1:64" s="21" customFormat="1" ht="18.600000000000001" customHeight="1" x14ac:dyDescent="0.25">
      <c r="A807" s="22"/>
      <c r="B807" s="22"/>
      <c r="C807" s="22"/>
      <c r="D807" s="23"/>
      <c r="E807" s="26"/>
      <c r="F807" s="25"/>
      <c r="G807" s="25"/>
      <c r="H807" s="25"/>
      <c r="I807" s="25"/>
      <c r="J807" s="22"/>
      <c r="K807" s="25"/>
      <c r="L807" s="25"/>
      <c r="M807" s="25"/>
      <c r="N807" s="25"/>
      <c r="O807" s="22"/>
      <c r="P807" s="22"/>
      <c r="Q807" s="22"/>
      <c r="R807" s="22"/>
      <c r="S807" s="25"/>
      <c r="T807" s="25"/>
      <c r="U807" s="25"/>
      <c r="V807" s="25"/>
      <c r="W807" s="25"/>
      <c r="X807" s="25"/>
      <c r="Y807" s="25"/>
      <c r="Z807" s="22"/>
      <c r="AA807" s="22"/>
      <c r="AB807" s="22"/>
      <c r="AC807" s="22"/>
      <c r="AD807" s="22"/>
      <c r="AE807" s="22"/>
      <c r="AF807" s="25"/>
      <c r="AG807" s="22"/>
      <c r="AH807" s="22"/>
      <c r="AI807" s="22"/>
      <c r="AJ807" s="22"/>
      <c r="AK807" s="22"/>
      <c r="AL807" s="22"/>
      <c r="AM807" s="22"/>
      <c r="AN807" s="25"/>
      <c r="AO807" s="22"/>
      <c r="AP807" s="22"/>
      <c r="AQ807" s="22"/>
      <c r="AR807" s="22"/>
      <c r="AS807" s="22"/>
      <c r="AT807" s="22"/>
      <c r="AU807" s="22"/>
      <c r="AV807" s="25"/>
      <c r="AW807" s="25"/>
      <c r="AX807" s="25"/>
      <c r="AY807" s="25"/>
      <c r="AZ807" s="25"/>
      <c r="BA807" s="25"/>
      <c r="BB807" s="25"/>
      <c r="BC807" s="25"/>
      <c r="BD807" s="25"/>
      <c r="BE807" s="25"/>
      <c r="BF807" s="25"/>
      <c r="BG807" s="25"/>
      <c r="BH807" s="25"/>
      <c r="BI807" s="25"/>
      <c r="BJ807" s="25"/>
      <c r="BK807" s="25"/>
      <c r="BL807" s="25"/>
    </row>
    <row r="808" spans="1:64" s="21" customFormat="1" ht="18.600000000000001" customHeight="1" x14ac:dyDescent="0.25">
      <c r="A808" s="22"/>
      <c r="B808" s="22"/>
      <c r="C808" s="22"/>
      <c r="D808" s="23"/>
      <c r="E808" s="26"/>
      <c r="F808" s="25"/>
      <c r="G808" s="25"/>
      <c r="H808" s="25"/>
      <c r="I808" s="25"/>
      <c r="J808" s="22"/>
      <c r="K808" s="25"/>
      <c r="L808" s="25"/>
      <c r="M808" s="25"/>
      <c r="N808" s="25"/>
      <c r="O808" s="22"/>
      <c r="P808" s="22"/>
      <c r="Q808" s="22"/>
      <c r="R808" s="22"/>
      <c r="S808" s="25"/>
      <c r="T808" s="25"/>
      <c r="U808" s="25"/>
      <c r="V808" s="25"/>
      <c r="W808" s="25"/>
      <c r="X808" s="25"/>
      <c r="Y808" s="25"/>
      <c r="Z808" s="22"/>
      <c r="AA808" s="22"/>
      <c r="AB808" s="22"/>
      <c r="AC808" s="22"/>
      <c r="AD808" s="22"/>
      <c r="AE808" s="22"/>
      <c r="AF808" s="25"/>
      <c r="AG808" s="22"/>
      <c r="AH808" s="22"/>
      <c r="AI808" s="22"/>
      <c r="AJ808" s="22"/>
      <c r="AK808" s="22"/>
      <c r="AL808" s="22"/>
      <c r="AM808" s="22"/>
      <c r="AN808" s="25"/>
      <c r="AO808" s="22"/>
      <c r="AP808" s="22"/>
      <c r="AQ808" s="22"/>
      <c r="AR808" s="22"/>
      <c r="AS808" s="22"/>
      <c r="AT808" s="22"/>
      <c r="AU808" s="22"/>
      <c r="AV808" s="25"/>
      <c r="AW808" s="25"/>
      <c r="AX808" s="25"/>
      <c r="AY808" s="25"/>
      <c r="AZ808" s="25"/>
      <c r="BA808" s="25"/>
      <c r="BB808" s="25"/>
      <c r="BC808" s="25"/>
      <c r="BD808" s="25"/>
      <c r="BE808" s="25"/>
      <c r="BF808" s="25"/>
      <c r="BG808" s="25"/>
      <c r="BH808" s="25"/>
      <c r="BI808" s="25"/>
      <c r="BJ808" s="25"/>
      <c r="BK808" s="25"/>
      <c r="BL808" s="25"/>
    </row>
    <row r="809" spans="1:64" s="21" customFormat="1" ht="18.600000000000001" customHeight="1" x14ac:dyDescent="0.25">
      <c r="A809" s="22"/>
      <c r="B809" s="22"/>
      <c r="C809" s="22"/>
      <c r="D809" s="23"/>
      <c r="E809" s="26"/>
      <c r="F809" s="25"/>
      <c r="G809" s="25"/>
      <c r="H809" s="25"/>
      <c r="I809" s="25"/>
      <c r="J809" s="22"/>
      <c r="K809" s="25"/>
      <c r="L809" s="25"/>
      <c r="M809" s="25"/>
      <c r="N809" s="25"/>
      <c r="O809" s="22"/>
      <c r="P809" s="22"/>
      <c r="Q809" s="22"/>
      <c r="R809" s="22"/>
      <c r="S809" s="25"/>
      <c r="T809" s="25"/>
      <c r="U809" s="25"/>
      <c r="V809" s="25"/>
      <c r="W809" s="25"/>
      <c r="X809" s="25"/>
      <c r="Y809" s="25"/>
      <c r="Z809" s="22"/>
      <c r="AA809" s="22"/>
      <c r="AB809" s="22"/>
      <c r="AC809" s="22"/>
      <c r="AD809" s="22"/>
      <c r="AE809" s="22"/>
      <c r="AF809" s="25"/>
      <c r="AG809" s="22"/>
      <c r="AH809" s="22"/>
      <c r="AI809" s="22"/>
      <c r="AJ809" s="22"/>
      <c r="AK809" s="22"/>
      <c r="AL809" s="22"/>
      <c r="AM809" s="22"/>
      <c r="AN809" s="25"/>
      <c r="AO809" s="22"/>
      <c r="AP809" s="22"/>
      <c r="AQ809" s="22"/>
      <c r="AR809" s="22"/>
      <c r="AS809" s="22"/>
      <c r="AT809" s="22"/>
      <c r="AU809" s="22"/>
      <c r="AV809" s="25"/>
      <c r="AW809" s="25"/>
      <c r="AX809" s="25"/>
      <c r="AY809" s="25"/>
      <c r="AZ809" s="25"/>
      <c r="BA809" s="25"/>
      <c r="BB809" s="25"/>
      <c r="BC809" s="25"/>
      <c r="BD809" s="25"/>
      <c r="BE809" s="25"/>
      <c r="BF809" s="25"/>
      <c r="BG809" s="25"/>
      <c r="BH809" s="25"/>
      <c r="BI809" s="25"/>
      <c r="BJ809" s="25"/>
      <c r="BK809" s="25"/>
      <c r="BL809" s="25"/>
    </row>
    <row r="810" spans="1:64" s="21" customFormat="1" ht="18.600000000000001" customHeight="1" x14ac:dyDescent="0.25">
      <c r="A810" s="22"/>
      <c r="B810" s="22"/>
      <c r="C810" s="22"/>
      <c r="D810" s="23"/>
      <c r="E810" s="26"/>
      <c r="F810" s="25"/>
      <c r="G810" s="25"/>
      <c r="H810" s="25"/>
      <c r="I810" s="25"/>
      <c r="J810" s="22"/>
      <c r="K810" s="25"/>
      <c r="L810" s="25"/>
      <c r="M810" s="25"/>
      <c r="N810" s="25"/>
      <c r="O810" s="22"/>
      <c r="P810" s="22"/>
      <c r="Q810" s="22"/>
      <c r="R810" s="22"/>
      <c r="S810" s="25"/>
      <c r="T810" s="25"/>
      <c r="U810" s="25"/>
      <c r="V810" s="25"/>
      <c r="W810" s="25"/>
      <c r="X810" s="25"/>
      <c r="Y810" s="25"/>
      <c r="Z810" s="22"/>
      <c r="AA810" s="22"/>
      <c r="AB810" s="22"/>
      <c r="AC810" s="22"/>
      <c r="AD810" s="22"/>
      <c r="AE810" s="22"/>
      <c r="AF810" s="25"/>
      <c r="AG810" s="22"/>
      <c r="AH810" s="22"/>
      <c r="AI810" s="22"/>
      <c r="AJ810" s="22"/>
      <c r="AK810" s="22"/>
      <c r="AL810" s="22"/>
      <c r="AM810" s="22"/>
      <c r="AN810" s="25"/>
      <c r="AO810" s="22"/>
      <c r="AP810" s="22"/>
      <c r="AQ810" s="22"/>
      <c r="AR810" s="22"/>
      <c r="AS810" s="22"/>
      <c r="AT810" s="22"/>
      <c r="AU810" s="22"/>
      <c r="AV810" s="25"/>
      <c r="AW810" s="25"/>
      <c r="AX810" s="25"/>
      <c r="AY810" s="25"/>
      <c r="AZ810" s="25"/>
      <c r="BA810" s="25"/>
      <c r="BB810" s="25"/>
      <c r="BC810" s="25"/>
      <c r="BD810" s="25"/>
      <c r="BE810" s="25"/>
      <c r="BF810" s="25"/>
      <c r="BG810" s="25"/>
      <c r="BH810" s="25"/>
      <c r="BI810" s="25"/>
      <c r="BJ810" s="25"/>
      <c r="BK810" s="25"/>
      <c r="BL810" s="25"/>
    </row>
    <row r="811" spans="1:64" s="21" customFormat="1" ht="18.600000000000001" customHeight="1" x14ac:dyDescent="0.25">
      <c r="A811" s="22"/>
      <c r="B811" s="22"/>
      <c r="C811" s="22"/>
      <c r="D811" s="23"/>
      <c r="E811" s="26"/>
      <c r="F811" s="25"/>
      <c r="G811" s="25"/>
      <c r="H811" s="25"/>
      <c r="I811" s="25"/>
      <c r="J811" s="22"/>
      <c r="K811" s="25"/>
      <c r="L811" s="25"/>
      <c r="M811" s="25"/>
      <c r="N811" s="25"/>
      <c r="O811" s="22"/>
      <c r="P811" s="22"/>
      <c r="Q811" s="22"/>
      <c r="R811" s="22"/>
      <c r="S811" s="25"/>
      <c r="T811" s="25"/>
      <c r="U811" s="25"/>
      <c r="V811" s="25"/>
      <c r="W811" s="25"/>
      <c r="X811" s="25"/>
      <c r="Y811" s="25"/>
      <c r="Z811" s="22"/>
      <c r="AA811" s="22"/>
      <c r="AB811" s="22"/>
      <c r="AC811" s="22"/>
      <c r="AD811" s="22"/>
      <c r="AE811" s="22"/>
      <c r="AF811" s="25"/>
      <c r="AG811" s="22"/>
      <c r="AH811" s="22"/>
      <c r="AI811" s="22"/>
      <c r="AJ811" s="22"/>
      <c r="AK811" s="22"/>
      <c r="AL811" s="22"/>
      <c r="AM811" s="22"/>
      <c r="AN811" s="25"/>
      <c r="AO811" s="22"/>
      <c r="AP811" s="22"/>
      <c r="AQ811" s="22"/>
      <c r="AR811" s="22"/>
      <c r="AS811" s="22"/>
      <c r="AT811" s="22"/>
      <c r="AU811" s="22"/>
      <c r="AV811" s="25"/>
      <c r="AW811" s="25"/>
      <c r="AX811" s="25"/>
      <c r="AY811" s="25"/>
      <c r="AZ811" s="25"/>
      <c r="BA811" s="25"/>
      <c r="BB811" s="25"/>
      <c r="BC811" s="25"/>
      <c r="BD811" s="25"/>
      <c r="BE811" s="25"/>
      <c r="BF811" s="25"/>
      <c r="BG811" s="25"/>
      <c r="BH811" s="25"/>
      <c r="BI811" s="25"/>
      <c r="BJ811" s="25"/>
      <c r="BK811" s="25"/>
      <c r="BL811" s="25"/>
    </row>
    <row r="812" spans="1:64" s="21" customFormat="1" ht="18.600000000000001" customHeight="1" x14ac:dyDescent="0.25">
      <c r="A812" s="22"/>
      <c r="B812" s="22"/>
      <c r="C812" s="22"/>
      <c r="D812" s="23"/>
      <c r="E812" s="26"/>
      <c r="F812" s="25"/>
      <c r="G812" s="25"/>
      <c r="H812" s="25"/>
      <c r="I812" s="25"/>
      <c r="J812" s="22"/>
      <c r="K812" s="25"/>
      <c r="L812" s="25"/>
      <c r="M812" s="25"/>
      <c r="N812" s="25"/>
      <c r="O812" s="22"/>
      <c r="P812" s="22"/>
      <c r="Q812" s="22"/>
      <c r="R812" s="22"/>
      <c r="S812" s="25"/>
      <c r="T812" s="25"/>
      <c r="U812" s="25"/>
      <c r="V812" s="25"/>
      <c r="W812" s="25"/>
      <c r="X812" s="25"/>
      <c r="Y812" s="25"/>
      <c r="Z812" s="22"/>
      <c r="AA812" s="22"/>
      <c r="AB812" s="22"/>
      <c r="AC812" s="22"/>
      <c r="AD812" s="22"/>
      <c r="AE812" s="22"/>
      <c r="AF812" s="25"/>
      <c r="AG812" s="22"/>
      <c r="AH812" s="22"/>
      <c r="AI812" s="22"/>
      <c r="AJ812" s="22"/>
      <c r="AK812" s="22"/>
      <c r="AL812" s="22"/>
      <c r="AM812" s="22"/>
      <c r="AN812" s="25"/>
      <c r="AO812" s="22"/>
      <c r="AP812" s="22"/>
      <c r="AQ812" s="22"/>
      <c r="AR812" s="22"/>
      <c r="AS812" s="22"/>
      <c r="AT812" s="22"/>
      <c r="AU812" s="22"/>
      <c r="AV812" s="25"/>
      <c r="AW812" s="25"/>
      <c r="AX812" s="25"/>
      <c r="AY812" s="25"/>
      <c r="AZ812" s="25"/>
      <c r="BA812" s="25"/>
      <c r="BB812" s="25"/>
      <c r="BC812" s="25"/>
      <c r="BD812" s="25"/>
      <c r="BE812" s="25"/>
      <c r="BF812" s="25"/>
      <c r="BG812" s="25"/>
      <c r="BH812" s="25"/>
      <c r="BI812" s="25"/>
      <c r="BJ812" s="25"/>
      <c r="BK812" s="25"/>
      <c r="BL812" s="25"/>
    </row>
    <row r="813" spans="1:64" s="21" customFormat="1" ht="18.600000000000001" customHeight="1" x14ac:dyDescent="0.25">
      <c r="A813" s="22"/>
      <c r="B813" s="22"/>
      <c r="C813" s="22"/>
      <c r="D813" s="23"/>
      <c r="E813" s="26"/>
      <c r="F813" s="25"/>
      <c r="G813" s="25"/>
      <c r="H813" s="25"/>
      <c r="I813" s="25"/>
      <c r="J813" s="22"/>
      <c r="K813" s="25"/>
      <c r="L813" s="25"/>
      <c r="M813" s="25"/>
      <c r="N813" s="25"/>
      <c r="O813" s="22"/>
      <c r="P813" s="22"/>
      <c r="Q813" s="22"/>
      <c r="R813" s="22"/>
      <c r="S813" s="25"/>
      <c r="T813" s="25"/>
      <c r="U813" s="25"/>
      <c r="V813" s="25"/>
      <c r="W813" s="25"/>
      <c r="X813" s="25"/>
      <c r="Y813" s="25"/>
      <c r="Z813" s="22"/>
      <c r="AA813" s="22"/>
      <c r="AB813" s="22"/>
      <c r="AC813" s="22"/>
      <c r="AD813" s="22"/>
      <c r="AE813" s="22"/>
      <c r="AF813" s="25"/>
      <c r="AG813" s="22"/>
      <c r="AH813" s="22"/>
      <c r="AI813" s="22"/>
      <c r="AJ813" s="22"/>
      <c r="AK813" s="22"/>
      <c r="AL813" s="22"/>
      <c r="AM813" s="22"/>
      <c r="AN813" s="25"/>
      <c r="AO813" s="22"/>
      <c r="AP813" s="22"/>
      <c r="AQ813" s="22"/>
      <c r="AR813" s="22"/>
      <c r="AS813" s="22"/>
      <c r="AT813" s="22"/>
      <c r="AU813" s="22"/>
      <c r="AV813" s="25"/>
      <c r="AW813" s="25"/>
      <c r="AX813" s="25"/>
      <c r="AY813" s="25"/>
      <c r="AZ813" s="25"/>
      <c r="BA813" s="25"/>
      <c r="BB813" s="25"/>
      <c r="BC813" s="25"/>
      <c r="BD813" s="25"/>
      <c r="BE813" s="25"/>
      <c r="BF813" s="25"/>
      <c r="BG813" s="25"/>
      <c r="BH813" s="25"/>
      <c r="BI813" s="25"/>
      <c r="BJ813" s="25"/>
      <c r="BK813" s="25"/>
      <c r="BL813" s="25"/>
    </row>
    <row r="814" spans="1:64" s="21" customFormat="1" ht="18.600000000000001" customHeight="1" x14ac:dyDescent="0.25">
      <c r="A814" s="22"/>
      <c r="B814" s="22"/>
      <c r="C814" s="22"/>
      <c r="D814" s="23"/>
      <c r="E814" s="26"/>
      <c r="F814" s="25"/>
      <c r="G814" s="25"/>
      <c r="H814" s="25"/>
      <c r="I814" s="25"/>
      <c r="J814" s="22"/>
      <c r="K814" s="25"/>
      <c r="L814" s="25"/>
      <c r="M814" s="25"/>
      <c r="N814" s="25"/>
      <c r="O814" s="22"/>
      <c r="P814" s="22"/>
      <c r="Q814" s="22"/>
      <c r="R814" s="22"/>
      <c r="S814" s="25"/>
      <c r="T814" s="25"/>
      <c r="U814" s="25"/>
      <c r="V814" s="25"/>
      <c r="W814" s="25"/>
      <c r="X814" s="25"/>
      <c r="Y814" s="25"/>
      <c r="Z814" s="22"/>
      <c r="AA814" s="22"/>
      <c r="AB814" s="22"/>
      <c r="AC814" s="22"/>
      <c r="AD814" s="22"/>
      <c r="AE814" s="22"/>
      <c r="AF814" s="25"/>
      <c r="AG814" s="22"/>
      <c r="AH814" s="22"/>
      <c r="AI814" s="22"/>
      <c r="AJ814" s="22"/>
      <c r="AK814" s="22"/>
      <c r="AL814" s="22"/>
      <c r="AM814" s="22"/>
      <c r="AN814" s="25"/>
      <c r="AO814" s="22"/>
      <c r="AP814" s="22"/>
      <c r="AQ814" s="22"/>
      <c r="AR814" s="22"/>
      <c r="AS814" s="22"/>
      <c r="AT814" s="22"/>
      <c r="AU814" s="22"/>
      <c r="AV814" s="25"/>
      <c r="AW814" s="25"/>
      <c r="AX814" s="25"/>
      <c r="AY814" s="25"/>
      <c r="AZ814" s="25"/>
      <c r="BA814" s="25"/>
      <c r="BB814" s="25"/>
      <c r="BC814" s="25"/>
      <c r="BD814" s="25"/>
      <c r="BE814" s="25"/>
      <c r="BF814" s="25"/>
      <c r="BG814" s="25"/>
      <c r="BH814" s="25"/>
      <c r="BI814" s="25"/>
      <c r="BJ814" s="25"/>
      <c r="BK814" s="25"/>
      <c r="BL814" s="25"/>
    </row>
    <row r="815" spans="1:64" s="21" customFormat="1" ht="18.600000000000001" customHeight="1" x14ac:dyDescent="0.25">
      <c r="A815" s="22"/>
      <c r="B815" s="22"/>
      <c r="C815" s="22"/>
      <c r="D815" s="23"/>
      <c r="E815" s="26"/>
      <c r="F815" s="25"/>
      <c r="G815" s="25"/>
      <c r="H815" s="25"/>
      <c r="I815" s="25"/>
      <c r="J815" s="22"/>
      <c r="K815" s="25"/>
      <c r="L815" s="25"/>
      <c r="M815" s="25"/>
      <c r="N815" s="25"/>
      <c r="O815" s="22"/>
      <c r="P815" s="22"/>
      <c r="Q815" s="22"/>
      <c r="R815" s="22"/>
      <c r="S815" s="25"/>
      <c r="T815" s="25"/>
      <c r="U815" s="25"/>
      <c r="V815" s="25"/>
      <c r="W815" s="25"/>
      <c r="X815" s="25"/>
      <c r="Y815" s="25"/>
      <c r="Z815" s="22"/>
      <c r="AA815" s="22"/>
      <c r="AB815" s="22"/>
      <c r="AC815" s="22"/>
      <c r="AD815" s="22"/>
      <c r="AE815" s="22"/>
      <c r="AF815" s="25"/>
      <c r="AG815" s="22"/>
      <c r="AH815" s="22"/>
      <c r="AI815" s="22"/>
      <c r="AJ815" s="22"/>
      <c r="AK815" s="22"/>
      <c r="AL815" s="22"/>
      <c r="AM815" s="22"/>
      <c r="AN815" s="25"/>
      <c r="AO815" s="22"/>
      <c r="AP815" s="22"/>
      <c r="AQ815" s="22"/>
      <c r="AR815" s="22"/>
      <c r="AS815" s="22"/>
      <c r="AT815" s="22"/>
      <c r="AU815" s="22"/>
      <c r="AV815" s="25"/>
      <c r="AW815" s="25"/>
      <c r="AX815" s="25"/>
      <c r="AY815" s="25"/>
      <c r="AZ815" s="25"/>
      <c r="BA815" s="25"/>
      <c r="BB815" s="25"/>
      <c r="BC815" s="25"/>
      <c r="BD815" s="25"/>
      <c r="BE815" s="25"/>
      <c r="BF815" s="25"/>
      <c r="BG815" s="25"/>
      <c r="BH815" s="25"/>
      <c r="BI815" s="25"/>
      <c r="BJ815" s="25"/>
      <c r="BK815" s="25"/>
      <c r="BL815" s="25"/>
    </row>
    <row r="816" spans="1:64" s="21" customFormat="1" ht="18.600000000000001" customHeight="1" x14ac:dyDescent="0.25">
      <c r="A816" s="22"/>
      <c r="B816" s="22"/>
      <c r="C816" s="22"/>
      <c r="D816" s="23"/>
      <c r="E816" s="26"/>
      <c r="F816" s="25"/>
      <c r="G816" s="25"/>
      <c r="H816" s="25"/>
      <c r="I816" s="25"/>
      <c r="J816" s="22"/>
      <c r="K816" s="25"/>
      <c r="L816" s="25"/>
      <c r="M816" s="25"/>
      <c r="N816" s="25"/>
      <c r="O816" s="22"/>
      <c r="P816" s="22"/>
      <c r="Q816" s="22"/>
      <c r="R816" s="22"/>
      <c r="S816" s="25"/>
      <c r="T816" s="25"/>
      <c r="U816" s="25"/>
      <c r="V816" s="25"/>
      <c r="W816" s="25"/>
      <c r="X816" s="25"/>
      <c r="Y816" s="25"/>
      <c r="Z816" s="22"/>
      <c r="AA816" s="22"/>
      <c r="AB816" s="22"/>
      <c r="AC816" s="22"/>
      <c r="AD816" s="22"/>
      <c r="AE816" s="22"/>
      <c r="AF816" s="25"/>
      <c r="AG816" s="22"/>
      <c r="AH816" s="22"/>
      <c r="AI816" s="22"/>
      <c r="AJ816" s="22"/>
      <c r="AK816" s="22"/>
      <c r="AL816" s="22"/>
      <c r="AM816" s="22"/>
      <c r="AN816" s="25"/>
      <c r="AO816" s="22"/>
      <c r="AP816" s="22"/>
      <c r="AQ816" s="22"/>
      <c r="AR816" s="22"/>
      <c r="AS816" s="22"/>
      <c r="AT816" s="22"/>
      <c r="AU816" s="22"/>
      <c r="AV816" s="25"/>
      <c r="AW816" s="25"/>
      <c r="AX816" s="25"/>
      <c r="AY816" s="25"/>
      <c r="AZ816" s="25"/>
      <c r="BA816" s="25"/>
      <c r="BB816" s="25"/>
      <c r="BC816" s="25"/>
      <c r="BD816" s="25"/>
      <c r="BE816" s="25"/>
      <c r="BF816" s="25"/>
      <c r="BG816" s="25"/>
      <c r="BH816" s="25"/>
      <c r="BI816" s="25"/>
      <c r="BJ816" s="25"/>
      <c r="BK816" s="25"/>
      <c r="BL816" s="25"/>
    </row>
    <row r="817" spans="1:64" s="21" customFormat="1" ht="18.600000000000001" customHeight="1" x14ac:dyDescent="0.25">
      <c r="A817" s="22"/>
      <c r="B817" s="22"/>
      <c r="C817" s="22"/>
      <c r="D817" s="23"/>
      <c r="E817" s="26"/>
      <c r="F817" s="25"/>
      <c r="G817" s="25"/>
      <c r="H817" s="25"/>
      <c r="I817" s="25"/>
      <c r="J817" s="22"/>
      <c r="K817" s="25"/>
      <c r="L817" s="25"/>
      <c r="M817" s="25"/>
      <c r="N817" s="25"/>
      <c r="O817" s="22"/>
      <c r="P817" s="22"/>
      <c r="Q817" s="22"/>
      <c r="R817" s="22"/>
      <c r="S817" s="25"/>
      <c r="T817" s="25"/>
      <c r="U817" s="25"/>
      <c r="V817" s="25"/>
      <c r="W817" s="25"/>
      <c r="X817" s="25"/>
      <c r="Y817" s="25"/>
      <c r="Z817" s="22"/>
      <c r="AA817" s="22"/>
      <c r="AB817" s="22"/>
      <c r="AC817" s="22"/>
      <c r="AD817" s="22"/>
      <c r="AE817" s="22"/>
      <c r="AF817" s="25"/>
      <c r="AG817" s="22"/>
      <c r="AH817" s="22"/>
      <c r="AI817" s="22"/>
      <c r="AJ817" s="22"/>
      <c r="AK817" s="22"/>
      <c r="AL817" s="22"/>
      <c r="AM817" s="22"/>
      <c r="AN817" s="25"/>
      <c r="AO817" s="22"/>
      <c r="AP817" s="22"/>
      <c r="AQ817" s="22"/>
      <c r="AR817" s="22"/>
      <c r="AS817" s="22"/>
      <c r="AT817" s="22"/>
      <c r="AU817" s="22"/>
      <c r="AV817" s="25"/>
      <c r="AW817" s="25"/>
      <c r="AX817" s="25"/>
      <c r="AY817" s="25"/>
      <c r="AZ817" s="25"/>
      <c r="BA817" s="25"/>
      <c r="BB817" s="25"/>
      <c r="BC817" s="25"/>
      <c r="BD817" s="25"/>
      <c r="BE817" s="25"/>
      <c r="BF817" s="25"/>
      <c r="BG817" s="25"/>
      <c r="BH817" s="25"/>
      <c r="BI817" s="25"/>
      <c r="BJ817" s="25"/>
      <c r="BK817" s="25"/>
      <c r="BL817" s="25"/>
    </row>
    <row r="818" spans="1:64" s="21" customFormat="1" ht="18.600000000000001" customHeight="1" x14ac:dyDescent="0.25">
      <c r="A818" s="22"/>
      <c r="B818" s="22"/>
      <c r="C818" s="22"/>
      <c r="D818" s="23"/>
      <c r="E818" s="26"/>
      <c r="F818" s="25"/>
      <c r="G818" s="25"/>
      <c r="H818" s="25"/>
      <c r="I818" s="25"/>
      <c r="J818" s="22"/>
      <c r="K818" s="25"/>
      <c r="L818" s="25"/>
      <c r="M818" s="25"/>
      <c r="N818" s="25"/>
      <c r="O818" s="22"/>
      <c r="P818" s="22"/>
      <c r="Q818" s="22"/>
      <c r="R818" s="22"/>
      <c r="S818" s="25"/>
      <c r="T818" s="25"/>
      <c r="U818" s="25"/>
      <c r="V818" s="25"/>
      <c r="W818" s="25"/>
      <c r="X818" s="25"/>
      <c r="Y818" s="25"/>
      <c r="Z818" s="22"/>
      <c r="AA818" s="22"/>
      <c r="AB818" s="22"/>
      <c r="AC818" s="22"/>
      <c r="AD818" s="22"/>
      <c r="AE818" s="22"/>
      <c r="AF818" s="25"/>
      <c r="AG818" s="22"/>
      <c r="AH818" s="22"/>
      <c r="AI818" s="22"/>
      <c r="AJ818" s="22"/>
      <c r="AK818" s="22"/>
      <c r="AL818" s="22"/>
      <c r="AM818" s="22"/>
      <c r="AN818" s="25"/>
      <c r="AO818" s="22"/>
      <c r="AP818" s="22"/>
      <c r="AQ818" s="22"/>
      <c r="AR818" s="22"/>
      <c r="AS818" s="22"/>
      <c r="AT818" s="22"/>
      <c r="AU818" s="22"/>
      <c r="AV818" s="25"/>
      <c r="AW818" s="25"/>
      <c r="AX818" s="25"/>
      <c r="AY818" s="25"/>
      <c r="AZ818" s="25"/>
      <c r="BA818" s="25"/>
      <c r="BB818" s="25"/>
      <c r="BC818" s="25"/>
      <c r="BD818" s="25"/>
      <c r="BE818" s="25"/>
      <c r="BF818" s="25"/>
      <c r="BG818" s="25"/>
      <c r="BH818" s="25"/>
      <c r="BI818" s="25"/>
      <c r="BJ818" s="25"/>
      <c r="BK818" s="25"/>
      <c r="BL818" s="25"/>
    </row>
    <row r="819" spans="1:64" s="21" customFormat="1" ht="18.600000000000001" customHeight="1" x14ac:dyDescent="0.25">
      <c r="A819" s="22"/>
      <c r="B819" s="22"/>
      <c r="C819" s="22"/>
      <c r="D819" s="23"/>
      <c r="E819" s="26"/>
      <c r="F819" s="25"/>
      <c r="G819" s="25"/>
      <c r="H819" s="25"/>
      <c r="I819" s="25"/>
      <c r="J819" s="22"/>
      <c r="K819" s="25"/>
      <c r="L819" s="25"/>
      <c r="M819" s="25"/>
      <c r="N819" s="25"/>
      <c r="O819" s="22"/>
      <c r="P819" s="22"/>
      <c r="Q819" s="22"/>
      <c r="R819" s="22"/>
      <c r="S819" s="25"/>
      <c r="T819" s="25"/>
      <c r="U819" s="25"/>
      <c r="V819" s="25"/>
      <c r="W819" s="25"/>
      <c r="X819" s="25"/>
      <c r="Y819" s="25"/>
      <c r="Z819" s="22"/>
      <c r="AA819" s="22"/>
      <c r="AB819" s="22"/>
      <c r="AC819" s="22"/>
      <c r="AD819" s="22"/>
      <c r="AE819" s="22"/>
      <c r="AF819" s="25"/>
      <c r="AG819" s="22"/>
      <c r="AH819" s="22"/>
      <c r="AI819" s="22"/>
      <c r="AJ819" s="22"/>
      <c r="AK819" s="22"/>
      <c r="AL819" s="22"/>
      <c r="AM819" s="22"/>
      <c r="AN819" s="25"/>
      <c r="AO819" s="22"/>
      <c r="AP819" s="22"/>
      <c r="AQ819" s="22"/>
      <c r="AR819" s="22"/>
      <c r="AS819" s="22"/>
      <c r="AT819" s="22"/>
      <c r="AU819" s="22"/>
      <c r="AV819" s="25"/>
      <c r="AW819" s="25"/>
      <c r="AX819" s="25"/>
      <c r="AY819" s="25"/>
      <c r="AZ819" s="25"/>
      <c r="BA819" s="25"/>
      <c r="BB819" s="25"/>
      <c r="BC819" s="25"/>
      <c r="BD819" s="25"/>
      <c r="BE819" s="25"/>
      <c r="BF819" s="25"/>
      <c r="BG819" s="25"/>
      <c r="BH819" s="25"/>
      <c r="BI819" s="25"/>
      <c r="BJ819" s="25"/>
      <c r="BK819" s="25"/>
      <c r="BL819" s="25"/>
    </row>
    <row r="820" spans="1:64" s="21" customFormat="1" ht="18.600000000000001" customHeight="1" x14ac:dyDescent="0.25">
      <c r="A820" s="22"/>
      <c r="B820" s="22"/>
      <c r="C820" s="22"/>
      <c r="D820" s="23"/>
      <c r="E820" s="26"/>
      <c r="F820" s="25"/>
      <c r="G820" s="25"/>
      <c r="H820" s="25"/>
      <c r="I820" s="25"/>
      <c r="J820" s="22"/>
      <c r="K820" s="25"/>
      <c r="L820" s="25"/>
      <c r="M820" s="25"/>
      <c r="N820" s="25"/>
      <c r="O820" s="22"/>
      <c r="P820" s="22"/>
      <c r="Q820" s="22"/>
      <c r="R820" s="22"/>
      <c r="S820" s="25"/>
      <c r="T820" s="25"/>
      <c r="U820" s="25"/>
      <c r="V820" s="25"/>
      <c r="W820" s="25"/>
      <c r="X820" s="25"/>
      <c r="Y820" s="25"/>
      <c r="Z820" s="22"/>
      <c r="AA820" s="22"/>
      <c r="AB820" s="22"/>
      <c r="AC820" s="22"/>
      <c r="AD820" s="22"/>
      <c r="AE820" s="22"/>
      <c r="AF820" s="25"/>
      <c r="AG820" s="22"/>
      <c r="AH820" s="22"/>
      <c r="AI820" s="22"/>
      <c r="AJ820" s="22"/>
      <c r="AK820" s="22"/>
      <c r="AL820" s="22"/>
      <c r="AM820" s="22"/>
      <c r="AN820" s="25"/>
      <c r="AO820" s="22"/>
      <c r="AP820" s="22"/>
      <c r="AQ820" s="22"/>
      <c r="AR820" s="22"/>
      <c r="AS820" s="22"/>
      <c r="AT820" s="22"/>
      <c r="AU820" s="22"/>
      <c r="AV820" s="25"/>
      <c r="AW820" s="25"/>
      <c r="AX820" s="25"/>
      <c r="AY820" s="25"/>
      <c r="AZ820" s="25"/>
      <c r="BA820" s="25"/>
      <c r="BB820" s="25"/>
      <c r="BC820" s="25"/>
      <c r="BD820" s="25"/>
      <c r="BE820" s="25"/>
      <c r="BF820" s="25"/>
      <c r="BG820" s="25"/>
      <c r="BH820" s="25"/>
      <c r="BI820" s="25"/>
      <c r="BJ820" s="25"/>
      <c r="BK820" s="25"/>
      <c r="BL820" s="25"/>
    </row>
    <row r="821" spans="1:64" s="21" customFormat="1" ht="18.600000000000001" customHeight="1" x14ac:dyDescent="0.25">
      <c r="A821" s="22"/>
      <c r="B821" s="22"/>
      <c r="C821" s="22"/>
      <c r="D821" s="23"/>
      <c r="E821" s="26"/>
      <c r="F821" s="25"/>
      <c r="G821" s="25"/>
      <c r="H821" s="25"/>
      <c r="I821" s="25"/>
      <c r="J821" s="22"/>
      <c r="K821" s="25"/>
      <c r="L821" s="25"/>
      <c r="M821" s="25"/>
      <c r="N821" s="25"/>
      <c r="O821" s="22"/>
      <c r="P821" s="22"/>
      <c r="Q821" s="22"/>
      <c r="R821" s="22"/>
      <c r="S821" s="25"/>
      <c r="T821" s="25"/>
      <c r="U821" s="25"/>
      <c r="V821" s="25"/>
      <c r="W821" s="25"/>
      <c r="X821" s="25"/>
      <c r="Y821" s="25"/>
      <c r="Z821" s="22"/>
      <c r="AA821" s="22"/>
      <c r="AB821" s="22"/>
      <c r="AC821" s="22"/>
      <c r="AD821" s="22"/>
      <c r="AE821" s="22"/>
      <c r="AF821" s="25"/>
      <c r="AG821" s="22"/>
      <c r="AH821" s="22"/>
      <c r="AI821" s="22"/>
      <c r="AJ821" s="22"/>
      <c r="AK821" s="22"/>
      <c r="AL821" s="22"/>
      <c r="AM821" s="22"/>
      <c r="AN821" s="25"/>
      <c r="AO821" s="22"/>
      <c r="AP821" s="22"/>
      <c r="AQ821" s="22"/>
      <c r="AR821" s="22"/>
      <c r="AS821" s="22"/>
      <c r="AT821" s="22"/>
      <c r="AU821" s="22"/>
      <c r="AV821" s="25"/>
      <c r="AW821" s="25"/>
      <c r="AX821" s="25"/>
      <c r="AY821" s="25"/>
      <c r="AZ821" s="25"/>
      <c r="BA821" s="25"/>
      <c r="BB821" s="25"/>
      <c r="BC821" s="25"/>
      <c r="BD821" s="25"/>
      <c r="BE821" s="25"/>
      <c r="BF821" s="25"/>
      <c r="BG821" s="25"/>
      <c r="BH821" s="25"/>
      <c r="BI821" s="25"/>
      <c r="BJ821" s="25"/>
      <c r="BK821" s="25"/>
      <c r="BL821" s="25"/>
    </row>
    <row r="822" spans="1:64" s="21" customFormat="1" ht="18.600000000000001" customHeight="1" x14ac:dyDescent="0.25">
      <c r="A822" s="22"/>
      <c r="B822" s="22"/>
      <c r="C822" s="22"/>
      <c r="D822" s="23"/>
      <c r="E822" s="26"/>
      <c r="F822" s="25"/>
      <c r="G822" s="25"/>
      <c r="H822" s="25"/>
      <c r="I822" s="25"/>
      <c r="J822" s="22"/>
      <c r="K822" s="25"/>
      <c r="L822" s="25"/>
      <c r="M822" s="25"/>
      <c r="N822" s="25"/>
      <c r="O822" s="22"/>
      <c r="P822" s="22"/>
      <c r="Q822" s="22"/>
      <c r="R822" s="22"/>
      <c r="S822" s="25"/>
      <c r="T822" s="25"/>
      <c r="U822" s="25"/>
      <c r="V822" s="25"/>
      <c r="W822" s="25"/>
      <c r="X822" s="25"/>
      <c r="Y822" s="25"/>
      <c r="Z822" s="22"/>
      <c r="AA822" s="22"/>
      <c r="AB822" s="22"/>
      <c r="AC822" s="22"/>
      <c r="AD822" s="22"/>
      <c r="AE822" s="22"/>
      <c r="AF822" s="25"/>
      <c r="AG822" s="22"/>
      <c r="AH822" s="22"/>
      <c r="AI822" s="22"/>
      <c r="AJ822" s="22"/>
      <c r="AK822" s="22"/>
      <c r="AL822" s="22"/>
      <c r="AM822" s="22"/>
      <c r="AN822" s="25"/>
      <c r="AO822" s="22"/>
      <c r="AP822" s="22"/>
      <c r="AQ822" s="22"/>
      <c r="AR822" s="22"/>
      <c r="AS822" s="22"/>
      <c r="AT822" s="22"/>
      <c r="AU822" s="22"/>
      <c r="AV822" s="25"/>
      <c r="AW822" s="25"/>
      <c r="AX822" s="25"/>
      <c r="AY822" s="25"/>
      <c r="AZ822" s="25"/>
      <c r="BA822" s="25"/>
      <c r="BB822" s="25"/>
      <c r="BC822" s="25"/>
      <c r="BD822" s="25"/>
      <c r="BE822" s="25"/>
      <c r="BF822" s="25"/>
      <c r="BG822" s="25"/>
      <c r="BH822" s="25"/>
      <c r="BI822" s="25"/>
      <c r="BJ822" s="25"/>
      <c r="BK822" s="25"/>
      <c r="BL822" s="25"/>
    </row>
    <row r="823" spans="1:64" s="21" customFormat="1" ht="18.600000000000001" customHeight="1" x14ac:dyDescent="0.25">
      <c r="A823" s="22"/>
      <c r="B823" s="22"/>
      <c r="C823" s="22"/>
      <c r="D823" s="23"/>
      <c r="E823" s="26"/>
      <c r="F823" s="25"/>
      <c r="G823" s="25"/>
      <c r="H823" s="25"/>
      <c r="I823" s="25"/>
      <c r="J823" s="22"/>
      <c r="K823" s="25"/>
      <c r="L823" s="25"/>
      <c r="M823" s="25"/>
      <c r="N823" s="25"/>
      <c r="O823" s="22"/>
      <c r="P823" s="22"/>
      <c r="Q823" s="22"/>
      <c r="R823" s="22"/>
      <c r="S823" s="25"/>
      <c r="T823" s="25"/>
      <c r="U823" s="25"/>
      <c r="V823" s="25"/>
      <c r="W823" s="25"/>
      <c r="X823" s="25"/>
      <c r="Y823" s="25"/>
      <c r="Z823" s="22"/>
      <c r="AA823" s="22"/>
      <c r="AB823" s="22"/>
      <c r="AC823" s="22"/>
      <c r="AD823" s="22"/>
      <c r="AE823" s="22"/>
      <c r="AF823" s="25"/>
      <c r="AG823" s="22"/>
      <c r="AH823" s="22"/>
      <c r="AI823" s="22"/>
      <c r="AJ823" s="22"/>
      <c r="AK823" s="22"/>
      <c r="AL823" s="22"/>
      <c r="AM823" s="22"/>
      <c r="AN823" s="25"/>
      <c r="AO823" s="22"/>
      <c r="AP823" s="22"/>
      <c r="AQ823" s="22"/>
      <c r="AR823" s="22"/>
      <c r="AS823" s="22"/>
      <c r="AT823" s="22"/>
      <c r="AU823" s="22"/>
      <c r="AV823" s="25"/>
      <c r="AW823" s="25"/>
      <c r="AX823" s="25"/>
      <c r="AY823" s="25"/>
      <c r="AZ823" s="25"/>
      <c r="BA823" s="25"/>
      <c r="BB823" s="25"/>
      <c r="BC823" s="25"/>
      <c r="BD823" s="25"/>
      <c r="BE823" s="25"/>
      <c r="BF823" s="25"/>
      <c r="BG823" s="25"/>
      <c r="BH823" s="25"/>
      <c r="BI823" s="25"/>
      <c r="BJ823" s="25"/>
      <c r="BK823" s="25"/>
      <c r="BL823" s="25"/>
    </row>
    <row r="824" spans="1:64" s="21" customFormat="1" ht="18.600000000000001" customHeight="1" x14ac:dyDescent="0.25">
      <c r="A824" s="22"/>
      <c r="B824" s="22"/>
      <c r="C824" s="22"/>
      <c r="D824" s="23"/>
      <c r="E824" s="26"/>
      <c r="F824" s="25"/>
      <c r="G824" s="25"/>
      <c r="H824" s="25"/>
      <c r="I824" s="25"/>
      <c r="J824" s="22"/>
      <c r="K824" s="25"/>
      <c r="L824" s="25"/>
      <c r="M824" s="25"/>
      <c r="N824" s="25"/>
      <c r="O824" s="22"/>
      <c r="P824" s="22"/>
      <c r="Q824" s="22"/>
      <c r="R824" s="22"/>
      <c r="S824" s="25"/>
      <c r="T824" s="25"/>
      <c r="U824" s="25"/>
      <c r="V824" s="25"/>
      <c r="W824" s="25"/>
      <c r="X824" s="25"/>
      <c r="Y824" s="25"/>
      <c r="Z824" s="22"/>
      <c r="AA824" s="22"/>
      <c r="AB824" s="22"/>
      <c r="AC824" s="22"/>
      <c r="AD824" s="22"/>
      <c r="AE824" s="22"/>
      <c r="AF824" s="25"/>
      <c r="AG824" s="22"/>
      <c r="AH824" s="22"/>
      <c r="AI824" s="22"/>
      <c r="AJ824" s="22"/>
      <c r="AK824" s="22"/>
      <c r="AL824" s="22"/>
      <c r="AM824" s="22"/>
      <c r="AN824" s="25"/>
      <c r="AO824" s="22"/>
      <c r="AP824" s="22"/>
      <c r="AQ824" s="22"/>
      <c r="AR824" s="22"/>
      <c r="AS824" s="22"/>
      <c r="AT824" s="22"/>
      <c r="AU824" s="22"/>
      <c r="AV824" s="25"/>
      <c r="AW824" s="25"/>
      <c r="AX824" s="25"/>
      <c r="AY824" s="25"/>
      <c r="AZ824" s="25"/>
      <c r="BA824" s="25"/>
      <c r="BB824" s="25"/>
      <c r="BC824" s="25"/>
      <c r="BD824" s="25"/>
      <c r="BE824" s="25"/>
      <c r="BF824" s="25"/>
      <c r="BG824" s="25"/>
      <c r="BH824" s="25"/>
      <c r="BI824" s="25"/>
      <c r="BJ824" s="25"/>
      <c r="BK824" s="25"/>
      <c r="BL824" s="25"/>
    </row>
    <row r="825" spans="1:64" s="21" customFormat="1" ht="18.600000000000001" customHeight="1" x14ac:dyDescent="0.25">
      <c r="A825" s="22"/>
      <c r="B825" s="22"/>
      <c r="C825" s="22"/>
      <c r="D825" s="23"/>
      <c r="E825" s="26"/>
      <c r="F825" s="25"/>
      <c r="G825" s="25"/>
      <c r="H825" s="25"/>
      <c r="I825" s="25"/>
      <c r="J825" s="22"/>
      <c r="K825" s="25"/>
      <c r="L825" s="25"/>
      <c r="M825" s="25"/>
      <c r="N825" s="25"/>
      <c r="O825" s="22"/>
      <c r="P825" s="22"/>
      <c r="Q825" s="22"/>
      <c r="R825" s="22"/>
      <c r="S825" s="25"/>
      <c r="T825" s="25"/>
      <c r="U825" s="25"/>
      <c r="V825" s="25"/>
      <c r="W825" s="25"/>
      <c r="X825" s="25"/>
      <c r="Y825" s="25"/>
      <c r="Z825" s="22"/>
      <c r="AA825" s="22"/>
      <c r="AB825" s="22"/>
      <c r="AC825" s="22"/>
      <c r="AD825" s="22"/>
      <c r="AE825" s="22"/>
      <c r="AF825" s="25"/>
      <c r="AG825" s="22"/>
      <c r="AH825" s="22"/>
      <c r="AI825" s="22"/>
      <c r="AJ825" s="22"/>
      <c r="AK825" s="22"/>
      <c r="AL825" s="22"/>
      <c r="AM825" s="22"/>
      <c r="AN825" s="25"/>
      <c r="AO825" s="22"/>
      <c r="AP825" s="22"/>
      <c r="AQ825" s="22"/>
      <c r="AR825" s="22"/>
      <c r="AS825" s="22"/>
      <c r="AT825" s="22"/>
      <c r="AU825" s="22"/>
      <c r="AV825" s="25"/>
      <c r="AW825" s="25"/>
      <c r="AX825" s="25"/>
      <c r="AY825" s="25"/>
      <c r="AZ825" s="25"/>
      <c r="BA825" s="25"/>
      <c r="BB825" s="25"/>
      <c r="BC825" s="25"/>
      <c r="BD825" s="25"/>
      <c r="BE825" s="25"/>
      <c r="BF825" s="25"/>
      <c r="BG825" s="25"/>
      <c r="BH825" s="25"/>
      <c r="BI825" s="25"/>
      <c r="BJ825" s="25"/>
      <c r="BK825" s="25"/>
      <c r="BL825" s="25"/>
    </row>
    <row r="826" spans="1:64" s="21" customFormat="1" ht="18.600000000000001" customHeight="1" x14ac:dyDescent="0.25">
      <c r="A826" s="22"/>
      <c r="B826" s="22"/>
      <c r="C826" s="22"/>
      <c r="D826" s="23"/>
      <c r="E826" s="26"/>
      <c r="F826" s="25"/>
      <c r="G826" s="25"/>
      <c r="H826" s="25"/>
      <c r="I826" s="25"/>
      <c r="J826" s="22"/>
      <c r="K826" s="25"/>
      <c r="L826" s="25"/>
      <c r="M826" s="25"/>
      <c r="N826" s="25"/>
      <c r="O826" s="22"/>
      <c r="P826" s="22"/>
      <c r="Q826" s="22"/>
      <c r="R826" s="22"/>
      <c r="S826" s="25"/>
      <c r="T826" s="25"/>
      <c r="U826" s="25"/>
      <c r="V826" s="25"/>
      <c r="W826" s="25"/>
      <c r="X826" s="25"/>
      <c r="Y826" s="25"/>
      <c r="Z826" s="22"/>
      <c r="AA826" s="22"/>
      <c r="AB826" s="22"/>
      <c r="AC826" s="22"/>
      <c r="AD826" s="22"/>
      <c r="AE826" s="22"/>
      <c r="AF826" s="25"/>
      <c r="AG826" s="22"/>
      <c r="AH826" s="22"/>
      <c r="AI826" s="22"/>
      <c r="AJ826" s="22"/>
      <c r="AK826" s="22"/>
      <c r="AL826" s="22"/>
      <c r="AM826" s="22"/>
      <c r="AN826" s="25"/>
      <c r="AO826" s="22"/>
      <c r="AP826" s="22"/>
      <c r="AQ826" s="22"/>
      <c r="AR826" s="22"/>
      <c r="AS826" s="22"/>
      <c r="AT826" s="22"/>
      <c r="AU826" s="22"/>
      <c r="AV826" s="25"/>
      <c r="AW826" s="25"/>
      <c r="AX826" s="25"/>
      <c r="AY826" s="25"/>
      <c r="AZ826" s="25"/>
      <c r="BA826" s="25"/>
      <c r="BB826" s="25"/>
      <c r="BC826" s="25"/>
      <c r="BD826" s="25"/>
      <c r="BE826" s="25"/>
      <c r="BF826" s="25"/>
      <c r="BG826" s="25"/>
      <c r="BH826" s="25"/>
      <c r="BI826" s="25"/>
      <c r="BJ826" s="25"/>
      <c r="BK826" s="25"/>
      <c r="BL826" s="25"/>
    </row>
    <row r="827" spans="1:64" s="21" customFormat="1" ht="18.600000000000001" customHeight="1" x14ac:dyDescent="0.25">
      <c r="A827" s="22"/>
      <c r="B827" s="22"/>
      <c r="C827" s="22"/>
      <c r="D827" s="23"/>
      <c r="E827" s="26"/>
      <c r="F827" s="25"/>
      <c r="G827" s="25"/>
      <c r="H827" s="25"/>
      <c r="I827" s="25"/>
      <c r="J827" s="22"/>
      <c r="K827" s="25"/>
      <c r="L827" s="25"/>
      <c r="M827" s="25"/>
      <c r="N827" s="25"/>
      <c r="O827" s="22"/>
      <c r="P827" s="22"/>
      <c r="Q827" s="22"/>
      <c r="R827" s="22"/>
      <c r="S827" s="25"/>
      <c r="T827" s="25"/>
      <c r="U827" s="25"/>
      <c r="V827" s="25"/>
      <c r="W827" s="25"/>
      <c r="X827" s="25"/>
      <c r="Y827" s="25"/>
      <c r="Z827" s="22"/>
      <c r="AA827" s="22"/>
      <c r="AB827" s="22"/>
      <c r="AC827" s="22"/>
      <c r="AD827" s="22"/>
      <c r="AE827" s="22"/>
      <c r="AF827" s="25"/>
      <c r="AG827" s="22"/>
      <c r="AH827" s="22"/>
      <c r="AI827" s="22"/>
      <c r="AJ827" s="22"/>
      <c r="AK827" s="22"/>
      <c r="AL827" s="22"/>
      <c r="AM827" s="22"/>
      <c r="AN827" s="25"/>
      <c r="AO827" s="22"/>
      <c r="AP827" s="22"/>
      <c r="AQ827" s="22"/>
      <c r="AR827" s="22"/>
      <c r="AS827" s="22"/>
      <c r="AT827" s="22"/>
      <c r="AU827" s="22"/>
      <c r="AV827" s="25"/>
      <c r="AW827" s="25"/>
      <c r="AX827" s="25"/>
      <c r="AY827" s="25"/>
      <c r="AZ827" s="25"/>
      <c r="BA827" s="25"/>
      <c r="BB827" s="25"/>
      <c r="BC827" s="25"/>
      <c r="BD827" s="25"/>
      <c r="BE827" s="25"/>
      <c r="BF827" s="25"/>
      <c r="BG827" s="25"/>
      <c r="BH827" s="25"/>
      <c r="BI827" s="25"/>
      <c r="BJ827" s="25"/>
      <c r="BK827" s="25"/>
      <c r="BL827" s="25"/>
    </row>
    <row r="828" spans="1:64" s="21" customFormat="1" ht="18.600000000000001" customHeight="1" x14ac:dyDescent="0.25">
      <c r="A828" s="22"/>
      <c r="B828" s="22"/>
      <c r="C828" s="22"/>
      <c r="D828" s="23"/>
      <c r="E828" s="26"/>
      <c r="F828" s="25"/>
      <c r="G828" s="25"/>
      <c r="H828" s="25"/>
      <c r="I828" s="25"/>
      <c r="J828" s="22"/>
      <c r="K828" s="25"/>
      <c r="L828" s="25"/>
      <c r="M828" s="25"/>
      <c r="N828" s="25"/>
      <c r="O828" s="22"/>
      <c r="P828" s="22"/>
      <c r="Q828" s="22"/>
      <c r="R828" s="22"/>
      <c r="S828" s="25"/>
      <c r="T828" s="25"/>
      <c r="U828" s="25"/>
      <c r="V828" s="25"/>
      <c r="W828" s="25"/>
      <c r="X828" s="25"/>
      <c r="Y828" s="25"/>
      <c r="Z828" s="22"/>
      <c r="AA828" s="22"/>
      <c r="AB828" s="22"/>
      <c r="AC828" s="22"/>
      <c r="AD828" s="22"/>
      <c r="AE828" s="22"/>
      <c r="AF828" s="25"/>
      <c r="AG828" s="22"/>
      <c r="AH828" s="22"/>
      <c r="AI828" s="22"/>
      <c r="AJ828" s="22"/>
      <c r="AK828" s="22"/>
      <c r="AL828" s="22"/>
      <c r="AM828" s="22"/>
      <c r="AN828" s="25"/>
      <c r="AO828" s="22"/>
      <c r="AP828" s="22"/>
      <c r="AQ828" s="22"/>
      <c r="AR828" s="22"/>
      <c r="AS828" s="22"/>
      <c r="AT828" s="22"/>
      <c r="AU828" s="22"/>
      <c r="AV828" s="25"/>
      <c r="AW828" s="25"/>
      <c r="AX828" s="25"/>
      <c r="AY828" s="25"/>
      <c r="AZ828" s="25"/>
      <c r="BA828" s="25"/>
      <c r="BB828" s="25"/>
      <c r="BC828" s="25"/>
      <c r="BD828" s="25"/>
      <c r="BE828" s="25"/>
      <c r="BF828" s="25"/>
      <c r="BG828" s="25"/>
      <c r="BH828" s="25"/>
      <c r="BI828" s="25"/>
      <c r="BJ828" s="25"/>
      <c r="BK828" s="25"/>
      <c r="BL828" s="25"/>
    </row>
    <row r="829" spans="1:64" s="21" customFormat="1" ht="18.600000000000001" customHeight="1" x14ac:dyDescent="0.25">
      <c r="A829" s="22"/>
      <c r="B829" s="22"/>
      <c r="C829" s="22"/>
      <c r="D829" s="23"/>
      <c r="E829" s="26"/>
      <c r="F829" s="25"/>
      <c r="G829" s="25"/>
      <c r="H829" s="25"/>
      <c r="I829" s="25"/>
      <c r="J829" s="22"/>
      <c r="K829" s="25"/>
      <c r="L829" s="25"/>
      <c r="M829" s="25"/>
      <c r="N829" s="25"/>
      <c r="O829" s="22"/>
      <c r="P829" s="22"/>
      <c r="Q829" s="22"/>
      <c r="R829" s="22"/>
      <c r="S829" s="25"/>
      <c r="T829" s="25"/>
      <c r="U829" s="25"/>
      <c r="V829" s="25"/>
      <c r="W829" s="25"/>
      <c r="X829" s="25"/>
      <c r="Y829" s="25"/>
      <c r="Z829" s="22"/>
      <c r="AA829" s="22"/>
      <c r="AB829" s="22"/>
      <c r="AC829" s="22"/>
      <c r="AD829" s="22"/>
      <c r="AE829" s="22"/>
      <c r="AF829" s="25"/>
      <c r="AG829" s="22"/>
      <c r="AH829" s="22"/>
      <c r="AI829" s="22"/>
      <c r="AJ829" s="22"/>
      <c r="AK829" s="22"/>
      <c r="AL829" s="22"/>
      <c r="AM829" s="22"/>
      <c r="AN829" s="25"/>
      <c r="AO829" s="22"/>
      <c r="AP829" s="22"/>
      <c r="AQ829" s="22"/>
      <c r="AR829" s="22"/>
      <c r="AS829" s="22"/>
      <c r="AT829" s="22"/>
      <c r="AU829" s="22"/>
      <c r="AV829" s="25"/>
      <c r="AW829" s="25"/>
      <c r="AX829" s="25"/>
      <c r="AY829" s="25"/>
      <c r="AZ829" s="25"/>
      <c r="BA829" s="25"/>
      <c r="BB829" s="25"/>
      <c r="BC829" s="25"/>
      <c r="BD829" s="25"/>
      <c r="BE829" s="25"/>
      <c r="BF829" s="25"/>
      <c r="BG829" s="25"/>
      <c r="BH829" s="25"/>
      <c r="BI829" s="25"/>
      <c r="BJ829" s="25"/>
      <c r="BK829" s="25"/>
      <c r="BL829" s="25"/>
    </row>
    <row r="830" spans="1:64" s="21" customFormat="1" ht="18.600000000000001" customHeight="1" x14ac:dyDescent="0.25">
      <c r="A830" s="22"/>
      <c r="B830" s="22"/>
      <c r="C830" s="22"/>
      <c r="D830" s="23"/>
      <c r="E830" s="26"/>
      <c r="F830" s="25"/>
      <c r="G830" s="25"/>
      <c r="H830" s="25"/>
      <c r="I830" s="25"/>
      <c r="J830" s="22"/>
      <c r="K830" s="25"/>
      <c r="L830" s="25"/>
      <c r="M830" s="25"/>
      <c r="N830" s="25"/>
      <c r="O830" s="22"/>
      <c r="P830" s="22"/>
      <c r="Q830" s="22"/>
      <c r="R830" s="22"/>
      <c r="S830" s="25"/>
      <c r="T830" s="25"/>
      <c r="U830" s="25"/>
      <c r="V830" s="25"/>
      <c r="W830" s="25"/>
      <c r="X830" s="25"/>
      <c r="Y830" s="25"/>
      <c r="Z830" s="22"/>
      <c r="AA830" s="22"/>
      <c r="AB830" s="22"/>
      <c r="AC830" s="22"/>
      <c r="AD830" s="22"/>
      <c r="AE830" s="22"/>
      <c r="AF830" s="25"/>
      <c r="AG830" s="22"/>
      <c r="AH830" s="22"/>
      <c r="AI830" s="22"/>
      <c r="AJ830" s="22"/>
      <c r="AK830" s="22"/>
      <c r="AL830" s="22"/>
      <c r="AM830" s="22"/>
      <c r="AN830" s="25"/>
      <c r="AO830" s="22"/>
      <c r="AP830" s="22"/>
      <c r="AQ830" s="22"/>
      <c r="AR830" s="22"/>
      <c r="AS830" s="22"/>
      <c r="AT830" s="22"/>
      <c r="AU830" s="22"/>
      <c r="AV830" s="25"/>
      <c r="AW830" s="25"/>
      <c r="AX830" s="25"/>
      <c r="AY830" s="25"/>
      <c r="AZ830" s="25"/>
      <c r="BA830" s="25"/>
      <c r="BB830" s="25"/>
      <c r="BC830" s="25"/>
      <c r="BD830" s="25"/>
      <c r="BE830" s="25"/>
      <c r="BF830" s="25"/>
      <c r="BG830" s="25"/>
      <c r="BH830" s="25"/>
      <c r="BI830" s="25"/>
      <c r="BJ830" s="25"/>
      <c r="BK830" s="25"/>
      <c r="BL830" s="25"/>
    </row>
    <row r="831" spans="1:64" s="21" customFormat="1" ht="18.600000000000001" customHeight="1" x14ac:dyDescent="0.25">
      <c r="A831" s="22"/>
      <c r="B831" s="22"/>
      <c r="C831" s="22"/>
      <c r="D831" s="23"/>
      <c r="E831" s="26"/>
      <c r="F831" s="25"/>
      <c r="G831" s="25"/>
      <c r="H831" s="25"/>
      <c r="I831" s="25"/>
      <c r="J831" s="22"/>
      <c r="K831" s="25"/>
      <c r="L831" s="25"/>
      <c r="M831" s="25"/>
      <c r="N831" s="25"/>
      <c r="O831" s="22"/>
      <c r="P831" s="22"/>
      <c r="Q831" s="22"/>
      <c r="R831" s="22"/>
      <c r="S831" s="25"/>
      <c r="T831" s="25"/>
      <c r="U831" s="25"/>
      <c r="V831" s="25"/>
      <c r="W831" s="25"/>
      <c r="X831" s="25"/>
      <c r="Y831" s="25"/>
      <c r="Z831" s="22"/>
      <c r="AA831" s="22"/>
      <c r="AB831" s="22"/>
      <c r="AC831" s="22"/>
      <c r="AD831" s="22"/>
      <c r="AE831" s="22"/>
      <c r="AF831" s="25"/>
      <c r="AG831" s="22"/>
      <c r="AH831" s="22"/>
      <c r="AI831" s="22"/>
      <c r="AJ831" s="22"/>
      <c r="AK831" s="22"/>
      <c r="AL831" s="22"/>
      <c r="AM831" s="22"/>
      <c r="AN831" s="25"/>
      <c r="AO831" s="22"/>
      <c r="AP831" s="22"/>
      <c r="AQ831" s="22"/>
      <c r="AR831" s="22"/>
      <c r="AS831" s="22"/>
      <c r="AT831" s="22"/>
      <c r="AU831" s="22"/>
      <c r="AV831" s="25"/>
      <c r="AW831" s="25"/>
      <c r="AX831" s="25"/>
      <c r="AY831" s="25"/>
      <c r="AZ831" s="25"/>
      <c r="BA831" s="25"/>
      <c r="BB831" s="25"/>
      <c r="BC831" s="25"/>
      <c r="BD831" s="25"/>
      <c r="BE831" s="25"/>
      <c r="BF831" s="25"/>
      <c r="BG831" s="25"/>
      <c r="BH831" s="25"/>
      <c r="BI831" s="25"/>
      <c r="BJ831" s="25"/>
      <c r="BK831" s="25"/>
      <c r="BL831" s="25"/>
    </row>
    <row r="832" spans="1:64" s="21" customFormat="1" ht="18.600000000000001" customHeight="1" x14ac:dyDescent="0.25">
      <c r="A832" s="22"/>
      <c r="B832" s="22"/>
      <c r="C832" s="22"/>
      <c r="D832" s="23"/>
      <c r="E832" s="26"/>
      <c r="F832" s="25"/>
      <c r="G832" s="25"/>
      <c r="H832" s="25"/>
      <c r="I832" s="25"/>
      <c r="J832" s="22"/>
      <c r="K832" s="25"/>
      <c r="L832" s="25"/>
      <c r="M832" s="25"/>
      <c r="N832" s="25"/>
      <c r="O832" s="22"/>
      <c r="P832" s="22"/>
      <c r="Q832" s="22"/>
      <c r="R832" s="22"/>
      <c r="S832" s="25"/>
      <c r="T832" s="25"/>
      <c r="U832" s="25"/>
      <c r="V832" s="25"/>
      <c r="W832" s="25"/>
      <c r="X832" s="25"/>
      <c r="Y832" s="25"/>
      <c r="Z832" s="22"/>
      <c r="AA832" s="22"/>
      <c r="AB832" s="22"/>
      <c r="AC832" s="22"/>
      <c r="AD832" s="22"/>
      <c r="AE832" s="22"/>
      <c r="AF832" s="25"/>
      <c r="AG832" s="22"/>
      <c r="AH832" s="22"/>
      <c r="AI832" s="22"/>
      <c r="AJ832" s="22"/>
      <c r="AK832" s="22"/>
      <c r="AL832" s="22"/>
      <c r="AM832" s="22"/>
      <c r="AN832" s="25"/>
      <c r="AO832" s="22"/>
      <c r="AP832" s="22"/>
      <c r="AQ832" s="22"/>
      <c r="AR832" s="22"/>
      <c r="AS832" s="22"/>
      <c r="AT832" s="22"/>
      <c r="AU832" s="22"/>
      <c r="AV832" s="25"/>
      <c r="AW832" s="25"/>
      <c r="AX832" s="25"/>
      <c r="AY832" s="25"/>
      <c r="AZ832" s="25"/>
      <c r="BA832" s="25"/>
      <c r="BB832" s="25"/>
      <c r="BC832" s="25"/>
      <c r="BD832" s="25"/>
      <c r="BE832" s="25"/>
      <c r="BF832" s="25"/>
      <c r="BG832" s="25"/>
      <c r="BH832" s="25"/>
      <c r="BI832" s="25"/>
      <c r="BJ832" s="25"/>
      <c r="BK832" s="25"/>
      <c r="BL832" s="25"/>
    </row>
    <row r="833" spans="1:64" s="21" customFormat="1" ht="18.600000000000001" customHeight="1" x14ac:dyDescent="0.25">
      <c r="A833" s="22"/>
      <c r="B833" s="22"/>
      <c r="C833" s="22"/>
      <c r="D833" s="23"/>
      <c r="E833" s="26"/>
      <c r="F833" s="25"/>
      <c r="G833" s="25"/>
      <c r="H833" s="25"/>
      <c r="I833" s="25"/>
      <c r="J833" s="22"/>
      <c r="K833" s="25"/>
      <c r="L833" s="25"/>
      <c r="M833" s="25"/>
      <c r="N833" s="25"/>
      <c r="O833" s="22"/>
      <c r="P833" s="22"/>
      <c r="Q833" s="22"/>
      <c r="R833" s="22"/>
      <c r="S833" s="25"/>
      <c r="T833" s="25"/>
      <c r="U833" s="25"/>
      <c r="V833" s="25"/>
      <c r="W833" s="25"/>
      <c r="X833" s="25"/>
      <c r="Y833" s="25"/>
      <c r="Z833" s="22"/>
      <c r="AA833" s="22"/>
      <c r="AB833" s="22"/>
      <c r="AC833" s="22"/>
      <c r="AD833" s="22"/>
      <c r="AE833" s="22"/>
      <c r="AF833" s="25"/>
      <c r="AG833" s="22"/>
      <c r="AH833" s="22"/>
      <c r="AI833" s="22"/>
      <c r="AJ833" s="22"/>
      <c r="AK833" s="22"/>
      <c r="AL833" s="22"/>
      <c r="AM833" s="22"/>
      <c r="AN833" s="25"/>
      <c r="AO833" s="22"/>
      <c r="AP833" s="22"/>
      <c r="AQ833" s="22"/>
      <c r="AR833" s="22"/>
      <c r="AS833" s="22"/>
      <c r="AT833" s="22"/>
      <c r="AU833" s="22"/>
      <c r="AV833" s="25"/>
      <c r="AW833" s="25"/>
      <c r="AX833" s="25"/>
      <c r="AY833" s="25"/>
      <c r="AZ833" s="25"/>
      <c r="BA833" s="25"/>
      <c r="BB833" s="25"/>
      <c r="BC833" s="25"/>
      <c r="BD833" s="25"/>
      <c r="BE833" s="25"/>
      <c r="BF833" s="25"/>
      <c r="BG833" s="25"/>
      <c r="BH833" s="25"/>
      <c r="BI833" s="25"/>
      <c r="BJ833" s="25"/>
      <c r="BK833" s="25"/>
      <c r="BL833" s="25"/>
    </row>
    <row r="834" spans="1:64" s="21" customFormat="1" ht="18.600000000000001" customHeight="1" x14ac:dyDescent="0.25">
      <c r="A834" s="22"/>
      <c r="B834" s="22"/>
      <c r="C834" s="22"/>
      <c r="D834" s="23"/>
      <c r="E834" s="26"/>
      <c r="F834" s="25"/>
      <c r="G834" s="25"/>
      <c r="H834" s="25"/>
      <c r="I834" s="25"/>
      <c r="J834" s="22"/>
      <c r="K834" s="25"/>
      <c r="L834" s="25"/>
      <c r="M834" s="25"/>
      <c r="N834" s="25"/>
      <c r="O834" s="22"/>
      <c r="P834" s="22"/>
      <c r="Q834" s="22"/>
      <c r="R834" s="22"/>
      <c r="S834" s="25"/>
      <c r="T834" s="25"/>
      <c r="U834" s="25"/>
      <c r="V834" s="25"/>
      <c r="W834" s="25"/>
      <c r="X834" s="25"/>
      <c r="Y834" s="25"/>
      <c r="Z834" s="22"/>
      <c r="AA834" s="22"/>
      <c r="AB834" s="22"/>
      <c r="AC834" s="22"/>
      <c r="AD834" s="22"/>
      <c r="AE834" s="22"/>
      <c r="AF834" s="25"/>
      <c r="AG834" s="22"/>
      <c r="AH834" s="22"/>
      <c r="AI834" s="22"/>
      <c r="AJ834" s="22"/>
      <c r="AK834" s="22"/>
      <c r="AL834" s="22"/>
      <c r="AM834" s="22"/>
      <c r="AN834" s="25"/>
      <c r="AO834" s="22"/>
      <c r="AP834" s="22"/>
      <c r="AQ834" s="22"/>
      <c r="AR834" s="22"/>
      <c r="AS834" s="22"/>
      <c r="AT834" s="22"/>
      <c r="AU834" s="22"/>
      <c r="AV834" s="25"/>
      <c r="AW834" s="25"/>
      <c r="AX834" s="25"/>
      <c r="AY834" s="25"/>
      <c r="AZ834" s="25"/>
      <c r="BA834" s="25"/>
      <c r="BB834" s="25"/>
      <c r="BC834" s="25"/>
      <c r="BD834" s="25"/>
      <c r="BE834" s="25"/>
      <c r="BF834" s="25"/>
      <c r="BG834" s="25"/>
      <c r="BH834" s="25"/>
      <c r="BI834" s="25"/>
      <c r="BJ834" s="25"/>
      <c r="BK834" s="25"/>
      <c r="BL834" s="25"/>
    </row>
    <row r="835" spans="1:64" s="21" customFormat="1" ht="18.600000000000001" customHeight="1" x14ac:dyDescent="0.25">
      <c r="A835" s="22"/>
      <c r="B835" s="22"/>
      <c r="C835" s="22"/>
      <c r="D835" s="23"/>
      <c r="E835" s="26"/>
      <c r="F835" s="25"/>
      <c r="G835" s="25"/>
      <c r="H835" s="25"/>
      <c r="I835" s="25"/>
      <c r="J835" s="22"/>
      <c r="K835" s="25"/>
      <c r="L835" s="25"/>
      <c r="M835" s="25"/>
      <c r="N835" s="25"/>
      <c r="O835" s="22"/>
      <c r="P835" s="22"/>
      <c r="Q835" s="22"/>
      <c r="R835" s="22"/>
      <c r="S835" s="25"/>
      <c r="T835" s="25"/>
      <c r="U835" s="25"/>
      <c r="V835" s="25"/>
      <c r="W835" s="25"/>
      <c r="X835" s="25"/>
      <c r="Y835" s="25"/>
      <c r="Z835" s="22"/>
      <c r="AA835" s="22"/>
      <c r="AB835" s="22"/>
      <c r="AC835" s="22"/>
      <c r="AD835" s="22"/>
      <c r="AE835" s="22"/>
      <c r="AF835" s="25"/>
      <c r="AG835" s="22"/>
      <c r="AH835" s="22"/>
      <c r="AI835" s="22"/>
      <c r="AJ835" s="22"/>
      <c r="AK835" s="22"/>
      <c r="AL835" s="22"/>
      <c r="AM835" s="22"/>
      <c r="AN835" s="25"/>
      <c r="AO835" s="22"/>
      <c r="AP835" s="22"/>
      <c r="AQ835" s="22"/>
      <c r="AR835" s="22"/>
      <c r="AS835" s="22"/>
      <c r="AT835" s="22"/>
      <c r="AU835" s="22"/>
      <c r="AV835" s="25"/>
      <c r="AW835" s="25"/>
      <c r="AX835" s="25"/>
      <c r="AY835" s="25"/>
      <c r="AZ835" s="25"/>
      <c r="BA835" s="25"/>
      <c r="BB835" s="25"/>
      <c r="BC835" s="25"/>
      <c r="BD835" s="25"/>
      <c r="BE835" s="25"/>
      <c r="BF835" s="25"/>
      <c r="BG835" s="25"/>
      <c r="BH835" s="25"/>
      <c r="BI835" s="25"/>
      <c r="BJ835" s="25"/>
      <c r="BK835" s="25"/>
      <c r="BL835" s="25"/>
    </row>
    <row r="836" spans="1:64" s="21" customFormat="1" ht="18.600000000000001" customHeight="1" x14ac:dyDescent="0.25">
      <c r="A836" s="22"/>
      <c r="B836" s="22"/>
      <c r="C836" s="22"/>
      <c r="D836" s="23"/>
      <c r="E836" s="26"/>
      <c r="F836" s="25"/>
      <c r="G836" s="25"/>
      <c r="H836" s="25"/>
      <c r="I836" s="25"/>
      <c r="J836" s="22"/>
      <c r="K836" s="25"/>
      <c r="L836" s="25"/>
      <c r="M836" s="25"/>
      <c r="N836" s="25"/>
      <c r="O836" s="22"/>
      <c r="P836" s="22"/>
      <c r="Q836" s="22"/>
      <c r="R836" s="22"/>
      <c r="S836" s="25"/>
      <c r="T836" s="25"/>
      <c r="U836" s="25"/>
      <c r="V836" s="25"/>
      <c r="W836" s="25"/>
      <c r="X836" s="25"/>
      <c r="Y836" s="25"/>
      <c r="Z836" s="22"/>
      <c r="AA836" s="22"/>
      <c r="AB836" s="22"/>
      <c r="AC836" s="22"/>
      <c r="AD836" s="22"/>
      <c r="AE836" s="22"/>
      <c r="AF836" s="25"/>
      <c r="AG836" s="22"/>
      <c r="AH836" s="22"/>
      <c r="AI836" s="22"/>
      <c r="AJ836" s="22"/>
      <c r="AK836" s="22"/>
      <c r="AL836" s="22"/>
      <c r="AM836" s="22"/>
      <c r="AN836" s="25"/>
      <c r="AO836" s="22"/>
      <c r="AP836" s="22"/>
      <c r="AQ836" s="22"/>
      <c r="AR836" s="22"/>
      <c r="AS836" s="22"/>
      <c r="AT836" s="22"/>
      <c r="AU836" s="22"/>
      <c r="AV836" s="25"/>
      <c r="AW836" s="25"/>
      <c r="AX836" s="25"/>
      <c r="AY836" s="25"/>
      <c r="AZ836" s="25"/>
      <c r="BA836" s="25"/>
      <c r="BB836" s="25"/>
      <c r="BC836" s="25"/>
      <c r="BD836" s="25"/>
      <c r="BE836" s="25"/>
      <c r="BF836" s="25"/>
      <c r="BG836" s="25"/>
      <c r="BH836" s="25"/>
      <c r="BI836" s="25"/>
      <c r="BJ836" s="25"/>
      <c r="BK836" s="25"/>
      <c r="BL836" s="25"/>
    </row>
    <row r="837" spans="1:64" s="21" customFormat="1" ht="18.600000000000001" customHeight="1" x14ac:dyDescent="0.25">
      <c r="A837" s="22"/>
      <c r="B837" s="22"/>
      <c r="C837" s="22"/>
      <c r="D837" s="23"/>
      <c r="E837" s="26"/>
      <c r="F837" s="25"/>
      <c r="G837" s="25"/>
      <c r="H837" s="25"/>
      <c r="I837" s="25"/>
      <c r="J837" s="22"/>
      <c r="K837" s="25"/>
      <c r="L837" s="25"/>
      <c r="M837" s="25"/>
      <c r="N837" s="25"/>
      <c r="O837" s="22"/>
      <c r="P837" s="22"/>
      <c r="Q837" s="22"/>
      <c r="R837" s="22"/>
      <c r="S837" s="25"/>
      <c r="T837" s="25"/>
      <c r="U837" s="25"/>
      <c r="V837" s="25"/>
      <c r="W837" s="25"/>
      <c r="X837" s="25"/>
      <c r="Y837" s="25"/>
      <c r="Z837" s="22"/>
      <c r="AA837" s="22"/>
      <c r="AB837" s="22"/>
      <c r="AC837" s="22"/>
      <c r="AD837" s="22"/>
      <c r="AE837" s="22"/>
      <c r="AF837" s="25"/>
      <c r="AG837" s="22"/>
      <c r="AH837" s="22"/>
      <c r="AI837" s="22"/>
      <c r="AJ837" s="22"/>
      <c r="AK837" s="22"/>
      <c r="AL837" s="22"/>
      <c r="AM837" s="22"/>
      <c r="AN837" s="25"/>
      <c r="AO837" s="22"/>
      <c r="AP837" s="22"/>
      <c r="AQ837" s="22"/>
      <c r="AR837" s="22"/>
      <c r="AS837" s="22"/>
      <c r="AT837" s="22"/>
      <c r="AU837" s="22"/>
      <c r="AV837" s="25"/>
      <c r="AW837" s="25"/>
      <c r="AX837" s="25"/>
      <c r="AY837" s="25"/>
      <c r="AZ837" s="25"/>
      <c r="BA837" s="25"/>
      <c r="BB837" s="25"/>
      <c r="BC837" s="25"/>
      <c r="BD837" s="25"/>
      <c r="BE837" s="25"/>
      <c r="BF837" s="25"/>
      <c r="BG837" s="25"/>
      <c r="BH837" s="25"/>
      <c r="BI837" s="25"/>
      <c r="BJ837" s="25"/>
      <c r="BK837" s="25"/>
      <c r="BL837" s="25"/>
    </row>
    <row r="838" spans="1:64" s="21" customFormat="1" ht="18.600000000000001" customHeight="1" x14ac:dyDescent="0.25">
      <c r="A838" s="22"/>
      <c r="B838" s="22"/>
      <c r="C838" s="22"/>
      <c r="D838" s="23"/>
      <c r="E838" s="26"/>
      <c r="F838" s="25"/>
      <c r="G838" s="25"/>
      <c r="H838" s="25"/>
      <c r="I838" s="25"/>
      <c r="J838" s="22"/>
      <c r="K838" s="25"/>
      <c r="L838" s="25"/>
      <c r="M838" s="25"/>
      <c r="N838" s="25"/>
      <c r="O838" s="22"/>
      <c r="P838" s="22"/>
      <c r="Q838" s="22"/>
      <c r="R838" s="22"/>
      <c r="S838" s="25"/>
      <c r="T838" s="25"/>
      <c r="U838" s="25"/>
      <c r="V838" s="25"/>
      <c r="W838" s="25"/>
      <c r="X838" s="25"/>
      <c r="Y838" s="25"/>
      <c r="Z838" s="22"/>
      <c r="AA838" s="22"/>
      <c r="AB838" s="22"/>
      <c r="AC838" s="22"/>
      <c r="AD838" s="22"/>
      <c r="AE838" s="22"/>
      <c r="AF838" s="25"/>
      <c r="AG838" s="22"/>
      <c r="AH838" s="22"/>
      <c r="AI838" s="22"/>
      <c r="AJ838" s="22"/>
      <c r="AK838" s="22"/>
      <c r="AL838" s="22"/>
      <c r="AM838" s="22"/>
      <c r="AN838" s="25"/>
      <c r="AO838" s="22"/>
      <c r="AP838" s="22"/>
      <c r="AQ838" s="22"/>
      <c r="AR838" s="22"/>
      <c r="AS838" s="22"/>
      <c r="AT838" s="22"/>
      <c r="AU838" s="22"/>
      <c r="AV838" s="25"/>
      <c r="AW838" s="25"/>
      <c r="AX838" s="25"/>
      <c r="AY838" s="25"/>
      <c r="AZ838" s="25"/>
      <c r="BA838" s="25"/>
      <c r="BB838" s="25"/>
      <c r="BC838" s="25"/>
      <c r="BD838" s="25"/>
      <c r="BE838" s="25"/>
      <c r="BF838" s="25"/>
      <c r="BG838" s="25"/>
      <c r="BH838" s="25"/>
      <c r="BI838" s="25"/>
      <c r="BJ838" s="25"/>
      <c r="BK838" s="25"/>
      <c r="BL838" s="25"/>
    </row>
    <row r="839" spans="1:64" s="21" customFormat="1" ht="18.600000000000001" customHeight="1" x14ac:dyDescent="0.25">
      <c r="A839" s="22"/>
      <c r="B839" s="22"/>
      <c r="C839" s="22"/>
      <c r="D839" s="23"/>
      <c r="E839" s="26"/>
      <c r="F839" s="25"/>
      <c r="G839" s="25"/>
      <c r="H839" s="25"/>
      <c r="I839" s="25"/>
      <c r="J839" s="22"/>
      <c r="K839" s="25"/>
      <c r="L839" s="25"/>
      <c r="M839" s="25"/>
      <c r="N839" s="25"/>
      <c r="O839" s="22"/>
      <c r="P839" s="22"/>
      <c r="Q839" s="22"/>
      <c r="R839" s="22"/>
      <c r="S839" s="25"/>
      <c r="T839" s="25"/>
      <c r="U839" s="25"/>
      <c r="V839" s="25"/>
      <c r="W839" s="25"/>
      <c r="X839" s="25"/>
      <c r="Y839" s="25"/>
      <c r="Z839" s="22"/>
      <c r="AA839" s="22"/>
      <c r="AB839" s="22"/>
      <c r="AC839" s="22"/>
      <c r="AD839" s="22"/>
      <c r="AE839" s="22"/>
      <c r="AF839" s="25"/>
      <c r="AG839" s="22"/>
      <c r="AH839" s="22"/>
      <c r="AI839" s="22"/>
      <c r="AJ839" s="22"/>
      <c r="AK839" s="22"/>
      <c r="AL839" s="22"/>
      <c r="AM839" s="22"/>
      <c r="AN839" s="25"/>
      <c r="AO839" s="22"/>
      <c r="AP839" s="22"/>
      <c r="AQ839" s="22"/>
      <c r="AR839" s="22"/>
      <c r="AS839" s="22"/>
      <c r="AT839" s="22"/>
      <c r="AU839" s="22"/>
      <c r="AV839" s="25"/>
      <c r="AW839" s="25"/>
      <c r="AX839" s="25"/>
      <c r="AY839" s="25"/>
      <c r="AZ839" s="25"/>
      <c r="BA839" s="25"/>
      <c r="BB839" s="25"/>
      <c r="BC839" s="25"/>
      <c r="BD839" s="25"/>
      <c r="BE839" s="25"/>
      <c r="BF839" s="25"/>
      <c r="BG839" s="25"/>
      <c r="BH839" s="25"/>
      <c r="BI839" s="25"/>
      <c r="BJ839" s="25"/>
      <c r="BK839" s="25"/>
      <c r="BL839" s="25"/>
    </row>
    <row r="840" spans="1:64" s="21" customFormat="1" ht="18.600000000000001" customHeight="1" x14ac:dyDescent="0.25">
      <c r="A840" s="22"/>
      <c r="B840" s="22"/>
      <c r="C840" s="22"/>
      <c r="D840" s="23"/>
      <c r="E840" s="26"/>
      <c r="F840" s="25"/>
      <c r="G840" s="25"/>
      <c r="H840" s="25"/>
      <c r="I840" s="25"/>
      <c r="J840" s="22"/>
      <c r="K840" s="25"/>
      <c r="L840" s="25"/>
      <c r="M840" s="25"/>
      <c r="N840" s="25"/>
      <c r="O840" s="22"/>
      <c r="P840" s="22"/>
      <c r="Q840" s="22"/>
      <c r="R840" s="22"/>
      <c r="S840" s="25"/>
      <c r="T840" s="25"/>
      <c r="U840" s="25"/>
      <c r="V840" s="25"/>
      <c r="W840" s="25"/>
      <c r="X840" s="25"/>
      <c r="Y840" s="25"/>
      <c r="Z840" s="22"/>
      <c r="AA840" s="22"/>
      <c r="AB840" s="22"/>
      <c r="AC840" s="22"/>
      <c r="AD840" s="22"/>
      <c r="AE840" s="22"/>
      <c r="AF840" s="25"/>
      <c r="AG840" s="22"/>
      <c r="AH840" s="22"/>
      <c r="AI840" s="22"/>
      <c r="AJ840" s="22"/>
      <c r="AK840" s="22"/>
      <c r="AL840" s="22"/>
      <c r="AM840" s="22"/>
      <c r="AN840" s="25"/>
      <c r="AO840" s="22"/>
      <c r="AP840" s="22"/>
      <c r="AQ840" s="22"/>
      <c r="AR840" s="22"/>
      <c r="AS840" s="22"/>
      <c r="AT840" s="22"/>
      <c r="AU840" s="22"/>
      <c r="AV840" s="25"/>
      <c r="AW840" s="25"/>
      <c r="AX840" s="25"/>
      <c r="AY840" s="25"/>
      <c r="AZ840" s="25"/>
      <c r="BA840" s="25"/>
      <c r="BB840" s="25"/>
      <c r="BC840" s="25"/>
      <c r="BD840" s="25"/>
      <c r="BE840" s="25"/>
      <c r="BF840" s="25"/>
      <c r="BG840" s="25"/>
      <c r="BH840" s="25"/>
      <c r="BI840" s="25"/>
      <c r="BJ840" s="25"/>
      <c r="BK840" s="25"/>
      <c r="BL840" s="25"/>
    </row>
    <row r="841" spans="1:64" s="21" customFormat="1" ht="18.600000000000001" customHeight="1" x14ac:dyDescent="0.25">
      <c r="A841" s="22"/>
      <c r="B841" s="22"/>
      <c r="C841" s="22"/>
      <c r="D841" s="23"/>
      <c r="E841" s="26"/>
      <c r="F841" s="25"/>
      <c r="G841" s="25"/>
      <c r="H841" s="25"/>
      <c r="I841" s="25"/>
      <c r="J841" s="22"/>
      <c r="K841" s="25"/>
      <c r="L841" s="25"/>
      <c r="M841" s="25"/>
      <c r="N841" s="25"/>
      <c r="O841" s="22"/>
      <c r="P841" s="22"/>
      <c r="Q841" s="22"/>
      <c r="R841" s="22"/>
      <c r="S841" s="25"/>
      <c r="T841" s="25"/>
      <c r="U841" s="25"/>
      <c r="V841" s="25"/>
      <c r="W841" s="25"/>
      <c r="X841" s="25"/>
      <c r="Y841" s="25"/>
      <c r="Z841" s="22"/>
      <c r="AA841" s="22"/>
      <c r="AB841" s="22"/>
      <c r="AC841" s="22"/>
      <c r="AD841" s="22"/>
      <c r="AE841" s="22"/>
      <c r="AF841" s="25"/>
      <c r="AG841" s="22"/>
      <c r="AH841" s="22"/>
      <c r="AI841" s="22"/>
      <c r="AJ841" s="22"/>
      <c r="AK841" s="22"/>
      <c r="AL841" s="22"/>
      <c r="AM841" s="22"/>
      <c r="AN841" s="25"/>
      <c r="AO841" s="22"/>
      <c r="AP841" s="22"/>
      <c r="AQ841" s="22"/>
      <c r="AR841" s="22"/>
      <c r="AS841" s="22"/>
      <c r="AT841" s="22"/>
      <c r="AU841" s="22"/>
      <c r="AV841" s="25"/>
      <c r="AW841" s="25"/>
      <c r="AX841" s="25"/>
      <c r="AY841" s="25"/>
      <c r="AZ841" s="25"/>
      <c r="BA841" s="25"/>
      <c r="BB841" s="25"/>
      <c r="BC841" s="25"/>
      <c r="BD841" s="25"/>
      <c r="BE841" s="25"/>
      <c r="BF841" s="25"/>
      <c r="BG841" s="25"/>
      <c r="BH841" s="25"/>
      <c r="BI841" s="25"/>
      <c r="BJ841" s="25"/>
      <c r="BK841" s="25"/>
      <c r="BL841" s="25"/>
    </row>
    <row r="842" spans="1:64" s="21" customFormat="1" ht="18.600000000000001" customHeight="1" x14ac:dyDescent="0.25">
      <c r="A842" s="22"/>
      <c r="B842" s="22"/>
      <c r="C842" s="22"/>
      <c r="D842" s="23"/>
      <c r="E842" s="26"/>
      <c r="F842" s="25"/>
      <c r="G842" s="25"/>
      <c r="H842" s="25"/>
      <c r="I842" s="25"/>
      <c r="J842" s="22"/>
      <c r="K842" s="25"/>
      <c r="L842" s="25"/>
      <c r="M842" s="25"/>
      <c r="N842" s="25"/>
      <c r="O842" s="22"/>
      <c r="P842" s="22"/>
      <c r="Q842" s="22"/>
      <c r="R842" s="22"/>
      <c r="S842" s="25"/>
      <c r="T842" s="25"/>
      <c r="U842" s="25"/>
      <c r="V842" s="25"/>
      <c r="W842" s="25"/>
      <c r="X842" s="25"/>
      <c r="Y842" s="25"/>
      <c r="Z842" s="22"/>
      <c r="AA842" s="22"/>
      <c r="AB842" s="22"/>
      <c r="AC842" s="22"/>
      <c r="AD842" s="22"/>
      <c r="AE842" s="22"/>
      <c r="AF842" s="25"/>
      <c r="AG842" s="22"/>
      <c r="AH842" s="22"/>
      <c r="AI842" s="22"/>
      <c r="AJ842" s="22"/>
      <c r="AK842" s="22"/>
      <c r="AL842" s="22"/>
      <c r="AM842" s="22"/>
      <c r="AN842" s="25"/>
      <c r="AO842" s="22"/>
      <c r="AP842" s="22"/>
      <c r="AQ842" s="22"/>
      <c r="AR842" s="22"/>
      <c r="AS842" s="22"/>
      <c r="AT842" s="22"/>
      <c r="AU842" s="22"/>
      <c r="AV842" s="25"/>
      <c r="AW842" s="25"/>
      <c r="AX842" s="25"/>
      <c r="AY842" s="25"/>
      <c r="AZ842" s="25"/>
      <c r="BA842" s="25"/>
      <c r="BB842" s="25"/>
      <c r="BC842" s="25"/>
      <c r="BD842" s="25"/>
      <c r="BE842" s="25"/>
      <c r="BF842" s="25"/>
      <c r="BG842" s="25"/>
      <c r="BH842" s="25"/>
      <c r="BI842" s="25"/>
      <c r="BJ842" s="25"/>
      <c r="BK842" s="25"/>
      <c r="BL842" s="25"/>
    </row>
    <row r="843" spans="1:64" s="21" customFormat="1" ht="18.600000000000001" customHeight="1" x14ac:dyDescent="0.25">
      <c r="A843" s="22"/>
      <c r="B843" s="22"/>
      <c r="C843" s="22"/>
      <c r="D843" s="23"/>
      <c r="E843" s="26"/>
      <c r="F843" s="25"/>
      <c r="G843" s="25"/>
      <c r="H843" s="25"/>
      <c r="I843" s="25"/>
      <c r="J843" s="22"/>
      <c r="K843" s="25"/>
      <c r="L843" s="25"/>
      <c r="M843" s="25"/>
      <c r="N843" s="25"/>
      <c r="O843" s="22"/>
      <c r="P843" s="22"/>
      <c r="Q843" s="22"/>
      <c r="R843" s="22"/>
      <c r="S843" s="25"/>
      <c r="T843" s="25"/>
      <c r="U843" s="25"/>
      <c r="V843" s="25"/>
      <c r="W843" s="25"/>
      <c r="X843" s="25"/>
      <c r="Y843" s="25"/>
      <c r="Z843" s="22"/>
      <c r="AA843" s="22"/>
      <c r="AB843" s="22"/>
      <c r="AC843" s="22"/>
      <c r="AD843" s="22"/>
      <c r="AE843" s="22"/>
      <c r="AF843" s="25"/>
      <c r="AG843" s="22"/>
      <c r="AH843" s="22"/>
      <c r="AI843" s="22"/>
      <c r="AJ843" s="22"/>
      <c r="AK843" s="22"/>
      <c r="AL843" s="22"/>
      <c r="AM843" s="22"/>
      <c r="AN843" s="25"/>
      <c r="AO843" s="22"/>
      <c r="AP843" s="22"/>
      <c r="AQ843" s="22"/>
      <c r="AR843" s="22"/>
      <c r="AS843" s="22"/>
      <c r="AT843" s="22"/>
      <c r="AU843" s="22"/>
      <c r="AV843" s="25"/>
      <c r="AW843" s="25"/>
      <c r="AX843" s="25"/>
      <c r="AY843" s="25"/>
      <c r="AZ843" s="25"/>
      <c r="BA843" s="25"/>
      <c r="BB843" s="25"/>
      <c r="BC843" s="25"/>
      <c r="BD843" s="25"/>
      <c r="BE843" s="25"/>
      <c r="BF843" s="25"/>
      <c r="BG843" s="25"/>
      <c r="BH843" s="25"/>
      <c r="BI843" s="25"/>
      <c r="BJ843" s="25"/>
      <c r="BK843" s="25"/>
      <c r="BL843" s="25"/>
    </row>
    <row r="844" spans="1:64" s="21" customFormat="1" ht="18.600000000000001" customHeight="1" x14ac:dyDescent="0.25">
      <c r="A844" s="22"/>
      <c r="B844" s="22"/>
      <c r="C844" s="22"/>
      <c r="D844" s="23"/>
      <c r="E844" s="26"/>
      <c r="F844" s="25"/>
      <c r="G844" s="25"/>
      <c r="H844" s="25"/>
      <c r="I844" s="25"/>
      <c r="J844" s="22"/>
      <c r="K844" s="25"/>
      <c r="L844" s="25"/>
      <c r="M844" s="25"/>
      <c r="N844" s="25"/>
      <c r="O844" s="22"/>
      <c r="P844" s="22"/>
      <c r="Q844" s="22"/>
      <c r="R844" s="22"/>
      <c r="S844" s="25"/>
      <c r="T844" s="25"/>
      <c r="U844" s="25"/>
      <c r="V844" s="25"/>
      <c r="W844" s="25"/>
      <c r="X844" s="25"/>
      <c r="Y844" s="25"/>
      <c r="Z844" s="22"/>
      <c r="AA844" s="22"/>
      <c r="AB844" s="22"/>
      <c r="AC844" s="22"/>
      <c r="AD844" s="22"/>
      <c r="AE844" s="22"/>
      <c r="AF844" s="25"/>
      <c r="AG844" s="22"/>
      <c r="AH844" s="22"/>
      <c r="AI844" s="22"/>
      <c r="AJ844" s="22"/>
      <c r="AK844" s="22"/>
      <c r="AL844" s="22"/>
      <c r="AM844" s="22"/>
      <c r="AN844" s="25"/>
      <c r="AO844" s="22"/>
      <c r="AP844" s="22"/>
      <c r="AQ844" s="22"/>
      <c r="AR844" s="22"/>
      <c r="AS844" s="22"/>
      <c r="AT844" s="22"/>
      <c r="AU844" s="22"/>
      <c r="AV844" s="25"/>
      <c r="AW844" s="25"/>
      <c r="AX844" s="25"/>
      <c r="AY844" s="25"/>
      <c r="AZ844" s="25"/>
      <c r="BA844" s="25"/>
      <c r="BB844" s="25"/>
      <c r="BC844" s="25"/>
      <c r="BD844" s="25"/>
      <c r="BE844" s="25"/>
      <c r="BF844" s="25"/>
      <c r="BG844" s="25"/>
      <c r="BH844" s="25"/>
      <c r="BI844" s="25"/>
      <c r="BJ844" s="25"/>
      <c r="BK844" s="25"/>
      <c r="BL844" s="25"/>
    </row>
    <row r="845" spans="1:64" s="21" customFormat="1" ht="18.600000000000001" customHeight="1" x14ac:dyDescent="0.25">
      <c r="A845" s="22"/>
      <c r="B845" s="22"/>
      <c r="C845" s="22"/>
      <c r="D845" s="23"/>
      <c r="E845" s="26"/>
      <c r="F845" s="25"/>
      <c r="G845" s="25"/>
      <c r="H845" s="25"/>
      <c r="I845" s="25"/>
      <c r="J845" s="22"/>
      <c r="K845" s="25"/>
      <c r="L845" s="25"/>
      <c r="M845" s="25"/>
      <c r="N845" s="25"/>
      <c r="O845" s="22"/>
      <c r="P845" s="22"/>
      <c r="Q845" s="22"/>
      <c r="R845" s="22"/>
      <c r="S845" s="25"/>
      <c r="T845" s="25"/>
      <c r="U845" s="25"/>
      <c r="V845" s="25"/>
      <c r="W845" s="25"/>
      <c r="X845" s="25"/>
      <c r="Y845" s="25"/>
      <c r="Z845" s="22"/>
      <c r="AA845" s="22"/>
      <c r="AB845" s="22"/>
      <c r="AC845" s="22"/>
      <c r="AD845" s="22"/>
      <c r="AE845" s="22"/>
      <c r="AF845" s="25"/>
      <c r="AG845" s="22"/>
      <c r="AH845" s="22"/>
      <c r="AI845" s="22"/>
      <c r="AJ845" s="22"/>
      <c r="AK845" s="22"/>
      <c r="AL845" s="22"/>
      <c r="AM845" s="22"/>
      <c r="AN845" s="25"/>
      <c r="AO845" s="22"/>
      <c r="AP845" s="22"/>
      <c r="AQ845" s="22"/>
      <c r="AR845" s="22"/>
      <c r="AS845" s="22"/>
      <c r="AT845" s="22"/>
      <c r="AU845" s="22"/>
      <c r="AV845" s="25"/>
      <c r="AW845" s="25"/>
      <c r="AX845" s="25"/>
      <c r="AY845" s="25"/>
      <c r="AZ845" s="25"/>
      <c r="BA845" s="25"/>
      <c r="BB845" s="25"/>
      <c r="BC845" s="25"/>
      <c r="BD845" s="25"/>
      <c r="BE845" s="25"/>
      <c r="BF845" s="25"/>
      <c r="BG845" s="25"/>
      <c r="BH845" s="25"/>
      <c r="BI845" s="25"/>
      <c r="BJ845" s="25"/>
      <c r="BK845" s="25"/>
      <c r="BL845" s="25"/>
    </row>
    <row r="846" spans="1:64" s="21" customFormat="1" ht="18.600000000000001" customHeight="1" x14ac:dyDescent="0.25">
      <c r="A846" s="22"/>
      <c r="B846" s="22"/>
      <c r="C846" s="22"/>
      <c r="D846" s="23"/>
      <c r="E846" s="26"/>
      <c r="F846" s="25"/>
      <c r="G846" s="25"/>
      <c r="H846" s="25"/>
      <c r="I846" s="25"/>
      <c r="J846" s="22"/>
      <c r="K846" s="25"/>
      <c r="L846" s="25"/>
      <c r="M846" s="25"/>
      <c r="N846" s="25"/>
      <c r="O846" s="22"/>
      <c r="P846" s="22"/>
      <c r="Q846" s="22"/>
      <c r="R846" s="22"/>
      <c r="S846" s="25"/>
      <c r="T846" s="25"/>
      <c r="U846" s="25"/>
      <c r="V846" s="25"/>
      <c r="W846" s="25"/>
      <c r="X846" s="25"/>
      <c r="Y846" s="25"/>
      <c r="Z846" s="22"/>
      <c r="AA846" s="22"/>
      <c r="AB846" s="22"/>
      <c r="AC846" s="22"/>
      <c r="AD846" s="22"/>
      <c r="AE846" s="22"/>
      <c r="AF846" s="25"/>
      <c r="AG846" s="22"/>
      <c r="AH846" s="22"/>
      <c r="AI846" s="22"/>
      <c r="AJ846" s="22"/>
      <c r="AK846" s="22"/>
      <c r="AL846" s="22"/>
      <c r="AM846" s="22"/>
      <c r="AN846" s="25"/>
      <c r="AO846" s="22"/>
      <c r="AP846" s="22"/>
      <c r="AQ846" s="22"/>
      <c r="AR846" s="22"/>
      <c r="AS846" s="22"/>
      <c r="AT846" s="22"/>
      <c r="AU846" s="22"/>
      <c r="AV846" s="25"/>
      <c r="AW846" s="25"/>
      <c r="AX846" s="25"/>
      <c r="AY846" s="25"/>
      <c r="AZ846" s="25"/>
      <c r="BA846" s="25"/>
      <c r="BB846" s="25"/>
      <c r="BC846" s="25"/>
      <c r="BD846" s="25"/>
      <c r="BE846" s="25"/>
      <c r="BF846" s="25"/>
      <c r="BG846" s="25"/>
      <c r="BH846" s="25"/>
      <c r="BI846" s="25"/>
      <c r="BJ846" s="25"/>
      <c r="BK846" s="25"/>
      <c r="BL846" s="25"/>
    </row>
    <row r="847" spans="1:64" s="21" customFormat="1" ht="18.600000000000001" customHeight="1" x14ac:dyDescent="0.25">
      <c r="A847" s="22"/>
      <c r="B847" s="22"/>
      <c r="C847" s="22"/>
      <c r="D847" s="23"/>
      <c r="E847" s="26"/>
      <c r="F847" s="25"/>
      <c r="G847" s="25"/>
      <c r="H847" s="25"/>
      <c r="I847" s="25"/>
      <c r="J847" s="22"/>
      <c r="K847" s="25"/>
      <c r="L847" s="25"/>
      <c r="M847" s="25"/>
      <c r="N847" s="25"/>
      <c r="O847" s="22"/>
      <c r="P847" s="22"/>
      <c r="Q847" s="22"/>
      <c r="R847" s="22"/>
      <c r="S847" s="25"/>
      <c r="T847" s="25"/>
      <c r="U847" s="25"/>
      <c r="V847" s="25"/>
      <c r="W847" s="25"/>
      <c r="X847" s="25"/>
      <c r="Y847" s="25"/>
      <c r="Z847" s="22"/>
      <c r="AA847" s="22"/>
      <c r="AB847" s="22"/>
      <c r="AC847" s="22"/>
      <c r="AD847" s="22"/>
      <c r="AE847" s="22"/>
      <c r="AF847" s="25"/>
      <c r="AG847" s="22"/>
      <c r="AH847" s="22"/>
      <c r="AI847" s="22"/>
      <c r="AJ847" s="22"/>
      <c r="AK847" s="22"/>
      <c r="AL847" s="22"/>
      <c r="AM847" s="22"/>
      <c r="AN847" s="25"/>
      <c r="AO847" s="22"/>
      <c r="AP847" s="22"/>
      <c r="AQ847" s="22"/>
      <c r="AR847" s="22"/>
      <c r="AS847" s="22"/>
      <c r="AT847" s="22"/>
      <c r="AU847" s="22"/>
      <c r="AV847" s="25"/>
      <c r="AW847" s="25"/>
      <c r="AX847" s="25"/>
      <c r="AY847" s="25"/>
      <c r="AZ847" s="25"/>
      <c r="BA847" s="25"/>
      <c r="BB847" s="25"/>
      <c r="BC847" s="25"/>
      <c r="BD847" s="25"/>
      <c r="BE847" s="25"/>
      <c r="BF847" s="25"/>
      <c r="BG847" s="25"/>
      <c r="BH847" s="25"/>
      <c r="BI847" s="25"/>
      <c r="BJ847" s="25"/>
      <c r="BK847" s="25"/>
      <c r="BL847" s="25"/>
    </row>
    <row r="848" spans="1:64" s="21" customFormat="1" ht="18.600000000000001" customHeight="1" x14ac:dyDescent="0.25">
      <c r="A848" s="22"/>
      <c r="B848" s="22"/>
      <c r="C848" s="22"/>
      <c r="D848" s="23"/>
      <c r="E848" s="26"/>
      <c r="F848" s="25"/>
      <c r="G848" s="25"/>
      <c r="H848" s="25"/>
      <c r="I848" s="25"/>
      <c r="J848" s="22"/>
      <c r="K848" s="25"/>
      <c r="L848" s="25"/>
      <c r="M848" s="25"/>
      <c r="N848" s="25"/>
      <c r="O848" s="22"/>
      <c r="P848" s="22"/>
      <c r="Q848" s="22"/>
      <c r="R848" s="22"/>
      <c r="S848" s="25"/>
      <c r="T848" s="25"/>
      <c r="U848" s="25"/>
      <c r="V848" s="25"/>
      <c r="W848" s="25"/>
      <c r="X848" s="25"/>
      <c r="Y848" s="25"/>
      <c r="Z848" s="22"/>
      <c r="AA848" s="22"/>
      <c r="AB848" s="22"/>
      <c r="AC848" s="22"/>
      <c r="AD848" s="22"/>
      <c r="AE848" s="22"/>
      <c r="AF848" s="25"/>
      <c r="AG848" s="22"/>
      <c r="AH848" s="22"/>
      <c r="AI848" s="22"/>
      <c r="AJ848" s="22"/>
      <c r="AK848" s="22"/>
      <c r="AL848" s="22"/>
      <c r="AM848" s="22"/>
      <c r="AN848" s="25"/>
      <c r="AO848" s="22"/>
      <c r="AP848" s="22"/>
      <c r="AQ848" s="22"/>
      <c r="AR848" s="22"/>
      <c r="AS848" s="22"/>
      <c r="AT848" s="22"/>
      <c r="AU848" s="22"/>
      <c r="AV848" s="25"/>
      <c r="AW848" s="25"/>
      <c r="AX848" s="25"/>
      <c r="AY848" s="25"/>
      <c r="AZ848" s="25"/>
      <c r="BA848" s="25"/>
      <c r="BB848" s="25"/>
      <c r="BC848" s="25"/>
      <c r="BD848" s="25"/>
      <c r="BE848" s="25"/>
      <c r="BF848" s="25"/>
      <c r="BG848" s="25"/>
      <c r="BH848" s="25"/>
      <c r="BI848" s="25"/>
      <c r="BJ848" s="25"/>
      <c r="BK848" s="25"/>
      <c r="BL848" s="25"/>
    </row>
    <row r="849" spans="1:64" s="21" customFormat="1" ht="18.600000000000001" customHeight="1" x14ac:dyDescent="0.25">
      <c r="A849" s="22"/>
      <c r="B849" s="22"/>
      <c r="C849" s="22"/>
      <c r="D849" s="23"/>
      <c r="E849" s="26"/>
      <c r="F849" s="25"/>
      <c r="G849" s="25"/>
      <c r="H849" s="25"/>
      <c r="I849" s="25"/>
      <c r="J849" s="22"/>
      <c r="K849" s="25"/>
      <c r="L849" s="25"/>
      <c r="M849" s="25"/>
      <c r="N849" s="25"/>
      <c r="O849" s="22"/>
      <c r="P849" s="22"/>
      <c r="Q849" s="22"/>
      <c r="R849" s="22"/>
      <c r="S849" s="25"/>
      <c r="T849" s="25"/>
      <c r="U849" s="25"/>
      <c r="V849" s="25"/>
      <c r="W849" s="25"/>
      <c r="X849" s="25"/>
      <c r="Y849" s="25"/>
      <c r="Z849" s="22"/>
      <c r="AA849" s="22"/>
      <c r="AB849" s="22"/>
      <c r="AC849" s="22"/>
      <c r="AD849" s="22"/>
      <c r="AE849" s="22"/>
      <c r="AF849" s="25"/>
      <c r="AG849" s="22"/>
      <c r="AH849" s="22"/>
      <c r="AI849" s="22"/>
      <c r="AJ849" s="22"/>
      <c r="AK849" s="22"/>
      <c r="AL849" s="22"/>
      <c r="AM849" s="22"/>
      <c r="AN849" s="25"/>
      <c r="AO849" s="22"/>
      <c r="AP849" s="22"/>
      <c r="AQ849" s="22"/>
      <c r="AR849" s="22"/>
      <c r="AS849" s="22"/>
      <c r="AT849" s="22"/>
      <c r="AU849" s="22"/>
      <c r="AV849" s="25"/>
      <c r="AW849" s="25"/>
      <c r="AX849" s="25"/>
      <c r="AY849" s="25"/>
      <c r="AZ849" s="25"/>
      <c r="BA849" s="25"/>
      <c r="BB849" s="25"/>
      <c r="BC849" s="25"/>
      <c r="BD849" s="25"/>
      <c r="BE849" s="25"/>
      <c r="BF849" s="25"/>
      <c r="BG849" s="25"/>
      <c r="BH849" s="25"/>
      <c r="BI849" s="25"/>
      <c r="BJ849" s="25"/>
      <c r="BK849" s="25"/>
      <c r="BL849" s="25"/>
    </row>
    <row r="850" spans="1:64" s="21" customFormat="1" ht="18.600000000000001" customHeight="1" x14ac:dyDescent="0.25">
      <c r="A850" s="22"/>
      <c r="B850" s="22"/>
      <c r="C850" s="22"/>
      <c r="D850" s="23"/>
      <c r="E850" s="26"/>
      <c r="F850" s="25"/>
      <c r="G850" s="25"/>
      <c r="H850" s="25"/>
      <c r="I850" s="25"/>
      <c r="J850" s="22"/>
      <c r="K850" s="25"/>
      <c r="L850" s="25"/>
      <c r="M850" s="25"/>
      <c r="N850" s="25"/>
      <c r="O850" s="22"/>
      <c r="P850" s="22"/>
      <c r="Q850" s="22"/>
      <c r="R850" s="22"/>
      <c r="S850" s="25"/>
      <c r="T850" s="25"/>
      <c r="U850" s="25"/>
      <c r="V850" s="25"/>
      <c r="W850" s="25"/>
      <c r="X850" s="25"/>
      <c r="Y850" s="25"/>
      <c r="Z850" s="22"/>
      <c r="AA850" s="22"/>
      <c r="AB850" s="22"/>
      <c r="AC850" s="22"/>
      <c r="AD850" s="22"/>
      <c r="AE850" s="22"/>
      <c r="AF850" s="25"/>
      <c r="AG850" s="22"/>
      <c r="AH850" s="22"/>
      <c r="AI850" s="22"/>
      <c r="AJ850" s="22"/>
      <c r="AK850" s="22"/>
      <c r="AL850" s="22"/>
      <c r="AM850" s="22"/>
      <c r="AN850" s="25"/>
      <c r="AO850" s="22"/>
      <c r="AP850" s="22"/>
      <c r="AQ850" s="22"/>
      <c r="AR850" s="22"/>
      <c r="AS850" s="22"/>
      <c r="AT850" s="22"/>
      <c r="AU850" s="22"/>
      <c r="AV850" s="25"/>
      <c r="AW850" s="25"/>
      <c r="AX850" s="25"/>
      <c r="AY850" s="25"/>
      <c r="AZ850" s="25"/>
      <c r="BA850" s="25"/>
      <c r="BB850" s="25"/>
      <c r="BC850" s="25"/>
      <c r="BD850" s="25"/>
      <c r="BE850" s="25"/>
      <c r="BF850" s="25"/>
      <c r="BG850" s="25"/>
      <c r="BH850" s="25"/>
      <c r="BI850" s="25"/>
      <c r="BJ850" s="25"/>
      <c r="BK850" s="25"/>
      <c r="BL850" s="25"/>
    </row>
    <row r="851" spans="1:64" s="21" customFormat="1" ht="18.600000000000001" customHeight="1" x14ac:dyDescent="0.25">
      <c r="A851" s="22"/>
      <c r="B851" s="22"/>
      <c r="C851" s="22"/>
      <c r="D851" s="23"/>
      <c r="E851" s="26"/>
      <c r="F851" s="25"/>
      <c r="G851" s="25"/>
      <c r="H851" s="25"/>
      <c r="I851" s="25"/>
      <c r="J851" s="22"/>
      <c r="K851" s="25"/>
      <c r="L851" s="25"/>
      <c r="M851" s="25"/>
      <c r="N851" s="25"/>
      <c r="O851" s="22"/>
      <c r="P851" s="22"/>
      <c r="Q851" s="22"/>
      <c r="R851" s="22"/>
      <c r="S851" s="25"/>
      <c r="T851" s="25"/>
      <c r="U851" s="25"/>
      <c r="V851" s="25"/>
      <c r="W851" s="25"/>
      <c r="X851" s="25"/>
      <c r="Y851" s="25"/>
      <c r="Z851" s="22"/>
      <c r="AA851" s="22"/>
      <c r="AB851" s="22"/>
      <c r="AC851" s="22"/>
      <c r="AD851" s="22"/>
      <c r="AE851" s="22"/>
      <c r="AF851" s="25"/>
      <c r="AG851" s="22"/>
      <c r="AH851" s="22"/>
      <c r="AI851" s="22"/>
      <c r="AJ851" s="22"/>
      <c r="AK851" s="22"/>
      <c r="AL851" s="22"/>
      <c r="AM851" s="22"/>
      <c r="AN851" s="25"/>
      <c r="AO851" s="22"/>
      <c r="AP851" s="22"/>
      <c r="AQ851" s="22"/>
      <c r="AR851" s="22"/>
      <c r="AS851" s="22"/>
      <c r="AT851" s="22"/>
      <c r="AU851" s="22"/>
      <c r="AV851" s="25"/>
      <c r="AW851" s="25"/>
      <c r="AX851" s="25"/>
      <c r="AY851" s="25"/>
      <c r="AZ851" s="25"/>
      <c r="BA851" s="25"/>
      <c r="BB851" s="25"/>
      <c r="BC851" s="25"/>
      <c r="BD851" s="25"/>
      <c r="BE851" s="25"/>
      <c r="BF851" s="25"/>
      <c r="BG851" s="25"/>
      <c r="BH851" s="25"/>
      <c r="BI851" s="25"/>
      <c r="BJ851" s="25"/>
      <c r="BK851" s="25"/>
      <c r="BL851" s="25"/>
    </row>
    <row r="852" spans="1:64" s="21" customFormat="1" ht="18.600000000000001" customHeight="1" x14ac:dyDescent="0.25">
      <c r="A852" s="22"/>
      <c r="B852" s="22"/>
      <c r="C852" s="22"/>
      <c r="D852" s="23"/>
      <c r="E852" s="26"/>
      <c r="F852" s="25"/>
      <c r="G852" s="25"/>
      <c r="H852" s="25"/>
      <c r="I852" s="25"/>
      <c r="J852" s="22"/>
      <c r="K852" s="25"/>
      <c r="L852" s="25"/>
      <c r="M852" s="25"/>
      <c r="N852" s="25"/>
      <c r="O852" s="22"/>
      <c r="P852" s="22"/>
      <c r="Q852" s="22"/>
      <c r="R852" s="22"/>
      <c r="S852" s="25"/>
      <c r="T852" s="25"/>
      <c r="U852" s="25"/>
      <c r="V852" s="25"/>
      <c r="W852" s="25"/>
      <c r="X852" s="25"/>
      <c r="Y852" s="25"/>
      <c r="Z852" s="22"/>
      <c r="AA852" s="22"/>
      <c r="AB852" s="22"/>
      <c r="AC852" s="22"/>
      <c r="AD852" s="22"/>
      <c r="AE852" s="22"/>
      <c r="AF852" s="25"/>
      <c r="AG852" s="22"/>
      <c r="AH852" s="22"/>
      <c r="AI852" s="22"/>
      <c r="AJ852" s="22"/>
      <c r="AK852" s="22"/>
      <c r="AL852" s="22"/>
      <c r="AM852" s="22"/>
      <c r="AN852" s="25"/>
      <c r="AO852" s="22"/>
      <c r="AP852" s="22"/>
      <c r="AQ852" s="22"/>
      <c r="AR852" s="22"/>
      <c r="AS852" s="22"/>
      <c r="AT852" s="22"/>
      <c r="AU852" s="22"/>
      <c r="AV852" s="25"/>
      <c r="AW852" s="25"/>
      <c r="AX852" s="25"/>
      <c r="AY852" s="25"/>
      <c r="AZ852" s="25"/>
      <c r="BA852" s="25"/>
      <c r="BB852" s="25"/>
      <c r="BC852" s="25"/>
      <c r="BD852" s="25"/>
      <c r="BE852" s="25"/>
      <c r="BF852" s="25"/>
      <c r="BG852" s="25"/>
      <c r="BH852" s="25"/>
      <c r="BI852" s="25"/>
      <c r="BJ852" s="25"/>
      <c r="BK852" s="25"/>
      <c r="BL852" s="25"/>
    </row>
    <row r="853" spans="1:64" s="21" customFormat="1" ht="18.600000000000001" customHeight="1" x14ac:dyDescent="0.25">
      <c r="A853" s="22"/>
      <c r="B853" s="22"/>
      <c r="C853" s="22"/>
      <c r="D853" s="23"/>
      <c r="E853" s="26"/>
      <c r="F853" s="25"/>
      <c r="G853" s="25"/>
      <c r="H853" s="25"/>
      <c r="I853" s="25"/>
      <c r="J853" s="22"/>
      <c r="K853" s="25"/>
      <c r="L853" s="25"/>
      <c r="M853" s="25"/>
      <c r="N853" s="25"/>
      <c r="O853" s="22"/>
      <c r="P853" s="22"/>
      <c r="Q853" s="22"/>
      <c r="R853" s="22"/>
      <c r="S853" s="25"/>
      <c r="T853" s="25"/>
      <c r="U853" s="25"/>
      <c r="V853" s="25"/>
      <c r="W853" s="25"/>
      <c r="X853" s="25"/>
      <c r="Y853" s="25"/>
      <c r="Z853" s="22"/>
      <c r="AA853" s="22"/>
      <c r="AB853" s="22"/>
      <c r="AC853" s="22"/>
      <c r="AD853" s="22"/>
      <c r="AE853" s="22"/>
      <c r="AF853" s="25"/>
      <c r="AG853" s="22"/>
      <c r="AH853" s="22"/>
      <c r="AI853" s="22"/>
      <c r="AJ853" s="22"/>
      <c r="AK853" s="22"/>
      <c r="AL853" s="22"/>
      <c r="AM853" s="22"/>
      <c r="AN853" s="25"/>
      <c r="AO853" s="22"/>
      <c r="AP853" s="22"/>
      <c r="AQ853" s="22"/>
      <c r="AR853" s="22"/>
      <c r="AS853" s="22"/>
      <c r="AT853" s="22"/>
      <c r="AU853" s="22"/>
      <c r="AV853" s="25"/>
      <c r="AW853" s="25"/>
      <c r="AX853" s="25"/>
      <c r="AY853" s="25"/>
      <c r="AZ853" s="25"/>
      <c r="BA853" s="25"/>
      <c r="BB853" s="25"/>
      <c r="BC853" s="25"/>
      <c r="BD853" s="25"/>
      <c r="BE853" s="25"/>
      <c r="BF853" s="25"/>
      <c r="BG853" s="25"/>
      <c r="BH853" s="25"/>
      <c r="BI853" s="25"/>
      <c r="BJ853" s="25"/>
      <c r="BK853" s="25"/>
      <c r="BL853" s="25"/>
    </row>
    <row r="854" spans="1:64" s="21" customFormat="1" ht="18.600000000000001" customHeight="1" x14ac:dyDescent="0.25">
      <c r="A854" s="22"/>
      <c r="B854" s="22"/>
      <c r="C854" s="22"/>
      <c r="D854" s="23"/>
      <c r="E854" s="26"/>
      <c r="F854" s="25"/>
      <c r="G854" s="25"/>
      <c r="H854" s="25"/>
      <c r="I854" s="25"/>
      <c r="J854" s="22"/>
      <c r="K854" s="25"/>
      <c r="L854" s="25"/>
      <c r="M854" s="25"/>
      <c r="N854" s="25"/>
      <c r="O854" s="22"/>
      <c r="P854" s="22"/>
      <c r="Q854" s="22"/>
      <c r="R854" s="22"/>
      <c r="S854" s="25"/>
      <c r="T854" s="25"/>
      <c r="U854" s="25"/>
      <c r="V854" s="25"/>
      <c r="W854" s="25"/>
      <c r="X854" s="25"/>
      <c r="Y854" s="25"/>
      <c r="Z854" s="22"/>
      <c r="AA854" s="22"/>
      <c r="AB854" s="22"/>
      <c r="AC854" s="22"/>
      <c r="AD854" s="22"/>
      <c r="AE854" s="22"/>
      <c r="AF854" s="25"/>
      <c r="AG854" s="22"/>
      <c r="AH854" s="22"/>
      <c r="AI854" s="22"/>
      <c r="AJ854" s="22"/>
      <c r="AK854" s="22"/>
      <c r="AL854" s="22"/>
      <c r="AM854" s="22"/>
      <c r="AN854" s="25"/>
      <c r="AO854" s="22"/>
      <c r="AP854" s="22"/>
      <c r="AQ854" s="22"/>
      <c r="AR854" s="22"/>
      <c r="AS854" s="22"/>
      <c r="AT854" s="22"/>
      <c r="AU854" s="22"/>
      <c r="AV854" s="25"/>
      <c r="AW854" s="25"/>
      <c r="AX854" s="25"/>
      <c r="AY854" s="25"/>
      <c r="AZ854" s="25"/>
      <c r="BA854" s="25"/>
      <c r="BB854" s="25"/>
      <c r="BC854" s="25"/>
      <c r="BD854" s="25"/>
      <c r="BE854" s="25"/>
      <c r="BF854" s="25"/>
      <c r="BG854" s="25"/>
      <c r="BH854" s="25"/>
      <c r="BI854" s="25"/>
      <c r="BJ854" s="25"/>
      <c r="BK854" s="25"/>
      <c r="BL854" s="25"/>
    </row>
    <row r="855" spans="1:64" s="21" customFormat="1" ht="18.600000000000001" customHeight="1" x14ac:dyDescent="0.25">
      <c r="A855" s="22"/>
      <c r="B855" s="22"/>
      <c r="C855" s="22"/>
      <c r="D855" s="23"/>
      <c r="E855" s="26"/>
      <c r="F855" s="25"/>
      <c r="G855" s="25"/>
      <c r="H855" s="25"/>
      <c r="I855" s="25"/>
      <c r="J855" s="22"/>
      <c r="K855" s="25"/>
      <c r="L855" s="25"/>
      <c r="M855" s="25"/>
      <c r="N855" s="25"/>
      <c r="O855" s="22"/>
      <c r="P855" s="22"/>
      <c r="Q855" s="22"/>
      <c r="R855" s="22"/>
      <c r="S855" s="25"/>
      <c r="T855" s="25"/>
      <c r="U855" s="25"/>
      <c r="V855" s="25"/>
      <c r="W855" s="25"/>
      <c r="X855" s="25"/>
      <c r="Y855" s="25"/>
      <c r="Z855" s="22"/>
      <c r="AA855" s="22"/>
      <c r="AB855" s="22"/>
      <c r="AC855" s="22"/>
      <c r="AD855" s="22"/>
      <c r="AE855" s="22"/>
      <c r="AF855" s="25"/>
      <c r="AG855" s="22"/>
      <c r="AH855" s="22"/>
      <c r="AI855" s="22"/>
      <c r="AJ855" s="22"/>
      <c r="AK855" s="22"/>
      <c r="AL855" s="22"/>
      <c r="AM855" s="22"/>
      <c r="AN855" s="25"/>
      <c r="AO855" s="22"/>
      <c r="AP855" s="22"/>
      <c r="AQ855" s="22"/>
      <c r="AR855" s="22"/>
      <c r="AS855" s="22"/>
      <c r="AT855" s="22"/>
      <c r="AU855" s="22"/>
      <c r="AV855" s="25"/>
      <c r="AW855" s="25"/>
      <c r="AX855" s="25"/>
      <c r="AY855" s="25"/>
      <c r="AZ855" s="25"/>
      <c r="BA855" s="25"/>
      <c r="BB855" s="25"/>
      <c r="BC855" s="25"/>
      <c r="BD855" s="25"/>
      <c r="BE855" s="25"/>
      <c r="BF855" s="25"/>
      <c r="BG855" s="25"/>
      <c r="BH855" s="25"/>
      <c r="BI855" s="25"/>
      <c r="BJ855" s="25"/>
      <c r="BK855" s="25"/>
      <c r="BL855" s="25"/>
    </row>
    <row r="856" spans="1:64" s="21" customFormat="1" ht="18.600000000000001" customHeight="1" x14ac:dyDescent="0.25">
      <c r="A856" s="22"/>
      <c r="B856" s="22"/>
      <c r="C856" s="22"/>
      <c r="D856" s="23"/>
      <c r="E856" s="26"/>
      <c r="F856" s="25"/>
      <c r="G856" s="25"/>
      <c r="H856" s="25"/>
      <c r="I856" s="25"/>
      <c r="J856" s="22"/>
      <c r="K856" s="25"/>
      <c r="L856" s="25"/>
      <c r="M856" s="25"/>
      <c r="N856" s="25"/>
      <c r="O856" s="22"/>
      <c r="P856" s="22"/>
      <c r="Q856" s="22"/>
      <c r="R856" s="22"/>
      <c r="S856" s="25"/>
      <c r="T856" s="25"/>
      <c r="U856" s="25"/>
      <c r="V856" s="25"/>
      <c r="W856" s="25"/>
      <c r="X856" s="25"/>
      <c r="Y856" s="25"/>
      <c r="Z856" s="22"/>
      <c r="AA856" s="22"/>
      <c r="AB856" s="22"/>
      <c r="AC856" s="22"/>
      <c r="AD856" s="22"/>
      <c r="AE856" s="22"/>
      <c r="AF856" s="25"/>
      <c r="AG856" s="22"/>
      <c r="AH856" s="22"/>
      <c r="AI856" s="22"/>
      <c r="AJ856" s="22"/>
      <c r="AK856" s="22"/>
      <c r="AL856" s="22"/>
      <c r="AM856" s="22"/>
      <c r="AN856" s="25"/>
      <c r="AO856" s="22"/>
      <c r="AP856" s="22"/>
      <c r="AQ856" s="22"/>
      <c r="AR856" s="22"/>
      <c r="AS856" s="22"/>
      <c r="AT856" s="22"/>
      <c r="AU856" s="22"/>
      <c r="AV856" s="25"/>
      <c r="AW856" s="25"/>
      <c r="AX856" s="25"/>
      <c r="AY856" s="25"/>
      <c r="AZ856" s="25"/>
      <c r="BA856" s="25"/>
      <c r="BB856" s="25"/>
      <c r="BC856" s="25"/>
      <c r="BD856" s="25"/>
      <c r="BE856" s="25"/>
      <c r="BF856" s="25"/>
      <c r="BG856" s="25"/>
      <c r="BH856" s="25"/>
      <c r="BI856" s="25"/>
      <c r="BJ856" s="25"/>
      <c r="BK856" s="25"/>
      <c r="BL856" s="25"/>
    </row>
    <row r="857" spans="1:64" s="21" customFormat="1" ht="18.600000000000001" customHeight="1" x14ac:dyDescent="0.25">
      <c r="A857" s="22"/>
      <c r="B857" s="22"/>
      <c r="C857" s="22"/>
      <c r="D857" s="23"/>
      <c r="E857" s="26"/>
      <c r="F857" s="25"/>
      <c r="G857" s="25"/>
      <c r="H857" s="25"/>
      <c r="I857" s="25"/>
      <c r="J857" s="22"/>
      <c r="K857" s="25"/>
      <c r="L857" s="25"/>
      <c r="M857" s="25"/>
      <c r="N857" s="25"/>
      <c r="O857" s="22"/>
      <c r="P857" s="22"/>
      <c r="Q857" s="22"/>
      <c r="R857" s="22"/>
      <c r="S857" s="25"/>
      <c r="T857" s="25"/>
      <c r="U857" s="25"/>
      <c r="V857" s="25"/>
      <c r="W857" s="25"/>
      <c r="X857" s="25"/>
      <c r="Y857" s="25"/>
      <c r="Z857" s="22"/>
      <c r="AA857" s="22"/>
      <c r="AB857" s="22"/>
      <c r="AC857" s="22"/>
      <c r="AD857" s="22"/>
      <c r="AE857" s="22"/>
      <c r="AF857" s="25"/>
      <c r="AG857" s="22"/>
      <c r="AH857" s="22"/>
      <c r="AI857" s="22"/>
      <c r="AJ857" s="22"/>
      <c r="AK857" s="22"/>
      <c r="AL857" s="22"/>
      <c r="AM857" s="22"/>
      <c r="AN857" s="25"/>
      <c r="AO857" s="22"/>
      <c r="AP857" s="22"/>
      <c r="AQ857" s="22"/>
      <c r="AR857" s="22"/>
      <c r="AS857" s="22"/>
      <c r="AT857" s="22"/>
      <c r="AU857" s="22"/>
      <c r="AV857" s="25"/>
      <c r="AW857" s="25"/>
      <c r="AX857" s="25"/>
      <c r="AY857" s="25"/>
      <c r="AZ857" s="25"/>
      <c r="BA857" s="25"/>
      <c r="BB857" s="25"/>
      <c r="BC857" s="25"/>
      <c r="BD857" s="25"/>
      <c r="BE857" s="25"/>
      <c r="BF857" s="25"/>
      <c r="BG857" s="25"/>
      <c r="BH857" s="25"/>
      <c r="BI857" s="25"/>
      <c r="BJ857" s="25"/>
      <c r="BK857" s="25"/>
      <c r="BL857" s="25"/>
    </row>
    <row r="858" spans="1:64" s="21" customFormat="1" ht="18.600000000000001" customHeight="1" x14ac:dyDescent="0.25">
      <c r="A858" s="22"/>
      <c r="B858" s="22"/>
      <c r="C858" s="22"/>
      <c r="D858" s="23"/>
      <c r="E858" s="26"/>
      <c r="F858" s="25"/>
      <c r="G858" s="25"/>
      <c r="H858" s="25"/>
      <c r="I858" s="25"/>
      <c r="J858" s="22"/>
      <c r="K858" s="25"/>
      <c r="L858" s="25"/>
      <c r="M858" s="25"/>
      <c r="N858" s="25"/>
      <c r="O858" s="22"/>
      <c r="P858" s="22"/>
      <c r="Q858" s="22"/>
      <c r="R858" s="22"/>
      <c r="S858" s="25"/>
      <c r="T858" s="25"/>
      <c r="U858" s="25"/>
      <c r="V858" s="25"/>
      <c r="W858" s="25"/>
      <c r="X858" s="25"/>
      <c r="Y858" s="25"/>
      <c r="Z858" s="22"/>
      <c r="AA858" s="22"/>
      <c r="AB858" s="22"/>
      <c r="AC858" s="22"/>
      <c r="AD858" s="22"/>
      <c r="AE858" s="22"/>
      <c r="AF858" s="25"/>
      <c r="AG858" s="22"/>
      <c r="AH858" s="22"/>
      <c r="AI858" s="22"/>
      <c r="AJ858" s="22"/>
      <c r="AK858" s="22"/>
      <c r="AL858" s="22"/>
      <c r="AM858" s="22"/>
      <c r="AN858" s="25"/>
      <c r="AO858" s="22"/>
      <c r="AP858" s="22"/>
      <c r="AQ858" s="22"/>
      <c r="AR858" s="22"/>
      <c r="AS858" s="22"/>
      <c r="AT858" s="22"/>
      <c r="AU858" s="22"/>
      <c r="AV858" s="25"/>
      <c r="AW858" s="25"/>
      <c r="AX858" s="25"/>
      <c r="AY858" s="25"/>
      <c r="AZ858" s="25"/>
      <c r="BA858" s="25"/>
      <c r="BB858" s="25"/>
      <c r="BC858" s="25"/>
      <c r="BD858" s="25"/>
      <c r="BE858" s="25"/>
      <c r="BF858" s="25"/>
      <c r="BG858" s="25"/>
      <c r="BH858" s="25"/>
      <c r="BI858" s="25"/>
      <c r="BJ858" s="25"/>
      <c r="BK858" s="25"/>
      <c r="BL858" s="25"/>
    </row>
    <row r="859" spans="1:64" s="21" customFormat="1" ht="18.600000000000001" customHeight="1" x14ac:dyDescent="0.25">
      <c r="A859" s="22"/>
      <c r="B859" s="22"/>
      <c r="C859" s="22"/>
      <c r="D859" s="23"/>
      <c r="E859" s="26"/>
      <c r="F859" s="25"/>
      <c r="G859" s="25"/>
      <c r="H859" s="25"/>
      <c r="I859" s="25"/>
      <c r="J859" s="22"/>
      <c r="K859" s="25"/>
      <c r="L859" s="25"/>
      <c r="M859" s="25"/>
      <c r="N859" s="25"/>
      <c r="O859" s="22"/>
      <c r="P859" s="22"/>
      <c r="Q859" s="22"/>
      <c r="R859" s="22"/>
      <c r="S859" s="25"/>
      <c r="T859" s="25"/>
      <c r="U859" s="25"/>
      <c r="V859" s="25"/>
      <c r="W859" s="25"/>
      <c r="X859" s="25"/>
      <c r="Y859" s="25"/>
      <c r="Z859" s="22"/>
      <c r="AA859" s="22"/>
      <c r="AB859" s="22"/>
      <c r="AC859" s="22"/>
      <c r="AD859" s="22"/>
      <c r="AE859" s="22"/>
      <c r="AF859" s="25"/>
      <c r="AG859" s="22"/>
      <c r="AH859" s="22"/>
      <c r="AI859" s="22"/>
      <c r="AJ859" s="22"/>
      <c r="AK859" s="22"/>
      <c r="AL859" s="22"/>
      <c r="AM859" s="22"/>
      <c r="AN859" s="25"/>
      <c r="AO859" s="22"/>
      <c r="AP859" s="22"/>
      <c r="AQ859" s="22"/>
      <c r="AR859" s="22"/>
      <c r="AS859" s="22"/>
      <c r="AT859" s="22"/>
      <c r="AU859" s="22"/>
      <c r="AV859" s="25"/>
      <c r="AW859" s="25"/>
      <c r="AX859" s="25"/>
      <c r="AY859" s="25"/>
      <c r="AZ859" s="25"/>
      <c r="BA859" s="25"/>
      <c r="BB859" s="25"/>
      <c r="BC859" s="25"/>
      <c r="BD859" s="25"/>
      <c r="BE859" s="25"/>
      <c r="BF859" s="25"/>
      <c r="BG859" s="25"/>
      <c r="BH859" s="25"/>
      <c r="BI859" s="25"/>
      <c r="BJ859" s="25"/>
      <c r="BK859" s="25"/>
      <c r="BL859" s="25"/>
    </row>
    <row r="860" spans="1:64" s="21" customFormat="1" ht="18.600000000000001" customHeight="1" x14ac:dyDescent="0.25">
      <c r="A860" s="22"/>
      <c r="B860" s="22"/>
      <c r="C860" s="22"/>
      <c r="D860" s="23"/>
      <c r="E860" s="26"/>
      <c r="F860" s="25"/>
      <c r="G860" s="25"/>
      <c r="H860" s="25"/>
      <c r="I860" s="25"/>
      <c r="J860" s="22"/>
      <c r="K860" s="25"/>
      <c r="L860" s="25"/>
      <c r="M860" s="25"/>
      <c r="N860" s="25"/>
      <c r="O860" s="22"/>
      <c r="P860" s="22"/>
      <c r="Q860" s="22"/>
      <c r="R860" s="22"/>
      <c r="S860" s="25"/>
      <c r="T860" s="25"/>
      <c r="U860" s="25"/>
      <c r="V860" s="25"/>
      <c r="W860" s="25"/>
      <c r="X860" s="25"/>
      <c r="Y860" s="25"/>
      <c r="Z860" s="22"/>
      <c r="AA860" s="22"/>
      <c r="AB860" s="22"/>
      <c r="AC860" s="22"/>
      <c r="AD860" s="22"/>
      <c r="AE860" s="22"/>
      <c r="AF860" s="25"/>
      <c r="AG860" s="22"/>
      <c r="AH860" s="22"/>
      <c r="AI860" s="22"/>
      <c r="AJ860" s="22"/>
      <c r="AK860" s="22"/>
      <c r="AL860" s="22"/>
      <c r="AM860" s="22"/>
      <c r="AN860" s="25"/>
      <c r="AO860" s="22"/>
      <c r="AP860" s="22"/>
      <c r="AQ860" s="22"/>
      <c r="AR860" s="22"/>
      <c r="AS860" s="22"/>
      <c r="AT860" s="22"/>
      <c r="AU860" s="22"/>
      <c r="AV860" s="25"/>
      <c r="AW860" s="25"/>
      <c r="AX860" s="25"/>
      <c r="AY860" s="25"/>
      <c r="AZ860" s="25"/>
      <c r="BA860" s="25"/>
      <c r="BB860" s="25"/>
      <c r="BC860" s="25"/>
      <c r="BD860" s="25"/>
      <c r="BE860" s="25"/>
      <c r="BF860" s="25"/>
      <c r="BG860" s="25"/>
      <c r="BH860" s="25"/>
      <c r="BI860" s="25"/>
      <c r="BJ860" s="25"/>
      <c r="BK860" s="25"/>
      <c r="BL860" s="25"/>
    </row>
    <row r="861" spans="1:64" s="21" customFormat="1" ht="18.600000000000001" customHeight="1" x14ac:dyDescent="0.25">
      <c r="A861" s="22"/>
      <c r="B861" s="22"/>
      <c r="C861" s="22"/>
      <c r="D861" s="23"/>
      <c r="E861" s="26"/>
      <c r="F861" s="25"/>
      <c r="G861" s="25"/>
      <c r="H861" s="25"/>
      <c r="I861" s="25"/>
      <c r="J861" s="22"/>
      <c r="K861" s="25"/>
      <c r="L861" s="25"/>
      <c r="M861" s="25"/>
      <c r="N861" s="25"/>
      <c r="O861" s="22"/>
      <c r="P861" s="22"/>
      <c r="Q861" s="22"/>
      <c r="R861" s="22"/>
      <c r="S861" s="25"/>
      <c r="T861" s="25"/>
      <c r="U861" s="25"/>
      <c r="V861" s="25"/>
      <c r="W861" s="25"/>
      <c r="X861" s="25"/>
      <c r="Y861" s="25"/>
      <c r="Z861" s="22"/>
      <c r="AA861" s="22"/>
      <c r="AB861" s="22"/>
      <c r="AC861" s="22"/>
      <c r="AD861" s="22"/>
      <c r="AE861" s="22"/>
      <c r="AF861" s="25"/>
      <c r="AG861" s="22"/>
      <c r="AH861" s="22"/>
      <c r="AI861" s="22"/>
      <c r="AJ861" s="22"/>
      <c r="AK861" s="22"/>
      <c r="AL861" s="22"/>
      <c r="AM861" s="22"/>
      <c r="AN861" s="25"/>
      <c r="AO861" s="22"/>
      <c r="AP861" s="22"/>
      <c r="AQ861" s="22"/>
      <c r="AR861" s="22"/>
      <c r="AS861" s="22"/>
      <c r="AT861" s="22"/>
      <c r="AU861" s="22"/>
      <c r="AV861" s="25"/>
      <c r="AW861" s="25"/>
      <c r="AX861" s="25"/>
      <c r="AY861" s="25"/>
      <c r="AZ861" s="25"/>
      <c r="BA861" s="25"/>
      <c r="BB861" s="25"/>
      <c r="BC861" s="25"/>
      <c r="BD861" s="25"/>
      <c r="BE861" s="25"/>
      <c r="BF861" s="25"/>
      <c r="BG861" s="25"/>
      <c r="BH861" s="25"/>
      <c r="BI861" s="25"/>
      <c r="BJ861" s="25"/>
      <c r="BK861" s="25"/>
      <c r="BL861" s="25"/>
    </row>
    <row r="862" spans="1:64" s="21" customFormat="1" ht="18.600000000000001" customHeight="1" x14ac:dyDescent="0.25">
      <c r="A862" s="22"/>
      <c r="B862" s="22"/>
      <c r="C862" s="22"/>
      <c r="D862" s="23"/>
      <c r="E862" s="26"/>
      <c r="F862" s="25"/>
      <c r="G862" s="25"/>
      <c r="H862" s="25"/>
      <c r="I862" s="25"/>
      <c r="J862" s="22"/>
      <c r="K862" s="25"/>
      <c r="L862" s="25"/>
      <c r="M862" s="25"/>
      <c r="N862" s="25"/>
      <c r="O862" s="22"/>
      <c r="P862" s="22"/>
      <c r="Q862" s="22"/>
      <c r="R862" s="22"/>
      <c r="S862" s="25"/>
      <c r="T862" s="25"/>
      <c r="U862" s="25"/>
      <c r="V862" s="25"/>
      <c r="W862" s="25"/>
      <c r="X862" s="25"/>
      <c r="Y862" s="25"/>
      <c r="Z862" s="22"/>
      <c r="AA862" s="22"/>
      <c r="AB862" s="22"/>
      <c r="AC862" s="22"/>
      <c r="AD862" s="22"/>
      <c r="AE862" s="22"/>
      <c r="AF862" s="25"/>
      <c r="AG862" s="22"/>
      <c r="AH862" s="22"/>
      <c r="AI862" s="22"/>
      <c r="AJ862" s="22"/>
      <c r="AK862" s="22"/>
      <c r="AL862" s="22"/>
      <c r="AM862" s="22"/>
      <c r="AN862" s="25"/>
      <c r="AO862" s="22"/>
      <c r="AP862" s="22"/>
      <c r="AQ862" s="22"/>
      <c r="AR862" s="22"/>
      <c r="AS862" s="22"/>
      <c r="AT862" s="22"/>
      <c r="AU862" s="22"/>
      <c r="AV862" s="25"/>
      <c r="AW862" s="25"/>
      <c r="AX862" s="25"/>
      <c r="AY862" s="25"/>
      <c r="AZ862" s="25"/>
      <c r="BA862" s="25"/>
      <c r="BB862" s="25"/>
      <c r="BC862" s="25"/>
      <c r="BD862" s="25"/>
      <c r="BE862" s="25"/>
      <c r="BF862" s="25"/>
      <c r="BG862" s="25"/>
      <c r="BH862" s="25"/>
      <c r="BI862" s="25"/>
      <c r="BJ862" s="25"/>
      <c r="BK862" s="25"/>
      <c r="BL862" s="25"/>
    </row>
    <row r="863" spans="1:64" s="21" customFormat="1" ht="18.600000000000001" customHeight="1" x14ac:dyDescent="0.25">
      <c r="A863" s="22"/>
      <c r="B863" s="22"/>
      <c r="C863" s="22"/>
      <c r="D863" s="23"/>
      <c r="E863" s="26"/>
      <c r="F863" s="25"/>
      <c r="G863" s="25"/>
      <c r="H863" s="25"/>
      <c r="I863" s="25"/>
      <c r="J863" s="22"/>
      <c r="K863" s="25"/>
      <c r="L863" s="25"/>
      <c r="M863" s="25"/>
      <c r="N863" s="25"/>
      <c r="O863" s="22"/>
      <c r="P863" s="22"/>
      <c r="Q863" s="22"/>
      <c r="R863" s="22"/>
      <c r="S863" s="25"/>
      <c r="T863" s="25"/>
      <c r="U863" s="25"/>
      <c r="V863" s="25"/>
      <c r="W863" s="25"/>
      <c r="X863" s="25"/>
      <c r="Y863" s="25"/>
      <c r="Z863" s="22"/>
      <c r="AA863" s="22"/>
      <c r="AB863" s="22"/>
      <c r="AC863" s="22"/>
      <c r="AD863" s="22"/>
      <c r="AE863" s="22"/>
      <c r="AF863" s="25"/>
      <c r="AG863" s="22"/>
      <c r="AH863" s="22"/>
      <c r="AI863" s="22"/>
      <c r="AJ863" s="22"/>
      <c r="AK863" s="22"/>
      <c r="AL863" s="22"/>
      <c r="AM863" s="22"/>
      <c r="AN863" s="25"/>
      <c r="AO863" s="22"/>
      <c r="AP863" s="22"/>
      <c r="AQ863" s="22"/>
      <c r="AR863" s="22"/>
      <c r="AS863" s="22"/>
      <c r="AT863" s="22"/>
      <c r="AU863" s="22"/>
      <c r="AV863" s="25"/>
      <c r="AW863" s="25"/>
      <c r="AX863" s="25"/>
      <c r="AY863" s="25"/>
      <c r="AZ863" s="25"/>
      <c r="BA863" s="25"/>
      <c r="BB863" s="25"/>
      <c r="BC863" s="25"/>
      <c r="BD863" s="25"/>
      <c r="BE863" s="25"/>
      <c r="BF863" s="25"/>
      <c r="BG863" s="25"/>
      <c r="BH863" s="25"/>
      <c r="BI863" s="25"/>
      <c r="BJ863" s="25"/>
      <c r="BK863" s="25"/>
      <c r="BL863" s="25"/>
    </row>
    <row r="864" spans="1:64" s="21" customFormat="1" ht="18.600000000000001" customHeight="1" x14ac:dyDescent="0.25">
      <c r="A864" s="22"/>
      <c r="B864" s="22"/>
      <c r="C864" s="22"/>
      <c r="D864" s="23"/>
      <c r="E864" s="26"/>
      <c r="F864" s="25"/>
      <c r="G864" s="25"/>
      <c r="H864" s="25"/>
      <c r="I864" s="25"/>
      <c r="J864" s="22"/>
      <c r="K864" s="25"/>
      <c r="L864" s="25"/>
      <c r="M864" s="25"/>
      <c r="N864" s="25"/>
      <c r="O864" s="22"/>
      <c r="P864" s="22"/>
      <c r="Q864" s="22"/>
      <c r="R864" s="22"/>
      <c r="S864" s="25"/>
      <c r="T864" s="25"/>
      <c r="U864" s="25"/>
      <c r="V864" s="25"/>
      <c r="W864" s="25"/>
      <c r="X864" s="25"/>
      <c r="Y864" s="25"/>
      <c r="Z864" s="22"/>
      <c r="AA864" s="22"/>
      <c r="AB864" s="22"/>
      <c r="AC864" s="22"/>
      <c r="AD864" s="22"/>
      <c r="AE864" s="22"/>
      <c r="AF864" s="25"/>
      <c r="AG864" s="22"/>
      <c r="AH864" s="22"/>
      <c r="AI864" s="22"/>
      <c r="AJ864" s="22"/>
      <c r="AK864" s="22"/>
      <c r="AL864" s="22"/>
      <c r="AM864" s="22"/>
      <c r="AN864" s="25"/>
      <c r="AO864" s="22"/>
      <c r="AP864" s="22"/>
      <c r="AQ864" s="22"/>
      <c r="AR864" s="22"/>
      <c r="AS864" s="22"/>
      <c r="AT864" s="22"/>
      <c r="AU864" s="22"/>
      <c r="AV864" s="25"/>
      <c r="AW864" s="25"/>
      <c r="AX864" s="25"/>
      <c r="AY864" s="25"/>
      <c r="AZ864" s="25"/>
      <c r="BA864" s="25"/>
      <c r="BB864" s="25"/>
      <c r="BC864" s="25"/>
      <c r="BD864" s="25"/>
      <c r="BE864" s="25"/>
      <c r="BF864" s="25"/>
      <c r="BG864" s="25"/>
      <c r="BH864" s="25"/>
      <c r="BI864" s="25"/>
      <c r="BJ864" s="25"/>
      <c r="BK864" s="25"/>
      <c r="BL864" s="25"/>
    </row>
    <row r="865" spans="1:64" s="21" customFormat="1" ht="18.600000000000001" customHeight="1" x14ac:dyDescent="0.25">
      <c r="A865" s="22"/>
      <c r="B865" s="22"/>
      <c r="C865" s="22"/>
      <c r="D865" s="23"/>
      <c r="E865" s="26"/>
      <c r="F865" s="25"/>
      <c r="G865" s="25"/>
      <c r="H865" s="25"/>
      <c r="I865" s="25"/>
      <c r="J865" s="22"/>
      <c r="K865" s="25"/>
      <c r="L865" s="25"/>
      <c r="M865" s="25"/>
      <c r="N865" s="25"/>
      <c r="O865" s="22"/>
      <c r="P865" s="22"/>
      <c r="Q865" s="22"/>
      <c r="R865" s="22"/>
      <c r="S865" s="25"/>
      <c r="T865" s="25"/>
      <c r="U865" s="25"/>
      <c r="V865" s="25"/>
      <c r="W865" s="25"/>
      <c r="X865" s="25"/>
      <c r="Y865" s="25"/>
      <c r="Z865" s="22"/>
      <c r="AA865" s="22"/>
      <c r="AB865" s="22"/>
      <c r="AC865" s="22"/>
      <c r="AD865" s="22"/>
      <c r="AE865" s="22"/>
      <c r="AF865" s="25"/>
      <c r="AG865" s="22"/>
      <c r="AH865" s="22"/>
      <c r="AI865" s="22"/>
      <c r="AJ865" s="22"/>
      <c r="AK865" s="22"/>
      <c r="AL865" s="22"/>
      <c r="AM865" s="22"/>
      <c r="AN865" s="25"/>
      <c r="AO865" s="22"/>
      <c r="AP865" s="22"/>
      <c r="AQ865" s="22"/>
      <c r="AR865" s="22"/>
      <c r="AS865" s="22"/>
      <c r="AT865" s="22"/>
      <c r="AU865" s="22"/>
      <c r="AV865" s="25"/>
      <c r="AW865" s="25"/>
      <c r="AX865" s="25"/>
      <c r="AY865" s="25"/>
      <c r="AZ865" s="25"/>
      <c r="BA865" s="25"/>
      <c r="BB865" s="25"/>
      <c r="BC865" s="25"/>
      <c r="BD865" s="25"/>
      <c r="BE865" s="25"/>
      <c r="BF865" s="25"/>
      <c r="BG865" s="25"/>
      <c r="BH865" s="25"/>
      <c r="BI865" s="25"/>
      <c r="BJ865" s="25"/>
      <c r="BK865" s="25"/>
      <c r="BL865" s="25"/>
    </row>
    <row r="866" spans="1:64" s="21" customFormat="1" ht="18.600000000000001" customHeight="1" x14ac:dyDescent="0.25">
      <c r="A866" s="22"/>
      <c r="B866" s="22"/>
      <c r="C866" s="22"/>
      <c r="D866" s="23"/>
      <c r="E866" s="26"/>
      <c r="F866" s="25"/>
      <c r="G866" s="25"/>
      <c r="H866" s="25"/>
      <c r="I866" s="25"/>
      <c r="J866" s="22"/>
      <c r="K866" s="25"/>
      <c r="L866" s="25"/>
      <c r="M866" s="25"/>
      <c r="N866" s="25"/>
      <c r="O866" s="22"/>
      <c r="P866" s="22"/>
      <c r="Q866" s="22"/>
      <c r="R866" s="22"/>
      <c r="S866" s="25"/>
      <c r="T866" s="25"/>
      <c r="U866" s="25"/>
      <c r="V866" s="25"/>
      <c r="W866" s="25"/>
      <c r="X866" s="25"/>
      <c r="Y866" s="25"/>
      <c r="Z866" s="22"/>
      <c r="AA866" s="22"/>
      <c r="AB866" s="22"/>
      <c r="AC866" s="22"/>
      <c r="AD866" s="22"/>
      <c r="AE866" s="22"/>
      <c r="AF866" s="25"/>
      <c r="AG866" s="22"/>
      <c r="AH866" s="22"/>
      <c r="AI866" s="22"/>
      <c r="AJ866" s="22"/>
      <c r="AK866" s="22"/>
      <c r="AL866" s="22"/>
      <c r="AM866" s="22"/>
      <c r="AN866" s="25"/>
      <c r="AO866" s="22"/>
      <c r="AP866" s="22"/>
      <c r="AQ866" s="22"/>
      <c r="AR866" s="22"/>
      <c r="AS866" s="22"/>
      <c r="AT866" s="22"/>
      <c r="AU866" s="22"/>
      <c r="AV866" s="25"/>
      <c r="AW866" s="25"/>
      <c r="AX866" s="25"/>
      <c r="AY866" s="25"/>
      <c r="AZ866" s="25"/>
      <c r="BA866" s="25"/>
      <c r="BB866" s="25"/>
      <c r="BC866" s="25"/>
      <c r="BD866" s="25"/>
      <c r="BE866" s="25"/>
      <c r="BF866" s="25"/>
      <c r="BG866" s="25"/>
      <c r="BH866" s="25"/>
      <c r="BI866" s="25"/>
      <c r="BJ866" s="25"/>
      <c r="BK866" s="25"/>
      <c r="BL866" s="25"/>
    </row>
    <row r="867" spans="1:64" s="21" customFormat="1" ht="18.600000000000001" customHeight="1" x14ac:dyDescent="0.25">
      <c r="A867" s="22"/>
      <c r="B867" s="22"/>
      <c r="C867" s="22"/>
      <c r="D867" s="23"/>
      <c r="E867" s="26"/>
      <c r="F867" s="25"/>
      <c r="G867" s="25"/>
      <c r="H867" s="25"/>
      <c r="I867" s="25"/>
      <c r="J867" s="22"/>
      <c r="K867" s="25"/>
      <c r="L867" s="25"/>
      <c r="M867" s="25"/>
      <c r="N867" s="25"/>
      <c r="O867" s="22"/>
      <c r="P867" s="22"/>
      <c r="Q867" s="22"/>
      <c r="R867" s="22"/>
      <c r="S867" s="25"/>
      <c r="T867" s="25"/>
      <c r="U867" s="25"/>
      <c r="V867" s="25"/>
      <c r="W867" s="25"/>
      <c r="X867" s="25"/>
      <c r="Y867" s="25"/>
      <c r="Z867" s="22"/>
      <c r="AA867" s="22"/>
      <c r="AB867" s="22"/>
      <c r="AC867" s="22"/>
      <c r="AD867" s="22"/>
      <c r="AE867" s="22"/>
      <c r="AF867" s="25"/>
      <c r="AG867" s="22"/>
      <c r="AH867" s="22"/>
      <c r="AI867" s="22"/>
      <c r="AJ867" s="22"/>
      <c r="AK867" s="22"/>
      <c r="AL867" s="22"/>
      <c r="AM867" s="22"/>
      <c r="AN867" s="25"/>
      <c r="AO867" s="22"/>
      <c r="AP867" s="22"/>
      <c r="AQ867" s="22"/>
      <c r="AR867" s="22"/>
      <c r="AS867" s="22"/>
      <c r="AT867" s="22"/>
      <c r="AU867" s="22"/>
      <c r="AV867" s="25"/>
      <c r="AW867" s="25"/>
      <c r="AX867" s="25"/>
      <c r="AY867" s="25"/>
      <c r="AZ867" s="25"/>
      <c r="BA867" s="25"/>
      <c r="BB867" s="25"/>
      <c r="BC867" s="25"/>
      <c r="BD867" s="25"/>
      <c r="BE867" s="25"/>
      <c r="BF867" s="25"/>
      <c r="BG867" s="25"/>
      <c r="BH867" s="25"/>
      <c r="BI867" s="25"/>
      <c r="BJ867" s="25"/>
      <c r="BK867" s="25"/>
      <c r="BL867" s="25"/>
    </row>
    <row r="868" spans="1:64" s="21" customFormat="1" ht="18.600000000000001" customHeight="1" x14ac:dyDescent="0.25">
      <c r="A868" s="22"/>
      <c r="B868" s="22"/>
      <c r="C868" s="22"/>
      <c r="D868" s="23"/>
      <c r="E868" s="26"/>
      <c r="F868" s="25"/>
      <c r="G868" s="25"/>
      <c r="H868" s="25"/>
      <c r="I868" s="25"/>
      <c r="J868" s="22"/>
      <c r="K868" s="25"/>
      <c r="L868" s="25"/>
      <c r="M868" s="25"/>
      <c r="N868" s="25"/>
      <c r="O868" s="22"/>
      <c r="P868" s="22"/>
      <c r="Q868" s="22"/>
      <c r="R868" s="22"/>
      <c r="S868" s="25"/>
      <c r="T868" s="25"/>
      <c r="U868" s="25"/>
      <c r="V868" s="25"/>
      <c r="W868" s="25"/>
      <c r="X868" s="25"/>
      <c r="Y868" s="25"/>
      <c r="Z868" s="22"/>
      <c r="AA868" s="22"/>
      <c r="AB868" s="22"/>
      <c r="AC868" s="22"/>
      <c r="AD868" s="22"/>
      <c r="AE868" s="22"/>
      <c r="AF868" s="25"/>
      <c r="AG868" s="22"/>
      <c r="AH868" s="22"/>
      <c r="AI868" s="22"/>
      <c r="AJ868" s="22"/>
      <c r="AK868" s="22"/>
      <c r="AL868" s="22"/>
      <c r="AM868" s="22"/>
      <c r="AN868" s="25"/>
      <c r="AO868" s="22"/>
      <c r="AP868" s="22"/>
      <c r="AQ868" s="22"/>
      <c r="AR868" s="22"/>
      <c r="AS868" s="22"/>
      <c r="AT868" s="22"/>
      <c r="AU868" s="22"/>
      <c r="AV868" s="25"/>
      <c r="AW868" s="25"/>
      <c r="AX868" s="25"/>
      <c r="AY868" s="25"/>
      <c r="AZ868" s="25"/>
      <c r="BA868" s="25"/>
      <c r="BB868" s="25"/>
      <c r="BC868" s="25"/>
      <c r="BD868" s="25"/>
      <c r="BE868" s="25"/>
      <c r="BF868" s="25"/>
      <c r="BG868" s="25"/>
      <c r="BH868" s="25"/>
      <c r="BI868" s="25"/>
      <c r="BJ868" s="25"/>
      <c r="BK868" s="25"/>
      <c r="BL868" s="25"/>
    </row>
    <row r="869" spans="1:64" s="21" customFormat="1" ht="18.600000000000001" customHeight="1" x14ac:dyDescent="0.25">
      <c r="A869" s="22"/>
      <c r="B869" s="22"/>
      <c r="C869" s="22"/>
      <c r="D869" s="23"/>
      <c r="E869" s="26"/>
      <c r="F869" s="25"/>
      <c r="G869" s="25"/>
      <c r="H869" s="25"/>
      <c r="I869" s="25"/>
      <c r="J869" s="22"/>
      <c r="K869" s="25"/>
      <c r="L869" s="25"/>
      <c r="M869" s="25"/>
      <c r="N869" s="25"/>
      <c r="O869" s="22"/>
      <c r="P869" s="22"/>
      <c r="Q869" s="22"/>
      <c r="R869" s="22"/>
      <c r="S869" s="25"/>
      <c r="T869" s="25"/>
      <c r="U869" s="25"/>
      <c r="V869" s="25"/>
      <c r="W869" s="25"/>
      <c r="X869" s="25"/>
      <c r="Y869" s="25"/>
      <c r="Z869" s="22"/>
      <c r="AA869" s="22"/>
      <c r="AB869" s="22"/>
      <c r="AC869" s="22"/>
      <c r="AD869" s="22"/>
      <c r="AE869" s="22"/>
      <c r="AF869" s="25"/>
      <c r="AG869" s="22"/>
      <c r="AH869" s="22"/>
      <c r="AI869" s="22"/>
      <c r="AJ869" s="22"/>
      <c r="AK869" s="22"/>
      <c r="AL869" s="22"/>
      <c r="AM869" s="22"/>
      <c r="AN869" s="25"/>
      <c r="AO869" s="22"/>
      <c r="AP869" s="22"/>
      <c r="AQ869" s="22"/>
      <c r="AR869" s="22"/>
      <c r="AS869" s="22"/>
      <c r="AT869" s="22"/>
      <c r="AU869" s="22"/>
      <c r="AV869" s="25"/>
      <c r="AW869" s="25"/>
      <c r="AX869" s="25"/>
      <c r="AY869" s="25"/>
      <c r="AZ869" s="25"/>
      <c r="BA869" s="25"/>
      <c r="BB869" s="25"/>
      <c r="BC869" s="25"/>
      <c r="BD869" s="25"/>
      <c r="BE869" s="25"/>
      <c r="BF869" s="25"/>
      <c r="BG869" s="25"/>
      <c r="BH869" s="25"/>
      <c r="BI869" s="25"/>
      <c r="BJ869" s="25"/>
      <c r="BK869" s="25"/>
      <c r="BL869" s="25"/>
    </row>
    <row r="870" spans="1:64" s="21" customFormat="1" ht="18.600000000000001" customHeight="1" x14ac:dyDescent="0.25">
      <c r="A870" s="22"/>
      <c r="B870" s="22"/>
      <c r="C870" s="22"/>
      <c r="D870" s="23"/>
      <c r="E870" s="26"/>
      <c r="F870" s="25"/>
      <c r="G870" s="25"/>
      <c r="H870" s="25"/>
      <c r="I870" s="25"/>
      <c r="J870" s="22"/>
      <c r="K870" s="25"/>
      <c r="L870" s="25"/>
      <c r="M870" s="25"/>
      <c r="N870" s="25"/>
      <c r="O870" s="22"/>
      <c r="P870" s="22"/>
      <c r="Q870" s="22"/>
      <c r="R870" s="22"/>
      <c r="S870" s="25"/>
      <c r="T870" s="25"/>
      <c r="U870" s="25"/>
      <c r="V870" s="25"/>
      <c r="W870" s="25"/>
      <c r="X870" s="25"/>
      <c r="Y870" s="25"/>
      <c r="Z870" s="22"/>
      <c r="AA870" s="22"/>
      <c r="AB870" s="22"/>
      <c r="AC870" s="22"/>
      <c r="AD870" s="22"/>
      <c r="AE870" s="22"/>
      <c r="AF870" s="25"/>
      <c r="AG870" s="22"/>
      <c r="AH870" s="22"/>
      <c r="AI870" s="22"/>
      <c r="AJ870" s="22"/>
      <c r="AK870" s="22"/>
      <c r="AL870" s="22"/>
      <c r="AM870" s="22"/>
      <c r="AN870" s="25"/>
      <c r="AO870" s="22"/>
      <c r="AP870" s="22"/>
      <c r="AQ870" s="22"/>
      <c r="AR870" s="22"/>
      <c r="AS870" s="22"/>
      <c r="AT870" s="22"/>
      <c r="AU870" s="22"/>
      <c r="AV870" s="25"/>
      <c r="AW870" s="25"/>
      <c r="AX870" s="25"/>
      <c r="AY870" s="25"/>
      <c r="AZ870" s="25"/>
      <c r="BA870" s="25"/>
      <c r="BB870" s="25"/>
      <c r="BC870" s="25"/>
      <c r="BD870" s="25"/>
      <c r="BE870" s="25"/>
      <c r="BF870" s="25"/>
      <c r="BG870" s="25"/>
      <c r="BH870" s="25"/>
      <c r="BI870" s="25"/>
      <c r="BJ870" s="25"/>
      <c r="BK870" s="25"/>
      <c r="BL870" s="25"/>
    </row>
    <row r="871" spans="1:64" s="21" customFormat="1" ht="18.600000000000001" customHeight="1" x14ac:dyDescent="0.25">
      <c r="A871" s="22"/>
      <c r="B871" s="22"/>
      <c r="C871" s="22"/>
      <c r="D871" s="23"/>
      <c r="E871" s="26"/>
      <c r="F871" s="25"/>
      <c r="G871" s="25"/>
      <c r="H871" s="25"/>
      <c r="I871" s="25"/>
      <c r="J871" s="22"/>
      <c r="K871" s="25"/>
      <c r="L871" s="25"/>
      <c r="M871" s="25"/>
      <c r="N871" s="25"/>
      <c r="O871" s="22"/>
      <c r="P871" s="22"/>
      <c r="Q871" s="22"/>
      <c r="R871" s="22"/>
      <c r="S871" s="25"/>
      <c r="T871" s="25"/>
      <c r="U871" s="25"/>
      <c r="V871" s="25"/>
      <c r="W871" s="25"/>
      <c r="X871" s="25"/>
      <c r="Y871" s="25"/>
      <c r="Z871" s="22"/>
      <c r="AA871" s="22"/>
      <c r="AB871" s="22"/>
      <c r="AC871" s="22"/>
      <c r="AD871" s="22"/>
      <c r="AE871" s="22"/>
      <c r="AF871" s="25"/>
      <c r="AG871" s="22"/>
      <c r="AH871" s="22"/>
      <c r="AI871" s="22"/>
      <c r="AJ871" s="22"/>
      <c r="AK871" s="22"/>
      <c r="AL871" s="22"/>
      <c r="AM871" s="22"/>
      <c r="AN871" s="25"/>
      <c r="AO871" s="22"/>
      <c r="AP871" s="22"/>
      <c r="AQ871" s="22"/>
      <c r="AR871" s="22"/>
      <c r="AS871" s="22"/>
      <c r="AT871" s="22"/>
      <c r="AU871" s="22"/>
      <c r="AV871" s="25"/>
      <c r="AW871" s="25"/>
      <c r="AX871" s="25"/>
      <c r="AY871" s="25"/>
      <c r="AZ871" s="25"/>
      <c r="BA871" s="25"/>
      <c r="BB871" s="25"/>
      <c r="BC871" s="25"/>
      <c r="BD871" s="25"/>
      <c r="BE871" s="25"/>
      <c r="BF871" s="25"/>
      <c r="BG871" s="25"/>
      <c r="BH871" s="25"/>
      <c r="BI871" s="25"/>
      <c r="BJ871" s="25"/>
      <c r="BK871" s="25"/>
      <c r="BL871" s="25"/>
    </row>
    <row r="872" spans="1:64" s="21" customFormat="1" ht="18.600000000000001" customHeight="1" x14ac:dyDescent="0.25">
      <c r="A872" s="22"/>
      <c r="B872" s="22"/>
      <c r="C872" s="22"/>
      <c r="D872" s="23"/>
      <c r="E872" s="26"/>
      <c r="F872" s="25"/>
      <c r="G872" s="25"/>
      <c r="H872" s="25"/>
      <c r="I872" s="25"/>
      <c r="J872" s="22"/>
      <c r="K872" s="25"/>
      <c r="L872" s="25"/>
      <c r="M872" s="25"/>
      <c r="N872" s="25"/>
      <c r="O872" s="22"/>
      <c r="P872" s="22"/>
      <c r="Q872" s="22"/>
      <c r="R872" s="22"/>
      <c r="S872" s="25"/>
      <c r="T872" s="25"/>
      <c r="U872" s="25"/>
      <c r="V872" s="25"/>
      <c r="W872" s="25"/>
      <c r="X872" s="25"/>
      <c r="Y872" s="25"/>
      <c r="Z872" s="22"/>
      <c r="AA872" s="22"/>
      <c r="AB872" s="22"/>
      <c r="AC872" s="22"/>
      <c r="AD872" s="22"/>
      <c r="AE872" s="22"/>
      <c r="AF872" s="25"/>
      <c r="AG872" s="22"/>
      <c r="AH872" s="22"/>
      <c r="AI872" s="22"/>
      <c r="AJ872" s="22"/>
      <c r="AK872" s="22"/>
      <c r="AL872" s="22"/>
      <c r="AM872" s="22"/>
      <c r="AN872" s="25"/>
      <c r="AO872" s="22"/>
      <c r="AP872" s="22"/>
      <c r="AQ872" s="22"/>
      <c r="AR872" s="22"/>
      <c r="AS872" s="22"/>
      <c r="AT872" s="22"/>
      <c r="AU872" s="22"/>
      <c r="AV872" s="25"/>
      <c r="AW872" s="25"/>
      <c r="AX872" s="25"/>
      <c r="AY872" s="25"/>
      <c r="AZ872" s="25"/>
      <c r="BA872" s="25"/>
      <c r="BB872" s="25"/>
      <c r="BC872" s="25"/>
      <c r="BD872" s="25"/>
      <c r="BE872" s="25"/>
      <c r="BF872" s="25"/>
      <c r="BG872" s="25"/>
      <c r="BH872" s="25"/>
      <c r="BI872" s="25"/>
      <c r="BJ872" s="25"/>
      <c r="BK872" s="25"/>
      <c r="BL872" s="25"/>
    </row>
    <row r="873" spans="1:64" s="21" customFormat="1" ht="18.600000000000001" customHeight="1" x14ac:dyDescent="0.25">
      <c r="A873" s="22"/>
      <c r="B873" s="22"/>
      <c r="C873" s="22"/>
      <c r="D873" s="23"/>
      <c r="E873" s="26"/>
      <c r="F873" s="25"/>
      <c r="G873" s="25"/>
      <c r="H873" s="25"/>
      <c r="I873" s="25"/>
      <c r="J873" s="22"/>
      <c r="K873" s="25"/>
      <c r="L873" s="25"/>
      <c r="M873" s="25"/>
      <c r="N873" s="25"/>
      <c r="O873" s="22"/>
      <c r="P873" s="22"/>
      <c r="Q873" s="22"/>
      <c r="R873" s="22"/>
      <c r="S873" s="25"/>
      <c r="T873" s="25"/>
      <c r="U873" s="25"/>
      <c r="V873" s="25"/>
      <c r="W873" s="25"/>
      <c r="X873" s="25"/>
      <c r="Y873" s="25"/>
      <c r="Z873" s="22"/>
      <c r="AA873" s="22"/>
      <c r="AB873" s="22"/>
      <c r="AC873" s="22"/>
      <c r="AD873" s="22"/>
      <c r="AE873" s="22"/>
      <c r="AF873" s="25"/>
      <c r="AG873" s="22"/>
      <c r="AH873" s="22"/>
      <c r="AI873" s="22"/>
      <c r="AJ873" s="22"/>
      <c r="AK873" s="22"/>
      <c r="AL873" s="22"/>
      <c r="AM873" s="22"/>
      <c r="AN873" s="25"/>
      <c r="AO873" s="22"/>
      <c r="AP873" s="22"/>
      <c r="AQ873" s="22"/>
      <c r="AR873" s="22"/>
      <c r="AS873" s="22"/>
      <c r="AT873" s="22"/>
      <c r="AU873" s="22"/>
      <c r="AV873" s="25"/>
      <c r="AW873" s="25"/>
      <c r="AX873" s="25"/>
      <c r="AY873" s="25"/>
      <c r="AZ873" s="25"/>
      <c r="BA873" s="25"/>
      <c r="BB873" s="25"/>
      <c r="BC873" s="25"/>
      <c r="BD873" s="25"/>
      <c r="BE873" s="25"/>
      <c r="BF873" s="25"/>
      <c r="BG873" s="25"/>
      <c r="BH873" s="25"/>
      <c r="BI873" s="25"/>
      <c r="BJ873" s="25"/>
      <c r="BK873" s="25"/>
      <c r="BL873" s="25"/>
    </row>
    <row r="874" spans="1:64" s="21" customFormat="1" ht="18.600000000000001" customHeight="1" x14ac:dyDescent="0.25">
      <c r="A874" s="22"/>
      <c r="B874" s="22"/>
      <c r="C874" s="22"/>
      <c r="D874" s="23"/>
      <c r="E874" s="26"/>
      <c r="F874" s="25"/>
      <c r="G874" s="25"/>
      <c r="H874" s="25"/>
      <c r="I874" s="25"/>
      <c r="J874" s="22"/>
      <c r="K874" s="25"/>
      <c r="L874" s="25"/>
      <c r="M874" s="25"/>
      <c r="N874" s="25"/>
      <c r="O874" s="22"/>
      <c r="P874" s="22"/>
      <c r="Q874" s="22"/>
      <c r="R874" s="22"/>
      <c r="S874" s="25"/>
      <c r="T874" s="25"/>
      <c r="U874" s="25"/>
      <c r="V874" s="25"/>
      <c r="W874" s="25"/>
      <c r="X874" s="25"/>
      <c r="Y874" s="25"/>
      <c r="Z874" s="22"/>
      <c r="AA874" s="22"/>
      <c r="AB874" s="22"/>
      <c r="AC874" s="22"/>
      <c r="AD874" s="22"/>
      <c r="AE874" s="22"/>
      <c r="AF874" s="25"/>
      <c r="AG874" s="22"/>
      <c r="AH874" s="22"/>
      <c r="AI874" s="22"/>
      <c r="AJ874" s="22"/>
      <c r="AK874" s="22"/>
      <c r="AL874" s="22"/>
      <c r="AM874" s="22"/>
      <c r="AN874" s="25"/>
      <c r="AO874" s="22"/>
      <c r="AP874" s="22"/>
      <c r="AQ874" s="22"/>
      <c r="AR874" s="22"/>
      <c r="AS874" s="22"/>
      <c r="AT874" s="22"/>
      <c r="AU874" s="22"/>
      <c r="AV874" s="25"/>
      <c r="AW874" s="25"/>
      <c r="AX874" s="25"/>
      <c r="AY874" s="25"/>
      <c r="AZ874" s="25"/>
      <c r="BA874" s="25"/>
      <c r="BB874" s="25"/>
      <c r="BC874" s="25"/>
      <c r="BD874" s="25"/>
      <c r="BE874" s="25"/>
      <c r="BF874" s="25"/>
      <c r="BG874" s="25"/>
      <c r="BH874" s="25"/>
      <c r="BI874" s="25"/>
      <c r="BJ874" s="25"/>
      <c r="BK874" s="25"/>
      <c r="BL874" s="25"/>
    </row>
    <row r="875" spans="1:64" s="21" customFormat="1" ht="18.600000000000001" customHeight="1" x14ac:dyDescent="0.25">
      <c r="A875" s="22"/>
      <c r="B875" s="22"/>
      <c r="C875" s="22"/>
      <c r="D875" s="23"/>
      <c r="E875" s="26"/>
      <c r="F875" s="25"/>
      <c r="G875" s="25"/>
      <c r="H875" s="25"/>
      <c r="I875" s="25"/>
      <c r="J875" s="22"/>
      <c r="K875" s="25"/>
      <c r="L875" s="25"/>
      <c r="M875" s="25"/>
      <c r="N875" s="25"/>
      <c r="O875" s="22"/>
      <c r="P875" s="22"/>
      <c r="Q875" s="22"/>
      <c r="R875" s="22"/>
      <c r="S875" s="25"/>
      <c r="T875" s="25"/>
      <c r="U875" s="25"/>
      <c r="V875" s="25"/>
      <c r="W875" s="25"/>
      <c r="X875" s="25"/>
      <c r="Y875" s="25"/>
      <c r="Z875" s="22"/>
      <c r="AA875" s="22"/>
      <c r="AB875" s="22"/>
      <c r="AC875" s="22"/>
      <c r="AD875" s="22"/>
      <c r="AE875" s="22"/>
      <c r="AF875" s="25"/>
      <c r="AG875" s="22"/>
      <c r="AH875" s="22"/>
      <c r="AI875" s="22"/>
      <c r="AJ875" s="22"/>
      <c r="AK875" s="22"/>
      <c r="AL875" s="22"/>
      <c r="AM875" s="22"/>
      <c r="AN875" s="25"/>
      <c r="AO875" s="22"/>
      <c r="AP875" s="22"/>
      <c r="AQ875" s="22"/>
      <c r="AR875" s="22"/>
      <c r="AS875" s="22"/>
      <c r="AT875" s="22"/>
      <c r="AU875" s="22"/>
      <c r="AV875" s="25"/>
      <c r="AW875" s="25"/>
      <c r="AX875" s="25"/>
      <c r="AY875" s="25"/>
      <c r="AZ875" s="25"/>
      <c r="BA875" s="25"/>
      <c r="BB875" s="25"/>
      <c r="BC875" s="25"/>
      <c r="BD875" s="25"/>
      <c r="BE875" s="25"/>
      <c r="BF875" s="25"/>
      <c r="BG875" s="25"/>
      <c r="BH875" s="25"/>
      <c r="BI875" s="25"/>
      <c r="BJ875" s="25"/>
      <c r="BK875" s="25"/>
      <c r="BL875" s="25"/>
    </row>
    <row r="876" spans="1:64" s="21" customFormat="1" ht="18.600000000000001" customHeight="1" x14ac:dyDescent="0.25">
      <c r="A876" s="22"/>
      <c r="B876" s="22"/>
      <c r="C876" s="22"/>
      <c r="D876" s="23"/>
      <c r="E876" s="26"/>
      <c r="F876" s="25"/>
      <c r="G876" s="25"/>
      <c r="H876" s="25"/>
      <c r="I876" s="25"/>
      <c r="J876" s="22"/>
      <c r="K876" s="25"/>
      <c r="L876" s="25"/>
      <c r="M876" s="25"/>
      <c r="N876" s="25"/>
      <c r="O876" s="22"/>
      <c r="P876" s="22"/>
      <c r="Q876" s="22"/>
      <c r="R876" s="22"/>
      <c r="S876" s="25"/>
      <c r="T876" s="25"/>
      <c r="U876" s="25"/>
      <c r="V876" s="25"/>
      <c r="W876" s="25"/>
      <c r="X876" s="25"/>
      <c r="Y876" s="25"/>
      <c r="Z876" s="22"/>
      <c r="AA876" s="22"/>
      <c r="AB876" s="22"/>
      <c r="AC876" s="22"/>
      <c r="AD876" s="22"/>
      <c r="AE876" s="22"/>
      <c r="AF876" s="25"/>
      <c r="AG876" s="22"/>
      <c r="AH876" s="22"/>
      <c r="AI876" s="22"/>
      <c r="AJ876" s="22"/>
      <c r="AK876" s="22"/>
      <c r="AL876" s="22"/>
      <c r="AM876" s="22"/>
      <c r="AN876" s="25"/>
      <c r="AO876" s="22"/>
      <c r="AP876" s="22"/>
      <c r="AQ876" s="22"/>
      <c r="AR876" s="22"/>
      <c r="AS876" s="22"/>
      <c r="AT876" s="22"/>
      <c r="AU876" s="22"/>
      <c r="AV876" s="25"/>
      <c r="AW876" s="25"/>
      <c r="AX876" s="25"/>
      <c r="AY876" s="25"/>
      <c r="AZ876" s="25"/>
      <c r="BA876" s="25"/>
      <c r="BB876" s="25"/>
      <c r="BC876" s="25"/>
      <c r="BD876" s="25"/>
      <c r="BE876" s="25"/>
      <c r="BF876" s="25"/>
      <c r="BG876" s="25"/>
      <c r="BH876" s="25"/>
      <c r="BI876" s="25"/>
      <c r="BJ876" s="25"/>
      <c r="BK876" s="25"/>
      <c r="BL876" s="25"/>
    </row>
    <row r="877" spans="1:64" s="21" customFormat="1" ht="18.600000000000001" customHeight="1" x14ac:dyDescent="0.25">
      <c r="A877" s="22"/>
      <c r="B877" s="22"/>
      <c r="C877" s="22"/>
      <c r="D877" s="23"/>
      <c r="E877" s="26"/>
      <c r="F877" s="25"/>
      <c r="G877" s="25"/>
      <c r="H877" s="25"/>
      <c r="I877" s="25"/>
      <c r="J877" s="22"/>
      <c r="K877" s="25"/>
      <c r="L877" s="25"/>
      <c r="M877" s="25"/>
      <c r="N877" s="25"/>
      <c r="O877" s="22"/>
      <c r="P877" s="22"/>
      <c r="Q877" s="22"/>
      <c r="R877" s="22"/>
      <c r="S877" s="25"/>
      <c r="T877" s="25"/>
      <c r="U877" s="25"/>
      <c r="V877" s="25"/>
      <c r="W877" s="25"/>
      <c r="X877" s="25"/>
      <c r="Y877" s="25"/>
      <c r="Z877" s="22"/>
      <c r="AA877" s="22"/>
      <c r="AB877" s="22"/>
      <c r="AC877" s="22"/>
      <c r="AD877" s="22"/>
      <c r="AE877" s="22"/>
      <c r="AF877" s="25"/>
      <c r="AG877" s="22"/>
      <c r="AH877" s="22"/>
      <c r="AI877" s="22"/>
      <c r="AJ877" s="22"/>
      <c r="AK877" s="22"/>
      <c r="AL877" s="22"/>
      <c r="AM877" s="22"/>
      <c r="AN877" s="25"/>
      <c r="AO877" s="22"/>
      <c r="AP877" s="22"/>
      <c r="AQ877" s="22"/>
      <c r="AR877" s="22"/>
      <c r="AS877" s="22"/>
      <c r="AT877" s="22"/>
      <c r="AU877" s="22"/>
      <c r="AV877" s="25"/>
      <c r="AW877" s="25"/>
      <c r="AX877" s="25"/>
      <c r="AY877" s="25"/>
      <c r="AZ877" s="25"/>
      <c r="BA877" s="25"/>
      <c r="BB877" s="25"/>
      <c r="BC877" s="25"/>
      <c r="BD877" s="25"/>
      <c r="BE877" s="25"/>
      <c r="BF877" s="25"/>
      <c r="BG877" s="25"/>
      <c r="BH877" s="25"/>
      <c r="BI877" s="25"/>
      <c r="BJ877" s="25"/>
      <c r="BK877" s="25"/>
      <c r="BL877" s="25"/>
    </row>
    <row r="878" spans="1:64" s="21" customFormat="1" ht="18.600000000000001" customHeight="1" x14ac:dyDescent="0.25">
      <c r="A878" s="22"/>
      <c r="B878" s="22"/>
      <c r="C878" s="22"/>
      <c r="D878" s="23"/>
      <c r="E878" s="26"/>
      <c r="F878" s="25"/>
      <c r="G878" s="25"/>
      <c r="H878" s="25"/>
      <c r="I878" s="25"/>
      <c r="J878" s="22"/>
      <c r="K878" s="25"/>
      <c r="L878" s="25"/>
      <c r="M878" s="25"/>
      <c r="N878" s="25"/>
      <c r="O878" s="22"/>
      <c r="P878" s="22"/>
      <c r="Q878" s="22"/>
      <c r="R878" s="22"/>
      <c r="S878" s="25"/>
      <c r="T878" s="25"/>
      <c r="U878" s="25"/>
      <c r="V878" s="25"/>
      <c r="W878" s="25"/>
      <c r="X878" s="25"/>
      <c r="Y878" s="25"/>
      <c r="Z878" s="22"/>
      <c r="AA878" s="22"/>
      <c r="AB878" s="22"/>
      <c r="AC878" s="22"/>
      <c r="AD878" s="22"/>
      <c r="AE878" s="22"/>
      <c r="AF878" s="25"/>
      <c r="AG878" s="22"/>
      <c r="AH878" s="22"/>
      <c r="AI878" s="22"/>
      <c r="AJ878" s="22"/>
      <c r="AK878" s="22"/>
      <c r="AL878" s="22"/>
      <c r="AM878" s="22"/>
      <c r="AN878" s="25"/>
      <c r="AO878" s="22"/>
      <c r="AP878" s="22"/>
      <c r="AQ878" s="22"/>
      <c r="AR878" s="22"/>
      <c r="AS878" s="22"/>
      <c r="AT878" s="22"/>
      <c r="AU878" s="22"/>
      <c r="AV878" s="25"/>
      <c r="AW878" s="25"/>
      <c r="AX878" s="25"/>
      <c r="AY878" s="25"/>
      <c r="AZ878" s="25"/>
      <c r="BA878" s="25"/>
      <c r="BB878" s="25"/>
      <c r="BC878" s="25"/>
      <c r="BD878" s="25"/>
      <c r="BE878" s="25"/>
      <c r="BF878" s="25"/>
      <c r="BG878" s="25"/>
      <c r="BH878" s="25"/>
      <c r="BI878" s="25"/>
      <c r="BJ878" s="25"/>
      <c r="BK878" s="25"/>
      <c r="BL878" s="25"/>
    </row>
    <row r="879" spans="1:64" s="21" customFormat="1" ht="18.600000000000001" customHeight="1" x14ac:dyDescent="0.25">
      <c r="A879" s="22"/>
      <c r="B879" s="22"/>
      <c r="C879" s="22"/>
      <c r="D879" s="23"/>
      <c r="E879" s="26"/>
      <c r="F879" s="25"/>
      <c r="G879" s="25"/>
      <c r="H879" s="25"/>
      <c r="I879" s="25"/>
      <c r="J879" s="22"/>
      <c r="K879" s="25"/>
      <c r="L879" s="25"/>
      <c r="M879" s="25"/>
      <c r="N879" s="25"/>
      <c r="O879" s="22"/>
      <c r="P879" s="22"/>
      <c r="Q879" s="22"/>
      <c r="R879" s="22"/>
      <c r="S879" s="25"/>
      <c r="T879" s="25"/>
      <c r="U879" s="25"/>
      <c r="V879" s="25"/>
      <c r="W879" s="25"/>
      <c r="X879" s="25"/>
      <c r="Y879" s="25"/>
      <c r="Z879" s="22"/>
      <c r="AA879" s="22"/>
      <c r="AB879" s="22"/>
      <c r="AC879" s="22"/>
      <c r="AD879" s="22"/>
      <c r="AE879" s="22"/>
      <c r="AF879" s="25"/>
      <c r="AG879" s="22"/>
      <c r="AH879" s="22"/>
      <c r="AI879" s="22"/>
      <c r="AJ879" s="22"/>
      <c r="AK879" s="22"/>
      <c r="AL879" s="22"/>
      <c r="AM879" s="22"/>
      <c r="AN879" s="25"/>
      <c r="AO879" s="22"/>
      <c r="AP879" s="22"/>
      <c r="AQ879" s="22"/>
      <c r="AR879" s="22"/>
      <c r="AS879" s="22"/>
      <c r="AT879" s="22"/>
      <c r="AU879" s="22"/>
      <c r="AV879" s="25"/>
      <c r="AW879" s="25"/>
      <c r="AX879" s="25"/>
      <c r="AY879" s="25"/>
      <c r="AZ879" s="25"/>
      <c r="BA879" s="25"/>
      <c r="BB879" s="25"/>
      <c r="BC879" s="25"/>
      <c r="BD879" s="25"/>
      <c r="BE879" s="25"/>
      <c r="BF879" s="25"/>
      <c r="BG879" s="25"/>
      <c r="BH879" s="25"/>
      <c r="BI879" s="25"/>
      <c r="BJ879" s="25"/>
      <c r="BK879" s="25"/>
      <c r="BL879" s="25"/>
    </row>
    <row r="880" spans="1:64" s="21" customFormat="1" ht="18.600000000000001" customHeight="1" x14ac:dyDescent="0.25">
      <c r="A880" s="22"/>
      <c r="B880" s="22"/>
      <c r="C880" s="22"/>
      <c r="D880" s="23"/>
      <c r="E880" s="26"/>
      <c r="F880" s="25"/>
      <c r="G880" s="25"/>
      <c r="H880" s="25"/>
      <c r="I880" s="25"/>
      <c r="J880" s="22"/>
      <c r="K880" s="25"/>
      <c r="L880" s="25"/>
      <c r="M880" s="25"/>
      <c r="N880" s="25"/>
      <c r="O880" s="22"/>
      <c r="P880" s="22"/>
      <c r="Q880" s="22"/>
      <c r="R880" s="22"/>
      <c r="S880" s="25"/>
      <c r="T880" s="25"/>
      <c r="U880" s="25"/>
      <c r="V880" s="25"/>
      <c r="W880" s="25"/>
      <c r="X880" s="25"/>
      <c r="Y880" s="25"/>
      <c r="Z880" s="22"/>
      <c r="AA880" s="22"/>
      <c r="AB880" s="22"/>
      <c r="AC880" s="22"/>
      <c r="AD880" s="22"/>
      <c r="AE880" s="22"/>
      <c r="AF880" s="25"/>
      <c r="AG880" s="22"/>
      <c r="AH880" s="22"/>
      <c r="AI880" s="22"/>
      <c r="AJ880" s="22"/>
      <c r="AK880" s="22"/>
      <c r="AL880" s="22"/>
      <c r="AM880" s="22"/>
      <c r="AN880" s="25"/>
      <c r="AO880" s="22"/>
      <c r="AP880" s="22"/>
      <c r="AQ880" s="22"/>
      <c r="AR880" s="22"/>
      <c r="AS880" s="22"/>
      <c r="AT880" s="22"/>
      <c r="AU880" s="22"/>
      <c r="AV880" s="25"/>
      <c r="AW880" s="25"/>
      <c r="AX880" s="25"/>
      <c r="AY880" s="25"/>
      <c r="AZ880" s="25"/>
      <c r="BA880" s="25"/>
      <c r="BB880" s="25"/>
      <c r="BC880" s="25"/>
      <c r="BD880" s="25"/>
      <c r="BE880" s="25"/>
      <c r="BF880" s="25"/>
      <c r="BG880" s="25"/>
      <c r="BH880" s="25"/>
      <c r="BI880" s="25"/>
      <c r="BJ880" s="25"/>
      <c r="BK880" s="25"/>
      <c r="BL880" s="25"/>
    </row>
    <row r="881" spans="1:64" s="21" customFormat="1" ht="18.600000000000001" customHeight="1" x14ac:dyDescent="0.25">
      <c r="A881" s="22"/>
      <c r="B881" s="22"/>
      <c r="C881" s="22"/>
      <c r="D881" s="23"/>
      <c r="E881" s="26"/>
      <c r="F881" s="25"/>
      <c r="G881" s="25"/>
      <c r="H881" s="25"/>
      <c r="I881" s="25"/>
      <c r="J881" s="22"/>
      <c r="K881" s="25"/>
      <c r="L881" s="25"/>
      <c r="M881" s="25"/>
      <c r="N881" s="25"/>
      <c r="O881" s="22"/>
      <c r="P881" s="22"/>
      <c r="Q881" s="22"/>
      <c r="R881" s="22"/>
      <c r="S881" s="25"/>
      <c r="T881" s="25"/>
      <c r="U881" s="25"/>
      <c r="V881" s="25"/>
      <c r="W881" s="25"/>
      <c r="X881" s="25"/>
      <c r="Y881" s="25"/>
      <c r="Z881" s="22"/>
      <c r="AA881" s="22"/>
      <c r="AB881" s="22"/>
      <c r="AC881" s="22"/>
      <c r="AD881" s="22"/>
      <c r="AE881" s="22"/>
      <c r="AF881" s="25"/>
      <c r="AG881" s="22"/>
      <c r="AH881" s="22"/>
      <c r="AI881" s="22"/>
      <c r="AJ881" s="22"/>
      <c r="AK881" s="22"/>
      <c r="AL881" s="22"/>
      <c r="AM881" s="22"/>
      <c r="AN881" s="25"/>
      <c r="AO881" s="22"/>
      <c r="AP881" s="22"/>
      <c r="AQ881" s="22"/>
      <c r="AR881" s="22"/>
      <c r="AS881" s="22"/>
      <c r="AT881" s="22"/>
      <c r="AU881" s="22"/>
      <c r="AV881" s="25"/>
      <c r="AW881" s="25"/>
      <c r="AX881" s="25"/>
      <c r="AY881" s="25"/>
      <c r="AZ881" s="25"/>
      <c r="BA881" s="25"/>
      <c r="BB881" s="25"/>
      <c r="BC881" s="25"/>
      <c r="BD881" s="25"/>
      <c r="BE881" s="25"/>
      <c r="BF881" s="25"/>
      <c r="BG881" s="25"/>
      <c r="BH881" s="25"/>
      <c r="BI881" s="25"/>
      <c r="BJ881" s="25"/>
      <c r="BK881" s="25"/>
      <c r="BL881" s="25"/>
    </row>
    <row r="882" spans="1:64" s="21" customFormat="1" ht="18.600000000000001" customHeight="1" x14ac:dyDescent="0.25">
      <c r="A882" s="22"/>
      <c r="B882" s="22"/>
      <c r="C882" s="22"/>
      <c r="D882" s="23"/>
      <c r="E882" s="26"/>
      <c r="F882" s="25"/>
      <c r="G882" s="25"/>
      <c r="H882" s="25"/>
      <c r="I882" s="25"/>
      <c r="J882" s="22"/>
      <c r="K882" s="25"/>
      <c r="L882" s="25"/>
      <c r="M882" s="25"/>
      <c r="N882" s="25"/>
      <c r="O882" s="22"/>
      <c r="P882" s="22"/>
      <c r="Q882" s="22"/>
      <c r="R882" s="22"/>
      <c r="S882" s="25"/>
      <c r="T882" s="25"/>
      <c r="U882" s="25"/>
      <c r="V882" s="25"/>
      <c r="W882" s="25"/>
      <c r="X882" s="25"/>
      <c r="Y882" s="25"/>
      <c r="Z882" s="22"/>
      <c r="AA882" s="22"/>
      <c r="AB882" s="22"/>
      <c r="AC882" s="22"/>
      <c r="AD882" s="22"/>
      <c r="AE882" s="22"/>
      <c r="AF882" s="25"/>
      <c r="AG882" s="22"/>
      <c r="AH882" s="22"/>
      <c r="AI882" s="22"/>
      <c r="AJ882" s="22"/>
      <c r="AK882" s="22"/>
      <c r="AL882" s="22"/>
      <c r="AM882" s="22"/>
      <c r="AN882" s="25"/>
      <c r="AO882" s="22"/>
      <c r="AP882" s="22"/>
      <c r="AQ882" s="22"/>
      <c r="AR882" s="22"/>
      <c r="AS882" s="22"/>
      <c r="AT882" s="22"/>
      <c r="AU882" s="22"/>
      <c r="AV882" s="25"/>
      <c r="AW882" s="25"/>
      <c r="AX882" s="25"/>
      <c r="AY882" s="25"/>
      <c r="AZ882" s="25"/>
      <c r="BA882" s="25"/>
      <c r="BB882" s="25"/>
      <c r="BC882" s="25"/>
      <c r="BD882" s="25"/>
      <c r="BE882" s="25"/>
      <c r="BF882" s="25"/>
      <c r="BG882" s="25"/>
      <c r="BH882" s="25"/>
      <c r="BI882" s="25"/>
      <c r="BJ882" s="25"/>
      <c r="BK882" s="25"/>
      <c r="BL882" s="25"/>
    </row>
    <row r="883" spans="1:64" s="21" customFormat="1" ht="18.600000000000001" customHeight="1" x14ac:dyDescent="0.25">
      <c r="A883" s="22"/>
      <c r="B883" s="22"/>
      <c r="C883" s="22"/>
      <c r="D883" s="23"/>
      <c r="E883" s="26"/>
      <c r="F883" s="25"/>
      <c r="G883" s="25"/>
      <c r="H883" s="25"/>
      <c r="I883" s="25"/>
      <c r="J883" s="22"/>
      <c r="K883" s="25"/>
      <c r="L883" s="25"/>
      <c r="M883" s="25"/>
      <c r="N883" s="25"/>
      <c r="O883" s="22"/>
      <c r="P883" s="22"/>
      <c r="Q883" s="22"/>
      <c r="R883" s="22"/>
      <c r="S883" s="25"/>
      <c r="T883" s="25"/>
      <c r="U883" s="25"/>
      <c r="V883" s="25"/>
      <c r="W883" s="25"/>
      <c r="X883" s="25"/>
      <c r="Y883" s="25"/>
      <c r="Z883" s="22"/>
      <c r="AA883" s="22"/>
      <c r="AB883" s="22"/>
      <c r="AC883" s="22"/>
      <c r="AD883" s="22"/>
      <c r="AE883" s="22"/>
      <c r="AF883" s="25"/>
      <c r="AG883" s="22"/>
      <c r="AH883" s="22"/>
      <c r="AI883" s="22"/>
      <c r="AJ883" s="22"/>
      <c r="AK883" s="22"/>
      <c r="AL883" s="22"/>
      <c r="AM883" s="22"/>
      <c r="AN883" s="25"/>
      <c r="AO883" s="22"/>
      <c r="AP883" s="22"/>
      <c r="AQ883" s="22"/>
      <c r="AR883" s="22"/>
      <c r="AS883" s="22"/>
      <c r="AT883" s="22"/>
      <c r="AU883" s="22"/>
      <c r="AV883" s="25"/>
      <c r="AW883" s="25"/>
      <c r="AX883" s="25"/>
      <c r="AY883" s="25"/>
      <c r="AZ883" s="25"/>
      <c r="BA883" s="25"/>
      <c r="BB883" s="25"/>
      <c r="BC883" s="25"/>
      <c r="BD883" s="25"/>
      <c r="BE883" s="25"/>
      <c r="BF883" s="25"/>
      <c r="BG883" s="25"/>
      <c r="BH883" s="25"/>
      <c r="BI883" s="25"/>
      <c r="BJ883" s="25"/>
      <c r="BK883" s="25"/>
      <c r="BL883" s="25"/>
    </row>
    <row r="884" spans="1:64" s="21" customFormat="1" ht="18.600000000000001" customHeight="1" x14ac:dyDescent="0.25">
      <c r="A884" s="22"/>
      <c r="B884" s="22"/>
      <c r="C884" s="22"/>
      <c r="D884" s="23"/>
      <c r="E884" s="26"/>
      <c r="F884" s="25"/>
      <c r="G884" s="25"/>
      <c r="H884" s="25"/>
      <c r="I884" s="25"/>
      <c r="J884" s="22"/>
      <c r="K884" s="25"/>
      <c r="L884" s="25"/>
      <c r="M884" s="25"/>
      <c r="N884" s="25"/>
      <c r="O884" s="22"/>
      <c r="P884" s="22"/>
      <c r="Q884" s="22"/>
      <c r="R884" s="22"/>
      <c r="S884" s="25"/>
      <c r="T884" s="25"/>
      <c r="U884" s="25"/>
      <c r="V884" s="25"/>
      <c r="W884" s="25"/>
      <c r="X884" s="25"/>
      <c r="Y884" s="25"/>
      <c r="Z884" s="22"/>
      <c r="AA884" s="22"/>
      <c r="AB884" s="22"/>
      <c r="AC884" s="22"/>
      <c r="AD884" s="22"/>
      <c r="AE884" s="22"/>
      <c r="AF884" s="25"/>
      <c r="AG884" s="22"/>
      <c r="AH884" s="22"/>
      <c r="AI884" s="22"/>
      <c r="AJ884" s="22"/>
      <c r="AK884" s="22"/>
      <c r="AL884" s="22"/>
      <c r="AM884" s="22"/>
      <c r="AN884" s="25"/>
      <c r="AO884" s="22"/>
      <c r="AP884" s="22"/>
      <c r="AQ884" s="22"/>
      <c r="AR884" s="22"/>
      <c r="AS884" s="22"/>
      <c r="AT884" s="22"/>
      <c r="AU884" s="22"/>
      <c r="AV884" s="25"/>
      <c r="AW884" s="25"/>
      <c r="AX884" s="25"/>
      <c r="AY884" s="25"/>
      <c r="AZ884" s="25"/>
      <c r="BA884" s="25"/>
      <c r="BB884" s="25"/>
      <c r="BC884" s="25"/>
      <c r="BD884" s="25"/>
      <c r="BE884" s="25"/>
      <c r="BF884" s="25"/>
      <c r="BG884" s="25"/>
      <c r="BH884" s="25"/>
      <c r="BI884" s="25"/>
      <c r="BJ884" s="25"/>
      <c r="BK884" s="25"/>
      <c r="BL884" s="25"/>
    </row>
    <row r="885" spans="1:64" s="21" customFormat="1" ht="18.600000000000001" customHeight="1" x14ac:dyDescent="0.25">
      <c r="A885" s="22"/>
      <c r="B885" s="22"/>
      <c r="C885" s="22"/>
      <c r="D885" s="23"/>
      <c r="E885" s="26"/>
      <c r="F885" s="25"/>
      <c r="G885" s="25"/>
      <c r="H885" s="25"/>
      <c r="I885" s="25"/>
      <c r="J885" s="22"/>
      <c r="K885" s="25"/>
      <c r="L885" s="25"/>
      <c r="M885" s="25"/>
      <c r="N885" s="25"/>
      <c r="O885" s="22"/>
      <c r="P885" s="22"/>
      <c r="Q885" s="22"/>
      <c r="R885" s="22"/>
      <c r="S885" s="25"/>
      <c r="T885" s="25"/>
      <c r="U885" s="25"/>
      <c r="V885" s="25"/>
      <c r="W885" s="25"/>
      <c r="X885" s="25"/>
      <c r="Y885" s="25"/>
      <c r="Z885" s="22"/>
      <c r="AA885" s="22"/>
      <c r="AB885" s="22"/>
      <c r="AC885" s="22"/>
      <c r="AD885" s="22"/>
      <c r="AE885" s="22"/>
      <c r="AF885" s="25"/>
      <c r="AG885" s="22"/>
      <c r="AH885" s="22"/>
      <c r="AI885" s="22"/>
      <c r="AJ885" s="22"/>
      <c r="AK885" s="22"/>
      <c r="AL885" s="22"/>
      <c r="AM885" s="22"/>
      <c r="AN885" s="25"/>
      <c r="AO885" s="22"/>
      <c r="AP885" s="22"/>
      <c r="AQ885" s="22"/>
      <c r="AR885" s="22"/>
      <c r="AS885" s="22"/>
      <c r="AT885" s="22"/>
      <c r="AU885" s="22"/>
      <c r="AV885" s="25"/>
      <c r="AW885" s="25"/>
      <c r="AX885" s="25"/>
      <c r="AY885" s="25"/>
      <c r="AZ885" s="25"/>
      <c r="BA885" s="25"/>
      <c r="BB885" s="25"/>
      <c r="BC885" s="25"/>
      <c r="BD885" s="25"/>
      <c r="BE885" s="25"/>
      <c r="BF885" s="25"/>
      <c r="BG885" s="25"/>
      <c r="BH885" s="25"/>
      <c r="BI885" s="25"/>
      <c r="BJ885" s="25"/>
      <c r="BK885" s="25"/>
      <c r="BL885" s="25"/>
    </row>
    <row r="886" spans="1:64" s="21" customFormat="1" ht="18.600000000000001" customHeight="1" x14ac:dyDescent="0.25">
      <c r="A886" s="22"/>
      <c r="B886" s="22"/>
      <c r="C886" s="22"/>
      <c r="D886" s="23"/>
      <c r="E886" s="26"/>
      <c r="F886" s="25"/>
      <c r="G886" s="25"/>
      <c r="H886" s="25"/>
      <c r="I886" s="25"/>
      <c r="J886" s="22"/>
      <c r="K886" s="25"/>
      <c r="L886" s="25"/>
      <c r="M886" s="25"/>
      <c r="N886" s="25"/>
      <c r="O886" s="22"/>
      <c r="P886" s="22"/>
      <c r="Q886" s="22"/>
      <c r="R886" s="22"/>
      <c r="S886" s="25"/>
      <c r="T886" s="25"/>
      <c r="U886" s="25"/>
      <c r="V886" s="25"/>
      <c r="W886" s="25"/>
      <c r="X886" s="25"/>
      <c r="Y886" s="25"/>
      <c r="Z886" s="22"/>
      <c r="AA886" s="22"/>
      <c r="AB886" s="22"/>
      <c r="AC886" s="22"/>
      <c r="AD886" s="22"/>
      <c r="AE886" s="22"/>
      <c r="AF886" s="25"/>
      <c r="AG886" s="22"/>
      <c r="AH886" s="22"/>
      <c r="AI886" s="22"/>
      <c r="AJ886" s="22"/>
      <c r="AK886" s="22"/>
      <c r="AL886" s="22"/>
      <c r="AM886" s="22"/>
      <c r="AN886" s="25"/>
      <c r="AO886" s="22"/>
      <c r="AP886" s="22"/>
      <c r="AQ886" s="22"/>
      <c r="AR886" s="22"/>
      <c r="AS886" s="22"/>
      <c r="AT886" s="22"/>
      <c r="AU886" s="22"/>
      <c r="AV886" s="25"/>
      <c r="AW886" s="25"/>
      <c r="AX886" s="25"/>
      <c r="AY886" s="25"/>
      <c r="AZ886" s="25"/>
      <c r="BA886" s="25"/>
      <c r="BB886" s="25"/>
      <c r="BC886" s="25"/>
      <c r="BD886" s="25"/>
      <c r="BE886" s="25"/>
      <c r="BF886" s="25"/>
      <c r="BG886" s="25"/>
      <c r="BH886" s="25"/>
      <c r="BI886" s="25"/>
      <c r="BJ886" s="25"/>
      <c r="BK886" s="25"/>
      <c r="BL886" s="25"/>
    </row>
    <row r="887" spans="1:64" s="21" customFormat="1" ht="18.600000000000001" customHeight="1" x14ac:dyDescent="0.25">
      <c r="A887" s="22"/>
      <c r="B887" s="22"/>
      <c r="C887" s="22"/>
      <c r="D887" s="23"/>
      <c r="E887" s="26"/>
      <c r="F887" s="25"/>
      <c r="G887" s="25"/>
      <c r="H887" s="25"/>
      <c r="I887" s="25"/>
      <c r="J887" s="22"/>
      <c r="K887" s="25"/>
      <c r="L887" s="25"/>
      <c r="M887" s="25"/>
      <c r="N887" s="25"/>
      <c r="O887" s="22"/>
      <c r="P887" s="22"/>
      <c r="Q887" s="22"/>
      <c r="R887" s="22"/>
      <c r="S887" s="25"/>
      <c r="T887" s="25"/>
      <c r="U887" s="25"/>
      <c r="V887" s="25"/>
      <c r="W887" s="25"/>
      <c r="X887" s="25"/>
      <c r="Y887" s="25"/>
      <c r="Z887" s="22"/>
      <c r="AA887" s="22"/>
      <c r="AB887" s="22"/>
      <c r="AC887" s="22"/>
      <c r="AD887" s="22"/>
      <c r="AE887" s="22"/>
      <c r="AF887" s="25"/>
      <c r="AG887" s="22"/>
      <c r="AH887" s="22"/>
      <c r="AI887" s="22"/>
      <c r="AJ887" s="22"/>
      <c r="AK887" s="22"/>
      <c r="AL887" s="22"/>
      <c r="AM887" s="22"/>
      <c r="AN887" s="25"/>
      <c r="AO887" s="22"/>
      <c r="AP887" s="22"/>
      <c r="AQ887" s="22"/>
      <c r="AR887" s="22"/>
      <c r="AS887" s="22"/>
      <c r="AT887" s="22"/>
      <c r="AU887" s="22"/>
      <c r="AV887" s="25"/>
      <c r="AW887" s="25"/>
      <c r="AX887" s="25"/>
      <c r="AY887" s="25"/>
      <c r="AZ887" s="25"/>
      <c r="BA887" s="25"/>
      <c r="BB887" s="25"/>
      <c r="BC887" s="25"/>
      <c r="BD887" s="25"/>
      <c r="BE887" s="25"/>
      <c r="BF887" s="25"/>
      <c r="BG887" s="25"/>
      <c r="BH887" s="25"/>
      <c r="BI887" s="25"/>
      <c r="BJ887" s="25"/>
      <c r="BK887" s="25"/>
      <c r="BL887" s="25"/>
    </row>
    <row r="888" spans="1:64" s="21" customFormat="1" ht="18.600000000000001" customHeight="1" x14ac:dyDescent="0.25">
      <c r="A888" s="22"/>
      <c r="B888" s="22"/>
      <c r="C888" s="22"/>
      <c r="D888" s="23"/>
      <c r="E888" s="26"/>
      <c r="F888" s="25"/>
      <c r="G888" s="25"/>
      <c r="H888" s="25"/>
      <c r="I888" s="25"/>
      <c r="J888" s="22"/>
      <c r="K888" s="25"/>
      <c r="L888" s="25"/>
      <c r="M888" s="25"/>
      <c r="N888" s="25"/>
      <c r="O888" s="22"/>
      <c r="P888" s="22"/>
      <c r="Q888" s="22"/>
      <c r="R888" s="22"/>
      <c r="S888" s="25"/>
      <c r="T888" s="25"/>
      <c r="U888" s="25"/>
      <c r="V888" s="25"/>
      <c r="W888" s="25"/>
      <c r="X888" s="25"/>
      <c r="Y888" s="25"/>
      <c r="Z888" s="22"/>
      <c r="AA888" s="22"/>
      <c r="AB888" s="22"/>
      <c r="AC888" s="22"/>
      <c r="AD888" s="22"/>
      <c r="AE888" s="22"/>
      <c r="AF888" s="25"/>
      <c r="AG888" s="22"/>
      <c r="AH888" s="22"/>
      <c r="AI888" s="22"/>
      <c r="AJ888" s="22"/>
      <c r="AK888" s="22"/>
      <c r="AL888" s="22"/>
      <c r="AM888" s="22"/>
      <c r="AN888" s="25"/>
      <c r="AO888" s="22"/>
      <c r="AP888" s="22"/>
      <c r="AQ888" s="22"/>
      <c r="AR888" s="22"/>
      <c r="AS888" s="22"/>
      <c r="AT888" s="22"/>
      <c r="AU888" s="22"/>
      <c r="AV888" s="25"/>
      <c r="AW888" s="25"/>
      <c r="AX888" s="25"/>
      <c r="AY888" s="25"/>
      <c r="AZ888" s="25"/>
      <c r="BA888" s="25"/>
      <c r="BB888" s="25"/>
      <c r="BC888" s="25"/>
      <c r="BD888" s="25"/>
      <c r="BE888" s="25"/>
      <c r="BF888" s="25"/>
      <c r="BG888" s="25"/>
      <c r="BH888" s="25"/>
      <c r="BI888" s="25"/>
      <c r="BJ888" s="25"/>
      <c r="BK888" s="25"/>
      <c r="BL888" s="25"/>
    </row>
    <row r="889" spans="1:64" s="21" customFormat="1" ht="18.600000000000001" customHeight="1" x14ac:dyDescent="0.25">
      <c r="A889" s="22"/>
      <c r="B889" s="22"/>
      <c r="C889" s="22"/>
      <c r="D889" s="23"/>
      <c r="E889" s="26"/>
      <c r="F889" s="25"/>
      <c r="G889" s="25"/>
      <c r="H889" s="25"/>
      <c r="I889" s="25"/>
      <c r="J889" s="22"/>
      <c r="K889" s="25"/>
      <c r="L889" s="25"/>
      <c r="M889" s="25"/>
      <c r="N889" s="25"/>
      <c r="O889" s="22"/>
      <c r="P889" s="22"/>
      <c r="Q889" s="22"/>
      <c r="R889" s="22"/>
      <c r="S889" s="25"/>
      <c r="T889" s="25"/>
      <c r="U889" s="25"/>
      <c r="V889" s="25"/>
      <c r="W889" s="25"/>
      <c r="X889" s="25"/>
      <c r="Y889" s="25"/>
      <c r="Z889" s="22"/>
      <c r="AA889" s="22"/>
      <c r="AB889" s="22"/>
      <c r="AC889" s="22"/>
      <c r="AD889" s="22"/>
      <c r="AE889" s="22"/>
      <c r="AF889" s="25"/>
      <c r="AG889" s="22"/>
      <c r="AH889" s="22"/>
      <c r="AI889" s="22"/>
      <c r="AJ889" s="22"/>
      <c r="AK889" s="22"/>
      <c r="AL889" s="22"/>
      <c r="AM889" s="22"/>
      <c r="AN889" s="25"/>
      <c r="AO889" s="22"/>
      <c r="AP889" s="22"/>
      <c r="AQ889" s="22"/>
      <c r="AR889" s="22"/>
      <c r="AS889" s="22"/>
      <c r="AT889" s="22"/>
      <c r="AU889" s="22"/>
      <c r="AV889" s="25"/>
      <c r="AW889" s="25"/>
      <c r="AX889" s="25"/>
      <c r="AY889" s="25"/>
      <c r="AZ889" s="25"/>
      <c r="BA889" s="25"/>
      <c r="BB889" s="25"/>
      <c r="BC889" s="25"/>
      <c r="BD889" s="25"/>
      <c r="BE889" s="25"/>
      <c r="BF889" s="25"/>
      <c r="BG889" s="25"/>
      <c r="BH889" s="25"/>
      <c r="BI889" s="25"/>
      <c r="BJ889" s="25"/>
      <c r="BK889" s="25"/>
      <c r="BL889" s="25"/>
    </row>
    <row r="890" spans="1:64" s="21" customFormat="1" ht="18.600000000000001" customHeight="1" x14ac:dyDescent="0.25">
      <c r="A890" s="22"/>
      <c r="B890" s="22"/>
      <c r="C890" s="22"/>
      <c r="D890" s="23"/>
      <c r="E890" s="26"/>
      <c r="F890" s="25"/>
      <c r="G890" s="25"/>
      <c r="H890" s="25"/>
      <c r="I890" s="25"/>
      <c r="J890" s="22"/>
      <c r="K890" s="25"/>
      <c r="L890" s="25"/>
      <c r="M890" s="25"/>
      <c r="N890" s="25"/>
      <c r="O890" s="22"/>
      <c r="P890" s="22"/>
      <c r="Q890" s="22"/>
      <c r="R890" s="22"/>
      <c r="S890" s="25"/>
      <c r="T890" s="25"/>
      <c r="U890" s="25"/>
      <c r="V890" s="25"/>
      <c r="W890" s="25"/>
      <c r="X890" s="25"/>
      <c r="Y890" s="25"/>
      <c r="Z890" s="22"/>
      <c r="AA890" s="22"/>
      <c r="AB890" s="22"/>
      <c r="AC890" s="22"/>
      <c r="AD890" s="22"/>
      <c r="AE890" s="22"/>
      <c r="AF890" s="25"/>
      <c r="AG890" s="22"/>
      <c r="AH890" s="22"/>
      <c r="AI890" s="22"/>
      <c r="AJ890" s="22"/>
      <c r="AK890" s="22"/>
      <c r="AL890" s="22"/>
      <c r="AM890" s="22"/>
      <c r="AN890" s="25"/>
      <c r="AO890" s="22"/>
      <c r="AP890" s="22"/>
      <c r="AQ890" s="22"/>
      <c r="AR890" s="22"/>
      <c r="AS890" s="22"/>
      <c r="AT890" s="22"/>
      <c r="AU890" s="22"/>
      <c r="AV890" s="25"/>
      <c r="AW890" s="25"/>
      <c r="AX890" s="25"/>
      <c r="AY890" s="25"/>
      <c r="AZ890" s="25"/>
      <c r="BA890" s="25"/>
      <c r="BB890" s="25"/>
      <c r="BC890" s="25"/>
      <c r="BD890" s="25"/>
      <c r="BE890" s="25"/>
      <c r="BF890" s="25"/>
      <c r="BG890" s="25"/>
      <c r="BH890" s="25"/>
      <c r="BI890" s="25"/>
      <c r="BJ890" s="25"/>
      <c r="BK890" s="25"/>
      <c r="BL890" s="25"/>
    </row>
    <row r="891" spans="1:64" s="21" customFormat="1" ht="18.600000000000001" customHeight="1" x14ac:dyDescent="0.25">
      <c r="A891" s="22"/>
      <c r="B891" s="22"/>
      <c r="C891" s="22"/>
      <c r="D891" s="23"/>
      <c r="E891" s="26"/>
      <c r="F891" s="25"/>
      <c r="G891" s="25"/>
      <c r="H891" s="25"/>
      <c r="I891" s="25"/>
      <c r="J891" s="22"/>
      <c r="K891" s="25"/>
      <c r="L891" s="25"/>
      <c r="M891" s="25"/>
      <c r="N891" s="25"/>
      <c r="O891" s="22"/>
      <c r="P891" s="22"/>
      <c r="Q891" s="22"/>
      <c r="R891" s="22"/>
      <c r="S891" s="25"/>
      <c r="T891" s="25"/>
      <c r="U891" s="25"/>
      <c r="V891" s="25"/>
      <c r="W891" s="25"/>
      <c r="X891" s="25"/>
      <c r="Y891" s="25"/>
      <c r="Z891" s="22"/>
      <c r="AA891" s="22"/>
      <c r="AB891" s="22"/>
      <c r="AC891" s="22"/>
      <c r="AD891" s="22"/>
      <c r="AE891" s="22"/>
      <c r="AF891" s="25"/>
      <c r="AG891" s="22"/>
      <c r="AH891" s="22"/>
      <c r="AI891" s="22"/>
      <c r="AJ891" s="22"/>
      <c r="AK891" s="22"/>
      <c r="AL891" s="22"/>
      <c r="AM891" s="22"/>
      <c r="AN891" s="25"/>
      <c r="AO891" s="22"/>
      <c r="AP891" s="22"/>
      <c r="AQ891" s="22"/>
      <c r="AR891" s="22"/>
      <c r="AS891" s="22"/>
      <c r="AT891" s="22"/>
      <c r="AU891" s="22"/>
      <c r="AV891" s="25"/>
      <c r="AW891" s="25"/>
      <c r="AX891" s="25"/>
      <c r="AY891" s="25"/>
      <c r="AZ891" s="25"/>
      <c r="BA891" s="25"/>
      <c r="BB891" s="25"/>
      <c r="BC891" s="25"/>
      <c r="BD891" s="25"/>
      <c r="BE891" s="25"/>
      <c r="BF891" s="25"/>
      <c r="BG891" s="25"/>
      <c r="BH891" s="25"/>
      <c r="BI891" s="25"/>
      <c r="BJ891" s="25"/>
      <c r="BK891" s="25"/>
      <c r="BL891" s="25"/>
    </row>
    <row r="892" spans="1:64" s="21" customFormat="1" ht="18.600000000000001" customHeight="1" x14ac:dyDescent="0.25">
      <c r="A892" s="22"/>
      <c r="B892" s="22"/>
      <c r="C892" s="22"/>
      <c r="D892" s="23"/>
      <c r="E892" s="26"/>
      <c r="F892" s="25"/>
      <c r="G892" s="25"/>
      <c r="H892" s="25"/>
      <c r="I892" s="25"/>
      <c r="J892" s="22"/>
      <c r="K892" s="25"/>
      <c r="L892" s="25"/>
      <c r="M892" s="25"/>
      <c r="N892" s="25"/>
      <c r="O892" s="22"/>
      <c r="P892" s="22"/>
      <c r="Q892" s="22"/>
      <c r="R892" s="22"/>
      <c r="S892" s="25"/>
      <c r="T892" s="25"/>
      <c r="U892" s="25"/>
      <c r="V892" s="25"/>
      <c r="W892" s="25"/>
      <c r="X892" s="25"/>
      <c r="Y892" s="25"/>
      <c r="Z892" s="22"/>
      <c r="AA892" s="22"/>
      <c r="AB892" s="22"/>
      <c r="AC892" s="22"/>
      <c r="AD892" s="22"/>
      <c r="AE892" s="22"/>
      <c r="AF892" s="25"/>
      <c r="AG892" s="22"/>
      <c r="AH892" s="22"/>
      <c r="AI892" s="22"/>
      <c r="AJ892" s="22"/>
      <c r="AK892" s="22"/>
      <c r="AL892" s="22"/>
      <c r="AM892" s="22"/>
      <c r="AN892" s="25"/>
      <c r="AO892" s="22"/>
      <c r="AP892" s="22"/>
      <c r="AQ892" s="22"/>
      <c r="AR892" s="22"/>
      <c r="AS892" s="22"/>
      <c r="AT892" s="22"/>
      <c r="AU892" s="22"/>
      <c r="AV892" s="25"/>
      <c r="AW892" s="25"/>
      <c r="AX892" s="25"/>
      <c r="AY892" s="25"/>
      <c r="AZ892" s="25"/>
      <c r="BA892" s="25"/>
      <c r="BB892" s="25"/>
      <c r="BC892" s="25"/>
      <c r="BD892" s="25"/>
      <c r="BE892" s="25"/>
      <c r="BF892" s="25"/>
      <c r="BG892" s="25"/>
      <c r="BH892" s="25"/>
      <c r="BI892" s="25"/>
      <c r="BJ892" s="25"/>
      <c r="BK892" s="25"/>
      <c r="BL892" s="25"/>
    </row>
    <row r="893" spans="1:64" s="21" customFormat="1" ht="18.600000000000001" customHeight="1" x14ac:dyDescent="0.25">
      <c r="A893" s="22"/>
      <c r="B893" s="22"/>
      <c r="C893" s="22"/>
      <c r="D893" s="23"/>
      <c r="E893" s="26"/>
      <c r="F893" s="25"/>
      <c r="G893" s="25"/>
      <c r="H893" s="25"/>
      <c r="I893" s="25"/>
      <c r="J893" s="22"/>
      <c r="K893" s="25"/>
      <c r="L893" s="25"/>
      <c r="M893" s="25"/>
      <c r="N893" s="25"/>
      <c r="O893" s="22"/>
      <c r="P893" s="22"/>
      <c r="Q893" s="22"/>
      <c r="R893" s="22"/>
      <c r="S893" s="25"/>
      <c r="T893" s="25"/>
      <c r="U893" s="25"/>
      <c r="V893" s="25"/>
      <c r="W893" s="25"/>
      <c r="X893" s="25"/>
      <c r="Y893" s="25"/>
      <c r="Z893" s="22"/>
      <c r="AA893" s="22"/>
      <c r="AB893" s="22"/>
      <c r="AC893" s="22"/>
      <c r="AD893" s="22"/>
      <c r="AE893" s="22"/>
      <c r="AF893" s="25"/>
      <c r="AG893" s="22"/>
      <c r="AH893" s="22"/>
      <c r="AI893" s="22"/>
      <c r="AJ893" s="22"/>
      <c r="AK893" s="22"/>
      <c r="AL893" s="22"/>
      <c r="AM893" s="22"/>
      <c r="AN893" s="25"/>
      <c r="AO893" s="22"/>
      <c r="AP893" s="22"/>
      <c r="AQ893" s="22"/>
      <c r="AR893" s="22"/>
      <c r="AS893" s="22"/>
      <c r="AT893" s="22"/>
      <c r="AU893" s="22"/>
      <c r="AV893" s="25"/>
      <c r="AW893" s="25"/>
      <c r="AX893" s="25"/>
      <c r="AY893" s="25"/>
      <c r="AZ893" s="25"/>
      <c r="BA893" s="25"/>
      <c r="BB893" s="25"/>
      <c r="BC893" s="25"/>
      <c r="BD893" s="25"/>
      <c r="BE893" s="25"/>
      <c r="BF893" s="25"/>
      <c r="BG893" s="25"/>
      <c r="BH893" s="25"/>
      <c r="BI893" s="25"/>
      <c r="BJ893" s="25"/>
      <c r="BK893" s="25"/>
      <c r="BL893" s="25"/>
    </row>
    <row r="894" spans="1:64" s="21" customFormat="1" ht="18.600000000000001" customHeight="1" x14ac:dyDescent="0.25">
      <c r="A894" s="22"/>
      <c r="B894" s="22"/>
      <c r="C894" s="22"/>
      <c r="D894" s="23"/>
      <c r="E894" s="26"/>
      <c r="F894" s="25"/>
      <c r="G894" s="25"/>
      <c r="H894" s="25"/>
      <c r="I894" s="25"/>
      <c r="J894" s="22"/>
      <c r="K894" s="25"/>
      <c r="L894" s="25"/>
      <c r="M894" s="25"/>
      <c r="N894" s="25"/>
      <c r="O894" s="22"/>
      <c r="P894" s="22"/>
      <c r="Q894" s="22"/>
      <c r="R894" s="22"/>
      <c r="S894" s="25"/>
      <c r="T894" s="25"/>
      <c r="U894" s="25"/>
      <c r="V894" s="25"/>
      <c r="W894" s="25"/>
      <c r="X894" s="25"/>
      <c r="Y894" s="25"/>
      <c r="Z894" s="22"/>
      <c r="AA894" s="22"/>
      <c r="AB894" s="22"/>
      <c r="AC894" s="22"/>
      <c r="AD894" s="22"/>
      <c r="AE894" s="22"/>
      <c r="AF894" s="25"/>
      <c r="AG894" s="22"/>
      <c r="AH894" s="22"/>
      <c r="AI894" s="22"/>
      <c r="AJ894" s="22"/>
      <c r="AK894" s="22"/>
      <c r="AL894" s="22"/>
      <c r="AM894" s="22"/>
      <c r="AN894" s="25"/>
      <c r="AO894" s="22"/>
      <c r="AP894" s="22"/>
      <c r="AQ894" s="22"/>
      <c r="AR894" s="22"/>
      <c r="AS894" s="22"/>
      <c r="AT894" s="22"/>
      <c r="AU894" s="22"/>
      <c r="AV894" s="25"/>
      <c r="AW894" s="25"/>
      <c r="AX894" s="25"/>
      <c r="AY894" s="25"/>
      <c r="AZ894" s="25"/>
      <c r="BA894" s="25"/>
      <c r="BB894" s="25"/>
      <c r="BC894" s="25"/>
      <c r="BD894" s="25"/>
      <c r="BE894" s="25"/>
      <c r="BF894" s="25"/>
      <c r="BG894" s="25"/>
      <c r="BH894" s="25"/>
      <c r="BI894" s="25"/>
      <c r="BJ894" s="25"/>
      <c r="BK894" s="25"/>
      <c r="BL894" s="25"/>
    </row>
    <row r="895" spans="1:64" s="21" customFormat="1" ht="18.600000000000001" customHeight="1" x14ac:dyDescent="0.25">
      <c r="A895" s="22"/>
      <c r="B895" s="22"/>
      <c r="C895" s="22"/>
      <c r="D895" s="23"/>
      <c r="E895" s="26"/>
      <c r="F895" s="25"/>
      <c r="G895" s="25"/>
      <c r="H895" s="25"/>
      <c r="I895" s="25"/>
      <c r="J895" s="22"/>
      <c r="K895" s="25"/>
      <c r="L895" s="25"/>
      <c r="M895" s="25"/>
      <c r="N895" s="25"/>
      <c r="O895" s="22"/>
      <c r="P895" s="22"/>
      <c r="Q895" s="22"/>
      <c r="R895" s="22"/>
      <c r="S895" s="25"/>
      <c r="T895" s="25"/>
      <c r="U895" s="25"/>
      <c r="V895" s="25"/>
      <c r="W895" s="25"/>
      <c r="X895" s="25"/>
      <c r="Y895" s="25"/>
      <c r="Z895" s="22"/>
      <c r="AA895" s="22"/>
      <c r="AB895" s="22"/>
      <c r="AC895" s="22"/>
      <c r="AD895" s="22"/>
      <c r="AE895" s="22"/>
      <c r="AF895" s="25"/>
      <c r="AG895" s="22"/>
      <c r="AH895" s="22"/>
      <c r="AI895" s="22"/>
      <c r="AJ895" s="22"/>
      <c r="AK895" s="22"/>
      <c r="AL895" s="22"/>
      <c r="AM895" s="22"/>
      <c r="AN895" s="25"/>
      <c r="AO895" s="22"/>
      <c r="AP895" s="22"/>
      <c r="AQ895" s="22"/>
      <c r="AR895" s="22"/>
      <c r="AS895" s="22"/>
      <c r="AT895" s="22"/>
      <c r="AU895" s="22"/>
      <c r="AV895" s="25"/>
      <c r="AW895" s="25"/>
      <c r="AX895" s="25"/>
      <c r="AY895" s="25"/>
      <c r="AZ895" s="25"/>
      <c r="BA895" s="25"/>
      <c r="BB895" s="25"/>
      <c r="BC895" s="25"/>
      <c r="BD895" s="25"/>
      <c r="BE895" s="25"/>
      <c r="BF895" s="25"/>
      <c r="BG895" s="25"/>
      <c r="BH895" s="25"/>
      <c r="BI895" s="25"/>
      <c r="BJ895" s="25"/>
      <c r="BK895" s="25"/>
      <c r="BL895" s="25"/>
    </row>
    <row r="896" spans="1:64" s="21" customFormat="1" ht="18.600000000000001" customHeight="1" x14ac:dyDescent="0.25">
      <c r="A896" s="22"/>
      <c r="B896" s="22"/>
      <c r="C896" s="22"/>
      <c r="D896" s="23"/>
      <c r="E896" s="26"/>
      <c r="F896" s="25"/>
      <c r="G896" s="25"/>
      <c r="H896" s="25"/>
      <c r="I896" s="25"/>
      <c r="J896" s="22"/>
      <c r="K896" s="25"/>
      <c r="L896" s="25"/>
      <c r="M896" s="25"/>
      <c r="N896" s="25"/>
      <c r="O896" s="22"/>
      <c r="P896" s="22"/>
      <c r="Q896" s="22"/>
      <c r="R896" s="22"/>
      <c r="S896" s="25"/>
      <c r="T896" s="25"/>
      <c r="U896" s="25"/>
      <c r="V896" s="25"/>
      <c r="W896" s="25"/>
      <c r="X896" s="25"/>
      <c r="Y896" s="25"/>
      <c r="Z896" s="22"/>
      <c r="AA896" s="22"/>
      <c r="AB896" s="22"/>
      <c r="AC896" s="22"/>
      <c r="AD896" s="22"/>
      <c r="AE896" s="22"/>
      <c r="AF896" s="25"/>
      <c r="AG896" s="22"/>
      <c r="AH896" s="22"/>
      <c r="AI896" s="22"/>
      <c r="AJ896" s="22"/>
      <c r="AK896" s="22"/>
      <c r="AL896" s="22"/>
      <c r="AM896" s="22"/>
      <c r="AN896" s="25"/>
      <c r="AO896" s="22"/>
      <c r="AP896" s="22"/>
      <c r="AQ896" s="22"/>
      <c r="AR896" s="22"/>
      <c r="AS896" s="22"/>
      <c r="AT896" s="22"/>
      <c r="AU896" s="22"/>
      <c r="AV896" s="25"/>
      <c r="AW896" s="25"/>
      <c r="AX896" s="25"/>
      <c r="AY896" s="25"/>
      <c r="AZ896" s="25"/>
      <c r="BA896" s="25"/>
      <c r="BB896" s="25"/>
      <c r="BC896" s="25"/>
      <c r="BD896" s="25"/>
      <c r="BE896" s="25"/>
      <c r="BF896" s="25"/>
      <c r="BG896" s="25"/>
      <c r="BH896" s="25"/>
      <c r="BI896" s="25"/>
      <c r="BJ896" s="25"/>
      <c r="BK896" s="25"/>
      <c r="BL896" s="25"/>
    </row>
    <row r="897" spans="1:64" s="21" customFormat="1" ht="18.600000000000001" customHeight="1" x14ac:dyDescent="0.25">
      <c r="A897" s="22"/>
      <c r="B897" s="22"/>
      <c r="C897" s="22"/>
      <c r="D897" s="23"/>
      <c r="E897" s="26"/>
      <c r="F897" s="25"/>
      <c r="G897" s="25"/>
      <c r="H897" s="25"/>
      <c r="I897" s="25"/>
      <c r="J897" s="22"/>
      <c r="K897" s="25"/>
      <c r="L897" s="25"/>
      <c r="M897" s="25"/>
      <c r="N897" s="25"/>
      <c r="O897" s="22"/>
      <c r="P897" s="22"/>
      <c r="Q897" s="22"/>
      <c r="R897" s="22"/>
      <c r="S897" s="25"/>
      <c r="T897" s="25"/>
      <c r="U897" s="25"/>
      <c r="V897" s="25"/>
      <c r="W897" s="25"/>
      <c r="X897" s="25"/>
      <c r="Y897" s="25"/>
      <c r="Z897" s="22"/>
      <c r="AA897" s="22"/>
      <c r="AB897" s="22"/>
      <c r="AC897" s="22"/>
      <c r="AD897" s="22"/>
      <c r="AE897" s="22"/>
      <c r="AF897" s="25"/>
      <c r="AG897" s="22"/>
      <c r="AH897" s="22"/>
      <c r="AI897" s="22"/>
      <c r="AJ897" s="22"/>
      <c r="AK897" s="22"/>
      <c r="AL897" s="22"/>
      <c r="AM897" s="22"/>
      <c r="AN897" s="25"/>
      <c r="AO897" s="22"/>
      <c r="AP897" s="22"/>
      <c r="AQ897" s="22"/>
      <c r="AR897" s="22"/>
      <c r="AS897" s="22"/>
      <c r="AT897" s="22"/>
      <c r="AU897" s="22"/>
      <c r="AV897" s="25"/>
      <c r="AW897" s="25"/>
      <c r="AX897" s="25"/>
      <c r="AY897" s="25"/>
      <c r="AZ897" s="25"/>
      <c r="BA897" s="25"/>
      <c r="BB897" s="25"/>
      <c r="BC897" s="25"/>
      <c r="BD897" s="25"/>
      <c r="BE897" s="25"/>
      <c r="BF897" s="25"/>
      <c r="BG897" s="25"/>
      <c r="BH897" s="25"/>
      <c r="BI897" s="25"/>
      <c r="BJ897" s="25"/>
      <c r="BK897" s="25"/>
      <c r="BL897" s="25"/>
    </row>
    <row r="898" spans="1:64" s="21" customFormat="1" ht="18.600000000000001" customHeight="1" x14ac:dyDescent="0.25">
      <c r="A898" s="22"/>
      <c r="B898" s="22"/>
      <c r="C898" s="22"/>
      <c r="D898" s="23"/>
      <c r="E898" s="26"/>
      <c r="F898" s="25"/>
      <c r="G898" s="25"/>
      <c r="H898" s="25"/>
      <c r="I898" s="25"/>
      <c r="J898" s="22"/>
      <c r="K898" s="25"/>
      <c r="L898" s="25"/>
      <c r="M898" s="25"/>
      <c r="N898" s="25"/>
      <c r="O898" s="22"/>
      <c r="P898" s="22"/>
      <c r="Q898" s="22"/>
      <c r="R898" s="22"/>
      <c r="S898" s="25"/>
      <c r="T898" s="25"/>
      <c r="U898" s="25"/>
      <c r="V898" s="25"/>
      <c r="W898" s="25"/>
      <c r="X898" s="25"/>
      <c r="Y898" s="25"/>
      <c r="Z898" s="22"/>
      <c r="AA898" s="22"/>
      <c r="AB898" s="22"/>
      <c r="AC898" s="22"/>
      <c r="AD898" s="22"/>
      <c r="AE898" s="22"/>
      <c r="AF898" s="25"/>
      <c r="AG898" s="22"/>
      <c r="AH898" s="22"/>
      <c r="AI898" s="22"/>
      <c r="AJ898" s="22"/>
      <c r="AK898" s="22"/>
      <c r="AL898" s="22"/>
      <c r="AM898" s="22"/>
      <c r="AN898" s="25"/>
      <c r="AO898" s="22"/>
      <c r="AP898" s="22"/>
      <c r="AQ898" s="22"/>
      <c r="AR898" s="22"/>
      <c r="AS898" s="22"/>
      <c r="AT898" s="22"/>
      <c r="AU898" s="22"/>
      <c r="AV898" s="25"/>
      <c r="AW898" s="25"/>
      <c r="AX898" s="25"/>
      <c r="AY898" s="25"/>
      <c r="AZ898" s="25"/>
      <c r="BA898" s="25"/>
      <c r="BB898" s="25"/>
      <c r="BC898" s="25"/>
      <c r="BD898" s="25"/>
      <c r="BE898" s="25"/>
      <c r="BF898" s="25"/>
      <c r="BG898" s="25"/>
      <c r="BH898" s="25"/>
      <c r="BI898" s="25"/>
      <c r="BJ898" s="25"/>
      <c r="BK898" s="25"/>
      <c r="BL898" s="25"/>
    </row>
    <row r="899" spans="1:64" s="21" customFormat="1" ht="18.600000000000001" customHeight="1" x14ac:dyDescent="0.25">
      <c r="A899" s="22"/>
      <c r="B899" s="22"/>
      <c r="C899" s="22"/>
      <c r="D899" s="23"/>
      <c r="E899" s="26"/>
      <c r="F899" s="25"/>
      <c r="G899" s="25"/>
      <c r="H899" s="25"/>
      <c r="I899" s="25"/>
      <c r="J899" s="22"/>
      <c r="K899" s="25"/>
      <c r="L899" s="25"/>
      <c r="M899" s="25"/>
      <c r="N899" s="25"/>
      <c r="O899" s="22"/>
      <c r="P899" s="22"/>
      <c r="Q899" s="22"/>
      <c r="R899" s="22"/>
      <c r="S899" s="25"/>
      <c r="T899" s="25"/>
      <c r="U899" s="25"/>
      <c r="V899" s="25"/>
      <c r="W899" s="25"/>
      <c r="X899" s="25"/>
      <c r="Y899" s="25"/>
      <c r="Z899" s="22"/>
      <c r="AA899" s="22"/>
      <c r="AB899" s="22"/>
      <c r="AC899" s="22"/>
      <c r="AD899" s="22"/>
      <c r="AE899" s="22"/>
      <c r="AF899" s="25"/>
      <c r="AG899" s="22"/>
      <c r="AH899" s="22"/>
      <c r="AI899" s="22"/>
      <c r="AJ899" s="22"/>
      <c r="AK899" s="22"/>
      <c r="AL899" s="22"/>
      <c r="AM899" s="22"/>
      <c r="AN899" s="25"/>
      <c r="AO899" s="22"/>
      <c r="AP899" s="22"/>
      <c r="AQ899" s="22"/>
      <c r="AR899" s="22"/>
      <c r="AS899" s="22"/>
      <c r="AT899" s="22"/>
      <c r="AU899" s="22"/>
      <c r="AV899" s="25"/>
      <c r="AW899" s="25"/>
      <c r="AX899" s="25"/>
      <c r="AY899" s="25"/>
      <c r="AZ899" s="25"/>
      <c r="BA899" s="25"/>
      <c r="BB899" s="25"/>
      <c r="BC899" s="25"/>
      <c r="BD899" s="25"/>
      <c r="BE899" s="25"/>
      <c r="BF899" s="25"/>
      <c r="BG899" s="25"/>
      <c r="BH899" s="25"/>
      <c r="BI899" s="25"/>
      <c r="BJ899" s="25"/>
      <c r="BK899" s="25"/>
      <c r="BL899" s="25"/>
    </row>
    <row r="900" spans="1:64" s="21" customFormat="1" ht="18.600000000000001" customHeight="1" x14ac:dyDescent="0.25">
      <c r="A900" s="22"/>
      <c r="B900" s="22"/>
      <c r="C900" s="22"/>
      <c r="D900" s="23"/>
      <c r="E900" s="26"/>
      <c r="F900" s="25"/>
      <c r="G900" s="25"/>
      <c r="H900" s="25"/>
      <c r="I900" s="25"/>
      <c r="J900" s="22"/>
      <c r="K900" s="25"/>
      <c r="L900" s="25"/>
      <c r="M900" s="25"/>
      <c r="N900" s="25"/>
      <c r="O900" s="22"/>
      <c r="P900" s="22"/>
      <c r="Q900" s="22"/>
      <c r="R900" s="22"/>
      <c r="S900" s="25"/>
      <c r="T900" s="25"/>
      <c r="U900" s="25"/>
      <c r="V900" s="25"/>
      <c r="W900" s="25"/>
      <c r="X900" s="25"/>
      <c r="Y900" s="25"/>
      <c r="Z900" s="22"/>
      <c r="AA900" s="22"/>
      <c r="AB900" s="22"/>
      <c r="AC900" s="22"/>
      <c r="AD900" s="22"/>
      <c r="AE900" s="22"/>
      <c r="AF900" s="25"/>
      <c r="AG900" s="22"/>
      <c r="AH900" s="22"/>
      <c r="AI900" s="22"/>
      <c r="AJ900" s="22"/>
      <c r="AK900" s="22"/>
      <c r="AL900" s="22"/>
      <c r="AM900" s="22"/>
      <c r="AN900" s="25"/>
      <c r="AO900" s="22"/>
      <c r="AP900" s="22"/>
      <c r="AQ900" s="22"/>
      <c r="AR900" s="22"/>
      <c r="AS900" s="22"/>
      <c r="AT900" s="22"/>
      <c r="AU900" s="22"/>
      <c r="AV900" s="25"/>
      <c r="AW900" s="25"/>
      <c r="AX900" s="25"/>
      <c r="AY900" s="25"/>
      <c r="AZ900" s="25"/>
      <c r="BA900" s="25"/>
      <c r="BB900" s="25"/>
      <c r="BC900" s="25"/>
      <c r="BD900" s="25"/>
      <c r="BE900" s="25"/>
      <c r="BF900" s="25"/>
      <c r="BG900" s="25"/>
      <c r="BH900" s="25"/>
      <c r="BI900" s="25"/>
      <c r="BJ900" s="25"/>
      <c r="BK900" s="25"/>
      <c r="BL900" s="25"/>
    </row>
    <row r="901" spans="1:64" s="21" customFormat="1" ht="18.600000000000001" customHeight="1" x14ac:dyDescent="0.25">
      <c r="A901" s="22"/>
      <c r="B901" s="22"/>
      <c r="C901" s="22"/>
      <c r="D901" s="23"/>
      <c r="E901" s="26"/>
      <c r="F901" s="25"/>
      <c r="G901" s="25"/>
      <c r="H901" s="25"/>
      <c r="I901" s="25"/>
      <c r="J901" s="22"/>
      <c r="K901" s="25"/>
      <c r="L901" s="25"/>
      <c r="M901" s="25"/>
      <c r="N901" s="25"/>
      <c r="O901" s="22"/>
      <c r="P901" s="22"/>
      <c r="Q901" s="22"/>
      <c r="R901" s="22"/>
      <c r="S901" s="25"/>
      <c r="T901" s="25"/>
      <c r="U901" s="25"/>
      <c r="V901" s="25"/>
      <c r="W901" s="25"/>
      <c r="X901" s="25"/>
      <c r="Y901" s="25"/>
      <c r="Z901" s="22"/>
      <c r="AA901" s="22"/>
      <c r="AB901" s="22"/>
      <c r="AC901" s="22"/>
      <c r="AD901" s="22"/>
      <c r="AE901" s="22"/>
      <c r="AF901" s="25"/>
      <c r="AG901" s="22"/>
      <c r="AH901" s="22"/>
      <c r="AI901" s="22"/>
      <c r="AJ901" s="22"/>
      <c r="AK901" s="22"/>
      <c r="AL901" s="22"/>
      <c r="AM901" s="22"/>
      <c r="AN901" s="25"/>
      <c r="AO901" s="22"/>
      <c r="AP901" s="22"/>
      <c r="AQ901" s="22"/>
      <c r="AR901" s="22"/>
      <c r="AS901" s="22"/>
      <c r="AT901" s="22"/>
      <c r="AU901" s="22"/>
      <c r="AV901" s="25"/>
      <c r="AW901" s="25"/>
      <c r="AX901" s="25"/>
      <c r="AY901" s="25"/>
      <c r="AZ901" s="25"/>
      <c r="BA901" s="25"/>
      <c r="BB901" s="25"/>
      <c r="BC901" s="25"/>
      <c r="BD901" s="25"/>
      <c r="BE901" s="25"/>
      <c r="BF901" s="25"/>
      <c r="BG901" s="25"/>
      <c r="BH901" s="25"/>
      <c r="BI901" s="25"/>
      <c r="BJ901" s="25"/>
      <c r="BK901" s="25"/>
      <c r="BL901" s="25"/>
    </row>
    <row r="902" spans="1:64" s="21" customFormat="1" ht="18.600000000000001" customHeight="1" x14ac:dyDescent="0.25">
      <c r="A902" s="22"/>
      <c r="B902" s="22"/>
      <c r="C902" s="22"/>
      <c r="D902" s="23"/>
      <c r="E902" s="26"/>
      <c r="F902" s="25"/>
      <c r="G902" s="25"/>
      <c r="H902" s="25"/>
      <c r="I902" s="25"/>
      <c r="J902" s="22"/>
      <c r="K902" s="25"/>
      <c r="L902" s="25"/>
      <c r="M902" s="25"/>
      <c r="N902" s="25"/>
      <c r="O902" s="22"/>
      <c r="P902" s="22"/>
      <c r="Q902" s="22"/>
      <c r="R902" s="22"/>
      <c r="S902" s="25"/>
      <c r="T902" s="25"/>
      <c r="U902" s="25"/>
      <c r="V902" s="25"/>
      <c r="W902" s="25"/>
      <c r="X902" s="25"/>
      <c r="Y902" s="25"/>
      <c r="Z902" s="22"/>
      <c r="AA902" s="22"/>
      <c r="AB902" s="22"/>
      <c r="AC902" s="22"/>
      <c r="AD902" s="22"/>
      <c r="AE902" s="22"/>
      <c r="AF902" s="25"/>
      <c r="AG902" s="22"/>
      <c r="AH902" s="22"/>
      <c r="AI902" s="22"/>
      <c r="AJ902" s="22"/>
      <c r="AK902" s="22"/>
      <c r="AL902" s="22"/>
      <c r="AM902" s="22"/>
      <c r="AN902" s="25"/>
      <c r="AO902" s="22"/>
      <c r="AP902" s="22"/>
      <c r="AQ902" s="22"/>
      <c r="AR902" s="22"/>
      <c r="AS902" s="22"/>
      <c r="AT902" s="22"/>
      <c r="AU902" s="22"/>
      <c r="AV902" s="25"/>
      <c r="AW902" s="25"/>
      <c r="AX902" s="25"/>
      <c r="AY902" s="25"/>
      <c r="AZ902" s="25"/>
      <c r="BA902" s="25"/>
      <c r="BB902" s="25"/>
      <c r="BC902" s="25"/>
      <c r="BD902" s="25"/>
      <c r="BE902" s="25"/>
      <c r="BF902" s="25"/>
      <c r="BG902" s="25"/>
      <c r="BH902" s="25"/>
      <c r="BI902" s="25"/>
      <c r="BJ902" s="25"/>
      <c r="BK902" s="25"/>
      <c r="BL902" s="25"/>
    </row>
    <row r="903" spans="1:64" s="21" customFormat="1" ht="18.600000000000001" customHeight="1" x14ac:dyDescent="0.25">
      <c r="A903" s="22"/>
      <c r="B903" s="22"/>
      <c r="C903" s="22"/>
      <c r="D903" s="23"/>
      <c r="E903" s="26"/>
      <c r="F903" s="25"/>
      <c r="G903" s="25"/>
      <c r="H903" s="25"/>
      <c r="I903" s="25"/>
      <c r="J903" s="22"/>
      <c r="K903" s="25"/>
      <c r="L903" s="25"/>
      <c r="M903" s="25"/>
      <c r="N903" s="25"/>
      <c r="O903" s="22"/>
      <c r="P903" s="22"/>
      <c r="Q903" s="22"/>
      <c r="R903" s="22"/>
      <c r="S903" s="25"/>
      <c r="T903" s="25"/>
      <c r="U903" s="25"/>
      <c r="V903" s="25"/>
      <c r="W903" s="25"/>
      <c r="X903" s="25"/>
      <c r="Y903" s="25"/>
      <c r="Z903" s="22"/>
      <c r="AA903" s="22"/>
      <c r="AB903" s="22"/>
      <c r="AC903" s="22"/>
      <c r="AD903" s="22"/>
      <c r="AE903" s="22"/>
      <c r="AF903" s="25"/>
      <c r="AG903" s="22"/>
      <c r="AH903" s="22"/>
      <c r="AI903" s="22"/>
      <c r="AJ903" s="22"/>
      <c r="AK903" s="22"/>
      <c r="AL903" s="22"/>
      <c r="AM903" s="22"/>
      <c r="AN903" s="25"/>
      <c r="AO903" s="22"/>
      <c r="AP903" s="22"/>
      <c r="AQ903" s="22"/>
      <c r="AR903" s="22"/>
      <c r="AS903" s="22"/>
      <c r="AT903" s="22"/>
      <c r="AU903" s="22"/>
      <c r="AV903" s="25"/>
      <c r="AW903" s="25"/>
      <c r="AX903" s="25"/>
      <c r="AY903" s="25"/>
      <c r="AZ903" s="25"/>
      <c r="BA903" s="25"/>
      <c r="BB903" s="25"/>
      <c r="BC903" s="25"/>
      <c r="BD903" s="25"/>
      <c r="BE903" s="25"/>
      <c r="BF903" s="25"/>
      <c r="BG903" s="25"/>
      <c r="BH903" s="25"/>
      <c r="BI903" s="25"/>
      <c r="BJ903" s="25"/>
      <c r="BK903" s="25"/>
      <c r="BL903" s="25"/>
    </row>
    <row r="904" spans="1:64" s="21" customFormat="1" ht="18.600000000000001" customHeight="1" x14ac:dyDescent="0.25">
      <c r="A904" s="22"/>
      <c r="B904" s="22"/>
      <c r="C904" s="22"/>
      <c r="D904" s="23"/>
      <c r="E904" s="26"/>
      <c r="F904" s="25"/>
      <c r="G904" s="25"/>
      <c r="H904" s="25"/>
      <c r="I904" s="25"/>
      <c r="J904" s="22"/>
      <c r="K904" s="25"/>
      <c r="L904" s="25"/>
      <c r="M904" s="25"/>
      <c r="N904" s="25"/>
      <c r="O904" s="22"/>
      <c r="P904" s="22"/>
      <c r="Q904" s="22"/>
      <c r="R904" s="22"/>
      <c r="S904" s="25"/>
      <c r="T904" s="25"/>
      <c r="U904" s="25"/>
      <c r="V904" s="25"/>
      <c r="W904" s="25"/>
      <c r="X904" s="25"/>
      <c r="Y904" s="25"/>
      <c r="Z904" s="22"/>
      <c r="AA904" s="22"/>
      <c r="AB904" s="22"/>
      <c r="AC904" s="22"/>
      <c r="AD904" s="22"/>
      <c r="AE904" s="22"/>
      <c r="AF904" s="25"/>
      <c r="AG904" s="22"/>
      <c r="AH904" s="22"/>
      <c r="AI904" s="22"/>
      <c r="AJ904" s="22"/>
      <c r="AK904" s="22"/>
      <c r="AL904" s="22"/>
      <c r="AM904" s="22"/>
      <c r="AN904" s="25"/>
      <c r="AO904" s="22"/>
      <c r="AP904" s="22"/>
      <c r="AQ904" s="22"/>
      <c r="AR904" s="22"/>
      <c r="AS904" s="22"/>
      <c r="AT904" s="22"/>
      <c r="AU904" s="22"/>
      <c r="AV904" s="25"/>
      <c r="AW904" s="25"/>
      <c r="AX904" s="25"/>
      <c r="AY904" s="25"/>
      <c r="AZ904" s="25"/>
      <c r="BA904" s="25"/>
      <c r="BB904" s="25"/>
      <c r="BC904" s="25"/>
      <c r="BD904" s="25"/>
      <c r="BE904" s="25"/>
      <c r="BF904" s="25"/>
      <c r="BG904" s="25"/>
      <c r="BH904" s="25"/>
      <c r="BI904" s="25"/>
      <c r="BJ904" s="25"/>
      <c r="BK904" s="25"/>
      <c r="BL904" s="25"/>
    </row>
    <row r="905" spans="1:64" s="21" customFormat="1" ht="18.600000000000001" customHeight="1" x14ac:dyDescent="0.25">
      <c r="A905" s="22"/>
      <c r="B905" s="22"/>
      <c r="C905" s="22"/>
      <c r="D905" s="23"/>
      <c r="E905" s="26"/>
      <c r="F905" s="25"/>
      <c r="G905" s="25"/>
      <c r="H905" s="25"/>
      <c r="I905" s="25"/>
      <c r="J905" s="22"/>
      <c r="K905" s="25"/>
      <c r="L905" s="25"/>
      <c r="M905" s="25"/>
      <c r="N905" s="25"/>
      <c r="O905" s="22"/>
      <c r="P905" s="22"/>
      <c r="Q905" s="22"/>
      <c r="R905" s="22"/>
      <c r="S905" s="25"/>
      <c r="T905" s="25"/>
      <c r="U905" s="25"/>
      <c r="V905" s="25"/>
      <c r="W905" s="25"/>
      <c r="X905" s="25"/>
      <c r="Y905" s="25"/>
      <c r="Z905" s="22"/>
      <c r="AA905" s="22"/>
      <c r="AB905" s="22"/>
      <c r="AC905" s="22"/>
      <c r="AD905" s="22"/>
      <c r="AE905" s="22"/>
      <c r="AF905" s="25"/>
      <c r="AG905" s="22"/>
      <c r="AH905" s="22"/>
      <c r="AI905" s="22"/>
      <c r="AJ905" s="22"/>
      <c r="AK905" s="22"/>
      <c r="AL905" s="22"/>
      <c r="AM905" s="22"/>
      <c r="AN905" s="25"/>
      <c r="AO905" s="22"/>
      <c r="AP905" s="22"/>
      <c r="AQ905" s="22"/>
      <c r="AR905" s="22"/>
      <c r="AS905" s="22"/>
      <c r="AT905" s="22"/>
      <c r="AU905" s="22"/>
      <c r="AV905" s="25"/>
      <c r="AW905" s="25"/>
      <c r="AX905" s="25"/>
      <c r="AY905" s="25"/>
      <c r="AZ905" s="25"/>
      <c r="BA905" s="25"/>
      <c r="BB905" s="25"/>
      <c r="BC905" s="25"/>
      <c r="BD905" s="25"/>
      <c r="BE905" s="25"/>
      <c r="BF905" s="25"/>
      <c r="BG905" s="25"/>
      <c r="BH905" s="25"/>
      <c r="BI905" s="25"/>
      <c r="BJ905" s="25"/>
      <c r="BK905" s="25"/>
      <c r="BL905" s="25"/>
    </row>
    <row r="906" spans="1:64" s="21" customFormat="1" ht="18.600000000000001" customHeight="1" x14ac:dyDescent="0.25">
      <c r="A906" s="22"/>
      <c r="B906" s="22"/>
      <c r="C906" s="22"/>
      <c r="D906" s="23"/>
      <c r="E906" s="26"/>
      <c r="F906" s="25"/>
      <c r="G906" s="25"/>
      <c r="H906" s="25"/>
      <c r="I906" s="25"/>
      <c r="J906" s="22"/>
      <c r="K906" s="25"/>
      <c r="L906" s="25"/>
      <c r="M906" s="25"/>
      <c r="N906" s="25"/>
      <c r="O906" s="22"/>
      <c r="P906" s="22"/>
      <c r="Q906" s="22"/>
      <c r="R906" s="22"/>
      <c r="S906" s="25"/>
      <c r="T906" s="25"/>
      <c r="U906" s="25"/>
      <c r="V906" s="25"/>
      <c r="W906" s="25"/>
      <c r="X906" s="25"/>
      <c r="Y906" s="25"/>
      <c r="Z906" s="22"/>
      <c r="AA906" s="22"/>
      <c r="AB906" s="22"/>
      <c r="AC906" s="22"/>
      <c r="AD906" s="22"/>
      <c r="AE906" s="22"/>
      <c r="AF906" s="25"/>
      <c r="AG906" s="22"/>
      <c r="AH906" s="22"/>
      <c r="AI906" s="22"/>
      <c r="AJ906" s="22"/>
      <c r="AK906" s="22"/>
      <c r="AL906" s="22"/>
      <c r="AM906" s="22"/>
      <c r="AN906" s="25"/>
      <c r="AO906" s="22"/>
      <c r="AP906" s="22"/>
      <c r="AQ906" s="22"/>
      <c r="AR906" s="22"/>
      <c r="AS906" s="22"/>
      <c r="AT906" s="22"/>
      <c r="AU906" s="22"/>
      <c r="AV906" s="25"/>
      <c r="AW906" s="25"/>
      <c r="AX906" s="25"/>
      <c r="AY906" s="25"/>
      <c r="AZ906" s="25"/>
      <c r="BA906" s="25"/>
      <c r="BB906" s="25"/>
      <c r="BC906" s="25"/>
      <c r="BD906" s="25"/>
      <c r="BE906" s="25"/>
      <c r="BF906" s="25"/>
      <c r="BG906" s="25"/>
      <c r="BH906" s="25"/>
      <c r="BI906" s="25"/>
      <c r="BJ906" s="25"/>
      <c r="BK906" s="25"/>
      <c r="BL906" s="25"/>
    </row>
    <row r="907" spans="1:64" s="21" customFormat="1" ht="18.600000000000001" customHeight="1" x14ac:dyDescent="0.25">
      <c r="A907" s="22"/>
      <c r="B907" s="22"/>
      <c r="C907" s="22"/>
      <c r="D907" s="23"/>
      <c r="E907" s="26"/>
      <c r="F907" s="25"/>
      <c r="G907" s="25"/>
      <c r="H907" s="25"/>
      <c r="I907" s="25"/>
      <c r="J907" s="22"/>
      <c r="K907" s="25"/>
      <c r="L907" s="25"/>
      <c r="M907" s="25"/>
      <c r="N907" s="25"/>
      <c r="O907" s="22"/>
      <c r="P907" s="22"/>
      <c r="Q907" s="22"/>
      <c r="R907" s="22"/>
      <c r="S907" s="25"/>
      <c r="T907" s="25"/>
      <c r="U907" s="25"/>
      <c r="V907" s="25"/>
      <c r="W907" s="25"/>
      <c r="X907" s="25"/>
      <c r="Y907" s="25"/>
      <c r="Z907" s="22"/>
      <c r="AA907" s="22"/>
      <c r="AB907" s="22"/>
      <c r="AC907" s="22"/>
      <c r="AD907" s="22"/>
      <c r="AE907" s="22"/>
      <c r="AF907" s="25"/>
      <c r="AG907" s="22"/>
      <c r="AH907" s="22"/>
      <c r="AI907" s="22"/>
      <c r="AJ907" s="22"/>
      <c r="AK907" s="22"/>
      <c r="AL907" s="22"/>
      <c r="AM907" s="22"/>
      <c r="AN907" s="25"/>
      <c r="AO907" s="22"/>
      <c r="AP907" s="22"/>
      <c r="AQ907" s="22"/>
      <c r="AR907" s="22"/>
      <c r="AS907" s="22"/>
      <c r="AT907" s="22"/>
      <c r="AU907" s="22"/>
      <c r="AV907" s="25"/>
      <c r="AW907" s="25"/>
      <c r="AX907" s="25"/>
      <c r="AY907" s="25"/>
      <c r="AZ907" s="25"/>
      <c r="BA907" s="25"/>
      <c r="BB907" s="25"/>
      <c r="BC907" s="25"/>
      <c r="BD907" s="25"/>
      <c r="BE907" s="25"/>
      <c r="BF907" s="25"/>
      <c r="BG907" s="25"/>
      <c r="BH907" s="25"/>
      <c r="BI907" s="25"/>
      <c r="BJ907" s="25"/>
      <c r="BK907" s="25"/>
      <c r="BL907" s="25"/>
    </row>
    <row r="908" spans="1:64" s="21" customFormat="1" ht="18.600000000000001" customHeight="1" x14ac:dyDescent="0.25">
      <c r="A908" s="22"/>
      <c r="B908" s="22"/>
      <c r="C908" s="22"/>
      <c r="D908" s="23"/>
      <c r="E908" s="26"/>
      <c r="F908" s="25"/>
      <c r="G908" s="25"/>
      <c r="H908" s="25"/>
      <c r="I908" s="25"/>
      <c r="J908" s="22"/>
      <c r="K908" s="25"/>
      <c r="L908" s="25"/>
      <c r="M908" s="25"/>
      <c r="N908" s="25"/>
      <c r="O908" s="22"/>
      <c r="P908" s="22"/>
      <c r="Q908" s="22"/>
      <c r="R908" s="22"/>
      <c r="S908" s="25"/>
      <c r="T908" s="25"/>
      <c r="U908" s="25"/>
      <c r="V908" s="25"/>
      <c r="W908" s="25"/>
      <c r="X908" s="25"/>
      <c r="Y908" s="25"/>
      <c r="Z908" s="22"/>
      <c r="AA908" s="22"/>
      <c r="AB908" s="22"/>
      <c r="AC908" s="22"/>
      <c r="AD908" s="22"/>
      <c r="AE908" s="22"/>
      <c r="AF908" s="25"/>
      <c r="AG908" s="22"/>
      <c r="AH908" s="22"/>
      <c r="AI908" s="22"/>
      <c r="AJ908" s="22"/>
      <c r="AK908" s="22"/>
      <c r="AL908" s="22"/>
      <c r="AM908" s="22"/>
      <c r="AN908" s="25"/>
      <c r="AO908" s="22"/>
      <c r="AP908" s="22"/>
      <c r="AQ908" s="22"/>
      <c r="AR908" s="22"/>
      <c r="AS908" s="22"/>
      <c r="AT908" s="22"/>
      <c r="AU908" s="22"/>
      <c r="AV908" s="25"/>
      <c r="AW908" s="25"/>
      <c r="AX908" s="25"/>
      <c r="AY908" s="25"/>
      <c r="AZ908" s="25"/>
      <c r="BA908" s="25"/>
      <c r="BB908" s="25"/>
      <c r="BC908" s="25"/>
      <c r="BD908" s="25"/>
      <c r="BE908" s="25"/>
      <c r="BF908" s="25"/>
      <c r="BG908" s="25"/>
      <c r="BH908" s="25"/>
      <c r="BI908" s="25"/>
      <c r="BJ908" s="25"/>
      <c r="BK908" s="25"/>
      <c r="BL908" s="25"/>
    </row>
    <row r="909" spans="1:64" s="21" customFormat="1" ht="18.600000000000001" customHeight="1" x14ac:dyDescent="0.25">
      <c r="A909" s="22"/>
      <c r="B909" s="22"/>
      <c r="C909" s="22"/>
      <c r="D909" s="23"/>
      <c r="E909" s="26"/>
      <c r="F909" s="25"/>
      <c r="G909" s="25"/>
      <c r="H909" s="25"/>
      <c r="I909" s="25"/>
      <c r="J909" s="22"/>
      <c r="K909" s="25"/>
      <c r="L909" s="25"/>
      <c r="M909" s="25"/>
      <c r="N909" s="25"/>
      <c r="O909" s="22"/>
      <c r="P909" s="22"/>
      <c r="Q909" s="22"/>
      <c r="R909" s="22"/>
      <c r="S909" s="25"/>
      <c r="T909" s="25"/>
      <c r="U909" s="25"/>
      <c r="V909" s="25"/>
      <c r="W909" s="25"/>
      <c r="X909" s="25"/>
      <c r="Y909" s="25"/>
      <c r="Z909" s="22"/>
      <c r="AA909" s="22"/>
      <c r="AB909" s="22"/>
      <c r="AC909" s="22"/>
      <c r="AD909" s="22"/>
      <c r="AE909" s="22"/>
      <c r="AF909" s="25"/>
      <c r="AG909" s="22"/>
      <c r="AH909" s="22"/>
      <c r="AI909" s="22"/>
      <c r="AJ909" s="22"/>
      <c r="AK909" s="22"/>
      <c r="AL909" s="22"/>
      <c r="AM909" s="22"/>
      <c r="AN909" s="25"/>
      <c r="AO909" s="22"/>
      <c r="AP909" s="22"/>
      <c r="AQ909" s="22"/>
      <c r="AR909" s="22"/>
      <c r="AS909" s="22"/>
      <c r="AT909" s="22"/>
      <c r="AU909" s="22"/>
      <c r="AV909" s="25"/>
      <c r="AW909" s="25"/>
      <c r="AX909" s="25"/>
      <c r="AY909" s="25"/>
      <c r="AZ909" s="25"/>
      <c r="BA909" s="25"/>
      <c r="BB909" s="25"/>
      <c r="BC909" s="25"/>
      <c r="BD909" s="25"/>
      <c r="BE909" s="25"/>
      <c r="BF909" s="25"/>
      <c r="BG909" s="25"/>
      <c r="BH909" s="25"/>
      <c r="BI909" s="25"/>
      <c r="BJ909" s="25"/>
      <c r="BK909" s="25"/>
      <c r="BL909" s="25"/>
    </row>
    <row r="910" spans="1:64" s="21" customFormat="1" ht="18.600000000000001" customHeight="1" x14ac:dyDescent="0.25">
      <c r="A910" s="22"/>
      <c r="B910" s="22"/>
      <c r="C910" s="22"/>
      <c r="D910" s="23"/>
      <c r="E910" s="26"/>
      <c r="F910" s="25"/>
      <c r="G910" s="25"/>
      <c r="H910" s="25"/>
      <c r="I910" s="25"/>
      <c r="J910" s="22"/>
      <c r="K910" s="25"/>
      <c r="L910" s="25"/>
      <c r="M910" s="25"/>
      <c r="N910" s="25"/>
      <c r="O910" s="22"/>
      <c r="P910" s="22"/>
      <c r="Q910" s="22"/>
      <c r="R910" s="22"/>
      <c r="S910" s="25"/>
      <c r="T910" s="25"/>
      <c r="U910" s="25"/>
      <c r="V910" s="25"/>
      <c r="W910" s="25"/>
      <c r="X910" s="25"/>
      <c r="Y910" s="25"/>
      <c r="Z910" s="22"/>
      <c r="AA910" s="22"/>
      <c r="AB910" s="22"/>
      <c r="AC910" s="22"/>
      <c r="AD910" s="22"/>
      <c r="AE910" s="22"/>
      <c r="AF910" s="25"/>
      <c r="AG910" s="22"/>
      <c r="AH910" s="22"/>
      <c r="AI910" s="22"/>
      <c r="AJ910" s="22"/>
      <c r="AK910" s="22"/>
      <c r="AL910" s="22"/>
      <c r="AM910" s="22"/>
      <c r="AN910" s="25"/>
      <c r="AO910" s="22"/>
      <c r="AP910" s="22"/>
      <c r="AQ910" s="22"/>
      <c r="AR910" s="22"/>
      <c r="AS910" s="22"/>
      <c r="AT910" s="22"/>
      <c r="AU910" s="22"/>
      <c r="AV910" s="25"/>
      <c r="AW910" s="25"/>
      <c r="AX910" s="25"/>
      <c r="AY910" s="25"/>
      <c r="AZ910" s="25"/>
      <c r="BA910" s="25"/>
      <c r="BB910" s="25"/>
      <c r="BC910" s="25"/>
      <c r="BD910" s="25"/>
      <c r="BE910" s="25"/>
      <c r="BF910" s="25"/>
      <c r="BG910" s="25"/>
      <c r="BH910" s="25"/>
      <c r="BI910" s="25"/>
      <c r="BJ910" s="25"/>
      <c r="BK910" s="25"/>
      <c r="BL910" s="25"/>
    </row>
    <row r="911" spans="1:64" s="21" customFormat="1" ht="18.600000000000001" customHeight="1" x14ac:dyDescent="0.25">
      <c r="A911" s="22"/>
      <c r="B911" s="22"/>
      <c r="C911" s="22"/>
      <c r="D911" s="23"/>
      <c r="E911" s="26"/>
      <c r="F911" s="25"/>
      <c r="G911" s="25"/>
      <c r="H911" s="25"/>
      <c r="I911" s="25"/>
      <c r="J911" s="22"/>
      <c r="K911" s="25"/>
      <c r="L911" s="25"/>
      <c r="M911" s="25"/>
      <c r="N911" s="25"/>
      <c r="O911" s="22"/>
      <c r="P911" s="22"/>
      <c r="Q911" s="22"/>
      <c r="R911" s="22"/>
      <c r="S911" s="25"/>
      <c r="T911" s="25"/>
      <c r="U911" s="25"/>
      <c r="V911" s="25"/>
      <c r="W911" s="25"/>
      <c r="X911" s="25"/>
      <c r="Y911" s="25"/>
      <c r="Z911" s="22"/>
      <c r="AA911" s="22"/>
      <c r="AB911" s="22"/>
      <c r="AC911" s="22"/>
      <c r="AD911" s="22"/>
      <c r="AE911" s="22"/>
      <c r="AF911" s="25"/>
      <c r="AG911" s="22"/>
      <c r="AH911" s="22"/>
      <c r="AI911" s="22"/>
      <c r="AJ911" s="22"/>
      <c r="AK911" s="22"/>
      <c r="AL911" s="22"/>
      <c r="AM911" s="22"/>
      <c r="AN911" s="25"/>
      <c r="AO911" s="22"/>
      <c r="AP911" s="22"/>
      <c r="AQ911" s="22"/>
      <c r="AR911" s="22"/>
      <c r="AS911" s="22"/>
      <c r="AT911" s="22"/>
      <c r="AU911" s="22"/>
      <c r="AV911" s="25"/>
      <c r="AW911" s="25"/>
      <c r="AX911" s="25"/>
      <c r="AY911" s="25"/>
      <c r="AZ911" s="25"/>
      <c r="BA911" s="25"/>
      <c r="BB911" s="25"/>
      <c r="BC911" s="25"/>
      <c r="BD911" s="25"/>
      <c r="BE911" s="25"/>
      <c r="BF911" s="25"/>
      <c r="BG911" s="25"/>
      <c r="BH911" s="25"/>
      <c r="BI911" s="25"/>
      <c r="BJ911" s="25"/>
      <c r="BK911" s="25"/>
      <c r="BL911" s="25"/>
    </row>
    <row r="912" spans="1:64" s="21" customFormat="1" ht="18.600000000000001" customHeight="1" x14ac:dyDescent="0.25">
      <c r="A912" s="22"/>
      <c r="B912" s="22"/>
      <c r="C912" s="22"/>
      <c r="D912" s="23"/>
      <c r="E912" s="26"/>
      <c r="F912" s="25"/>
      <c r="G912" s="25"/>
      <c r="H912" s="25"/>
      <c r="I912" s="25"/>
      <c r="J912" s="22"/>
      <c r="K912" s="25"/>
      <c r="L912" s="25"/>
      <c r="M912" s="25"/>
      <c r="N912" s="25"/>
      <c r="O912" s="22"/>
      <c r="P912" s="22"/>
      <c r="Q912" s="22"/>
      <c r="R912" s="22"/>
      <c r="S912" s="25"/>
      <c r="T912" s="25"/>
      <c r="U912" s="25"/>
      <c r="V912" s="25"/>
      <c r="W912" s="25"/>
      <c r="X912" s="25"/>
      <c r="Y912" s="25"/>
      <c r="Z912" s="22"/>
      <c r="AA912" s="22"/>
      <c r="AB912" s="22"/>
      <c r="AC912" s="22"/>
      <c r="AD912" s="22"/>
      <c r="AE912" s="22"/>
      <c r="AF912" s="25"/>
      <c r="AG912" s="22"/>
      <c r="AH912" s="22"/>
      <c r="AI912" s="22"/>
      <c r="AJ912" s="22"/>
      <c r="AK912" s="22"/>
      <c r="AL912" s="22"/>
      <c r="AM912" s="22"/>
      <c r="AN912" s="25"/>
      <c r="AO912" s="22"/>
      <c r="AP912" s="22"/>
      <c r="AQ912" s="22"/>
      <c r="AR912" s="22"/>
      <c r="AS912" s="22"/>
      <c r="AT912" s="22"/>
      <c r="AU912" s="22"/>
      <c r="AV912" s="25"/>
      <c r="AW912" s="25"/>
      <c r="AX912" s="25"/>
      <c r="AY912" s="25"/>
      <c r="AZ912" s="25"/>
      <c r="BA912" s="25"/>
      <c r="BB912" s="25"/>
      <c r="BC912" s="25"/>
      <c r="BD912" s="25"/>
      <c r="BE912" s="25"/>
      <c r="BF912" s="25"/>
      <c r="BG912" s="25"/>
      <c r="BH912" s="25"/>
      <c r="BI912" s="25"/>
      <c r="BJ912" s="25"/>
      <c r="BK912" s="25"/>
      <c r="BL912" s="25"/>
    </row>
    <row r="913" spans="1:64" s="21" customFormat="1" ht="18.600000000000001" customHeight="1" x14ac:dyDescent="0.25">
      <c r="A913" s="22"/>
      <c r="B913" s="22"/>
      <c r="C913" s="22"/>
      <c r="D913" s="23"/>
      <c r="E913" s="26"/>
      <c r="F913" s="25"/>
      <c r="G913" s="25"/>
      <c r="H913" s="25"/>
      <c r="I913" s="25"/>
      <c r="J913" s="22"/>
      <c r="K913" s="25"/>
      <c r="L913" s="25"/>
      <c r="M913" s="25"/>
      <c r="N913" s="25"/>
      <c r="O913" s="22"/>
      <c r="P913" s="22"/>
      <c r="Q913" s="22"/>
      <c r="R913" s="22"/>
      <c r="S913" s="25"/>
      <c r="T913" s="25"/>
      <c r="U913" s="25"/>
      <c r="V913" s="25"/>
      <c r="W913" s="25"/>
      <c r="X913" s="25"/>
      <c r="Y913" s="25"/>
      <c r="Z913" s="22"/>
      <c r="AA913" s="22"/>
      <c r="AB913" s="22"/>
      <c r="AC913" s="22"/>
      <c r="AD913" s="22"/>
      <c r="AE913" s="22"/>
      <c r="AF913" s="25"/>
      <c r="AG913" s="22"/>
      <c r="AH913" s="22"/>
      <c r="AI913" s="22"/>
      <c r="AJ913" s="22"/>
      <c r="AK913" s="22"/>
      <c r="AL913" s="22"/>
      <c r="AM913" s="22"/>
      <c r="AN913" s="25"/>
      <c r="AO913" s="22"/>
      <c r="AP913" s="22"/>
      <c r="AQ913" s="22"/>
      <c r="AR913" s="22"/>
      <c r="AS913" s="22"/>
      <c r="AT913" s="22"/>
      <c r="AU913" s="22"/>
      <c r="AV913" s="25"/>
      <c r="AW913" s="25"/>
      <c r="AX913" s="25"/>
      <c r="AY913" s="25"/>
      <c r="AZ913" s="25"/>
      <c r="BA913" s="25"/>
      <c r="BB913" s="25"/>
      <c r="BC913" s="25"/>
      <c r="BD913" s="25"/>
      <c r="BE913" s="25"/>
      <c r="BF913" s="25"/>
      <c r="BG913" s="25"/>
      <c r="BH913" s="25"/>
      <c r="BI913" s="25"/>
      <c r="BJ913" s="25"/>
      <c r="BK913" s="25"/>
      <c r="BL913" s="25"/>
    </row>
    <row r="914" spans="1:64" s="21" customFormat="1" ht="18.600000000000001" customHeight="1" x14ac:dyDescent="0.25">
      <c r="A914" s="22"/>
      <c r="B914" s="22"/>
      <c r="C914" s="22"/>
      <c r="D914" s="23"/>
      <c r="E914" s="26"/>
      <c r="F914" s="25"/>
      <c r="G914" s="25"/>
      <c r="H914" s="25"/>
      <c r="I914" s="25"/>
      <c r="J914" s="22"/>
      <c r="K914" s="25"/>
      <c r="L914" s="25"/>
      <c r="M914" s="25"/>
      <c r="N914" s="25"/>
      <c r="O914" s="22"/>
      <c r="P914" s="22"/>
      <c r="Q914" s="22"/>
      <c r="R914" s="22"/>
      <c r="S914" s="25"/>
      <c r="T914" s="25"/>
      <c r="U914" s="25"/>
      <c r="V914" s="25"/>
      <c r="W914" s="25"/>
      <c r="X914" s="25"/>
      <c r="Y914" s="25"/>
      <c r="Z914" s="22"/>
      <c r="AA914" s="22"/>
      <c r="AB914" s="22"/>
      <c r="AC914" s="22"/>
      <c r="AD914" s="22"/>
      <c r="AE914" s="22"/>
      <c r="AF914" s="25"/>
      <c r="AG914" s="22"/>
      <c r="AH914" s="22"/>
      <c r="AI914" s="22"/>
      <c r="AJ914" s="22"/>
      <c r="AK914" s="22"/>
      <c r="AL914" s="22"/>
      <c r="AM914" s="22"/>
      <c r="AN914" s="25"/>
      <c r="AO914" s="22"/>
      <c r="AP914" s="22"/>
      <c r="AQ914" s="22"/>
      <c r="AR914" s="22"/>
      <c r="AS914" s="22"/>
      <c r="AT914" s="22"/>
      <c r="AU914" s="22"/>
      <c r="AV914" s="25"/>
      <c r="AW914" s="25"/>
      <c r="AX914" s="25"/>
      <c r="AY914" s="25"/>
      <c r="AZ914" s="25"/>
      <c r="BA914" s="25"/>
      <c r="BB914" s="25"/>
      <c r="BC914" s="25"/>
      <c r="BD914" s="25"/>
      <c r="BE914" s="25"/>
      <c r="BF914" s="25"/>
      <c r="BG914" s="25"/>
      <c r="BH914" s="25"/>
      <c r="BI914" s="25"/>
      <c r="BJ914" s="25"/>
      <c r="BK914" s="25"/>
      <c r="BL914" s="25"/>
    </row>
    <row r="915" spans="1:64" s="21" customFormat="1" ht="18.600000000000001" customHeight="1" x14ac:dyDescent="0.25">
      <c r="A915" s="22"/>
      <c r="B915" s="22"/>
      <c r="C915" s="22"/>
      <c r="D915" s="23"/>
      <c r="E915" s="26"/>
      <c r="F915" s="25"/>
      <c r="G915" s="25"/>
      <c r="H915" s="25"/>
      <c r="I915" s="25"/>
      <c r="J915" s="22"/>
      <c r="K915" s="25"/>
      <c r="L915" s="25"/>
      <c r="M915" s="25"/>
      <c r="N915" s="25"/>
      <c r="O915" s="22"/>
      <c r="P915" s="22"/>
      <c r="Q915" s="22"/>
      <c r="R915" s="22"/>
      <c r="S915" s="25"/>
      <c r="T915" s="25"/>
      <c r="U915" s="25"/>
      <c r="V915" s="25"/>
      <c r="W915" s="25"/>
      <c r="X915" s="25"/>
      <c r="Y915" s="25"/>
      <c r="Z915" s="22"/>
      <c r="AA915" s="22"/>
      <c r="AB915" s="22"/>
      <c r="AC915" s="22"/>
      <c r="AD915" s="22"/>
      <c r="AE915" s="22"/>
      <c r="AF915" s="25"/>
      <c r="AG915" s="22"/>
      <c r="AH915" s="22"/>
      <c r="AI915" s="22"/>
      <c r="AJ915" s="22"/>
      <c r="AK915" s="22"/>
      <c r="AL915" s="22"/>
      <c r="AM915" s="22"/>
      <c r="AN915" s="25"/>
      <c r="AO915" s="22"/>
      <c r="AP915" s="22"/>
      <c r="AQ915" s="22"/>
      <c r="AR915" s="22"/>
      <c r="AS915" s="22"/>
      <c r="AT915" s="22"/>
      <c r="AU915" s="22"/>
      <c r="AV915" s="25"/>
      <c r="AW915" s="25"/>
      <c r="AX915" s="25"/>
      <c r="AY915" s="25"/>
      <c r="AZ915" s="25"/>
      <c r="BA915" s="25"/>
      <c r="BB915" s="25"/>
      <c r="BC915" s="25"/>
      <c r="BD915" s="25"/>
      <c r="BE915" s="25"/>
      <c r="BF915" s="25"/>
      <c r="BG915" s="25"/>
      <c r="BH915" s="25"/>
      <c r="BI915" s="25"/>
      <c r="BJ915" s="25"/>
      <c r="BK915" s="25"/>
      <c r="BL915" s="25"/>
    </row>
    <row r="916" spans="1:64" s="21" customFormat="1" ht="18.600000000000001" customHeight="1" x14ac:dyDescent="0.25">
      <c r="A916" s="22"/>
      <c r="B916" s="22"/>
      <c r="C916" s="22"/>
      <c r="D916" s="23"/>
      <c r="E916" s="26"/>
      <c r="F916" s="25"/>
      <c r="G916" s="25"/>
      <c r="H916" s="25"/>
      <c r="I916" s="25"/>
      <c r="J916" s="22"/>
      <c r="K916" s="25"/>
      <c r="L916" s="25"/>
      <c r="M916" s="25"/>
      <c r="N916" s="25"/>
      <c r="O916" s="22"/>
      <c r="P916" s="22"/>
      <c r="Q916" s="22"/>
      <c r="R916" s="22"/>
      <c r="S916" s="25"/>
      <c r="T916" s="25"/>
      <c r="U916" s="25"/>
      <c r="V916" s="25"/>
      <c r="W916" s="25"/>
      <c r="X916" s="25"/>
      <c r="Y916" s="25"/>
      <c r="Z916" s="22"/>
      <c r="AA916" s="22"/>
      <c r="AB916" s="22"/>
      <c r="AC916" s="22"/>
      <c r="AD916" s="22"/>
      <c r="AE916" s="22"/>
      <c r="AF916" s="25"/>
      <c r="AG916" s="22"/>
      <c r="AH916" s="22"/>
      <c r="AI916" s="22"/>
      <c r="AJ916" s="22"/>
      <c r="AK916" s="22"/>
      <c r="AL916" s="22"/>
      <c r="AM916" s="22"/>
      <c r="AN916" s="25"/>
      <c r="AO916" s="22"/>
      <c r="AP916" s="22"/>
      <c r="AQ916" s="22"/>
      <c r="AR916" s="22"/>
      <c r="AS916" s="22"/>
      <c r="AT916" s="22"/>
      <c r="AU916" s="22"/>
      <c r="AV916" s="25"/>
      <c r="AW916" s="25"/>
      <c r="AX916" s="25"/>
      <c r="AY916" s="25"/>
      <c r="AZ916" s="25"/>
      <c r="BA916" s="25"/>
      <c r="BB916" s="25"/>
      <c r="BC916" s="25"/>
      <c r="BD916" s="25"/>
      <c r="BE916" s="25"/>
      <c r="BF916" s="25"/>
      <c r="BG916" s="25"/>
      <c r="BH916" s="25"/>
      <c r="BI916" s="25"/>
      <c r="BJ916" s="25"/>
      <c r="BK916" s="25"/>
      <c r="BL916" s="25"/>
    </row>
    <row r="917" spans="1:64" s="21" customFormat="1" ht="18.600000000000001" customHeight="1" x14ac:dyDescent="0.25">
      <c r="A917" s="22"/>
      <c r="B917" s="22"/>
      <c r="C917" s="22"/>
      <c r="D917" s="23"/>
      <c r="E917" s="26"/>
      <c r="F917" s="25"/>
      <c r="G917" s="25"/>
      <c r="H917" s="25"/>
      <c r="I917" s="25"/>
      <c r="J917" s="22"/>
      <c r="K917" s="25"/>
      <c r="L917" s="25"/>
      <c r="M917" s="25"/>
      <c r="N917" s="25"/>
      <c r="O917" s="22"/>
      <c r="P917" s="22"/>
      <c r="Q917" s="22"/>
      <c r="R917" s="22"/>
      <c r="S917" s="25"/>
      <c r="T917" s="25"/>
      <c r="U917" s="25"/>
      <c r="V917" s="25"/>
      <c r="W917" s="25"/>
      <c r="X917" s="25"/>
      <c r="Y917" s="25"/>
      <c r="Z917" s="22"/>
      <c r="AA917" s="22"/>
      <c r="AB917" s="22"/>
      <c r="AC917" s="22"/>
      <c r="AD917" s="22"/>
      <c r="AE917" s="22"/>
      <c r="AF917" s="25"/>
      <c r="AG917" s="22"/>
      <c r="AH917" s="22"/>
      <c r="AI917" s="22"/>
      <c r="AJ917" s="22"/>
      <c r="AK917" s="22"/>
      <c r="AL917" s="22"/>
      <c r="AM917" s="22"/>
      <c r="AN917" s="25"/>
      <c r="AO917" s="22"/>
      <c r="AP917" s="22"/>
      <c r="AQ917" s="22"/>
      <c r="AR917" s="22"/>
      <c r="AS917" s="22"/>
      <c r="AT917" s="22"/>
      <c r="AU917" s="22"/>
      <c r="AV917" s="25"/>
      <c r="AW917" s="25"/>
      <c r="AX917" s="25"/>
      <c r="AY917" s="25"/>
      <c r="AZ917" s="25"/>
      <c r="BA917" s="25"/>
      <c r="BB917" s="25"/>
      <c r="BC917" s="25"/>
      <c r="BD917" s="25"/>
      <c r="BE917" s="25"/>
      <c r="BF917" s="25"/>
      <c r="BG917" s="25"/>
      <c r="BH917" s="25"/>
      <c r="BI917" s="25"/>
      <c r="BJ917" s="25"/>
      <c r="BK917" s="25"/>
      <c r="BL917" s="25"/>
    </row>
    <row r="918" spans="1:64" s="21" customFormat="1" ht="18.600000000000001" customHeight="1" x14ac:dyDescent="0.25">
      <c r="A918" s="22"/>
      <c r="B918" s="22"/>
      <c r="C918" s="22"/>
      <c r="D918" s="23"/>
      <c r="E918" s="26"/>
      <c r="F918" s="25"/>
      <c r="G918" s="25"/>
      <c r="H918" s="25"/>
      <c r="I918" s="25"/>
      <c r="J918" s="22"/>
      <c r="K918" s="25"/>
      <c r="L918" s="25"/>
      <c r="M918" s="25"/>
      <c r="N918" s="25"/>
      <c r="O918" s="22"/>
      <c r="P918" s="22"/>
      <c r="Q918" s="22"/>
      <c r="R918" s="22"/>
      <c r="S918" s="25"/>
      <c r="T918" s="25"/>
      <c r="U918" s="25"/>
      <c r="V918" s="25"/>
      <c r="W918" s="25"/>
      <c r="X918" s="25"/>
      <c r="Y918" s="25"/>
      <c r="Z918" s="22"/>
      <c r="AA918" s="22"/>
      <c r="AB918" s="22"/>
      <c r="AC918" s="22"/>
      <c r="AD918" s="22"/>
      <c r="AE918" s="22"/>
      <c r="AF918" s="25"/>
      <c r="AG918" s="22"/>
      <c r="AH918" s="22"/>
      <c r="AI918" s="22"/>
      <c r="AJ918" s="22"/>
      <c r="AK918" s="22"/>
      <c r="AL918" s="22"/>
      <c r="AM918" s="22"/>
      <c r="AN918" s="25"/>
      <c r="AO918" s="22"/>
      <c r="AP918" s="22"/>
      <c r="AQ918" s="22"/>
      <c r="AR918" s="22"/>
      <c r="AS918" s="22"/>
      <c r="AT918" s="22"/>
      <c r="AU918" s="22"/>
      <c r="AV918" s="25"/>
      <c r="AW918" s="25"/>
      <c r="AX918" s="25"/>
      <c r="AY918" s="25"/>
      <c r="AZ918" s="25"/>
      <c r="BA918" s="25"/>
      <c r="BB918" s="25"/>
      <c r="BC918" s="25"/>
      <c r="BD918" s="25"/>
      <c r="BE918" s="25"/>
      <c r="BF918" s="25"/>
      <c r="BG918" s="25"/>
      <c r="BH918" s="25"/>
      <c r="BI918" s="25"/>
      <c r="BJ918" s="25"/>
      <c r="BK918" s="25"/>
      <c r="BL918" s="25"/>
    </row>
    <row r="919" spans="1:64" s="21" customFormat="1" ht="18.600000000000001" customHeight="1" x14ac:dyDescent="0.25">
      <c r="A919" s="22"/>
      <c r="B919" s="22"/>
      <c r="C919" s="22"/>
      <c r="D919" s="23"/>
      <c r="E919" s="26"/>
      <c r="F919" s="25"/>
      <c r="G919" s="25"/>
      <c r="H919" s="25"/>
      <c r="I919" s="25"/>
      <c r="J919" s="22"/>
      <c r="K919" s="25"/>
      <c r="L919" s="25"/>
      <c r="M919" s="25"/>
      <c r="N919" s="25"/>
      <c r="O919" s="22"/>
      <c r="P919" s="22"/>
      <c r="Q919" s="22"/>
      <c r="R919" s="22"/>
      <c r="S919" s="25"/>
      <c r="T919" s="25"/>
      <c r="U919" s="25"/>
      <c r="V919" s="25"/>
      <c r="W919" s="25"/>
      <c r="X919" s="25"/>
      <c r="Y919" s="25"/>
      <c r="Z919" s="22"/>
      <c r="AA919" s="22"/>
      <c r="AB919" s="22"/>
      <c r="AC919" s="22"/>
      <c r="AD919" s="22"/>
      <c r="AE919" s="22"/>
      <c r="AF919" s="25"/>
      <c r="AG919" s="22"/>
      <c r="AH919" s="22"/>
      <c r="AI919" s="22"/>
      <c r="AJ919" s="22"/>
      <c r="AK919" s="22"/>
      <c r="AL919" s="22"/>
      <c r="AM919" s="22"/>
      <c r="AN919" s="25"/>
      <c r="AO919" s="22"/>
      <c r="AP919" s="22"/>
      <c r="AQ919" s="22"/>
      <c r="AR919" s="22"/>
      <c r="AS919" s="22"/>
      <c r="AT919" s="22"/>
      <c r="AU919" s="22"/>
      <c r="AV919" s="25"/>
      <c r="AW919" s="25"/>
      <c r="AX919" s="25"/>
      <c r="AY919" s="25"/>
      <c r="AZ919" s="25"/>
      <c r="BA919" s="25"/>
      <c r="BB919" s="25"/>
      <c r="BC919" s="25"/>
      <c r="BD919" s="25"/>
      <c r="BE919" s="25"/>
      <c r="BF919" s="25"/>
      <c r="BG919" s="25"/>
      <c r="BH919" s="25"/>
      <c r="BI919" s="25"/>
      <c r="BJ919" s="25"/>
      <c r="BK919" s="25"/>
      <c r="BL919" s="25"/>
    </row>
    <row r="920" spans="1:64" s="21" customFormat="1" ht="18.600000000000001" customHeight="1" x14ac:dyDescent="0.25">
      <c r="A920" s="22"/>
      <c r="B920" s="22"/>
      <c r="C920" s="22"/>
      <c r="D920" s="23"/>
      <c r="E920" s="26"/>
      <c r="F920" s="25"/>
      <c r="G920" s="25"/>
      <c r="H920" s="25"/>
      <c r="I920" s="25"/>
      <c r="J920" s="22"/>
      <c r="K920" s="25"/>
      <c r="L920" s="25"/>
      <c r="M920" s="25"/>
      <c r="N920" s="25"/>
      <c r="O920" s="22"/>
      <c r="P920" s="22"/>
      <c r="Q920" s="22"/>
      <c r="R920" s="22"/>
      <c r="S920" s="25"/>
      <c r="T920" s="25"/>
      <c r="U920" s="25"/>
      <c r="V920" s="25"/>
      <c r="W920" s="25"/>
      <c r="X920" s="25"/>
      <c r="Y920" s="25"/>
      <c r="Z920" s="22"/>
      <c r="AA920" s="22"/>
      <c r="AB920" s="22"/>
      <c r="AC920" s="22"/>
      <c r="AD920" s="22"/>
      <c r="AE920" s="22"/>
      <c r="AF920" s="25"/>
      <c r="AG920" s="22"/>
      <c r="AH920" s="22"/>
      <c r="AI920" s="22"/>
      <c r="AJ920" s="22"/>
      <c r="AK920" s="22"/>
      <c r="AL920" s="22"/>
      <c r="AM920" s="22"/>
      <c r="AN920" s="25"/>
      <c r="AO920" s="22"/>
      <c r="AP920" s="22"/>
      <c r="AQ920" s="22"/>
      <c r="AR920" s="22"/>
      <c r="AS920" s="22"/>
      <c r="AT920" s="22"/>
      <c r="AU920" s="22"/>
      <c r="AV920" s="25"/>
      <c r="AW920" s="25"/>
      <c r="AX920" s="25"/>
      <c r="AY920" s="25"/>
      <c r="AZ920" s="25"/>
      <c r="BA920" s="25"/>
      <c r="BB920" s="25"/>
      <c r="BC920" s="25"/>
      <c r="BD920" s="25"/>
      <c r="BE920" s="25"/>
      <c r="BF920" s="25"/>
      <c r="BG920" s="25"/>
      <c r="BH920" s="25"/>
      <c r="BI920" s="25"/>
      <c r="BJ920" s="25"/>
      <c r="BK920" s="25"/>
      <c r="BL920" s="25"/>
    </row>
    <row r="921" spans="1:64" s="21" customFormat="1" ht="18.600000000000001" customHeight="1" x14ac:dyDescent="0.25">
      <c r="A921" s="22"/>
      <c r="B921" s="22"/>
      <c r="C921" s="22"/>
      <c r="D921" s="23"/>
      <c r="E921" s="26"/>
      <c r="F921" s="25"/>
      <c r="G921" s="25"/>
      <c r="H921" s="25"/>
      <c r="I921" s="25"/>
      <c r="J921" s="22"/>
      <c r="K921" s="25"/>
      <c r="L921" s="25"/>
      <c r="M921" s="25"/>
      <c r="N921" s="25"/>
      <c r="O921" s="22"/>
      <c r="P921" s="22"/>
      <c r="Q921" s="22"/>
      <c r="R921" s="22"/>
      <c r="S921" s="25"/>
      <c r="T921" s="25"/>
      <c r="U921" s="25"/>
      <c r="V921" s="25"/>
      <c r="W921" s="25"/>
      <c r="X921" s="25"/>
      <c r="Y921" s="25"/>
      <c r="Z921" s="22"/>
      <c r="AA921" s="22"/>
      <c r="AB921" s="22"/>
      <c r="AC921" s="22"/>
      <c r="AD921" s="22"/>
      <c r="AE921" s="22"/>
      <c r="AF921" s="25"/>
      <c r="AG921" s="22"/>
      <c r="AH921" s="22"/>
      <c r="AI921" s="22"/>
      <c r="AJ921" s="22"/>
      <c r="AK921" s="22"/>
      <c r="AL921" s="22"/>
      <c r="AM921" s="22"/>
      <c r="AN921" s="25"/>
      <c r="AO921" s="22"/>
      <c r="AP921" s="22"/>
      <c r="AQ921" s="22"/>
      <c r="AR921" s="22"/>
      <c r="AS921" s="22"/>
      <c r="AT921" s="22"/>
      <c r="AU921" s="22"/>
      <c r="AV921" s="25"/>
      <c r="AW921" s="25"/>
      <c r="AX921" s="25"/>
      <c r="AY921" s="25"/>
      <c r="AZ921" s="25"/>
      <c r="BA921" s="25"/>
      <c r="BB921" s="25"/>
      <c r="BC921" s="25"/>
      <c r="BD921" s="25"/>
      <c r="BE921" s="25"/>
      <c r="BF921" s="25"/>
      <c r="BG921" s="25"/>
      <c r="BH921" s="25"/>
      <c r="BI921" s="25"/>
      <c r="BJ921" s="25"/>
      <c r="BK921" s="25"/>
      <c r="BL921" s="25"/>
    </row>
    <row r="922" spans="1:64" s="21" customFormat="1" ht="18.600000000000001" customHeight="1" x14ac:dyDescent="0.25">
      <c r="A922" s="22"/>
      <c r="B922" s="22"/>
      <c r="C922" s="22"/>
      <c r="D922" s="23"/>
      <c r="E922" s="26"/>
      <c r="F922" s="25"/>
      <c r="G922" s="25"/>
      <c r="H922" s="25"/>
      <c r="I922" s="25"/>
      <c r="J922" s="22"/>
      <c r="K922" s="25"/>
      <c r="L922" s="25"/>
      <c r="M922" s="25"/>
      <c r="N922" s="25"/>
      <c r="O922" s="22"/>
      <c r="P922" s="22"/>
      <c r="Q922" s="22"/>
      <c r="R922" s="22"/>
      <c r="S922" s="25"/>
      <c r="T922" s="25"/>
      <c r="U922" s="25"/>
      <c r="V922" s="25"/>
      <c r="W922" s="25"/>
      <c r="X922" s="25"/>
      <c r="Y922" s="25"/>
      <c r="Z922" s="22"/>
      <c r="AA922" s="22"/>
      <c r="AB922" s="22"/>
      <c r="AC922" s="22"/>
      <c r="AD922" s="22"/>
      <c r="AE922" s="22"/>
      <c r="AF922" s="25"/>
      <c r="AG922" s="22"/>
      <c r="AH922" s="22"/>
      <c r="AI922" s="22"/>
      <c r="AJ922" s="22"/>
      <c r="AK922" s="22"/>
      <c r="AL922" s="22"/>
      <c r="AM922" s="22"/>
      <c r="AN922" s="25"/>
      <c r="AO922" s="22"/>
      <c r="AP922" s="22"/>
      <c r="AQ922" s="22"/>
      <c r="AR922" s="22"/>
      <c r="AS922" s="22"/>
      <c r="AT922" s="22"/>
      <c r="AU922" s="22"/>
      <c r="AV922" s="25"/>
      <c r="AW922" s="25"/>
      <c r="AX922" s="25"/>
      <c r="AY922" s="25"/>
      <c r="AZ922" s="25"/>
      <c r="BA922" s="25"/>
      <c r="BB922" s="25"/>
      <c r="BC922" s="25"/>
      <c r="BD922" s="25"/>
      <c r="BE922" s="25"/>
      <c r="BF922" s="25"/>
      <c r="BG922" s="25"/>
      <c r="BH922" s="25"/>
      <c r="BI922" s="25"/>
      <c r="BJ922" s="25"/>
      <c r="BK922" s="25"/>
      <c r="BL922" s="25"/>
    </row>
    <row r="923" spans="1:64" s="21" customFormat="1" ht="18.600000000000001" customHeight="1" x14ac:dyDescent="0.25">
      <c r="A923" s="22"/>
      <c r="B923" s="22"/>
      <c r="C923" s="22"/>
      <c r="D923" s="23"/>
      <c r="E923" s="26"/>
      <c r="F923" s="25"/>
      <c r="G923" s="25"/>
      <c r="H923" s="25"/>
      <c r="I923" s="25"/>
      <c r="J923" s="22"/>
      <c r="K923" s="25"/>
      <c r="L923" s="25"/>
      <c r="M923" s="25"/>
      <c r="N923" s="25"/>
      <c r="O923" s="22"/>
      <c r="P923" s="22"/>
      <c r="Q923" s="22"/>
      <c r="R923" s="22"/>
      <c r="S923" s="25"/>
      <c r="T923" s="25"/>
      <c r="U923" s="25"/>
      <c r="V923" s="25"/>
      <c r="W923" s="25"/>
      <c r="X923" s="25"/>
      <c r="Y923" s="25"/>
      <c r="Z923" s="22"/>
      <c r="AA923" s="22"/>
      <c r="AB923" s="22"/>
      <c r="AC923" s="22"/>
      <c r="AD923" s="22"/>
      <c r="AE923" s="22"/>
      <c r="AF923" s="25"/>
      <c r="AG923" s="22"/>
      <c r="AH923" s="22"/>
      <c r="AI923" s="22"/>
      <c r="AJ923" s="22"/>
      <c r="AK923" s="22"/>
      <c r="AL923" s="22"/>
      <c r="AM923" s="22"/>
      <c r="AN923" s="25"/>
      <c r="AO923" s="22"/>
      <c r="AP923" s="22"/>
      <c r="AQ923" s="22"/>
      <c r="AR923" s="22"/>
      <c r="AS923" s="22"/>
      <c r="AT923" s="22"/>
      <c r="AU923" s="22"/>
      <c r="AV923" s="25"/>
      <c r="AW923" s="25"/>
      <c r="AX923" s="25"/>
      <c r="AY923" s="25"/>
      <c r="AZ923" s="25"/>
      <c r="BA923" s="25"/>
      <c r="BB923" s="25"/>
      <c r="BC923" s="25"/>
      <c r="BD923" s="25"/>
      <c r="BE923" s="25"/>
      <c r="BF923" s="25"/>
      <c r="BG923" s="25"/>
      <c r="BH923" s="25"/>
      <c r="BI923" s="25"/>
      <c r="BJ923" s="25"/>
      <c r="BK923" s="25"/>
      <c r="BL923" s="25"/>
    </row>
    <row r="924" spans="1:64" s="21" customFormat="1" ht="18.600000000000001" customHeight="1" x14ac:dyDescent="0.25">
      <c r="A924" s="22"/>
      <c r="B924" s="22"/>
      <c r="C924" s="22"/>
      <c r="D924" s="23"/>
      <c r="E924" s="26"/>
      <c r="F924" s="25"/>
      <c r="G924" s="25"/>
      <c r="H924" s="25"/>
      <c r="I924" s="25"/>
      <c r="J924" s="22"/>
      <c r="K924" s="25"/>
      <c r="L924" s="25"/>
      <c r="M924" s="25"/>
      <c r="N924" s="25"/>
      <c r="O924" s="22"/>
      <c r="P924" s="22"/>
      <c r="Q924" s="22"/>
      <c r="R924" s="22"/>
      <c r="S924" s="25"/>
      <c r="T924" s="25"/>
      <c r="U924" s="25"/>
      <c r="V924" s="25"/>
      <c r="W924" s="25"/>
      <c r="X924" s="25"/>
      <c r="Y924" s="25"/>
      <c r="Z924" s="22"/>
      <c r="AA924" s="22"/>
      <c r="AB924" s="22"/>
      <c r="AC924" s="22"/>
      <c r="AD924" s="22"/>
      <c r="AE924" s="22"/>
      <c r="AF924" s="25"/>
      <c r="AG924" s="22"/>
      <c r="AH924" s="22"/>
      <c r="AI924" s="22"/>
      <c r="AJ924" s="22"/>
      <c r="AK924" s="22"/>
      <c r="AL924" s="22"/>
      <c r="AM924" s="22"/>
      <c r="AN924" s="25"/>
      <c r="AO924" s="22"/>
      <c r="AP924" s="22"/>
      <c r="AQ924" s="22"/>
      <c r="AR924" s="22"/>
      <c r="AS924" s="22"/>
      <c r="AT924" s="22"/>
      <c r="AU924" s="22"/>
      <c r="AV924" s="25"/>
      <c r="AW924" s="25"/>
      <c r="AX924" s="25"/>
      <c r="AY924" s="25"/>
      <c r="AZ924" s="25"/>
      <c r="BA924" s="25"/>
      <c r="BB924" s="25"/>
      <c r="BC924" s="25"/>
      <c r="BD924" s="25"/>
      <c r="BE924" s="25"/>
      <c r="BF924" s="25"/>
      <c r="BG924" s="25"/>
      <c r="BH924" s="25"/>
      <c r="BI924" s="25"/>
      <c r="BJ924" s="25"/>
      <c r="BK924" s="25"/>
      <c r="BL924" s="25"/>
    </row>
    <row r="925" spans="1:64" s="21" customFormat="1" ht="18.600000000000001" customHeight="1" x14ac:dyDescent="0.25">
      <c r="A925" s="22"/>
      <c r="B925" s="22"/>
      <c r="C925" s="22"/>
      <c r="D925" s="23"/>
      <c r="E925" s="26"/>
      <c r="F925" s="25"/>
      <c r="G925" s="25"/>
      <c r="H925" s="25"/>
      <c r="I925" s="25"/>
      <c r="J925" s="22"/>
      <c r="K925" s="25"/>
      <c r="L925" s="25"/>
      <c r="M925" s="25"/>
      <c r="N925" s="25"/>
      <c r="O925" s="22"/>
      <c r="P925" s="22"/>
      <c r="Q925" s="22"/>
      <c r="R925" s="22"/>
      <c r="S925" s="25"/>
      <c r="T925" s="25"/>
      <c r="U925" s="25"/>
      <c r="V925" s="25"/>
      <c r="W925" s="25"/>
      <c r="X925" s="25"/>
      <c r="Y925" s="25"/>
      <c r="Z925" s="22"/>
      <c r="AA925" s="22"/>
      <c r="AB925" s="22"/>
      <c r="AC925" s="22"/>
      <c r="AD925" s="22"/>
      <c r="AE925" s="22"/>
      <c r="AF925" s="25"/>
      <c r="AG925" s="22"/>
      <c r="AH925" s="22"/>
      <c r="AI925" s="22"/>
      <c r="AJ925" s="22"/>
      <c r="AK925" s="22"/>
      <c r="AL925" s="22"/>
      <c r="AM925" s="22"/>
      <c r="AN925" s="25"/>
      <c r="AO925" s="22"/>
      <c r="AP925" s="22"/>
      <c r="AQ925" s="22"/>
      <c r="AR925" s="22"/>
      <c r="AS925" s="22"/>
      <c r="AT925" s="22"/>
      <c r="AU925" s="22"/>
      <c r="AV925" s="25"/>
      <c r="AW925" s="25"/>
      <c r="AX925" s="25"/>
      <c r="AY925" s="25"/>
      <c r="AZ925" s="25"/>
      <c r="BA925" s="25"/>
      <c r="BB925" s="25"/>
      <c r="BC925" s="25"/>
      <c r="BD925" s="25"/>
      <c r="BE925" s="25"/>
      <c r="BF925" s="25"/>
      <c r="BG925" s="25"/>
      <c r="BH925" s="25"/>
      <c r="BI925" s="25"/>
      <c r="BJ925" s="25"/>
      <c r="BK925" s="25"/>
      <c r="BL925" s="25"/>
    </row>
    <row r="926" spans="1:64" s="21" customFormat="1" ht="18.600000000000001" customHeight="1" x14ac:dyDescent="0.25">
      <c r="A926" s="22"/>
      <c r="B926" s="22"/>
      <c r="C926" s="22"/>
      <c r="D926" s="23"/>
      <c r="E926" s="26"/>
      <c r="F926" s="25"/>
      <c r="G926" s="25"/>
      <c r="H926" s="25"/>
      <c r="I926" s="25"/>
      <c r="J926" s="22"/>
      <c r="K926" s="25"/>
      <c r="L926" s="25"/>
      <c r="M926" s="25"/>
      <c r="N926" s="25"/>
      <c r="O926" s="22"/>
      <c r="P926" s="22"/>
      <c r="Q926" s="22"/>
      <c r="R926" s="22"/>
      <c r="S926" s="25"/>
      <c r="T926" s="25"/>
      <c r="U926" s="25"/>
      <c r="V926" s="25"/>
      <c r="W926" s="25"/>
      <c r="X926" s="25"/>
      <c r="Y926" s="25"/>
      <c r="Z926" s="22"/>
      <c r="AA926" s="22"/>
      <c r="AB926" s="22"/>
      <c r="AC926" s="22"/>
      <c r="AD926" s="22"/>
      <c r="AE926" s="22"/>
      <c r="AF926" s="25"/>
      <c r="AG926" s="22"/>
      <c r="AH926" s="22"/>
      <c r="AI926" s="22"/>
      <c r="AJ926" s="22"/>
      <c r="AK926" s="22"/>
      <c r="AL926" s="22"/>
      <c r="AM926" s="22"/>
      <c r="AN926" s="25"/>
      <c r="AO926" s="22"/>
      <c r="AP926" s="22"/>
      <c r="AQ926" s="22"/>
      <c r="AR926" s="22"/>
      <c r="AS926" s="22"/>
      <c r="AT926" s="22"/>
      <c r="AU926" s="22"/>
      <c r="AV926" s="25"/>
      <c r="AW926" s="25"/>
      <c r="AX926" s="25"/>
      <c r="AY926" s="25"/>
      <c r="AZ926" s="25"/>
      <c r="BA926" s="25"/>
      <c r="BB926" s="25"/>
      <c r="BC926" s="25"/>
      <c r="BD926" s="25"/>
      <c r="BE926" s="25"/>
      <c r="BF926" s="25"/>
      <c r="BG926" s="25"/>
      <c r="BH926" s="25"/>
      <c r="BI926" s="25"/>
      <c r="BJ926" s="25"/>
      <c r="BK926" s="25"/>
      <c r="BL926" s="25"/>
    </row>
    <row r="927" spans="1:64" s="21" customFormat="1" ht="18.600000000000001" customHeight="1" x14ac:dyDescent="0.25">
      <c r="A927" s="22"/>
      <c r="B927" s="22"/>
      <c r="C927" s="22"/>
      <c r="D927" s="23"/>
      <c r="E927" s="26"/>
      <c r="F927" s="25"/>
      <c r="G927" s="25"/>
      <c r="H927" s="25"/>
      <c r="I927" s="25"/>
      <c r="J927" s="22"/>
      <c r="K927" s="25"/>
      <c r="L927" s="25"/>
      <c r="M927" s="25"/>
      <c r="N927" s="25"/>
      <c r="O927" s="22"/>
      <c r="P927" s="22"/>
      <c r="Q927" s="22"/>
      <c r="R927" s="22"/>
      <c r="S927" s="25"/>
      <c r="T927" s="25"/>
      <c r="U927" s="25"/>
      <c r="V927" s="25"/>
      <c r="W927" s="25"/>
      <c r="X927" s="25"/>
      <c r="Y927" s="25"/>
      <c r="Z927" s="22"/>
      <c r="AA927" s="22"/>
      <c r="AB927" s="22"/>
      <c r="AC927" s="22"/>
      <c r="AD927" s="22"/>
      <c r="AE927" s="22"/>
      <c r="AF927" s="25"/>
      <c r="AG927" s="22"/>
      <c r="AH927" s="22"/>
      <c r="AI927" s="22"/>
      <c r="AJ927" s="22"/>
      <c r="AK927" s="22"/>
      <c r="AL927" s="22"/>
      <c r="AM927" s="22"/>
      <c r="AN927" s="25"/>
      <c r="AO927" s="22"/>
      <c r="AP927" s="22"/>
      <c r="AQ927" s="22"/>
      <c r="AR927" s="22"/>
      <c r="AS927" s="22"/>
      <c r="AT927" s="22"/>
      <c r="AU927" s="22"/>
      <c r="AV927" s="25"/>
      <c r="AW927" s="25"/>
      <c r="AX927" s="25"/>
      <c r="AY927" s="25"/>
      <c r="AZ927" s="25"/>
      <c r="BA927" s="25"/>
      <c r="BB927" s="25"/>
      <c r="BC927" s="25"/>
      <c r="BD927" s="25"/>
      <c r="BE927" s="25"/>
      <c r="BF927" s="25"/>
      <c r="BG927" s="25"/>
      <c r="BH927" s="25"/>
      <c r="BI927" s="25"/>
      <c r="BJ927" s="25"/>
      <c r="BK927" s="25"/>
      <c r="BL927" s="25"/>
    </row>
    <row r="928" spans="1:64" s="21" customFormat="1" ht="18.600000000000001" customHeight="1" x14ac:dyDescent="0.25">
      <c r="A928" s="22"/>
      <c r="B928" s="22"/>
      <c r="C928" s="22"/>
      <c r="D928" s="23"/>
      <c r="E928" s="26"/>
      <c r="F928" s="25"/>
      <c r="G928" s="25"/>
      <c r="H928" s="25"/>
      <c r="I928" s="25"/>
      <c r="J928" s="22"/>
      <c r="K928" s="25"/>
      <c r="L928" s="25"/>
      <c r="M928" s="25"/>
      <c r="N928" s="25"/>
      <c r="O928" s="22"/>
      <c r="P928" s="22"/>
      <c r="Q928" s="22"/>
      <c r="R928" s="22"/>
      <c r="S928" s="25"/>
      <c r="T928" s="25"/>
      <c r="U928" s="25"/>
      <c r="V928" s="25"/>
      <c r="W928" s="25"/>
      <c r="X928" s="25"/>
      <c r="Y928" s="25"/>
      <c r="Z928" s="22"/>
      <c r="AA928" s="22"/>
      <c r="AB928" s="22"/>
      <c r="AC928" s="22"/>
      <c r="AD928" s="22"/>
      <c r="AE928" s="22"/>
      <c r="AF928" s="25"/>
      <c r="AG928" s="22"/>
      <c r="AH928" s="22"/>
      <c r="AI928" s="22"/>
      <c r="AJ928" s="22"/>
      <c r="AK928" s="22"/>
      <c r="AL928" s="22"/>
      <c r="AM928" s="22"/>
      <c r="AN928" s="25"/>
      <c r="AO928" s="22"/>
      <c r="AP928" s="22"/>
      <c r="AQ928" s="22"/>
      <c r="AR928" s="22"/>
      <c r="AS928" s="22"/>
      <c r="AT928" s="22"/>
      <c r="AU928" s="22"/>
      <c r="AV928" s="25"/>
      <c r="AW928" s="25"/>
      <c r="AX928" s="25"/>
      <c r="AY928" s="25"/>
      <c r="AZ928" s="25"/>
      <c r="BA928" s="25"/>
      <c r="BB928" s="25"/>
      <c r="BC928" s="25"/>
      <c r="BD928" s="25"/>
      <c r="BE928" s="25"/>
      <c r="BF928" s="25"/>
      <c r="BG928" s="25"/>
      <c r="BH928" s="25"/>
      <c r="BI928" s="25"/>
      <c r="BJ928" s="25"/>
      <c r="BK928" s="25"/>
      <c r="BL928" s="25"/>
    </row>
    <row r="929" spans="1:64" s="21" customFormat="1" ht="18.600000000000001" customHeight="1" x14ac:dyDescent="0.25">
      <c r="A929" s="22"/>
      <c r="B929" s="22"/>
      <c r="C929" s="22"/>
      <c r="D929" s="23"/>
      <c r="E929" s="26"/>
      <c r="F929" s="25"/>
      <c r="G929" s="25"/>
      <c r="H929" s="25"/>
      <c r="I929" s="25"/>
      <c r="J929" s="22"/>
      <c r="K929" s="25"/>
      <c r="L929" s="25"/>
      <c r="M929" s="25"/>
      <c r="N929" s="25"/>
      <c r="O929" s="22"/>
      <c r="P929" s="22"/>
      <c r="Q929" s="22"/>
      <c r="R929" s="22"/>
      <c r="S929" s="25"/>
      <c r="T929" s="25"/>
      <c r="U929" s="25"/>
      <c r="V929" s="25"/>
      <c r="W929" s="25"/>
      <c r="X929" s="25"/>
      <c r="Y929" s="25"/>
      <c r="Z929" s="22"/>
      <c r="AA929" s="22"/>
      <c r="AB929" s="22"/>
      <c r="AC929" s="22"/>
      <c r="AD929" s="22"/>
      <c r="AE929" s="22"/>
      <c r="AF929" s="25"/>
      <c r="AG929" s="22"/>
      <c r="AH929" s="22"/>
      <c r="AI929" s="22"/>
      <c r="AJ929" s="22"/>
      <c r="AK929" s="22"/>
      <c r="AL929" s="22"/>
      <c r="AM929" s="22"/>
      <c r="AN929" s="25"/>
      <c r="AO929" s="22"/>
      <c r="AP929" s="22"/>
      <c r="AQ929" s="22"/>
      <c r="AR929" s="22"/>
      <c r="AS929" s="22"/>
      <c r="AT929" s="22"/>
      <c r="AU929" s="22"/>
      <c r="AV929" s="25"/>
      <c r="AW929" s="25"/>
      <c r="AX929" s="25"/>
      <c r="AY929" s="25"/>
      <c r="AZ929" s="25"/>
      <c r="BA929" s="25"/>
      <c r="BB929" s="25"/>
      <c r="BC929" s="25"/>
      <c r="BD929" s="25"/>
      <c r="BE929" s="25"/>
      <c r="BF929" s="25"/>
      <c r="BG929" s="25"/>
      <c r="BH929" s="25"/>
      <c r="BI929" s="25"/>
      <c r="BJ929" s="25"/>
      <c r="BK929" s="25"/>
      <c r="BL929" s="25"/>
    </row>
    <row r="930" spans="1:64" s="21" customFormat="1" ht="18.600000000000001" customHeight="1" x14ac:dyDescent="0.25">
      <c r="A930" s="22"/>
      <c r="B930" s="22"/>
      <c r="C930" s="22"/>
      <c r="D930" s="23"/>
      <c r="E930" s="26"/>
      <c r="F930" s="25"/>
      <c r="G930" s="25"/>
      <c r="H930" s="25"/>
      <c r="I930" s="25"/>
      <c r="J930" s="22"/>
      <c r="K930" s="25"/>
      <c r="L930" s="25"/>
      <c r="M930" s="25"/>
      <c r="N930" s="25"/>
      <c r="O930" s="22"/>
      <c r="P930" s="22"/>
      <c r="Q930" s="22"/>
      <c r="R930" s="22"/>
      <c r="S930" s="25"/>
      <c r="T930" s="25"/>
      <c r="U930" s="25"/>
      <c r="V930" s="25"/>
      <c r="W930" s="25"/>
      <c r="X930" s="25"/>
      <c r="Y930" s="25"/>
      <c r="Z930" s="22"/>
      <c r="AA930" s="22"/>
      <c r="AB930" s="22"/>
      <c r="AC930" s="22"/>
      <c r="AD930" s="22"/>
      <c r="AE930" s="22"/>
      <c r="AF930" s="25"/>
      <c r="AG930" s="22"/>
      <c r="AH930" s="22"/>
      <c r="AI930" s="22"/>
      <c r="AJ930" s="22"/>
      <c r="AK930" s="22"/>
      <c r="AL930" s="22"/>
      <c r="AM930" s="22"/>
      <c r="AN930" s="25"/>
      <c r="AO930" s="22"/>
      <c r="AP930" s="22"/>
      <c r="AQ930" s="22"/>
      <c r="AR930" s="22"/>
      <c r="AS930" s="22"/>
      <c r="AT930" s="22"/>
      <c r="AU930" s="22"/>
      <c r="AV930" s="25"/>
      <c r="AW930" s="25"/>
      <c r="AX930" s="25"/>
      <c r="AY930" s="25"/>
      <c r="AZ930" s="25"/>
      <c r="BA930" s="25"/>
      <c r="BB930" s="25"/>
      <c r="BC930" s="25"/>
      <c r="BD930" s="25"/>
      <c r="BE930" s="25"/>
      <c r="BF930" s="25"/>
      <c r="BG930" s="25"/>
      <c r="BH930" s="25"/>
      <c r="BI930" s="25"/>
      <c r="BJ930" s="25"/>
      <c r="BK930" s="25"/>
      <c r="BL930" s="25"/>
    </row>
    <row r="931" spans="1:64" s="21" customFormat="1" ht="18.600000000000001" customHeight="1" x14ac:dyDescent="0.25">
      <c r="A931" s="22"/>
      <c r="B931" s="22"/>
      <c r="C931" s="22"/>
      <c r="D931" s="23"/>
      <c r="E931" s="26"/>
      <c r="F931" s="25"/>
      <c r="G931" s="25"/>
      <c r="H931" s="25"/>
      <c r="I931" s="25"/>
      <c r="J931" s="22"/>
      <c r="K931" s="25"/>
      <c r="L931" s="25"/>
      <c r="M931" s="25"/>
      <c r="N931" s="25"/>
      <c r="O931" s="22"/>
      <c r="P931" s="22"/>
      <c r="Q931" s="22"/>
      <c r="R931" s="22"/>
      <c r="S931" s="25"/>
      <c r="T931" s="25"/>
      <c r="U931" s="25"/>
      <c r="V931" s="25"/>
      <c r="W931" s="25"/>
      <c r="X931" s="25"/>
      <c r="Y931" s="25"/>
      <c r="Z931" s="22"/>
      <c r="AA931" s="22"/>
      <c r="AB931" s="22"/>
      <c r="AC931" s="22"/>
      <c r="AD931" s="22"/>
      <c r="AE931" s="22"/>
      <c r="AF931" s="25"/>
      <c r="AG931" s="22"/>
      <c r="AH931" s="22"/>
      <c r="AI931" s="22"/>
      <c r="AJ931" s="22"/>
      <c r="AK931" s="22"/>
      <c r="AL931" s="22"/>
      <c r="AM931" s="22"/>
      <c r="AN931" s="25"/>
      <c r="AO931" s="22"/>
      <c r="AP931" s="22"/>
      <c r="AQ931" s="22"/>
      <c r="AR931" s="22"/>
      <c r="AS931" s="22"/>
      <c r="AT931" s="22"/>
      <c r="AU931" s="22"/>
      <c r="AV931" s="25"/>
      <c r="AW931" s="25"/>
      <c r="AX931" s="25"/>
      <c r="AY931" s="25"/>
      <c r="AZ931" s="25"/>
      <c r="BA931" s="25"/>
      <c r="BB931" s="25"/>
      <c r="BC931" s="25"/>
      <c r="BD931" s="25"/>
      <c r="BE931" s="25"/>
      <c r="BF931" s="25"/>
      <c r="BG931" s="25"/>
      <c r="BH931" s="25"/>
      <c r="BI931" s="25"/>
      <c r="BJ931" s="25"/>
      <c r="BK931" s="25"/>
      <c r="BL931" s="25"/>
    </row>
    <row r="932" spans="1:64" s="21" customFormat="1" ht="18.600000000000001" customHeight="1" x14ac:dyDescent="0.25">
      <c r="A932" s="22"/>
      <c r="B932" s="22"/>
      <c r="C932" s="22"/>
      <c r="D932" s="23"/>
      <c r="E932" s="26"/>
      <c r="F932" s="25"/>
      <c r="G932" s="25"/>
      <c r="H932" s="25"/>
      <c r="I932" s="25"/>
      <c r="J932" s="22"/>
      <c r="K932" s="25"/>
      <c r="L932" s="25"/>
      <c r="M932" s="25"/>
      <c r="N932" s="25"/>
      <c r="O932" s="22"/>
      <c r="P932" s="22"/>
      <c r="Q932" s="22"/>
      <c r="R932" s="22"/>
      <c r="S932" s="25"/>
      <c r="T932" s="25"/>
      <c r="U932" s="25"/>
      <c r="V932" s="25"/>
      <c r="W932" s="25"/>
      <c r="X932" s="25"/>
      <c r="Y932" s="25"/>
      <c r="Z932" s="22"/>
      <c r="AA932" s="22"/>
      <c r="AB932" s="22"/>
      <c r="AC932" s="22"/>
      <c r="AD932" s="22"/>
      <c r="AE932" s="22"/>
      <c r="AF932" s="25"/>
      <c r="AG932" s="22"/>
      <c r="AH932" s="22"/>
      <c r="AI932" s="22"/>
      <c r="AJ932" s="22"/>
      <c r="AK932" s="22"/>
      <c r="AL932" s="22"/>
      <c r="AM932" s="22"/>
      <c r="AN932" s="25"/>
      <c r="AO932" s="22"/>
      <c r="AP932" s="22"/>
      <c r="AQ932" s="22"/>
      <c r="AR932" s="22"/>
      <c r="AS932" s="22"/>
      <c r="AT932" s="22"/>
      <c r="AU932" s="22"/>
      <c r="AV932" s="25"/>
      <c r="AW932" s="25"/>
      <c r="AX932" s="25"/>
      <c r="AY932" s="25"/>
      <c r="AZ932" s="25"/>
      <c r="BA932" s="25"/>
      <c r="BB932" s="25"/>
      <c r="BC932" s="25"/>
      <c r="BD932" s="25"/>
      <c r="BE932" s="25"/>
      <c r="BF932" s="25"/>
      <c r="BG932" s="25"/>
      <c r="BH932" s="25"/>
      <c r="BI932" s="25"/>
      <c r="BJ932" s="25"/>
      <c r="BK932" s="25"/>
      <c r="BL932" s="25"/>
    </row>
    <row r="933" spans="1:64" s="21" customFormat="1" ht="18.600000000000001" customHeight="1" x14ac:dyDescent="0.25">
      <c r="A933" s="22"/>
      <c r="B933" s="22"/>
      <c r="C933" s="22"/>
      <c r="D933" s="23"/>
      <c r="E933" s="26"/>
      <c r="F933" s="25"/>
      <c r="G933" s="25"/>
      <c r="H933" s="25"/>
      <c r="I933" s="25"/>
      <c r="J933" s="22"/>
      <c r="K933" s="25"/>
      <c r="L933" s="25"/>
      <c r="M933" s="25"/>
      <c r="N933" s="25"/>
      <c r="O933" s="22"/>
      <c r="P933" s="22"/>
      <c r="Q933" s="22"/>
      <c r="R933" s="22"/>
      <c r="S933" s="25"/>
      <c r="T933" s="25"/>
      <c r="U933" s="25"/>
      <c r="V933" s="25"/>
      <c r="W933" s="25"/>
      <c r="X933" s="25"/>
      <c r="Y933" s="25"/>
      <c r="Z933" s="22"/>
      <c r="AA933" s="22"/>
      <c r="AB933" s="22"/>
      <c r="AC933" s="22"/>
      <c r="AD933" s="22"/>
      <c r="AE933" s="22"/>
      <c r="AF933" s="25"/>
      <c r="AG933" s="22"/>
      <c r="AH933" s="22"/>
      <c r="AI933" s="22"/>
      <c r="AJ933" s="22"/>
      <c r="AK933" s="22"/>
      <c r="AL933" s="22"/>
      <c r="AM933" s="22"/>
      <c r="AN933" s="25"/>
      <c r="AO933" s="22"/>
      <c r="AP933" s="22"/>
      <c r="AQ933" s="22"/>
      <c r="AR933" s="22"/>
      <c r="AS933" s="22"/>
      <c r="AT933" s="22"/>
      <c r="AU933" s="22"/>
      <c r="AV933" s="25"/>
      <c r="AW933" s="25"/>
      <c r="AX933" s="25"/>
      <c r="AY933" s="25"/>
      <c r="AZ933" s="25"/>
      <c r="BA933" s="25"/>
      <c r="BB933" s="25"/>
      <c r="BC933" s="25"/>
      <c r="BD933" s="25"/>
      <c r="BE933" s="25"/>
      <c r="BF933" s="25"/>
      <c r="BG933" s="25"/>
      <c r="BH933" s="25"/>
      <c r="BI933" s="25"/>
      <c r="BJ933" s="25"/>
      <c r="BK933" s="25"/>
      <c r="BL933" s="25"/>
    </row>
    <row r="934" spans="1:64" s="21" customFormat="1" ht="18.600000000000001" customHeight="1" x14ac:dyDescent="0.25">
      <c r="A934" s="22"/>
      <c r="B934" s="22"/>
      <c r="C934" s="22"/>
      <c r="D934" s="23"/>
      <c r="E934" s="26"/>
      <c r="F934" s="25"/>
      <c r="G934" s="25"/>
      <c r="H934" s="25"/>
      <c r="I934" s="25"/>
      <c r="J934" s="22"/>
      <c r="K934" s="25"/>
      <c r="L934" s="25"/>
      <c r="M934" s="25"/>
      <c r="N934" s="25"/>
      <c r="O934" s="22"/>
      <c r="P934" s="22"/>
      <c r="Q934" s="22"/>
      <c r="R934" s="22"/>
      <c r="S934" s="25"/>
      <c r="T934" s="25"/>
      <c r="U934" s="25"/>
      <c r="V934" s="25"/>
      <c r="W934" s="25"/>
      <c r="X934" s="25"/>
      <c r="Y934" s="25"/>
      <c r="Z934" s="22"/>
      <c r="AA934" s="22"/>
      <c r="AB934" s="22"/>
      <c r="AC934" s="22"/>
      <c r="AD934" s="22"/>
      <c r="AE934" s="22"/>
      <c r="AF934" s="25"/>
      <c r="AG934" s="22"/>
      <c r="AH934" s="22"/>
      <c r="AI934" s="22"/>
      <c r="AJ934" s="22"/>
      <c r="AK934" s="22"/>
      <c r="AL934" s="22"/>
      <c r="AM934" s="22"/>
      <c r="AN934" s="25"/>
      <c r="AO934" s="22"/>
      <c r="AP934" s="22"/>
      <c r="AQ934" s="22"/>
      <c r="AR934" s="22"/>
      <c r="AS934" s="22"/>
      <c r="AT934" s="22"/>
      <c r="AU934" s="22"/>
      <c r="AV934" s="25"/>
      <c r="AW934" s="25"/>
      <c r="AX934" s="25"/>
      <c r="AY934" s="25"/>
      <c r="AZ934" s="25"/>
      <c r="BA934" s="25"/>
      <c r="BB934" s="25"/>
      <c r="BC934" s="25"/>
      <c r="BD934" s="25"/>
      <c r="BE934" s="25"/>
      <c r="BF934" s="25"/>
      <c r="BG934" s="25"/>
      <c r="BH934" s="25"/>
      <c r="BI934" s="25"/>
      <c r="BJ934" s="25"/>
      <c r="BK934" s="25"/>
      <c r="BL934" s="25"/>
    </row>
    <row r="935" spans="1:64" s="21" customFormat="1" ht="18.600000000000001" customHeight="1" x14ac:dyDescent="0.25">
      <c r="A935" s="22"/>
      <c r="B935" s="22"/>
      <c r="C935" s="22"/>
      <c r="D935" s="23"/>
      <c r="E935" s="26"/>
      <c r="F935" s="25"/>
      <c r="G935" s="25"/>
      <c r="H935" s="25"/>
      <c r="I935" s="25"/>
      <c r="J935" s="22"/>
      <c r="K935" s="25"/>
      <c r="L935" s="25"/>
      <c r="M935" s="25"/>
      <c r="N935" s="25"/>
      <c r="O935" s="22"/>
      <c r="P935" s="22"/>
      <c r="Q935" s="22"/>
      <c r="R935" s="22"/>
      <c r="S935" s="25"/>
      <c r="T935" s="25"/>
      <c r="U935" s="25"/>
      <c r="V935" s="25"/>
      <c r="W935" s="25"/>
      <c r="X935" s="25"/>
      <c r="Y935" s="25"/>
      <c r="Z935" s="22"/>
      <c r="AA935" s="22"/>
      <c r="AB935" s="22"/>
      <c r="AC935" s="22"/>
      <c r="AD935" s="22"/>
      <c r="AE935" s="22"/>
      <c r="AF935" s="25"/>
      <c r="AG935" s="22"/>
      <c r="AH935" s="22"/>
      <c r="AI935" s="22"/>
      <c r="AJ935" s="22"/>
      <c r="AK935" s="22"/>
      <c r="AL935" s="22"/>
      <c r="AM935" s="22"/>
      <c r="AN935" s="25"/>
      <c r="AO935" s="22"/>
      <c r="AP935" s="22"/>
      <c r="AQ935" s="22"/>
      <c r="AR935" s="22"/>
      <c r="AS935" s="22"/>
      <c r="AT935" s="22"/>
      <c r="AU935" s="22"/>
      <c r="AV935" s="25"/>
      <c r="AW935" s="25"/>
      <c r="AX935" s="25"/>
      <c r="AY935" s="25"/>
      <c r="AZ935" s="25"/>
      <c r="BA935" s="25"/>
      <c r="BB935" s="25"/>
      <c r="BC935" s="25"/>
      <c r="BD935" s="25"/>
      <c r="BE935" s="25"/>
      <c r="BF935" s="25"/>
      <c r="BG935" s="25"/>
      <c r="BH935" s="25"/>
      <c r="BI935" s="25"/>
      <c r="BJ935" s="25"/>
      <c r="BK935" s="25"/>
      <c r="BL935" s="25"/>
    </row>
    <row r="936" spans="1:64" s="21" customFormat="1" ht="18.600000000000001" customHeight="1" x14ac:dyDescent="0.25">
      <c r="A936" s="22"/>
      <c r="B936" s="22"/>
      <c r="C936" s="22"/>
      <c r="D936" s="23"/>
      <c r="E936" s="26"/>
      <c r="F936" s="25"/>
      <c r="G936" s="25"/>
      <c r="H936" s="25"/>
      <c r="I936" s="25"/>
      <c r="J936" s="22"/>
      <c r="K936" s="25"/>
      <c r="L936" s="25"/>
      <c r="M936" s="25"/>
      <c r="N936" s="25"/>
      <c r="O936" s="22"/>
      <c r="P936" s="22"/>
      <c r="Q936" s="22"/>
      <c r="R936" s="22"/>
      <c r="S936" s="25"/>
      <c r="T936" s="25"/>
      <c r="U936" s="25"/>
      <c r="V936" s="25"/>
      <c r="W936" s="25"/>
      <c r="X936" s="25"/>
      <c r="Y936" s="25"/>
      <c r="Z936" s="22"/>
      <c r="AA936" s="22"/>
      <c r="AB936" s="22"/>
      <c r="AC936" s="22"/>
      <c r="AD936" s="22"/>
      <c r="AE936" s="22"/>
      <c r="AF936" s="25"/>
      <c r="AG936" s="22"/>
      <c r="AH936" s="22"/>
      <c r="AI936" s="22"/>
      <c r="AJ936" s="22"/>
      <c r="AK936" s="22"/>
      <c r="AL936" s="22"/>
      <c r="AM936" s="22"/>
      <c r="AN936" s="25"/>
      <c r="AO936" s="22"/>
      <c r="AP936" s="22"/>
      <c r="AQ936" s="22"/>
      <c r="AR936" s="22"/>
      <c r="AS936" s="22"/>
      <c r="AT936" s="22"/>
      <c r="AU936" s="22"/>
      <c r="AV936" s="25"/>
      <c r="AW936" s="25"/>
      <c r="AX936" s="25"/>
      <c r="AY936" s="25"/>
      <c r="AZ936" s="25"/>
      <c r="BA936" s="25"/>
      <c r="BB936" s="25"/>
      <c r="BC936" s="25"/>
      <c r="BD936" s="25"/>
      <c r="BE936" s="25"/>
      <c r="BF936" s="25"/>
      <c r="BG936" s="25"/>
      <c r="BH936" s="25"/>
      <c r="BI936" s="25"/>
      <c r="BJ936" s="25"/>
      <c r="BK936" s="25"/>
      <c r="BL936" s="25"/>
    </row>
    <row r="937" spans="1:64" s="21" customFormat="1" ht="18.600000000000001" customHeight="1" x14ac:dyDescent="0.25">
      <c r="A937" s="22"/>
      <c r="B937" s="22"/>
      <c r="C937" s="22"/>
      <c r="D937" s="23"/>
      <c r="E937" s="26"/>
      <c r="F937" s="25"/>
      <c r="G937" s="25"/>
      <c r="H937" s="25"/>
      <c r="I937" s="25"/>
      <c r="J937" s="22"/>
      <c r="K937" s="25"/>
      <c r="L937" s="25"/>
      <c r="M937" s="25"/>
      <c r="N937" s="25"/>
      <c r="O937" s="22"/>
      <c r="P937" s="22"/>
      <c r="Q937" s="22"/>
      <c r="R937" s="22"/>
      <c r="S937" s="25"/>
      <c r="T937" s="25"/>
      <c r="U937" s="25"/>
      <c r="V937" s="25"/>
      <c r="W937" s="25"/>
      <c r="X937" s="25"/>
      <c r="Y937" s="25"/>
      <c r="Z937" s="22"/>
      <c r="AA937" s="22"/>
      <c r="AB937" s="22"/>
      <c r="AC937" s="22"/>
      <c r="AD937" s="22"/>
      <c r="AE937" s="22"/>
      <c r="AF937" s="25"/>
      <c r="AG937" s="22"/>
      <c r="AH937" s="22"/>
      <c r="AI937" s="22"/>
      <c r="AJ937" s="22"/>
      <c r="AK937" s="22"/>
      <c r="AL937" s="22"/>
      <c r="AM937" s="22"/>
      <c r="AN937" s="25"/>
      <c r="AO937" s="22"/>
      <c r="AP937" s="22"/>
      <c r="AQ937" s="22"/>
      <c r="AR937" s="22"/>
      <c r="AS937" s="22"/>
      <c r="AT937" s="22"/>
      <c r="AU937" s="22"/>
      <c r="AV937" s="25"/>
      <c r="AW937" s="25"/>
      <c r="AX937" s="25"/>
      <c r="AY937" s="25"/>
      <c r="AZ937" s="25"/>
      <c r="BA937" s="25"/>
      <c r="BB937" s="25"/>
      <c r="BC937" s="25"/>
      <c r="BD937" s="25"/>
      <c r="BE937" s="25"/>
      <c r="BF937" s="25"/>
      <c r="BG937" s="25"/>
      <c r="BH937" s="25"/>
      <c r="BI937" s="25"/>
      <c r="BJ937" s="25"/>
      <c r="BK937" s="25"/>
      <c r="BL937" s="25"/>
    </row>
    <row r="938" spans="1:64" s="21" customFormat="1" ht="18.600000000000001" customHeight="1" x14ac:dyDescent="0.25">
      <c r="A938" s="22"/>
      <c r="B938" s="22"/>
      <c r="C938" s="22"/>
      <c r="D938" s="23"/>
      <c r="E938" s="26"/>
      <c r="F938" s="25"/>
      <c r="G938" s="25"/>
      <c r="H938" s="25"/>
      <c r="I938" s="25"/>
      <c r="J938" s="22"/>
      <c r="K938" s="25"/>
      <c r="L938" s="25"/>
      <c r="M938" s="25"/>
      <c r="N938" s="25"/>
      <c r="O938" s="22"/>
      <c r="P938" s="22"/>
      <c r="Q938" s="22"/>
      <c r="R938" s="22"/>
      <c r="S938" s="25"/>
      <c r="T938" s="25"/>
      <c r="U938" s="25"/>
      <c r="V938" s="25"/>
      <c r="W938" s="25"/>
      <c r="X938" s="25"/>
      <c r="Y938" s="25"/>
      <c r="Z938" s="22"/>
      <c r="AA938" s="22"/>
      <c r="AB938" s="22"/>
      <c r="AC938" s="22"/>
      <c r="AD938" s="22"/>
      <c r="AE938" s="22"/>
      <c r="AF938" s="25"/>
      <c r="AG938" s="22"/>
      <c r="AH938" s="22"/>
      <c r="AI938" s="22"/>
      <c r="AJ938" s="22"/>
      <c r="AK938" s="22"/>
      <c r="AL938" s="22"/>
      <c r="AM938" s="22"/>
      <c r="AN938" s="25"/>
      <c r="AO938" s="22"/>
      <c r="AP938" s="22"/>
      <c r="AQ938" s="22"/>
      <c r="AR938" s="22"/>
      <c r="AS938" s="22"/>
      <c r="AT938" s="22"/>
      <c r="AU938" s="22"/>
      <c r="AV938" s="25"/>
      <c r="AW938" s="25"/>
      <c r="AX938" s="25"/>
      <c r="AY938" s="25"/>
      <c r="AZ938" s="25"/>
      <c r="BA938" s="25"/>
      <c r="BB938" s="25"/>
      <c r="BC938" s="25"/>
      <c r="BD938" s="25"/>
      <c r="BE938" s="25"/>
      <c r="BF938" s="25"/>
      <c r="BG938" s="25"/>
      <c r="BH938" s="25"/>
      <c r="BI938" s="25"/>
      <c r="BJ938" s="25"/>
      <c r="BK938" s="25"/>
      <c r="BL938" s="25"/>
    </row>
    <row r="939" spans="1:64" s="21" customFormat="1" ht="18.600000000000001" customHeight="1" x14ac:dyDescent="0.25">
      <c r="A939" s="22"/>
      <c r="B939" s="22"/>
      <c r="C939" s="22"/>
      <c r="D939" s="23"/>
      <c r="E939" s="26"/>
      <c r="F939" s="25"/>
      <c r="G939" s="25"/>
      <c r="H939" s="25"/>
      <c r="I939" s="25"/>
      <c r="J939" s="22"/>
      <c r="K939" s="25"/>
      <c r="L939" s="25"/>
      <c r="M939" s="25"/>
      <c r="N939" s="25"/>
      <c r="O939" s="22"/>
      <c r="P939" s="22"/>
      <c r="Q939" s="22"/>
      <c r="R939" s="22"/>
      <c r="S939" s="25"/>
      <c r="T939" s="25"/>
      <c r="U939" s="25"/>
      <c r="V939" s="25"/>
      <c r="W939" s="25"/>
      <c r="X939" s="25"/>
      <c r="Y939" s="25"/>
      <c r="Z939" s="22"/>
      <c r="AA939" s="22"/>
      <c r="AB939" s="22"/>
      <c r="AC939" s="22"/>
      <c r="AD939" s="22"/>
      <c r="AE939" s="22"/>
      <c r="AF939" s="25"/>
      <c r="AG939" s="22"/>
      <c r="AH939" s="22"/>
      <c r="AI939" s="22"/>
      <c r="AJ939" s="22"/>
      <c r="AK939" s="22"/>
      <c r="AL939" s="22"/>
      <c r="AM939" s="22"/>
      <c r="AN939" s="25"/>
      <c r="AO939" s="22"/>
      <c r="AP939" s="22"/>
      <c r="AQ939" s="22"/>
      <c r="AR939" s="22"/>
      <c r="AS939" s="22"/>
      <c r="AT939" s="22"/>
      <c r="AU939" s="22"/>
      <c r="AV939" s="25"/>
      <c r="AW939" s="25"/>
      <c r="AX939" s="25"/>
      <c r="AY939" s="25"/>
      <c r="AZ939" s="25"/>
      <c r="BA939" s="25"/>
      <c r="BB939" s="25"/>
      <c r="BC939" s="25"/>
      <c r="BD939" s="25"/>
      <c r="BE939" s="25"/>
      <c r="BF939" s="25"/>
      <c r="BG939" s="25"/>
      <c r="BH939" s="25"/>
      <c r="BI939" s="25"/>
      <c r="BJ939" s="25"/>
      <c r="BK939" s="25"/>
      <c r="BL939" s="25"/>
    </row>
    <row r="940" spans="1:64" s="21" customFormat="1" ht="18.600000000000001" customHeight="1" x14ac:dyDescent="0.25">
      <c r="A940" s="22"/>
      <c r="B940" s="22"/>
      <c r="C940" s="22"/>
      <c r="D940" s="23"/>
      <c r="E940" s="26"/>
      <c r="F940" s="25"/>
      <c r="G940" s="25"/>
      <c r="H940" s="25"/>
      <c r="I940" s="25"/>
      <c r="J940" s="22"/>
      <c r="K940" s="25"/>
      <c r="L940" s="25"/>
      <c r="M940" s="25"/>
      <c r="N940" s="25"/>
      <c r="O940" s="22"/>
      <c r="P940" s="22"/>
      <c r="Q940" s="22"/>
      <c r="R940" s="22"/>
      <c r="S940" s="25"/>
      <c r="T940" s="25"/>
      <c r="U940" s="25"/>
      <c r="V940" s="25"/>
      <c r="W940" s="25"/>
      <c r="X940" s="25"/>
      <c r="Y940" s="25"/>
      <c r="Z940" s="22"/>
      <c r="AA940" s="22"/>
      <c r="AB940" s="22"/>
      <c r="AC940" s="22"/>
      <c r="AD940" s="22"/>
      <c r="AE940" s="22"/>
      <c r="AF940" s="25"/>
      <c r="AG940" s="22"/>
      <c r="AH940" s="22"/>
      <c r="AI940" s="22"/>
      <c r="AJ940" s="22"/>
      <c r="AK940" s="22"/>
      <c r="AL940" s="22"/>
      <c r="AM940" s="22"/>
      <c r="AN940" s="25"/>
      <c r="AO940" s="22"/>
      <c r="AP940" s="22"/>
      <c r="AQ940" s="22"/>
      <c r="AR940" s="22"/>
      <c r="AS940" s="22"/>
      <c r="AT940" s="22"/>
      <c r="AU940" s="22"/>
      <c r="AV940" s="25"/>
      <c r="AW940" s="25"/>
      <c r="AX940" s="25"/>
      <c r="AY940" s="25"/>
      <c r="AZ940" s="25"/>
      <c r="BA940" s="25"/>
      <c r="BB940" s="25"/>
      <c r="BC940" s="25"/>
      <c r="BD940" s="25"/>
      <c r="BE940" s="25"/>
      <c r="BF940" s="25"/>
      <c r="BG940" s="25"/>
      <c r="BH940" s="25"/>
      <c r="BI940" s="25"/>
      <c r="BJ940" s="25"/>
      <c r="BK940" s="25"/>
      <c r="BL940" s="25"/>
    </row>
    <row r="941" spans="1:64" s="21" customFormat="1" ht="18.600000000000001" customHeight="1" x14ac:dyDescent="0.25">
      <c r="A941" s="22"/>
      <c r="B941" s="22"/>
      <c r="C941" s="22"/>
      <c r="D941" s="23"/>
      <c r="E941" s="26"/>
      <c r="F941" s="25"/>
      <c r="G941" s="25"/>
      <c r="H941" s="25"/>
      <c r="I941" s="25"/>
      <c r="J941" s="22"/>
      <c r="K941" s="25"/>
      <c r="L941" s="25"/>
      <c r="M941" s="25"/>
      <c r="N941" s="25"/>
      <c r="O941" s="22"/>
      <c r="P941" s="22"/>
      <c r="Q941" s="22"/>
      <c r="R941" s="22"/>
      <c r="S941" s="25"/>
      <c r="T941" s="25"/>
      <c r="U941" s="25"/>
      <c r="V941" s="25"/>
      <c r="W941" s="25"/>
      <c r="X941" s="25"/>
      <c r="Y941" s="25"/>
      <c r="Z941" s="22"/>
      <c r="AA941" s="22"/>
      <c r="AB941" s="22"/>
      <c r="AC941" s="22"/>
      <c r="AD941" s="22"/>
      <c r="AE941" s="22"/>
      <c r="AF941" s="25"/>
      <c r="AG941" s="22"/>
      <c r="AH941" s="22"/>
      <c r="AI941" s="22"/>
      <c r="AJ941" s="22"/>
      <c r="AK941" s="22"/>
      <c r="AL941" s="22"/>
      <c r="AM941" s="22"/>
      <c r="AN941" s="25"/>
      <c r="AO941" s="22"/>
      <c r="AP941" s="22"/>
      <c r="AQ941" s="22"/>
      <c r="AR941" s="22"/>
      <c r="AS941" s="22"/>
      <c r="AT941" s="22"/>
      <c r="AU941" s="22"/>
      <c r="AV941" s="25"/>
      <c r="AW941" s="25"/>
      <c r="AX941" s="25"/>
      <c r="AY941" s="25"/>
      <c r="AZ941" s="25"/>
      <c r="BA941" s="25"/>
      <c r="BB941" s="25"/>
      <c r="BC941" s="25"/>
      <c r="BD941" s="25"/>
      <c r="BE941" s="25"/>
      <c r="BF941" s="25"/>
      <c r="BG941" s="25"/>
      <c r="BH941" s="25"/>
      <c r="BI941" s="25"/>
      <c r="BJ941" s="25"/>
      <c r="BK941" s="25"/>
      <c r="BL941" s="25"/>
    </row>
    <row r="942" spans="1:64" s="21" customFormat="1" ht="18.600000000000001" customHeight="1" x14ac:dyDescent="0.25">
      <c r="A942" s="22"/>
      <c r="B942" s="22"/>
      <c r="C942" s="22"/>
      <c r="D942" s="23"/>
      <c r="E942" s="26"/>
      <c r="F942" s="25"/>
      <c r="G942" s="25"/>
      <c r="H942" s="25"/>
      <c r="I942" s="25"/>
      <c r="J942" s="22"/>
      <c r="K942" s="25"/>
      <c r="L942" s="25"/>
      <c r="M942" s="25"/>
      <c r="N942" s="25"/>
      <c r="O942" s="22"/>
      <c r="P942" s="22"/>
      <c r="Q942" s="22"/>
      <c r="R942" s="22"/>
      <c r="S942" s="25"/>
      <c r="T942" s="25"/>
      <c r="U942" s="25"/>
      <c r="V942" s="25"/>
      <c r="W942" s="25"/>
      <c r="X942" s="25"/>
      <c r="Y942" s="25"/>
      <c r="Z942" s="22"/>
      <c r="AA942" s="22"/>
      <c r="AB942" s="22"/>
      <c r="AC942" s="22"/>
      <c r="AD942" s="22"/>
      <c r="AE942" s="22"/>
      <c r="AF942" s="25"/>
      <c r="AG942" s="22"/>
      <c r="AH942" s="22"/>
      <c r="AI942" s="22"/>
      <c r="AJ942" s="22"/>
      <c r="AK942" s="22"/>
      <c r="AL942" s="22"/>
      <c r="AM942" s="22"/>
      <c r="AN942" s="25"/>
      <c r="AO942" s="22"/>
      <c r="AP942" s="22"/>
      <c r="AQ942" s="22"/>
      <c r="AR942" s="22"/>
      <c r="AS942" s="22"/>
      <c r="AT942" s="22"/>
      <c r="AU942" s="22"/>
      <c r="AV942" s="25"/>
      <c r="AW942" s="25"/>
      <c r="AX942" s="25"/>
      <c r="AY942" s="25"/>
      <c r="AZ942" s="25"/>
      <c r="BA942" s="25"/>
      <c r="BB942" s="25"/>
      <c r="BC942" s="25"/>
      <c r="BD942" s="25"/>
      <c r="BE942" s="25"/>
      <c r="BF942" s="25"/>
      <c r="BG942" s="25"/>
      <c r="BH942" s="25"/>
      <c r="BI942" s="25"/>
      <c r="BJ942" s="25"/>
      <c r="BK942" s="25"/>
      <c r="BL942" s="25"/>
    </row>
    <row r="943" spans="1:64" s="21" customFormat="1" ht="18.600000000000001" customHeight="1" x14ac:dyDescent="0.25">
      <c r="A943" s="22"/>
      <c r="B943" s="22"/>
      <c r="C943" s="22"/>
      <c r="D943" s="23"/>
      <c r="E943" s="26"/>
      <c r="F943" s="25"/>
      <c r="G943" s="25"/>
      <c r="H943" s="25"/>
      <c r="I943" s="25"/>
      <c r="J943" s="22"/>
      <c r="K943" s="25"/>
      <c r="L943" s="25"/>
      <c r="M943" s="25"/>
      <c r="N943" s="25"/>
      <c r="O943" s="22"/>
      <c r="P943" s="22"/>
      <c r="Q943" s="22"/>
      <c r="R943" s="22"/>
      <c r="S943" s="25"/>
      <c r="T943" s="25"/>
      <c r="U943" s="25"/>
      <c r="V943" s="25"/>
      <c r="W943" s="25"/>
      <c r="X943" s="25"/>
      <c r="Y943" s="25"/>
      <c r="Z943" s="22"/>
      <c r="AA943" s="22"/>
      <c r="AB943" s="22"/>
      <c r="AC943" s="22"/>
      <c r="AD943" s="22"/>
      <c r="AE943" s="22"/>
      <c r="AF943" s="25"/>
      <c r="AG943" s="22"/>
      <c r="AH943" s="22"/>
      <c r="AI943" s="22"/>
      <c r="AJ943" s="22"/>
      <c r="AK943" s="22"/>
      <c r="AL943" s="22"/>
      <c r="AM943" s="22"/>
      <c r="AN943" s="25"/>
      <c r="AO943" s="22"/>
      <c r="AP943" s="22"/>
      <c r="AQ943" s="22"/>
      <c r="AR943" s="22"/>
      <c r="AS943" s="22"/>
      <c r="AT943" s="22"/>
      <c r="AU943" s="22"/>
      <c r="AV943" s="25"/>
      <c r="AW943" s="25"/>
      <c r="AX943" s="25"/>
      <c r="AY943" s="25"/>
      <c r="AZ943" s="25"/>
      <c r="BA943" s="25"/>
      <c r="BB943" s="25"/>
      <c r="BC943" s="25"/>
      <c r="BD943" s="25"/>
      <c r="BE943" s="25"/>
      <c r="BF943" s="25"/>
      <c r="BG943" s="25"/>
      <c r="BH943" s="25"/>
      <c r="BI943" s="25"/>
      <c r="BJ943" s="25"/>
      <c r="BK943" s="25"/>
      <c r="BL943" s="25"/>
    </row>
    <row r="944" spans="1:64" s="21" customFormat="1" ht="18.600000000000001" customHeight="1" x14ac:dyDescent="0.25">
      <c r="A944" s="22"/>
      <c r="B944" s="22"/>
      <c r="C944" s="22"/>
      <c r="D944" s="23"/>
      <c r="E944" s="26"/>
      <c r="F944" s="25"/>
      <c r="G944" s="25"/>
      <c r="H944" s="25"/>
      <c r="I944" s="25"/>
      <c r="J944" s="22"/>
      <c r="K944" s="25"/>
      <c r="L944" s="25"/>
      <c r="M944" s="25"/>
      <c r="N944" s="25"/>
      <c r="O944" s="22"/>
      <c r="P944" s="22"/>
      <c r="Q944" s="22"/>
      <c r="R944" s="22"/>
      <c r="S944" s="25"/>
      <c r="T944" s="25"/>
      <c r="U944" s="25"/>
      <c r="V944" s="25"/>
      <c r="W944" s="25"/>
      <c r="X944" s="25"/>
      <c r="Y944" s="25"/>
      <c r="Z944" s="22"/>
      <c r="AA944" s="22"/>
      <c r="AB944" s="22"/>
      <c r="AC944" s="22"/>
      <c r="AD944" s="22"/>
      <c r="AE944" s="22"/>
      <c r="AF944" s="25"/>
      <c r="AG944" s="22"/>
      <c r="AH944" s="22"/>
      <c r="AI944" s="22"/>
      <c r="AJ944" s="22"/>
      <c r="AK944" s="22"/>
      <c r="AL944" s="22"/>
      <c r="AM944" s="22"/>
      <c r="AN944" s="25"/>
      <c r="AO944" s="22"/>
      <c r="AP944" s="22"/>
      <c r="AQ944" s="22"/>
      <c r="AR944" s="22"/>
      <c r="AS944" s="22"/>
      <c r="AT944" s="22"/>
      <c r="AU944" s="22"/>
      <c r="AV944" s="25"/>
      <c r="AW944" s="25"/>
      <c r="AX944" s="25"/>
      <c r="AY944" s="25"/>
      <c r="AZ944" s="25"/>
      <c r="BA944" s="25"/>
      <c r="BB944" s="25"/>
      <c r="BC944" s="25"/>
      <c r="BD944" s="25"/>
      <c r="BE944" s="25"/>
      <c r="BF944" s="25"/>
      <c r="BG944" s="25"/>
      <c r="BH944" s="25"/>
      <c r="BI944" s="25"/>
      <c r="BJ944" s="25"/>
      <c r="BK944" s="25"/>
      <c r="BL944" s="25"/>
    </row>
    <row r="945" spans="1:64" s="21" customFormat="1" ht="18.600000000000001" customHeight="1" x14ac:dyDescent="0.25">
      <c r="A945" s="22"/>
      <c r="B945" s="22"/>
      <c r="C945" s="22"/>
      <c r="D945" s="23"/>
      <c r="E945" s="26"/>
      <c r="F945" s="25"/>
      <c r="G945" s="25"/>
      <c r="H945" s="25"/>
      <c r="I945" s="25"/>
      <c r="J945" s="22"/>
      <c r="K945" s="25"/>
      <c r="L945" s="25"/>
      <c r="M945" s="25"/>
      <c r="N945" s="25"/>
      <c r="O945" s="22"/>
      <c r="P945" s="22"/>
      <c r="Q945" s="22"/>
      <c r="R945" s="22"/>
      <c r="S945" s="25"/>
      <c r="T945" s="25"/>
      <c r="U945" s="25"/>
      <c r="V945" s="25"/>
      <c r="W945" s="25"/>
      <c r="X945" s="25"/>
      <c r="Y945" s="25"/>
      <c r="Z945" s="22"/>
      <c r="AA945" s="22"/>
      <c r="AB945" s="22"/>
      <c r="AC945" s="22"/>
      <c r="AD945" s="22"/>
      <c r="AE945" s="22"/>
      <c r="AF945" s="25"/>
      <c r="AG945" s="22"/>
      <c r="AH945" s="22"/>
      <c r="AI945" s="22"/>
      <c r="AJ945" s="22"/>
      <c r="AK945" s="22"/>
      <c r="AL945" s="22"/>
      <c r="AM945" s="22"/>
      <c r="AN945" s="25"/>
      <c r="AO945" s="22"/>
      <c r="AP945" s="22"/>
      <c r="AQ945" s="22"/>
      <c r="AR945" s="22"/>
      <c r="AS945" s="22"/>
      <c r="AT945" s="22"/>
      <c r="AU945" s="22"/>
      <c r="AV945" s="25"/>
      <c r="AW945" s="25"/>
      <c r="AX945" s="25"/>
      <c r="AY945" s="25"/>
      <c r="AZ945" s="25"/>
      <c r="BA945" s="25"/>
      <c r="BB945" s="25"/>
      <c r="BC945" s="25"/>
      <c r="BD945" s="25"/>
      <c r="BE945" s="25"/>
      <c r="BF945" s="25"/>
      <c r="BG945" s="25"/>
      <c r="BH945" s="25"/>
      <c r="BI945" s="25"/>
      <c r="BJ945" s="25"/>
      <c r="BK945" s="25"/>
      <c r="BL945" s="25"/>
    </row>
    <row r="946" spans="1:64" s="21" customFormat="1" ht="18.600000000000001" customHeight="1" x14ac:dyDescent="0.25">
      <c r="A946" s="22"/>
      <c r="B946" s="22"/>
      <c r="C946" s="22"/>
      <c r="D946" s="23"/>
      <c r="E946" s="26"/>
      <c r="F946" s="25"/>
      <c r="G946" s="25"/>
      <c r="H946" s="25"/>
      <c r="I946" s="25"/>
      <c r="J946" s="22"/>
      <c r="K946" s="25"/>
      <c r="L946" s="25"/>
      <c r="M946" s="25"/>
      <c r="N946" s="25"/>
      <c r="O946" s="22"/>
      <c r="P946" s="22"/>
      <c r="Q946" s="22"/>
      <c r="R946" s="22"/>
      <c r="S946" s="25"/>
      <c r="T946" s="25"/>
      <c r="U946" s="25"/>
      <c r="V946" s="25"/>
      <c r="W946" s="25"/>
      <c r="X946" s="25"/>
      <c r="Y946" s="25"/>
      <c r="Z946" s="22"/>
      <c r="AA946" s="22"/>
      <c r="AB946" s="22"/>
      <c r="AC946" s="22"/>
      <c r="AD946" s="22"/>
      <c r="AE946" s="22"/>
      <c r="AF946" s="25"/>
      <c r="AG946" s="22"/>
      <c r="AH946" s="22"/>
      <c r="AI946" s="22"/>
      <c r="AJ946" s="22"/>
      <c r="AK946" s="22"/>
      <c r="AL946" s="22"/>
      <c r="AM946" s="22"/>
      <c r="AN946" s="25"/>
      <c r="AO946" s="22"/>
      <c r="AP946" s="22"/>
      <c r="AQ946" s="22"/>
      <c r="AR946" s="22"/>
      <c r="AS946" s="22"/>
      <c r="AT946" s="22"/>
      <c r="AU946" s="22"/>
      <c r="AV946" s="25"/>
      <c r="AW946" s="25"/>
      <c r="AX946" s="25"/>
      <c r="AY946" s="25"/>
      <c r="AZ946" s="25"/>
      <c r="BA946" s="25"/>
      <c r="BB946" s="25"/>
      <c r="BC946" s="25"/>
      <c r="BD946" s="25"/>
      <c r="BE946" s="25"/>
      <c r="BF946" s="25"/>
      <c r="BG946" s="25"/>
      <c r="BH946" s="25"/>
      <c r="BI946" s="25"/>
      <c r="BJ946" s="25"/>
      <c r="BK946" s="25"/>
      <c r="BL946" s="25"/>
    </row>
    <row r="947" spans="1:64" s="21" customFormat="1" ht="18.600000000000001" customHeight="1" x14ac:dyDescent="0.25">
      <c r="A947" s="22"/>
      <c r="B947" s="22"/>
      <c r="C947" s="22"/>
      <c r="D947" s="23"/>
      <c r="E947" s="26"/>
      <c r="F947" s="25"/>
      <c r="G947" s="25"/>
      <c r="H947" s="25"/>
      <c r="I947" s="25"/>
      <c r="J947" s="22"/>
      <c r="K947" s="25"/>
      <c r="L947" s="25"/>
      <c r="M947" s="25"/>
      <c r="N947" s="25"/>
      <c r="O947" s="22"/>
      <c r="P947" s="22"/>
      <c r="Q947" s="22"/>
      <c r="R947" s="22"/>
      <c r="S947" s="25"/>
      <c r="T947" s="25"/>
      <c r="U947" s="25"/>
      <c r="V947" s="25"/>
      <c r="W947" s="25"/>
      <c r="X947" s="25"/>
      <c r="Y947" s="25"/>
      <c r="Z947" s="22"/>
      <c r="AA947" s="22"/>
      <c r="AB947" s="22"/>
      <c r="AC947" s="22"/>
      <c r="AD947" s="22"/>
      <c r="AE947" s="22"/>
      <c r="AF947" s="25"/>
      <c r="AG947" s="22"/>
      <c r="AH947" s="22"/>
      <c r="AI947" s="22"/>
      <c r="AJ947" s="22"/>
      <c r="AK947" s="22"/>
      <c r="AL947" s="22"/>
      <c r="AM947" s="22"/>
      <c r="AN947" s="25"/>
      <c r="AO947" s="22"/>
      <c r="AP947" s="22"/>
      <c r="AQ947" s="22"/>
      <c r="AR947" s="22"/>
      <c r="AS947" s="22"/>
      <c r="AT947" s="22"/>
      <c r="AU947" s="22"/>
      <c r="AV947" s="25"/>
      <c r="AW947" s="25"/>
      <c r="AX947" s="25"/>
      <c r="AY947" s="25"/>
      <c r="AZ947" s="25"/>
      <c r="BA947" s="25"/>
      <c r="BB947" s="25"/>
      <c r="BC947" s="25"/>
      <c r="BD947" s="25"/>
      <c r="BE947" s="25"/>
      <c r="BF947" s="25"/>
      <c r="BG947" s="25"/>
      <c r="BH947" s="25"/>
      <c r="BI947" s="25"/>
      <c r="BJ947" s="25"/>
      <c r="BK947" s="25"/>
      <c r="BL947" s="25"/>
    </row>
    <row r="948" spans="1:64" s="21" customFormat="1" ht="18.600000000000001" customHeight="1" x14ac:dyDescent="0.25">
      <c r="A948" s="22"/>
      <c r="B948" s="22"/>
      <c r="C948" s="22"/>
      <c r="D948" s="23"/>
      <c r="E948" s="26"/>
      <c r="F948" s="25"/>
      <c r="G948" s="25"/>
      <c r="H948" s="25"/>
      <c r="I948" s="25"/>
      <c r="J948" s="22"/>
      <c r="K948" s="25"/>
      <c r="L948" s="25"/>
      <c r="M948" s="25"/>
      <c r="N948" s="25"/>
      <c r="O948" s="22"/>
      <c r="P948" s="22"/>
      <c r="Q948" s="22"/>
      <c r="R948" s="22"/>
      <c r="S948" s="25"/>
      <c r="T948" s="25"/>
      <c r="U948" s="25"/>
      <c r="V948" s="25"/>
      <c r="W948" s="25"/>
      <c r="X948" s="25"/>
      <c r="Y948" s="25"/>
      <c r="Z948" s="22"/>
      <c r="AA948" s="22"/>
      <c r="AB948" s="22"/>
      <c r="AC948" s="22"/>
      <c r="AD948" s="22"/>
      <c r="AE948" s="22"/>
      <c r="AF948" s="25"/>
      <c r="AG948" s="22"/>
      <c r="AH948" s="22"/>
      <c r="AI948" s="22"/>
      <c r="AJ948" s="22"/>
      <c r="AK948" s="22"/>
      <c r="AL948" s="22"/>
      <c r="AM948" s="22"/>
      <c r="AN948" s="25"/>
      <c r="AO948" s="22"/>
      <c r="AP948" s="22"/>
      <c r="AQ948" s="22"/>
      <c r="AR948" s="22"/>
      <c r="AS948" s="22"/>
      <c r="AT948" s="22"/>
      <c r="AU948" s="22"/>
      <c r="AV948" s="25"/>
      <c r="AW948" s="25"/>
      <c r="AX948" s="25"/>
      <c r="AY948" s="25"/>
      <c r="AZ948" s="25"/>
      <c r="BA948" s="25"/>
      <c r="BB948" s="25"/>
      <c r="BC948" s="25"/>
      <c r="BD948" s="25"/>
      <c r="BE948" s="25"/>
      <c r="BF948" s="25"/>
      <c r="BG948" s="25"/>
      <c r="BH948" s="25"/>
      <c r="BI948" s="25"/>
      <c r="BJ948" s="25"/>
      <c r="BK948" s="25"/>
      <c r="BL948" s="25"/>
    </row>
    <row r="949" spans="1:64" s="21" customFormat="1" ht="18.600000000000001" customHeight="1" x14ac:dyDescent="0.25">
      <c r="A949" s="22"/>
      <c r="B949" s="22"/>
      <c r="C949" s="22"/>
      <c r="D949" s="23"/>
      <c r="E949" s="26"/>
      <c r="F949" s="25"/>
      <c r="G949" s="25"/>
      <c r="H949" s="25"/>
      <c r="I949" s="25"/>
      <c r="J949" s="22"/>
      <c r="K949" s="25"/>
      <c r="L949" s="25"/>
      <c r="M949" s="25"/>
      <c r="N949" s="25"/>
      <c r="O949" s="22"/>
      <c r="P949" s="22"/>
      <c r="Q949" s="22"/>
      <c r="R949" s="22"/>
      <c r="S949" s="25"/>
      <c r="T949" s="25"/>
      <c r="U949" s="25"/>
      <c r="V949" s="25"/>
      <c r="W949" s="25"/>
      <c r="X949" s="25"/>
      <c r="Y949" s="25"/>
      <c r="Z949" s="22"/>
      <c r="AA949" s="22"/>
      <c r="AB949" s="22"/>
      <c r="AC949" s="22"/>
      <c r="AD949" s="22"/>
      <c r="AE949" s="22"/>
      <c r="AF949" s="25"/>
      <c r="AG949" s="22"/>
      <c r="AH949" s="22"/>
      <c r="AI949" s="22"/>
      <c r="AJ949" s="22"/>
      <c r="AK949" s="22"/>
      <c r="AL949" s="22"/>
      <c r="AM949" s="22"/>
      <c r="AN949" s="25"/>
      <c r="AO949" s="22"/>
      <c r="AP949" s="22"/>
      <c r="AQ949" s="22"/>
      <c r="AR949" s="22"/>
      <c r="AS949" s="22"/>
      <c r="AT949" s="22"/>
      <c r="AU949" s="22"/>
      <c r="AV949" s="25"/>
      <c r="AW949" s="25"/>
      <c r="AX949" s="25"/>
      <c r="AY949" s="25"/>
      <c r="AZ949" s="25"/>
      <c r="BA949" s="25"/>
      <c r="BB949" s="25"/>
      <c r="BC949" s="25"/>
      <c r="BD949" s="25"/>
      <c r="BE949" s="25"/>
      <c r="BF949" s="25"/>
      <c r="BG949" s="25"/>
      <c r="BH949" s="25"/>
      <c r="BI949" s="25"/>
      <c r="BJ949" s="25"/>
      <c r="BK949" s="25"/>
      <c r="BL949" s="25"/>
    </row>
    <row r="950" spans="1:64" s="21" customFormat="1" ht="18.600000000000001" customHeight="1" x14ac:dyDescent="0.25">
      <c r="A950" s="22"/>
      <c r="B950" s="22"/>
      <c r="C950" s="22"/>
      <c r="D950" s="23"/>
      <c r="E950" s="26"/>
      <c r="F950" s="25"/>
      <c r="G950" s="25"/>
      <c r="H950" s="25"/>
      <c r="I950" s="25"/>
      <c r="J950" s="22"/>
      <c r="K950" s="25"/>
      <c r="L950" s="25"/>
      <c r="M950" s="25"/>
      <c r="N950" s="25"/>
      <c r="O950" s="22"/>
      <c r="P950" s="22"/>
      <c r="Q950" s="22"/>
      <c r="R950" s="22"/>
      <c r="S950" s="25"/>
      <c r="T950" s="25"/>
      <c r="U950" s="25"/>
      <c r="V950" s="25"/>
      <c r="W950" s="25"/>
      <c r="X950" s="25"/>
      <c r="Y950" s="25"/>
      <c r="Z950" s="22"/>
      <c r="AA950" s="22"/>
      <c r="AB950" s="22"/>
      <c r="AC950" s="22"/>
      <c r="AD950" s="22"/>
      <c r="AE950" s="22"/>
      <c r="AF950" s="25"/>
      <c r="AG950" s="22"/>
      <c r="AH950" s="22"/>
      <c r="AI950" s="22"/>
      <c r="AJ950" s="22"/>
      <c r="AK950" s="22"/>
      <c r="AL950" s="22"/>
      <c r="AM950" s="22"/>
      <c r="AN950" s="25"/>
      <c r="AO950" s="22"/>
      <c r="AP950" s="22"/>
      <c r="AQ950" s="22"/>
      <c r="AR950" s="22"/>
      <c r="AS950" s="22"/>
      <c r="AT950" s="22"/>
      <c r="AU950" s="22"/>
      <c r="AV950" s="25"/>
      <c r="AW950" s="25"/>
      <c r="AX950" s="25"/>
      <c r="AY950" s="25"/>
      <c r="AZ950" s="25"/>
      <c r="BA950" s="25"/>
      <c r="BB950" s="25"/>
      <c r="BC950" s="25"/>
      <c r="BD950" s="25"/>
      <c r="BE950" s="25"/>
      <c r="BF950" s="25"/>
      <c r="BG950" s="25"/>
      <c r="BH950" s="25"/>
      <c r="BI950" s="25"/>
      <c r="BJ950" s="25"/>
      <c r="BK950" s="25"/>
      <c r="BL950" s="25"/>
    </row>
    <row r="951" spans="1:64" s="21" customFormat="1" ht="18.600000000000001" customHeight="1" x14ac:dyDescent="0.25">
      <c r="A951" s="22"/>
      <c r="B951" s="22"/>
      <c r="C951" s="22"/>
      <c r="D951" s="23"/>
      <c r="E951" s="26"/>
      <c r="F951" s="25"/>
      <c r="G951" s="25"/>
      <c r="H951" s="25"/>
      <c r="I951" s="25"/>
      <c r="J951" s="22"/>
      <c r="K951" s="25"/>
      <c r="L951" s="25"/>
      <c r="M951" s="25"/>
      <c r="N951" s="25"/>
      <c r="O951" s="22"/>
      <c r="P951" s="22"/>
      <c r="Q951" s="22"/>
      <c r="R951" s="22"/>
      <c r="S951" s="25"/>
      <c r="T951" s="25"/>
      <c r="U951" s="25"/>
      <c r="V951" s="25"/>
      <c r="W951" s="25"/>
      <c r="X951" s="25"/>
      <c r="Y951" s="25"/>
      <c r="Z951" s="22"/>
      <c r="AA951" s="22"/>
      <c r="AB951" s="22"/>
      <c r="AC951" s="22"/>
      <c r="AD951" s="22"/>
      <c r="AE951" s="22"/>
      <c r="AF951" s="25"/>
      <c r="AG951" s="22"/>
      <c r="AH951" s="22"/>
      <c r="AI951" s="22"/>
      <c r="AJ951" s="22"/>
      <c r="AK951" s="22"/>
      <c r="AL951" s="22"/>
      <c r="AM951" s="22"/>
      <c r="AN951" s="25"/>
      <c r="AO951" s="22"/>
      <c r="AP951" s="22"/>
      <c r="AQ951" s="22"/>
      <c r="AR951" s="22"/>
      <c r="AS951" s="22"/>
      <c r="AT951" s="22"/>
      <c r="AU951" s="22"/>
      <c r="AV951" s="25"/>
      <c r="AW951" s="25"/>
      <c r="AX951" s="25"/>
      <c r="AY951" s="25"/>
      <c r="AZ951" s="25"/>
      <c r="BA951" s="25"/>
      <c r="BB951" s="25"/>
      <c r="BC951" s="25"/>
      <c r="BD951" s="25"/>
      <c r="BE951" s="25"/>
      <c r="BF951" s="25"/>
      <c r="BG951" s="25"/>
      <c r="BH951" s="25"/>
      <c r="BI951" s="25"/>
      <c r="BJ951" s="25"/>
      <c r="BK951" s="25"/>
      <c r="BL951" s="25"/>
    </row>
    <row r="952" spans="1:64" s="21" customFormat="1" ht="18.600000000000001" customHeight="1" x14ac:dyDescent="0.25">
      <c r="A952" s="22"/>
      <c r="B952" s="22"/>
      <c r="C952" s="22"/>
      <c r="D952" s="23"/>
      <c r="E952" s="26"/>
      <c r="F952" s="25"/>
      <c r="G952" s="25"/>
      <c r="H952" s="25"/>
      <c r="I952" s="25"/>
      <c r="J952" s="22"/>
      <c r="K952" s="25"/>
      <c r="L952" s="25"/>
      <c r="M952" s="25"/>
      <c r="N952" s="25"/>
      <c r="O952" s="22"/>
      <c r="P952" s="22"/>
      <c r="Q952" s="22"/>
      <c r="R952" s="22"/>
      <c r="S952" s="25"/>
      <c r="T952" s="25"/>
      <c r="U952" s="25"/>
      <c r="V952" s="25"/>
      <c r="W952" s="25"/>
      <c r="X952" s="25"/>
      <c r="Y952" s="25"/>
      <c r="Z952" s="22"/>
      <c r="AA952" s="22"/>
      <c r="AB952" s="22"/>
      <c r="AC952" s="22"/>
      <c r="AD952" s="22"/>
      <c r="AE952" s="22"/>
      <c r="AF952" s="25"/>
      <c r="AG952" s="22"/>
      <c r="AH952" s="22"/>
      <c r="AI952" s="22"/>
      <c r="AJ952" s="22"/>
      <c r="AK952" s="22"/>
      <c r="AL952" s="22"/>
      <c r="AM952" s="22"/>
      <c r="AN952" s="25"/>
      <c r="AO952" s="22"/>
      <c r="AP952" s="22"/>
      <c r="AQ952" s="22"/>
      <c r="AR952" s="22"/>
      <c r="AS952" s="22"/>
      <c r="AT952" s="22"/>
      <c r="AU952" s="22"/>
      <c r="AV952" s="25"/>
      <c r="AW952" s="25"/>
      <c r="AX952" s="25"/>
      <c r="AY952" s="25"/>
      <c r="AZ952" s="25"/>
      <c r="BA952" s="25"/>
      <c r="BB952" s="25"/>
      <c r="BC952" s="25"/>
      <c r="BD952" s="25"/>
      <c r="BE952" s="25"/>
      <c r="BF952" s="25"/>
      <c r="BG952" s="25"/>
      <c r="BH952" s="25"/>
      <c r="BI952" s="25"/>
      <c r="BJ952" s="25"/>
      <c r="BK952" s="25"/>
      <c r="BL952" s="25"/>
    </row>
    <row r="953" spans="1:64" s="21" customFormat="1" ht="18.600000000000001" customHeight="1" x14ac:dyDescent="0.25">
      <c r="A953" s="22"/>
      <c r="B953" s="22"/>
      <c r="C953" s="22"/>
      <c r="D953" s="23"/>
      <c r="E953" s="26"/>
      <c r="F953" s="25"/>
      <c r="G953" s="25"/>
      <c r="H953" s="25"/>
      <c r="I953" s="25"/>
      <c r="J953" s="22"/>
      <c r="K953" s="25"/>
      <c r="L953" s="25"/>
      <c r="M953" s="25"/>
      <c r="N953" s="25"/>
      <c r="O953" s="22"/>
      <c r="P953" s="22"/>
      <c r="Q953" s="22"/>
      <c r="R953" s="22"/>
      <c r="S953" s="25"/>
      <c r="T953" s="25"/>
      <c r="U953" s="25"/>
      <c r="V953" s="25"/>
      <c r="W953" s="25"/>
      <c r="X953" s="25"/>
      <c r="Y953" s="25"/>
      <c r="Z953" s="22"/>
      <c r="AA953" s="22"/>
      <c r="AB953" s="22"/>
      <c r="AC953" s="22"/>
      <c r="AD953" s="22"/>
      <c r="AE953" s="22"/>
      <c r="AF953" s="25"/>
      <c r="AG953" s="22"/>
      <c r="AH953" s="22"/>
      <c r="AI953" s="22"/>
      <c r="AJ953" s="22"/>
      <c r="AK953" s="22"/>
      <c r="AL953" s="22"/>
      <c r="AM953" s="22"/>
      <c r="AN953" s="25"/>
      <c r="AO953" s="22"/>
      <c r="AP953" s="22"/>
      <c r="AQ953" s="22"/>
      <c r="AR953" s="22"/>
      <c r="AS953" s="22"/>
      <c r="AT953" s="22"/>
      <c r="AU953" s="22"/>
      <c r="AV953" s="25"/>
      <c r="AW953" s="25"/>
      <c r="AX953" s="25"/>
      <c r="AY953" s="25"/>
      <c r="AZ953" s="25"/>
      <c r="BA953" s="25"/>
      <c r="BB953" s="25"/>
      <c r="BC953" s="25"/>
      <c r="BD953" s="25"/>
      <c r="BE953" s="25"/>
      <c r="BF953" s="25"/>
      <c r="BG953" s="25"/>
      <c r="BH953" s="25"/>
      <c r="BI953" s="25"/>
      <c r="BJ953" s="25"/>
      <c r="BK953" s="25"/>
      <c r="BL953" s="25"/>
    </row>
    <row r="954" spans="1:64" s="21" customFormat="1" ht="18.600000000000001" customHeight="1" x14ac:dyDescent="0.25">
      <c r="A954" s="22"/>
      <c r="B954" s="22"/>
      <c r="C954" s="22"/>
      <c r="D954" s="23"/>
      <c r="E954" s="26"/>
      <c r="F954" s="25"/>
      <c r="G954" s="25"/>
      <c r="H954" s="25"/>
      <c r="I954" s="25"/>
      <c r="J954" s="22"/>
      <c r="K954" s="25"/>
      <c r="L954" s="25"/>
      <c r="M954" s="25"/>
      <c r="N954" s="25"/>
      <c r="O954" s="22"/>
      <c r="P954" s="22"/>
      <c r="Q954" s="22"/>
      <c r="R954" s="22"/>
      <c r="S954" s="25"/>
      <c r="T954" s="25"/>
      <c r="U954" s="25"/>
      <c r="V954" s="25"/>
      <c r="W954" s="25"/>
      <c r="X954" s="25"/>
      <c r="Y954" s="25"/>
      <c r="Z954" s="22"/>
      <c r="AA954" s="22"/>
      <c r="AB954" s="22"/>
      <c r="AC954" s="22"/>
      <c r="AD954" s="22"/>
      <c r="AE954" s="22"/>
      <c r="AF954" s="25"/>
      <c r="AG954" s="22"/>
      <c r="AH954" s="22"/>
      <c r="AI954" s="22"/>
      <c r="AJ954" s="22"/>
      <c r="AK954" s="22"/>
      <c r="AL954" s="22"/>
      <c r="AM954" s="22"/>
      <c r="AN954" s="25"/>
      <c r="AO954" s="22"/>
      <c r="AP954" s="22"/>
      <c r="AQ954" s="22"/>
      <c r="AR954" s="22"/>
      <c r="AS954" s="22"/>
      <c r="AT954" s="22"/>
      <c r="AU954" s="22"/>
      <c r="AV954" s="25"/>
      <c r="AW954" s="25"/>
      <c r="AX954" s="25"/>
      <c r="AY954" s="25"/>
      <c r="AZ954" s="25"/>
      <c r="BA954" s="25"/>
      <c r="BB954" s="25"/>
      <c r="BC954" s="25"/>
      <c r="BD954" s="25"/>
      <c r="BE954" s="25"/>
      <c r="BF954" s="25"/>
      <c r="BG954" s="25"/>
      <c r="BH954" s="25"/>
      <c r="BI954" s="25"/>
      <c r="BJ954" s="25"/>
      <c r="BK954" s="25"/>
      <c r="BL954" s="25"/>
    </row>
    <row r="955" spans="1:64" s="21" customFormat="1" ht="18.600000000000001" customHeight="1" x14ac:dyDescent="0.25">
      <c r="A955" s="22"/>
      <c r="B955" s="22"/>
      <c r="C955" s="22"/>
      <c r="D955" s="23"/>
      <c r="E955" s="26"/>
      <c r="F955" s="25"/>
      <c r="G955" s="25"/>
      <c r="H955" s="25"/>
      <c r="I955" s="25"/>
      <c r="J955" s="22"/>
      <c r="K955" s="25"/>
      <c r="L955" s="25"/>
      <c r="M955" s="25"/>
      <c r="N955" s="25"/>
      <c r="O955" s="22"/>
      <c r="P955" s="22"/>
      <c r="Q955" s="22"/>
      <c r="R955" s="22"/>
      <c r="S955" s="25"/>
      <c r="T955" s="25"/>
      <c r="U955" s="25"/>
      <c r="V955" s="25"/>
      <c r="W955" s="25"/>
      <c r="X955" s="25"/>
      <c r="Y955" s="25"/>
      <c r="Z955" s="22"/>
      <c r="AA955" s="22"/>
      <c r="AB955" s="22"/>
      <c r="AC955" s="22"/>
      <c r="AD955" s="22"/>
      <c r="AE955" s="22"/>
      <c r="AF955" s="25"/>
      <c r="AG955" s="22"/>
      <c r="AH955" s="22"/>
      <c r="AI955" s="22"/>
      <c r="AJ955" s="22"/>
      <c r="AK955" s="22"/>
      <c r="AL955" s="22"/>
      <c r="AM955" s="22"/>
      <c r="AN955" s="25"/>
      <c r="AO955" s="22"/>
      <c r="AP955" s="22"/>
      <c r="AQ955" s="22"/>
      <c r="AR955" s="22"/>
      <c r="AS955" s="22"/>
      <c r="AT955" s="22"/>
      <c r="AU955" s="22"/>
      <c r="AV955" s="25"/>
      <c r="AW955" s="25"/>
      <c r="AX955" s="25"/>
      <c r="AY955" s="25"/>
      <c r="AZ955" s="25"/>
      <c r="BA955" s="25"/>
      <c r="BB955" s="25"/>
      <c r="BC955" s="25"/>
      <c r="BD955" s="25"/>
      <c r="BE955" s="25"/>
      <c r="BF955" s="25"/>
      <c r="BG955" s="25"/>
      <c r="BH955" s="25"/>
      <c r="BI955" s="25"/>
      <c r="BJ955" s="25"/>
      <c r="BK955" s="25"/>
      <c r="BL955" s="25"/>
    </row>
    <row r="956" spans="1:64" s="21" customFormat="1" ht="18.600000000000001" customHeight="1" x14ac:dyDescent="0.25">
      <c r="A956" s="22"/>
      <c r="B956" s="22"/>
      <c r="C956" s="22"/>
      <c r="D956" s="23"/>
      <c r="E956" s="26"/>
      <c r="F956" s="25"/>
      <c r="G956" s="25"/>
      <c r="H956" s="25"/>
      <c r="I956" s="25"/>
      <c r="J956" s="22"/>
      <c r="K956" s="25"/>
      <c r="L956" s="25"/>
      <c r="M956" s="25"/>
      <c r="N956" s="25"/>
      <c r="O956" s="22"/>
      <c r="P956" s="22"/>
      <c r="Q956" s="22"/>
      <c r="R956" s="22"/>
      <c r="S956" s="25"/>
      <c r="T956" s="25"/>
      <c r="U956" s="25"/>
      <c r="V956" s="25"/>
      <c r="W956" s="25"/>
      <c r="X956" s="25"/>
      <c r="Y956" s="25"/>
      <c r="Z956" s="22"/>
      <c r="AA956" s="22"/>
      <c r="AB956" s="22"/>
      <c r="AC956" s="22"/>
      <c r="AD956" s="22"/>
      <c r="AE956" s="22"/>
      <c r="AF956" s="25"/>
      <c r="AG956" s="22"/>
      <c r="AH956" s="22"/>
      <c r="AI956" s="22"/>
      <c r="AJ956" s="22"/>
      <c r="AK956" s="22"/>
      <c r="AL956" s="22"/>
      <c r="AM956" s="22"/>
      <c r="AN956" s="25"/>
      <c r="AO956" s="22"/>
      <c r="AP956" s="22"/>
      <c r="AQ956" s="22"/>
      <c r="AR956" s="22"/>
      <c r="AS956" s="22"/>
      <c r="AT956" s="22"/>
      <c r="AU956" s="22"/>
      <c r="AV956" s="25"/>
      <c r="AW956" s="25"/>
      <c r="AX956" s="25"/>
      <c r="AY956" s="25"/>
      <c r="AZ956" s="25"/>
      <c r="BA956" s="25"/>
      <c r="BB956" s="25"/>
      <c r="BC956" s="25"/>
      <c r="BD956" s="25"/>
      <c r="BE956" s="25"/>
      <c r="BF956" s="25"/>
      <c r="BG956" s="25"/>
      <c r="BH956" s="25"/>
      <c r="BI956" s="25"/>
      <c r="BJ956" s="25"/>
      <c r="BK956" s="25"/>
      <c r="BL956" s="25"/>
    </row>
    <row r="957" spans="1:64" s="21" customFormat="1" ht="18.600000000000001" customHeight="1" x14ac:dyDescent="0.25">
      <c r="A957" s="22"/>
      <c r="B957" s="22"/>
      <c r="C957" s="22"/>
      <c r="D957" s="23"/>
      <c r="E957" s="26"/>
      <c r="F957" s="25"/>
      <c r="G957" s="25"/>
      <c r="H957" s="25"/>
      <c r="I957" s="25"/>
      <c r="J957" s="22"/>
      <c r="K957" s="25"/>
      <c r="L957" s="25"/>
      <c r="M957" s="25"/>
      <c r="N957" s="25"/>
      <c r="O957" s="22"/>
      <c r="P957" s="22"/>
      <c r="Q957" s="22"/>
      <c r="R957" s="22"/>
      <c r="S957" s="25"/>
      <c r="T957" s="25"/>
      <c r="U957" s="25"/>
      <c r="V957" s="25"/>
      <c r="W957" s="25"/>
      <c r="X957" s="25"/>
      <c r="Y957" s="25"/>
      <c r="Z957" s="22"/>
      <c r="AA957" s="22"/>
      <c r="AB957" s="22"/>
      <c r="AC957" s="22"/>
      <c r="AD957" s="22"/>
      <c r="AE957" s="22"/>
      <c r="AF957" s="25"/>
      <c r="AG957" s="22"/>
      <c r="AH957" s="22"/>
      <c r="AI957" s="22"/>
      <c r="AJ957" s="22"/>
      <c r="AK957" s="22"/>
      <c r="AL957" s="22"/>
      <c r="AM957" s="22"/>
      <c r="AN957" s="25"/>
      <c r="AO957" s="22"/>
      <c r="AP957" s="22"/>
      <c r="AQ957" s="22"/>
      <c r="AR957" s="22"/>
      <c r="AS957" s="22"/>
      <c r="AT957" s="22"/>
      <c r="AU957" s="22"/>
      <c r="AV957" s="25"/>
      <c r="AW957" s="25"/>
      <c r="AX957" s="25"/>
      <c r="AY957" s="25"/>
      <c r="AZ957" s="25"/>
      <c r="BA957" s="25"/>
      <c r="BB957" s="25"/>
      <c r="BC957" s="25"/>
      <c r="BD957" s="25"/>
      <c r="BE957" s="25"/>
      <c r="BF957" s="25"/>
      <c r="BG957" s="25"/>
      <c r="BH957" s="25"/>
      <c r="BI957" s="25"/>
      <c r="BJ957" s="25"/>
      <c r="BK957" s="25"/>
      <c r="BL957" s="25"/>
    </row>
    <row r="958" spans="1:64" s="21" customFormat="1" ht="18.600000000000001" customHeight="1" x14ac:dyDescent="0.25">
      <c r="A958" s="22"/>
      <c r="B958" s="22"/>
      <c r="C958" s="22"/>
      <c r="D958" s="23"/>
      <c r="E958" s="26"/>
      <c r="F958" s="25"/>
      <c r="G958" s="25"/>
      <c r="H958" s="25"/>
      <c r="I958" s="25"/>
      <c r="J958" s="22"/>
      <c r="K958" s="25"/>
      <c r="L958" s="25"/>
      <c r="M958" s="25"/>
      <c r="N958" s="25"/>
      <c r="O958" s="22"/>
      <c r="P958" s="22"/>
      <c r="Q958" s="22"/>
      <c r="R958" s="22"/>
      <c r="S958" s="25"/>
      <c r="T958" s="25"/>
      <c r="U958" s="25"/>
      <c r="V958" s="25"/>
      <c r="W958" s="25"/>
      <c r="X958" s="25"/>
      <c r="Y958" s="25"/>
      <c r="Z958" s="22"/>
      <c r="AA958" s="22"/>
      <c r="AB958" s="22"/>
      <c r="AC958" s="22"/>
      <c r="AD958" s="22"/>
      <c r="AE958" s="22"/>
      <c r="AF958" s="25"/>
      <c r="AG958" s="22"/>
      <c r="AH958" s="22"/>
      <c r="AI958" s="22"/>
      <c r="AJ958" s="22"/>
      <c r="AK958" s="22"/>
      <c r="AL958" s="22"/>
      <c r="AM958" s="22"/>
      <c r="AN958" s="25"/>
      <c r="AO958" s="22"/>
      <c r="AP958" s="22"/>
      <c r="AQ958" s="22"/>
      <c r="AR958" s="22"/>
      <c r="AS958" s="22"/>
      <c r="AT958" s="22"/>
      <c r="AU958" s="22"/>
      <c r="AV958" s="25"/>
      <c r="AW958" s="25"/>
      <c r="AX958" s="25"/>
      <c r="AY958" s="25"/>
      <c r="AZ958" s="25"/>
      <c r="BA958" s="25"/>
      <c r="BB958" s="25"/>
      <c r="BC958" s="25"/>
      <c r="BD958" s="25"/>
      <c r="BE958" s="25"/>
      <c r="BF958" s="25"/>
      <c r="BG958" s="25"/>
      <c r="BH958" s="25"/>
      <c r="BI958" s="25"/>
      <c r="BJ958" s="25"/>
      <c r="BK958" s="25"/>
      <c r="BL958" s="25"/>
    </row>
    <row r="959" spans="1:64" s="21" customFormat="1" ht="18.600000000000001" customHeight="1" x14ac:dyDescent="0.25">
      <c r="A959" s="22"/>
      <c r="B959" s="22"/>
      <c r="C959" s="22"/>
      <c r="D959" s="23"/>
      <c r="E959" s="26"/>
      <c r="F959" s="25"/>
      <c r="G959" s="25"/>
      <c r="H959" s="25"/>
      <c r="I959" s="25"/>
      <c r="J959" s="22"/>
      <c r="K959" s="25"/>
      <c r="L959" s="25"/>
      <c r="M959" s="25"/>
      <c r="N959" s="25"/>
      <c r="O959" s="22"/>
      <c r="P959" s="22"/>
      <c r="Q959" s="22"/>
      <c r="R959" s="22"/>
      <c r="S959" s="25"/>
      <c r="T959" s="25"/>
      <c r="U959" s="25"/>
      <c r="V959" s="25"/>
      <c r="W959" s="25"/>
      <c r="X959" s="25"/>
      <c r="Y959" s="25"/>
      <c r="Z959" s="22"/>
      <c r="AA959" s="22"/>
      <c r="AB959" s="22"/>
      <c r="AC959" s="22"/>
      <c r="AD959" s="22"/>
      <c r="AE959" s="22"/>
      <c r="AF959" s="25"/>
      <c r="AG959" s="22"/>
      <c r="AH959" s="22"/>
      <c r="AI959" s="22"/>
      <c r="AJ959" s="22"/>
      <c r="AK959" s="22"/>
      <c r="AL959" s="22"/>
      <c r="AM959" s="22"/>
      <c r="AN959" s="25"/>
      <c r="AO959" s="22"/>
      <c r="AP959" s="22"/>
      <c r="AQ959" s="22"/>
      <c r="AR959" s="22"/>
      <c r="AS959" s="22"/>
      <c r="AT959" s="22"/>
      <c r="AU959" s="22"/>
      <c r="AV959" s="25"/>
      <c r="AW959" s="25"/>
      <c r="AX959" s="25"/>
      <c r="AY959" s="25"/>
      <c r="AZ959" s="25"/>
      <c r="BA959" s="25"/>
      <c r="BB959" s="25"/>
      <c r="BC959" s="25"/>
      <c r="BD959" s="25"/>
      <c r="BE959" s="25"/>
      <c r="BF959" s="25"/>
      <c r="BG959" s="25"/>
      <c r="BH959" s="25"/>
      <c r="BI959" s="25"/>
      <c r="BJ959" s="25"/>
      <c r="BK959" s="25"/>
      <c r="BL959" s="25"/>
    </row>
    <row r="960" spans="1:64" s="21" customFormat="1" ht="18.600000000000001" customHeight="1" x14ac:dyDescent="0.25">
      <c r="A960" s="22"/>
      <c r="B960" s="22"/>
      <c r="C960" s="22"/>
      <c r="D960" s="23"/>
      <c r="E960" s="26"/>
      <c r="F960" s="25"/>
      <c r="G960" s="25"/>
      <c r="H960" s="25"/>
      <c r="I960" s="25"/>
      <c r="J960" s="22"/>
      <c r="K960" s="25"/>
      <c r="L960" s="25"/>
      <c r="M960" s="25"/>
      <c r="N960" s="25"/>
      <c r="O960" s="22"/>
      <c r="P960" s="22"/>
      <c r="Q960" s="22"/>
      <c r="R960" s="22"/>
      <c r="S960" s="25"/>
      <c r="T960" s="25"/>
      <c r="U960" s="25"/>
      <c r="V960" s="25"/>
      <c r="W960" s="25"/>
      <c r="X960" s="25"/>
      <c r="Y960" s="25"/>
      <c r="Z960" s="22"/>
      <c r="AA960" s="22"/>
      <c r="AB960" s="22"/>
      <c r="AC960" s="22"/>
      <c r="AD960" s="22"/>
      <c r="AE960" s="22"/>
      <c r="AF960" s="25"/>
      <c r="AG960" s="22"/>
      <c r="AH960" s="22"/>
      <c r="AI960" s="22"/>
      <c r="AJ960" s="22"/>
      <c r="AK960" s="22"/>
      <c r="AL960" s="22"/>
      <c r="AM960" s="22"/>
      <c r="AN960" s="25"/>
      <c r="AO960" s="22"/>
      <c r="AP960" s="22"/>
      <c r="AQ960" s="22"/>
      <c r="AR960" s="22"/>
      <c r="AS960" s="22"/>
      <c r="AT960" s="22"/>
      <c r="AU960" s="22"/>
      <c r="AV960" s="25"/>
      <c r="AW960" s="25"/>
      <c r="AX960" s="25"/>
      <c r="AY960" s="25"/>
      <c r="AZ960" s="25"/>
      <c r="BA960" s="25"/>
      <c r="BB960" s="25"/>
      <c r="BC960" s="25"/>
      <c r="BD960" s="25"/>
      <c r="BE960" s="25"/>
      <c r="BF960" s="25"/>
      <c r="BG960" s="25"/>
      <c r="BH960" s="25"/>
      <c r="BI960" s="25"/>
      <c r="BJ960" s="25"/>
      <c r="BK960" s="25"/>
      <c r="BL960" s="25"/>
    </row>
    <row r="961" spans="1:64" s="21" customFormat="1" ht="18.600000000000001" customHeight="1" x14ac:dyDescent="0.25">
      <c r="A961" s="22"/>
      <c r="B961" s="22"/>
      <c r="C961" s="22"/>
      <c r="D961" s="23"/>
      <c r="E961" s="26"/>
      <c r="F961" s="25"/>
      <c r="G961" s="25"/>
      <c r="H961" s="25"/>
      <c r="I961" s="25"/>
      <c r="J961" s="22"/>
      <c r="K961" s="25"/>
      <c r="L961" s="25"/>
      <c r="M961" s="25"/>
      <c r="N961" s="25"/>
      <c r="O961" s="22"/>
      <c r="P961" s="22"/>
      <c r="Q961" s="22"/>
      <c r="R961" s="22"/>
      <c r="S961" s="25"/>
      <c r="T961" s="25"/>
      <c r="U961" s="25"/>
      <c r="V961" s="25"/>
      <c r="W961" s="25"/>
      <c r="X961" s="25"/>
      <c r="Y961" s="25"/>
      <c r="Z961" s="22"/>
      <c r="AA961" s="22"/>
      <c r="AB961" s="22"/>
      <c r="AC961" s="22"/>
      <c r="AD961" s="22"/>
      <c r="AE961" s="22"/>
      <c r="AF961" s="25"/>
      <c r="AG961" s="22"/>
      <c r="AH961" s="22"/>
      <c r="AI961" s="22"/>
      <c r="AJ961" s="22"/>
      <c r="AK961" s="22"/>
      <c r="AL961" s="22"/>
      <c r="AM961" s="22"/>
      <c r="AN961" s="25"/>
      <c r="AO961" s="22"/>
      <c r="AP961" s="22"/>
      <c r="AQ961" s="22"/>
      <c r="AR961" s="22"/>
      <c r="AS961" s="22"/>
      <c r="AT961" s="22"/>
      <c r="AU961" s="22"/>
      <c r="AV961" s="25"/>
      <c r="AW961" s="25"/>
      <c r="AX961" s="25"/>
      <c r="AY961" s="25"/>
      <c r="AZ961" s="25"/>
      <c r="BA961" s="25"/>
      <c r="BB961" s="25"/>
      <c r="BC961" s="25"/>
      <c r="BD961" s="25"/>
      <c r="BE961" s="25"/>
      <c r="BF961" s="25"/>
      <c r="BG961" s="25"/>
      <c r="BH961" s="25"/>
      <c r="BI961" s="25"/>
      <c r="BJ961" s="25"/>
      <c r="BK961" s="25"/>
      <c r="BL961" s="25"/>
    </row>
    <row r="962" spans="1:64" s="21" customFormat="1" ht="18.600000000000001" customHeight="1" x14ac:dyDescent="0.25">
      <c r="A962" s="22"/>
      <c r="B962" s="22"/>
      <c r="C962" s="22"/>
      <c r="D962" s="23"/>
      <c r="E962" s="26"/>
      <c r="F962" s="25"/>
      <c r="G962" s="25"/>
      <c r="H962" s="25"/>
      <c r="I962" s="25"/>
      <c r="J962" s="22"/>
      <c r="K962" s="25"/>
      <c r="L962" s="25"/>
      <c r="M962" s="25"/>
      <c r="N962" s="25"/>
      <c r="O962" s="22"/>
      <c r="P962" s="22"/>
      <c r="Q962" s="22"/>
      <c r="R962" s="22"/>
      <c r="S962" s="25"/>
      <c r="T962" s="25"/>
      <c r="U962" s="25"/>
      <c r="V962" s="25"/>
      <c r="W962" s="25"/>
      <c r="X962" s="25"/>
      <c r="Y962" s="25"/>
      <c r="Z962" s="22"/>
      <c r="AA962" s="22"/>
      <c r="AB962" s="22"/>
      <c r="AC962" s="22"/>
      <c r="AD962" s="22"/>
      <c r="AE962" s="22"/>
      <c r="AF962" s="25"/>
      <c r="AG962" s="22"/>
      <c r="AH962" s="22"/>
      <c r="AI962" s="22"/>
      <c r="AJ962" s="22"/>
      <c r="AK962" s="22"/>
      <c r="AL962" s="22"/>
      <c r="AM962" s="22"/>
      <c r="AN962" s="25"/>
      <c r="AO962" s="22"/>
      <c r="AP962" s="22"/>
      <c r="AQ962" s="22"/>
      <c r="AR962" s="22"/>
      <c r="AS962" s="22"/>
      <c r="AT962" s="22"/>
      <c r="AU962" s="22"/>
      <c r="AV962" s="25"/>
      <c r="AW962" s="25"/>
      <c r="AX962" s="25"/>
      <c r="AY962" s="25"/>
      <c r="AZ962" s="25"/>
      <c r="BA962" s="25"/>
      <c r="BB962" s="25"/>
      <c r="BC962" s="25"/>
      <c r="BD962" s="25"/>
      <c r="BE962" s="25"/>
      <c r="BF962" s="25"/>
      <c r="BG962" s="25"/>
      <c r="BH962" s="25"/>
      <c r="BI962" s="25"/>
      <c r="BJ962" s="25"/>
      <c r="BK962" s="25"/>
      <c r="BL962" s="25"/>
    </row>
    <row r="963" spans="1:64" s="21" customFormat="1" ht="18.600000000000001" customHeight="1" x14ac:dyDescent="0.25">
      <c r="A963" s="22"/>
      <c r="B963" s="22"/>
      <c r="C963" s="22"/>
      <c r="D963" s="23"/>
      <c r="E963" s="26"/>
      <c r="F963" s="25"/>
      <c r="G963" s="25"/>
      <c r="H963" s="25"/>
      <c r="I963" s="25"/>
      <c r="J963" s="22"/>
      <c r="K963" s="25"/>
      <c r="L963" s="25"/>
      <c r="M963" s="25"/>
      <c r="N963" s="25"/>
      <c r="O963" s="22"/>
      <c r="P963" s="22"/>
      <c r="Q963" s="22"/>
      <c r="R963" s="22"/>
      <c r="S963" s="25"/>
      <c r="T963" s="25"/>
      <c r="U963" s="25"/>
      <c r="V963" s="25"/>
      <c r="W963" s="25"/>
      <c r="X963" s="25"/>
      <c r="Y963" s="25"/>
      <c r="Z963" s="22"/>
      <c r="AA963" s="22"/>
      <c r="AB963" s="22"/>
      <c r="AC963" s="22"/>
      <c r="AD963" s="22"/>
      <c r="AE963" s="22"/>
      <c r="AF963" s="25"/>
      <c r="AG963" s="22"/>
      <c r="AH963" s="22"/>
      <c r="AI963" s="22"/>
      <c r="AJ963" s="22"/>
      <c r="AK963" s="22"/>
      <c r="AL963" s="22"/>
      <c r="AM963" s="22"/>
      <c r="AN963" s="25"/>
      <c r="AO963" s="22"/>
      <c r="AP963" s="22"/>
      <c r="AQ963" s="22"/>
      <c r="AR963" s="22"/>
      <c r="AS963" s="22"/>
      <c r="AT963" s="22"/>
      <c r="AU963" s="22"/>
      <c r="AV963" s="25"/>
      <c r="AW963" s="25"/>
      <c r="AX963" s="25"/>
      <c r="AY963" s="25"/>
      <c r="AZ963" s="25"/>
      <c r="BA963" s="25"/>
      <c r="BB963" s="25"/>
      <c r="BC963" s="25"/>
      <c r="BD963" s="25"/>
      <c r="BE963" s="25"/>
      <c r="BF963" s="25"/>
      <c r="BG963" s="25"/>
      <c r="BH963" s="25"/>
      <c r="BI963" s="25"/>
      <c r="BJ963" s="25"/>
      <c r="BK963" s="25"/>
      <c r="BL963" s="25"/>
    </row>
    <row r="964" spans="1:64" s="21" customFormat="1" ht="18.600000000000001" customHeight="1" x14ac:dyDescent="0.25">
      <c r="A964" s="22"/>
      <c r="B964" s="22"/>
      <c r="C964" s="22"/>
      <c r="D964" s="23"/>
      <c r="E964" s="26"/>
      <c r="F964" s="25"/>
      <c r="G964" s="25"/>
      <c r="H964" s="25"/>
      <c r="I964" s="25"/>
      <c r="J964" s="22"/>
      <c r="K964" s="25"/>
      <c r="L964" s="25"/>
      <c r="M964" s="25"/>
      <c r="N964" s="25"/>
      <c r="O964" s="22"/>
      <c r="P964" s="22"/>
      <c r="Q964" s="22"/>
      <c r="R964" s="22"/>
      <c r="S964" s="25"/>
      <c r="T964" s="25"/>
      <c r="U964" s="25"/>
      <c r="V964" s="25"/>
      <c r="W964" s="25"/>
      <c r="X964" s="25"/>
      <c r="Y964" s="25"/>
      <c r="Z964" s="22"/>
      <c r="AA964" s="22"/>
      <c r="AB964" s="22"/>
      <c r="AC964" s="22"/>
      <c r="AD964" s="22"/>
      <c r="AE964" s="22"/>
      <c r="AF964" s="25"/>
      <c r="AG964" s="22"/>
      <c r="AH964" s="22"/>
      <c r="AI964" s="22"/>
      <c r="AJ964" s="22"/>
      <c r="AK964" s="22"/>
      <c r="AL964" s="22"/>
      <c r="AM964" s="22"/>
      <c r="AN964" s="25"/>
      <c r="AO964" s="22"/>
      <c r="AP964" s="22"/>
      <c r="AQ964" s="22"/>
      <c r="AR964" s="22"/>
      <c r="AS964" s="22"/>
      <c r="AT964" s="22"/>
      <c r="AU964" s="22"/>
      <c r="AV964" s="25"/>
      <c r="AW964" s="25"/>
      <c r="AX964" s="25"/>
      <c r="AY964" s="25"/>
      <c r="AZ964" s="25"/>
      <c r="BA964" s="25"/>
      <c r="BB964" s="25"/>
      <c r="BC964" s="25"/>
      <c r="BD964" s="25"/>
      <c r="BE964" s="25"/>
      <c r="BF964" s="25"/>
      <c r="BG964" s="25"/>
      <c r="BH964" s="25"/>
      <c r="BI964" s="25"/>
      <c r="BJ964" s="25"/>
      <c r="BK964" s="25"/>
      <c r="BL964" s="25"/>
    </row>
    <row r="965" spans="1:64" s="21" customFormat="1" ht="18.600000000000001" customHeight="1" x14ac:dyDescent="0.25">
      <c r="A965" s="22"/>
      <c r="B965" s="22"/>
      <c r="C965" s="22"/>
      <c r="D965" s="23"/>
      <c r="E965" s="26"/>
      <c r="F965" s="25"/>
      <c r="G965" s="25"/>
      <c r="H965" s="25"/>
      <c r="I965" s="25"/>
      <c r="J965" s="22"/>
      <c r="K965" s="25"/>
      <c r="L965" s="25"/>
      <c r="M965" s="25"/>
      <c r="N965" s="25"/>
      <c r="O965" s="22"/>
      <c r="P965" s="22"/>
      <c r="Q965" s="22"/>
      <c r="R965" s="22"/>
      <c r="S965" s="25"/>
      <c r="T965" s="25"/>
      <c r="U965" s="25"/>
      <c r="V965" s="25"/>
      <c r="W965" s="25"/>
      <c r="X965" s="25"/>
      <c r="Y965" s="25"/>
      <c r="Z965" s="22"/>
      <c r="AA965" s="22"/>
      <c r="AB965" s="22"/>
      <c r="AC965" s="22"/>
      <c r="AD965" s="22"/>
      <c r="AE965" s="22"/>
      <c r="AF965" s="25"/>
      <c r="AG965" s="22"/>
      <c r="AH965" s="22"/>
      <c r="AI965" s="22"/>
      <c r="AJ965" s="22"/>
      <c r="AK965" s="22"/>
      <c r="AL965" s="22"/>
      <c r="AM965" s="22"/>
      <c r="AN965" s="25"/>
      <c r="AO965" s="22"/>
      <c r="AP965" s="22"/>
      <c r="AQ965" s="22"/>
      <c r="AR965" s="22"/>
      <c r="AS965" s="22"/>
      <c r="AT965" s="22"/>
      <c r="AU965" s="22"/>
      <c r="AV965" s="25"/>
      <c r="AW965" s="25"/>
      <c r="AX965" s="25"/>
      <c r="AY965" s="25"/>
      <c r="AZ965" s="25"/>
      <c r="BA965" s="25"/>
      <c r="BB965" s="25"/>
      <c r="BC965" s="25"/>
      <c r="BD965" s="25"/>
      <c r="BE965" s="25"/>
      <c r="BF965" s="25"/>
      <c r="BG965" s="25"/>
      <c r="BH965" s="25"/>
      <c r="BI965" s="25"/>
      <c r="BJ965" s="25"/>
      <c r="BK965" s="25"/>
      <c r="BL965" s="25"/>
    </row>
    <row r="966" spans="1:64" s="21" customFormat="1" ht="18.600000000000001" customHeight="1" x14ac:dyDescent="0.25">
      <c r="A966" s="22"/>
      <c r="B966" s="22"/>
      <c r="C966" s="22"/>
      <c r="D966" s="23"/>
      <c r="E966" s="26"/>
      <c r="F966" s="25"/>
      <c r="G966" s="25"/>
      <c r="H966" s="25"/>
      <c r="I966" s="25"/>
      <c r="J966" s="22"/>
      <c r="K966" s="25"/>
      <c r="L966" s="25"/>
      <c r="M966" s="25"/>
      <c r="N966" s="25"/>
      <c r="O966" s="22"/>
      <c r="P966" s="22"/>
      <c r="Q966" s="22"/>
      <c r="R966" s="22"/>
      <c r="S966" s="25"/>
      <c r="T966" s="25"/>
      <c r="U966" s="25"/>
      <c r="V966" s="25"/>
      <c r="W966" s="25"/>
      <c r="X966" s="25"/>
      <c r="Y966" s="25"/>
      <c r="Z966" s="22"/>
      <c r="AA966" s="22"/>
      <c r="AB966" s="22"/>
      <c r="AC966" s="22"/>
      <c r="AD966" s="22"/>
      <c r="AE966" s="22"/>
      <c r="AF966" s="25"/>
      <c r="AG966" s="22"/>
      <c r="AH966" s="22"/>
      <c r="AI966" s="22"/>
      <c r="AJ966" s="22"/>
      <c r="AK966" s="22"/>
      <c r="AL966" s="22"/>
      <c r="AM966" s="22"/>
      <c r="AN966" s="25"/>
      <c r="AO966" s="22"/>
      <c r="AP966" s="22"/>
      <c r="AQ966" s="22"/>
      <c r="AR966" s="22"/>
      <c r="AS966" s="22"/>
      <c r="AT966" s="22"/>
      <c r="AU966" s="22"/>
      <c r="AV966" s="25"/>
      <c r="AW966" s="25"/>
      <c r="AX966" s="25"/>
      <c r="AY966" s="25"/>
      <c r="AZ966" s="25"/>
      <c r="BA966" s="25"/>
      <c r="BB966" s="25"/>
      <c r="BC966" s="25"/>
      <c r="BD966" s="25"/>
      <c r="BE966" s="25"/>
      <c r="BF966" s="25"/>
      <c r="BG966" s="25"/>
      <c r="BH966" s="25"/>
      <c r="BI966" s="25"/>
      <c r="BJ966" s="25"/>
      <c r="BK966" s="25"/>
      <c r="BL966" s="25"/>
    </row>
    <row r="967" spans="1:64" s="21" customFormat="1" ht="18.600000000000001" customHeight="1" x14ac:dyDescent="0.25">
      <c r="A967" s="22"/>
      <c r="B967" s="22"/>
      <c r="C967" s="22"/>
      <c r="D967" s="23"/>
      <c r="E967" s="26"/>
      <c r="F967" s="25"/>
      <c r="G967" s="25"/>
      <c r="H967" s="25"/>
      <c r="I967" s="25"/>
      <c r="J967" s="22"/>
      <c r="K967" s="25"/>
      <c r="L967" s="25"/>
      <c r="M967" s="25"/>
      <c r="N967" s="25"/>
      <c r="O967" s="22"/>
      <c r="P967" s="22"/>
      <c r="Q967" s="22"/>
      <c r="R967" s="22"/>
      <c r="S967" s="25"/>
      <c r="T967" s="25"/>
      <c r="U967" s="25"/>
      <c r="V967" s="25"/>
      <c r="W967" s="25"/>
      <c r="X967" s="25"/>
      <c r="Y967" s="25"/>
      <c r="Z967" s="22"/>
      <c r="AA967" s="22"/>
      <c r="AB967" s="22"/>
      <c r="AC967" s="22"/>
      <c r="AD967" s="22"/>
      <c r="AE967" s="22"/>
      <c r="AF967" s="25"/>
      <c r="AG967" s="22"/>
      <c r="AH967" s="22"/>
      <c r="AI967" s="22"/>
      <c r="AJ967" s="22"/>
      <c r="AK967" s="22"/>
      <c r="AL967" s="22"/>
      <c r="AM967" s="22"/>
      <c r="AN967" s="25"/>
      <c r="AO967" s="22"/>
      <c r="AP967" s="22"/>
      <c r="AQ967" s="22"/>
      <c r="AR967" s="22"/>
      <c r="AS967" s="22"/>
      <c r="AT967" s="22"/>
      <c r="AU967" s="22"/>
      <c r="AV967" s="25"/>
      <c r="AW967" s="25"/>
      <c r="AX967" s="25"/>
      <c r="AY967" s="25"/>
      <c r="AZ967" s="25"/>
      <c r="BA967" s="25"/>
      <c r="BB967" s="25"/>
      <c r="BC967" s="25"/>
      <c r="BD967" s="25"/>
      <c r="BE967" s="25"/>
      <c r="BF967" s="25"/>
      <c r="BG967" s="25"/>
      <c r="BH967" s="25"/>
      <c r="BI967" s="25"/>
      <c r="BJ967" s="25"/>
      <c r="BK967" s="25"/>
      <c r="BL967" s="25"/>
    </row>
    <row r="968" spans="1:64" s="21" customFormat="1" ht="18.600000000000001" customHeight="1" x14ac:dyDescent="0.25">
      <c r="A968" s="22"/>
      <c r="B968" s="22"/>
      <c r="C968" s="22"/>
      <c r="D968" s="23"/>
      <c r="E968" s="26"/>
      <c r="F968" s="25"/>
      <c r="G968" s="25"/>
      <c r="H968" s="25"/>
      <c r="I968" s="25"/>
      <c r="J968" s="22"/>
      <c r="K968" s="25"/>
      <c r="L968" s="25"/>
      <c r="M968" s="25"/>
      <c r="N968" s="25"/>
      <c r="O968" s="22"/>
      <c r="P968" s="22"/>
      <c r="Q968" s="22"/>
      <c r="R968" s="22"/>
      <c r="S968" s="25"/>
      <c r="T968" s="25"/>
      <c r="U968" s="25"/>
      <c r="V968" s="25"/>
      <c r="W968" s="25"/>
      <c r="X968" s="25"/>
      <c r="Y968" s="25"/>
      <c r="Z968" s="22"/>
      <c r="AA968" s="22"/>
      <c r="AB968" s="22"/>
      <c r="AC968" s="22"/>
      <c r="AD968" s="22"/>
      <c r="AE968" s="22"/>
      <c r="AF968" s="25"/>
      <c r="AG968" s="22"/>
      <c r="AH968" s="22"/>
      <c r="AI968" s="22"/>
      <c r="AJ968" s="22"/>
      <c r="AK968" s="22"/>
      <c r="AL968" s="22"/>
      <c r="AM968" s="22"/>
      <c r="AN968" s="25"/>
      <c r="AO968" s="22"/>
      <c r="AP968" s="22"/>
      <c r="AQ968" s="22"/>
      <c r="AR968" s="22"/>
      <c r="AS968" s="22"/>
      <c r="AT968" s="22"/>
      <c r="AU968" s="22"/>
      <c r="AV968" s="25"/>
      <c r="AW968" s="25"/>
      <c r="AX968" s="25"/>
      <c r="AY968" s="25"/>
      <c r="AZ968" s="25"/>
      <c r="BA968" s="25"/>
      <c r="BB968" s="25"/>
      <c r="BC968" s="25"/>
      <c r="BD968" s="25"/>
      <c r="BE968" s="25"/>
      <c r="BF968" s="25"/>
      <c r="BG968" s="25"/>
      <c r="BH968" s="25"/>
      <c r="BI968" s="25"/>
      <c r="BJ968" s="25"/>
      <c r="BK968" s="25"/>
      <c r="BL968" s="25"/>
    </row>
    <row r="969" spans="1:64" s="21" customFormat="1" ht="18.600000000000001" customHeight="1" x14ac:dyDescent="0.25">
      <c r="A969" s="22"/>
      <c r="B969" s="22"/>
      <c r="C969" s="22"/>
      <c r="D969" s="23"/>
      <c r="E969" s="26"/>
      <c r="F969" s="25"/>
      <c r="G969" s="25"/>
      <c r="H969" s="25"/>
      <c r="I969" s="25"/>
      <c r="J969" s="22"/>
      <c r="K969" s="25"/>
      <c r="L969" s="25"/>
      <c r="M969" s="25"/>
      <c r="N969" s="25"/>
      <c r="O969" s="22"/>
      <c r="P969" s="22"/>
      <c r="Q969" s="22"/>
      <c r="R969" s="22"/>
      <c r="S969" s="25"/>
      <c r="T969" s="25"/>
      <c r="U969" s="25"/>
      <c r="V969" s="25"/>
      <c r="W969" s="25"/>
      <c r="X969" s="25"/>
      <c r="Y969" s="25"/>
      <c r="Z969" s="22"/>
      <c r="AA969" s="22"/>
      <c r="AB969" s="22"/>
      <c r="AC969" s="22"/>
      <c r="AD969" s="22"/>
      <c r="AE969" s="22"/>
      <c r="AF969" s="25"/>
      <c r="AG969" s="22"/>
      <c r="AH969" s="22"/>
      <c r="AI969" s="22"/>
      <c r="AJ969" s="22"/>
      <c r="AK969" s="22"/>
      <c r="AL969" s="22"/>
      <c r="AM969" s="22"/>
      <c r="AN969" s="25"/>
      <c r="AO969" s="22"/>
      <c r="AP969" s="22"/>
      <c r="AQ969" s="22"/>
      <c r="AR969" s="22"/>
      <c r="AS969" s="22"/>
      <c r="AT969" s="22"/>
      <c r="AU969" s="22"/>
      <c r="AV969" s="25"/>
      <c r="AW969" s="25"/>
      <c r="AX969" s="25"/>
      <c r="AY969" s="25"/>
      <c r="AZ969" s="25"/>
      <c r="BA969" s="25"/>
      <c r="BB969" s="25"/>
      <c r="BC969" s="25"/>
      <c r="BD969" s="25"/>
      <c r="BE969" s="25"/>
      <c r="BF969" s="25"/>
      <c r="BG969" s="25"/>
      <c r="BH969" s="25"/>
      <c r="BI969" s="25"/>
      <c r="BJ969" s="25"/>
      <c r="BK969" s="25"/>
      <c r="BL969" s="25"/>
    </row>
    <row r="970" spans="1:64" s="21" customFormat="1" ht="18.600000000000001" customHeight="1" x14ac:dyDescent="0.25">
      <c r="A970" s="22"/>
      <c r="B970" s="22"/>
      <c r="C970" s="22"/>
      <c r="D970" s="23"/>
      <c r="E970" s="26"/>
      <c r="F970" s="25"/>
      <c r="G970" s="25"/>
      <c r="H970" s="25"/>
      <c r="I970" s="25"/>
      <c r="J970" s="22"/>
      <c r="K970" s="25"/>
      <c r="L970" s="25"/>
      <c r="M970" s="25"/>
      <c r="N970" s="25"/>
      <c r="O970" s="22"/>
      <c r="P970" s="22"/>
      <c r="Q970" s="22"/>
      <c r="R970" s="22"/>
      <c r="S970" s="25"/>
      <c r="T970" s="25"/>
      <c r="U970" s="25"/>
      <c r="V970" s="25"/>
      <c r="W970" s="25"/>
      <c r="X970" s="25"/>
      <c r="Y970" s="25"/>
      <c r="Z970" s="22"/>
      <c r="AA970" s="22"/>
      <c r="AB970" s="22"/>
      <c r="AC970" s="22"/>
      <c r="AD970" s="22"/>
      <c r="AE970" s="22"/>
      <c r="AF970" s="25"/>
      <c r="AG970" s="22"/>
      <c r="AH970" s="22"/>
      <c r="AI970" s="22"/>
      <c r="AJ970" s="22"/>
      <c r="AK970" s="22"/>
      <c r="AL970" s="22"/>
      <c r="AM970" s="22"/>
      <c r="AN970" s="25"/>
      <c r="AO970" s="22"/>
      <c r="AP970" s="22"/>
      <c r="AQ970" s="22"/>
      <c r="AR970" s="22"/>
      <c r="AS970" s="22"/>
      <c r="AT970" s="22"/>
      <c r="AU970" s="22"/>
      <c r="AV970" s="25"/>
      <c r="AW970" s="25"/>
      <c r="AX970" s="25"/>
      <c r="AY970" s="25"/>
      <c r="AZ970" s="25"/>
      <c r="BA970" s="25"/>
      <c r="BB970" s="25"/>
      <c r="BC970" s="25"/>
      <c r="BD970" s="25"/>
      <c r="BE970" s="25"/>
      <c r="BF970" s="25"/>
      <c r="BG970" s="25"/>
      <c r="BH970" s="25"/>
      <c r="BI970" s="25"/>
      <c r="BJ970" s="25"/>
      <c r="BK970" s="25"/>
      <c r="BL970" s="25"/>
    </row>
    <row r="971" spans="1:64" s="21" customFormat="1" ht="18.600000000000001" customHeight="1" x14ac:dyDescent="0.25">
      <c r="A971" s="22"/>
      <c r="B971" s="22"/>
      <c r="C971" s="22"/>
      <c r="D971" s="23"/>
      <c r="E971" s="26"/>
      <c r="F971" s="25"/>
      <c r="G971" s="25"/>
      <c r="H971" s="25"/>
      <c r="I971" s="25"/>
      <c r="J971" s="22"/>
      <c r="K971" s="25"/>
      <c r="L971" s="25"/>
      <c r="M971" s="25"/>
      <c r="N971" s="25"/>
      <c r="O971" s="22"/>
      <c r="P971" s="22"/>
      <c r="Q971" s="22"/>
      <c r="R971" s="22"/>
      <c r="S971" s="25"/>
      <c r="T971" s="25"/>
      <c r="U971" s="25"/>
      <c r="V971" s="25"/>
      <c r="W971" s="25"/>
      <c r="X971" s="25"/>
      <c r="Y971" s="25"/>
      <c r="Z971" s="22"/>
      <c r="AA971" s="22"/>
      <c r="AB971" s="22"/>
      <c r="AC971" s="22"/>
      <c r="AD971" s="22"/>
      <c r="AE971" s="22"/>
      <c r="AF971" s="25"/>
      <c r="AG971" s="22"/>
      <c r="AH971" s="22"/>
      <c r="AI971" s="22"/>
      <c r="AJ971" s="22"/>
      <c r="AK971" s="22"/>
      <c r="AL971" s="22"/>
      <c r="AM971" s="22"/>
      <c r="AN971" s="25"/>
      <c r="AO971" s="22"/>
      <c r="AP971" s="22"/>
      <c r="AQ971" s="22"/>
      <c r="AR971" s="22"/>
      <c r="AS971" s="22"/>
      <c r="AT971" s="22"/>
      <c r="AU971" s="22"/>
      <c r="AV971" s="25"/>
      <c r="AW971" s="25"/>
      <c r="AX971" s="25"/>
      <c r="AY971" s="25"/>
      <c r="AZ971" s="25"/>
      <c r="BA971" s="25"/>
      <c r="BB971" s="25"/>
      <c r="BC971" s="25"/>
      <c r="BD971" s="25"/>
      <c r="BE971" s="25"/>
      <c r="BF971" s="25"/>
      <c r="BG971" s="25"/>
      <c r="BH971" s="25"/>
      <c r="BI971" s="25"/>
      <c r="BJ971" s="25"/>
      <c r="BK971" s="25"/>
      <c r="BL971" s="25"/>
    </row>
    <row r="972" spans="1:64" s="21" customFormat="1" ht="18.600000000000001" customHeight="1" x14ac:dyDescent="0.25">
      <c r="A972" s="22"/>
      <c r="B972" s="22"/>
      <c r="C972" s="22"/>
      <c r="D972" s="23"/>
      <c r="E972" s="26"/>
      <c r="F972" s="25"/>
      <c r="G972" s="25"/>
      <c r="H972" s="25"/>
      <c r="I972" s="25"/>
      <c r="J972" s="22"/>
      <c r="K972" s="25"/>
      <c r="L972" s="25"/>
      <c r="M972" s="25"/>
      <c r="N972" s="25"/>
      <c r="O972" s="22"/>
      <c r="P972" s="22"/>
      <c r="Q972" s="22"/>
      <c r="R972" s="22"/>
      <c r="S972" s="25"/>
      <c r="T972" s="25"/>
      <c r="U972" s="25"/>
      <c r="V972" s="25"/>
      <c r="W972" s="25"/>
      <c r="X972" s="25"/>
      <c r="Y972" s="25"/>
      <c r="Z972" s="22"/>
      <c r="AA972" s="22"/>
      <c r="AB972" s="22"/>
      <c r="AC972" s="22"/>
      <c r="AD972" s="22"/>
      <c r="AE972" s="22"/>
      <c r="AF972" s="25"/>
      <c r="AG972" s="22"/>
      <c r="AH972" s="22"/>
      <c r="AI972" s="22"/>
      <c r="AJ972" s="22"/>
      <c r="AK972" s="22"/>
      <c r="AL972" s="22"/>
      <c r="AM972" s="22"/>
      <c r="AN972" s="25"/>
      <c r="AO972" s="22"/>
      <c r="AP972" s="22"/>
      <c r="AQ972" s="22"/>
      <c r="AR972" s="22"/>
      <c r="AS972" s="22"/>
      <c r="AT972" s="22"/>
      <c r="AU972" s="22"/>
      <c r="AV972" s="25"/>
      <c r="AW972" s="25"/>
      <c r="AX972" s="25"/>
      <c r="AY972" s="25"/>
      <c r="AZ972" s="25"/>
      <c r="BA972" s="25"/>
      <c r="BB972" s="25"/>
      <c r="BC972" s="25"/>
      <c r="BD972" s="25"/>
      <c r="BE972" s="25"/>
      <c r="BF972" s="25"/>
      <c r="BG972" s="25"/>
      <c r="BH972" s="25"/>
      <c r="BI972" s="25"/>
      <c r="BJ972" s="25"/>
      <c r="BK972" s="25"/>
      <c r="BL972" s="25"/>
    </row>
    <row r="973" spans="1:64" s="21" customFormat="1" ht="18.600000000000001" customHeight="1" x14ac:dyDescent="0.25">
      <c r="A973" s="22"/>
      <c r="B973" s="22"/>
      <c r="C973" s="22"/>
      <c r="D973" s="23"/>
      <c r="E973" s="26"/>
      <c r="F973" s="25"/>
      <c r="G973" s="25"/>
      <c r="H973" s="25"/>
      <c r="I973" s="25"/>
      <c r="J973" s="22"/>
      <c r="K973" s="25"/>
      <c r="L973" s="25"/>
      <c r="M973" s="25"/>
      <c r="N973" s="25"/>
      <c r="O973" s="22"/>
      <c r="P973" s="22"/>
      <c r="Q973" s="22"/>
      <c r="R973" s="22"/>
      <c r="S973" s="25"/>
      <c r="T973" s="25"/>
      <c r="U973" s="25"/>
      <c r="V973" s="25"/>
      <c r="W973" s="25"/>
      <c r="X973" s="25"/>
      <c r="Y973" s="25"/>
      <c r="Z973" s="22"/>
      <c r="AA973" s="22"/>
      <c r="AB973" s="22"/>
      <c r="AC973" s="22"/>
      <c r="AD973" s="22"/>
      <c r="AE973" s="22"/>
      <c r="AF973" s="25"/>
      <c r="AG973" s="22"/>
      <c r="AH973" s="22"/>
      <c r="AI973" s="22"/>
      <c r="AJ973" s="22"/>
      <c r="AK973" s="22"/>
      <c r="AL973" s="22"/>
      <c r="AM973" s="22"/>
      <c r="AN973" s="25"/>
      <c r="AO973" s="22"/>
      <c r="AP973" s="22"/>
      <c r="AQ973" s="22"/>
      <c r="AR973" s="22"/>
      <c r="AS973" s="22"/>
      <c r="AT973" s="22"/>
      <c r="AU973" s="22"/>
      <c r="AV973" s="25"/>
      <c r="AW973" s="25"/>
      <c r="AX973" s="25"/>
      <c r="AY973" s="25"/>
      <c r="AZ973" s="25"/>
      <c r="BA973" s="25"/>
      <c r="BB973" s="25"/>
      <c r="BC973" s="25"/>
      <c r="BD973" s="25"/>
      <c r="BE973" s="25"/>
      <c r="BF973" s="25"/>
      <c r="BG973" s="25"/>
      <c r="BH973" s="25"/>
      <c r="BI973" s="25"/>
      <c r="BJ973" s="25"/>
      <c r="BK973" s="25"/>
      <c r="BL973" s="25"/>
    </row>
    <row r="974" spans="1:64" s="21" customFormat="1" ht="18.600000000000001" customHeight="1" x14ac:dyDescent="0.25">
      <c r="A974" s="22"/>
      <c r="B974" s="22"/>
      <c r="C974" s="22"/>
      <c r="D974" s="23"/>
      <c r="E974" s="26"/>
      <c r="F974" s="25"/>
      <c r="G974" s="25"/>
      <c r="H974" s="25"/>
      <c r="I974" s="25"/>
      <c r="J974" s="22"/>
      <c r="K974" s="25"/>
      <c r="L974" s="25"/>
      <c r="M974" s="25"/>
      <c r="N974" s="25"/>
      <c r="O974" s="22"/>
      <c r="P974" s="22"/>
      <c r="Q974" s="22"/>
      <c r="R974" s="22"/>
      <c r="S974" s="25"/>
      <c r="T974" s="25"/>
      <c r="U974" s="25"/>
      <c r="V974" s="25"/>
      <c r="W974" s="25"/>
      <c r="X974" s="25"/>
      <c r="Y974" s="25"/>
      <c r="Z974" s="22"/>
      <c r="AA974" s="22"/>
      <c r="AB974" s="22"/>
      <c r="AC974" s="22"/>
      <c r="AD974" s="22"/>
      <c r="AE974" s="22"/>
      <c r="AF974" s="25"/>
      <c r="AG974" s="22"/>
      <c r="AH974" s="22"/>
      <c r="AI974" s="22"/>
      <c r="AJ974" s="22"/>
      <c r="AK974" s="22"/>
      <c r="AL974" s="22"/>
      <c r="AM974" s="22"/>
      <c r="AN974" s="25"/>
      <c r="AO974" s="22"/>
      <c r="AP974" s="22"/>
      <c r="AQ974" s="22"/>
      <c r="AR974" s="22"/>
      <c r="AS974" s="22"/>
      <c r="AT974" s="22"/>
      <c r="AU974" s="22"/>
      <c r="AV974" s="25"/>
      <c r="AW974" s="25"/>
      <c r="AX974" s="25"/>
      <c r="AY974" s="25"/>
      <c r="AZ974" s="25"/>
      <c r="BA974" s="25"/>
      <c r="BB974" s="25"/>
      <c r="BC974" s="25"/>
      <c r="BD974" s="25"/>
      <c r="BE974" s="25"/>
      <c r="BF974" s="25"/>
      <c r="BG974" s="25"/>
      <c r="BH974" s="25"/>
      <c r="BI974" s="25"/>
      <c r="BJ974" s="25"/>
      <c r="BK974" s="25"/>
      <c r="BL974" s="25"/>
    </row>
    <row r="975" spans="1:64" s="21" customFormat="1" ht="18.600000000000001" customHeight="1" x14ac:dyDescent="0.25">
      <c r="A975" s="22"/>
      <c r="B975" s="22"/>
      <c r="C975" s="22"/>
      <c r="D975" s="23"/>
      <c r="E975" s="26"/>
      <c r="F975" s="25"/>
      <c r="G975" s="25"/>
      <c r="H975" s="25"/>
      <c r="I975" s="25"/>
      <c r="J975" s="22"/>
      <c r="K975" s="25"/>
      <c r="L975" s="25"/>
      <c r="M975" s="25"/>
      <c r="N975" s="25"/>
      <c r="O975" s="22"/>
      <c r="P975" s="22"/>
      <c r="Q975" s="22"/>
      <c r="R975" s="22"/>
      <c r="S975" s="25"/>
      <c r="T975" s="25"/>
      <c r="U975" s="25"/>
      <c r="V975" s="25"/>
      <c r="W975" s="25"/>
      <c r="X975" s="25"/>
      <c r="Y975" s="25"/>
      <c r="Z975" s="22"/>
      <c r="AA975" s="22"/>
      <c r="AB975" s="22"/>
      <c r="AC975" s="22"/>
      <c r="AD975" s="22"/>
      <c r="AE975" s="22"/>
      <c r="AF975" s="25"/>
      <c r="AG975" s="22"/>
      <c r="AH975" s="22"/>
      <c r="AI975" s="22"/>
      <c r="AJ975" s="22"/>
      <c r="AK975" s="22"/>
      <c r="AL975" s="22"/>
      <c r="AM975" s="22"/>
      <c r="AN975" s="25"/>
      <c r="AO975" s="22"/>
      <c r="AP975" s="22"/>
      <c r="AQ975" s="22"/>
      <c r="AR975" s="22"/>
      <c r="AS975" s="22"/>
      <c r="AT975" s="22"/>
      <c r="AU975" s="22"/>
      <c r="AV975" s="25"/>
      <c r="AW975" s="25"/>
      <c r="AX975" s="25"/>
      <c r="AY975" s="25"/>
      <c r="AZ975" s="25"/>
      <c r="BA975" s="25"/>
      <c r="BB975" s="25"/>
      <c r="BC975" s="25"/>
      <c r="BD975" s="25"/>
      <c r="BE975" s="25"/>
      <c r="BF975" s="25"/>
      <c r="BG975" s="25"/>
      <c r="BH975" s="25"/>
      <c r="BI975" s="25"/>
      <c r="BJ975" s="25"/>
      <c r="BK975" s="25"/>
      <c r="BL975" s="25"/>
    </row>
    <row r="976" spans="1:64" s="21" customFormat="1" ht="18.600000000000001" customHeight="1" x14ac:dyDescent="0.25">
      <c r="A976" s="22"/>
      <c r="B976" s="22"/>
      <c r="C976" s="22"/>
      <c r="D976" s="23"/>
      <c r="E976" s="26"/>
      <c r="F976" s="25"/>
      <c r="G976" s="25"/>
      <c r="H976" s="25"/>
      <c r="I976" s="25"/>
      <c r="J976" s="22"/>
      <c r="K976" s="25"/>
      <c r="L976" s="25"/>
      <c r="M976" s="25"/>
      <c r="N976" s="25"/>
      <c r="O976" s="22"/>
      <c r="P976" s="22"/>
      <c r="Q976" s="22"/>
      <c r="R976" s="22"/>
      <c r="S976" s="25"/>
      <c r="T976" s="25"/>
      <c r="U976" s="25"/>
      <c r="V976" s="25"/>
      <c r="W976" s="25"/>
      <c r="X976" s="25"/>
      <c r="Y976" s="25"/>
      <c r="Z976" s="22"/>
      <c r="AA976" s="22"/>
      <c r="AB976" s="22"/>
      <c r="AC976" s="22"/>
      <c r="AD976" s="22"/>
      <c r="AE976" s="22"/>
      <c r="AF976" s="25"/>
      <c r="AG976" s="22"/>
      <c r="AH976" s="22"/>
      <c r="AI976" s="22"/>
      <c r="AJ976" s="22"/>
      <c r="AK976" s="22"/>
      <c r="AL976" s="22"/>
      <c r="AM976" s="22"/>
      <c r="AN976" s="25"/>
      <c r="AO976" s="22"/>
      <c r="AP976" s="22"/>
      <c r="AQ976" s="22"/>
      <c r="AR976" s="22"/>
      <c r="AS976" s="22"/>
      <c r="AT976" s="22"/>
      <c r="AU976" s="22"/>
      <c r="AV976" s="25"/>
      <c r="AW976" s="25"/>
      <c r="AX976" s="25"/>
      <c r="AY976" s="25"/>
      <c r="AZ976" s="25"/>
      <c r="BA976" s="25"/>
      <c r="BB976" s="25"/>
      <c r="BC976" s="25"/>
      <c r="BD976" s="25"/>
      <c r="BE976" s="25"/>
      <c r="BF976" s="25"/>
      <c r="BG976" s="25"/>
      <c r="BH976" s="25"/>
      <c r="BI976" s="25"/>
      <c r="BJ976" s="25"/>
      <c r="BK976" s="25"/>
      <c r="BL976" s="25"/>
    </row>
    <row r="977" spans="1:64" s="21" customFormat="1" ht="18.600000000000001" customHeight="1" x14ac:dyDescent="0.25">
      <c r="A977" s="22"/>
      <c r="B977" s="22"/>
      <c r="C977" s="22"/>
      <c r="D977" s="23"/>
      <c r="E977" s="26"/>
      <c r="F977" s="25"/>
      <c r="G977" s="25"/>
      <c r="H977" s="25"/>
      <c r="I977" s="25"/>
      <c r="J977" s="22"/>
      <c r="K977" s="25"/>
      <c r="L977" s="25"/>
      <c r="M977" s="25"/>
      <c r="N977" s="25"/>
      <c r="O977" s="22"/>
      <c r="P977" s="22"/>
      <c r="Q977" s="22"/>
      <c r="R977" s="22"/>
      <c r="S977" s="25"/>
      <c r="T977" s="25"/>
      <c r="U977" s="25"/>
      <c r="V977" s="25"/>
      <c r="W977" s="25"/>
      <c r="X977" s="25"/>
      <c r="Y977" s="25"/>
      <c r="Z977" s="22"/>
      <c r="AA977" s="22"/>
      <c r="AB977" s="22"/>
      <c r="AC977" s="22"/>
      <c r="AD977" s="22"/>
      <c r="AE977" s="22"/>
      <c r="AF977" s="25"/>
      <c r="AG977" s="22"/>
      <c r="AH977" s="22"/>
      <c r="AI977" s="22"/>
      <c r="AJ977" s="22"/>
      <c r="AK977" s="22"/>
      <c r="AL977" s="22"/>
      <c r="AM977" s="22"/>
      <c r="AN977" s="25"/>
      <c r="AO977" s="22"/>
      <c r="AP977" s="22"/>
      <c r="AQ977" s="22"/>
      <c r="AR977" s="22"/>
      <c r="AS977" s="22"/>
      <c r="AT977" s="22"/>
      <c r="AU977" s="22"/>
      <c r="AV977" s="25"/>
      <c r="AW977" s="25"/>
      <c r="AX977" s="25"/>
      <c r="AY977" s="25"/>
      <c r="AZ977" s="25"/>
      <c r="BA977" s="25"/>
      <c r="BB977" s="25"/>
      <c r="BC977" s="25"/>
      <c r="BD977" s="25"/>
      <c r="BE977" s="25"/>
      <c r="BF977" s="25"/>
      <c r="BG977" s="25"/>
      <c r="BH977" s="25"/>
      <c r="BI977" s="25"/>
      <c r="BJ977" s="25"/>
      <c r="BK977" s="25"/>
      <c r="BL977" s="25"/>
    </row>
    <row r="978" spans="1:64" s="21" customFormat="1" ht="18.600000000000001" customHeight="1" x14ac:dyDescent="0.25">
      <c r="A978" s="22"/>
      <c r="B978" s="22"/>
      <c r="C978" s="22"/>
      <c r="D978" s="23"/>
      <c r="E978" s="26"/>
      <c r="F978" s="25"/>
      <c r="G978" s="25"/>
      <c r="H978" s="25"/>
      <c r="I978" s="25"/>
      <c r="J978" s="22"/>
      <c r="K978" s="25"/>
      <c r="L978" s="25"/>
      <c r="M978" s="25"/>
      <c r="N978" s="25"/>
      <c r="O978" s="22"/>
      <c r="P978" s="22"/>
      <c r="Q978" s="22"/>
      <c r="R978" s="22"/>
      <c r="S978" s="25"/>
      <c r="T978" s="25"/>
      <c r="U978" s="25"/>
      <c r="V978" s="25"/>
      <c r="W978" s="25"/>
      <c r="X978" s="25"/>
      <c r="Y978" s="25"/>
      <c r="Z978" s="22"/>
      <c r="AA978" s="22"/>
      <c r="AB978" s="22"/>
      <c r="AC978" s="22"/>
      <c r="AD978" s="22"/>
      <c r="AE978" s="22"/>
      <c r="AF978" s="25"/>
      <c r="AG978" s="22"/>
      <c r="AH978" s="22"/>
      <c r="AI978" s="22"/>
      <c r="AJ978" s="22"/>
      <c r="AK978" s="22"/>
      <c r="AL978" s="22"/>
      <c r="AM978" s="22"/>
      <c r="AN978" s="25"/>
      <c r="AO978" s="22"/>
      <c r="AP978" s="22"/>
      <c r="AQ978" s="22"/>
      <c r="AR978" s="22"/>
      <c r="AS978" s="22"/>
      <c r="AT978" s="22"/>
      <c r="AU978" s="22"/>
      <c r="AV978" s="25"/>
      <c r="AW978" s="25"/>
      <c r="AX978" s="25"/>
      <c r="AY978" s="25"/>
      <c r="AZ978" s="25"/>
      <c r="BA978" s="25"/>
      <c r="BB978" s="25"/>
      <c r="BC978" s="25"/>
      <c r="BD978" s="25"/>
      <c r="BE978" s="25"/>
      <c r="BF978" s="25"/>
      <c r="BG978" s="25"/>
      <c r="BH978" s="25"/>
      <c r="BI978" s="25"/>
      <c r="BJ978" s="25"/>
      <c r="BK978" s="25"/>
      <c r="BL978" s="25"/>
    </row>
    <row r="979" spans="1:64" s="21" customFormat="1" ht="18.600000000000001" customHeight="1" x14ac:dyDescent="0.25">
      <c r="A979" s="22"/>
      <c r="B979" s="22"/>
      <c r="C979" s="22"/>
      <c r="D979" s="23"/>
      <c r="E979" s="26"/>
      <c r="F979" s="25"/>
      <c r="G979" s="25"/>
      <c r="H979" s="25"/>
      <c r="I979" s="25"/>
      <c r="J979" s="22"/>
      <c r="K979" s="25"/>
      <c r="L979" s="25"/>
      <c r="M979" s="25"/>
      <c r="N979" s="25"/>
      <c r="O979" s="22"/>
      <c r="P979" s="22"/>
      <c r="Q979" s="22"/>
      <c r="R979" s="22"/>
      <c r="S979" s="25"/>
      <c r="T979" s="25"/>
      <c r="U979" s="25"/>
      <c r="V979" s="25"/>
      <c r="W979" s="25"/>
      <c r="X979" s="25"/>
      <c r="Y979" s="25"/>
      <c r="Z979" s="22"/>
      <c r="AA979" s="22"/>
      <c r="AB979" s="22"/>
      <c r="AC979" s="22"/>
      <c r="AD979" s="22"/>
      <c r="AE979" s="22"/>
      <c r="AF979" s="25"/>
      <c r="AG979" s="22"/>
      <c r="AH979" s="22"/>
      <c r="AI979" s="22"/>
      <c r="AJ979" s="22"/>
      <c r="AK979" s="22"/>
      <c r="AL979" s="22"/>
      <c r="AM979" s="22"/>
      <c r="AN979" s="25"/>
      <c r="AO979" s="22"/>
      <c r="AP979" s="22"/>
      <c r="AQ979" s="22"/>
      <c r="AR979" s="22"/>
      <c r="AS979" s="22"/>
      <c r="AT979" s="22"/>
      <c r="AU979" s="22"/>
      <c r="AV979" s="25"/>
      <c r="AW979" s="25"/>
      <c r="AX979" s="25"/>
      <c r="AY979" s="25"/>
      <c r="AZ979" s="25"/>
      <c r="BA979" s="25"/>
      <c r="BB979" s="25"/>
      <c r="BC979" s="25"/>
      <c r="BD979" s="25"/>
      <c r="BE979" s="25"/>
      <c r="BF979" s="25"/>
      <c r="BG979" s="25"/>
      <c r="BH979" s="25"/>
      <c r="BI979" s="25"/>
      <c r="BJ979" s="25"/>
      <c r="BK979" s="25"/>
      <c r="BL979" s="25"/>
    </row>
    <row r="980" spans="1:64" s="21" customFormat="1" ht="18.600000000000001" customHeight="1" x14ac:dyDescent="0.25">
      <c r="A980" s="22"/>
      <c r="B980" s="22"/>
      <c r="C980" s="22"/>
      <c r="D980" s="23"/>
      <c r="E980" s="26"/>
      <c r="F980" s="25"/>
      <c r="G980" s="25"/>
      <c r="H980" s="25"/>
      <c r="I980" s="25"/>
      <c r="J980" s="22"/>
      <c r="K980" s="25"/>
      <c r="L980" s="25"/>
      <c r="M980" s="25"/>
      <c r="N980" s="25"/>
      <c r="O980" s="22"/>
      <c r="P980" s="22"/>
      <c r="Q980" s="22"/>
      <c r="R980" s="22"/>
      <c r="S980" s="25"/>
      <c r="T980" s="25"/>
      <c r="U980" s="25"/>
      <c r="V980" s="25"/>
      <c r="W980" s="25"/>
      <c r="X980" s="25"/>
      <c r="Y980" s="25"/>
      <c r="Z980" s="22"/>
      <c r="AA980" s="22"/>
      <c r="AB980" s="22"/>
      <c r="AC980" s="22"/>
      <c r="AD980" s="22"/>
      <c r="AE980" s="22"/>
      <c r="AF980" s="25"/>
      <c r="AG980" s="22"/>
      <c r="AH980" s="22"/>
      <c r="AI980" s="22"/>
      <c r="AJ980" s="22"/>
      <c r="AK980" s="22"/>
      <c r="AL980" s="22"/>
      <c r="AM980" s="22"/>
      <c r="AN980" s="25"/>
      <c r="AO980" s="22"/>
      <c r="AP980" s="22"/>
      <c r="AQ980" s="22"/>
      <c r="AR980" s="22"/>
      <c r="AS980" s="22"/>
      <c r="AT980" s="22"/>
      <c r="AU980" s="22"/>
      <c r="AV980" s="25"/>
      <c r="AW980" s="25"/>
      <c r="AX980" s="25"/>
      <c r="AY980" s="25"/>
      <c r="AZ980" s="25"/>
      <c r="BA980" s="25"/>
      <c r="BB980" s="25"/>
      <c r="BC980" s="25"/>
      <c r="BD980" s="25"/>
      <c r="BE980" s="25"/>
      <c r="BF980" s="25"/>
      <c r="BG980" s="25"/>
      <c r="BH980" s="25"/>
      <c r="BI980" s="25"/>
      <c r="BJ980" s="25"/>
      <c r="BK980" s="25"/>
      <c r="BL980" s="25"/>
    </row>
    <row r="981" spans="1:64" s="21" customFormat="1" ht="18.600000000000001" customHeight="1" x14ac:dyDescent="0.25">
      <c r="A981" s="22"/>
      <c r="B981" s="22"/>
      <c r="C981" s="22"/>
      <c r="D981" s="23"/>
      <c r="E981" s="26"/>
      <c r="F981" s="25"/>
      <c r="G981" s="25"/>
      <c r="H981" s="25"/>
      <c r="I981" s="25"/>
      <c r="J981" s="22"/>
      <c r="K981" s="25"/>
      <c r="L981" s="25"/>
      <c r="M981" s="25"/>
      <c r="N981" s="25"/>
      <c r="O981" s="22"/>
      <c r="P981" s="22"/>
      <c r="Q981" s="22"/>
      <c r="R981" s="22"/>
      <c r="S981" s="25"/>
      <c r="T981" s="25"/>
      <c r="U981" s="25"/>
      <c r="V981" s="25"/>
      <c r="W981" s="25"/>
      <c r="X981" s="25"/>
      <c r="Y981" s="25"/>
      <c r="Z981" s="22"/>
      <c r="AA981" s="22"/>
      <c r="AB981" s="22"/>
      <c r="AC981" s="22"/>
      <c r="AD981" s="22"/>
      <c r="AE981" s="22"/>
      <c r="AF981" s="25"/>
      <c r="AG981" s="22"/>
      <c r="AH981" s="22"/>
      <c r="AI981" s="22"/>
      <c r="AJ981" s="22"/>
      <c r="AK981" s="22"/>
      <c r="AL981" s="22"/>
      <c r="AM981" s="22"/>
      <c r="AN981" s="25"/>
      <c r="AO981" s="22"/>
      <c r="AP981" s="22"/>
      <c r="AQ981" s="22"/>
      <c r="AR981" s="22"/>
      <c r="AS981" s="22"/>
      <c r="AT981" s="22"/>
      <c r="AU981" s="22"/>
      <c r="AV981" s="25"/>
      <c r="AW981" s="25"/>
      <c r="AX981" s="25"/>
      <c r="AY981" s="25"/>
      <c r="AZ981" s="25"/>
      <c r="BA981" s="25"/>
      <c r="BB981" s="25"/>
      <c r="BC981" s="25"/>
      <c r="BD981" s="25"/>
      <c r="BE981" s="25"/>
      <c r="BF981" s="25"/>
      <c r="BG981" s="25"/>
      <c r="BH981" s="25"/>
      <c r="BI981" s="25"/>
      <c r="BJ981" s="25"/>
      <c r="BK981" s="25"/>
      <c r="BL981" s="25"/>
    </row>
    <row r="982" spans="1:64" s="21" customFormat="1" ht="18.600000000000001" customHeight="1" x14ac:dyDescent="0.25">
      <c r="A982" s="22"/>
      <c r="B982" s="22"/>
      <c r="C982" s="22"/>
      <c r="D982" s="23"/>
      <c r="E982" s="26"/>
      <c r="F982" s="25"/>
      <c r="G982" s="25"/>
      <c r="H982" s="25"/>
      <c r="I982" s="25"/>
      <c r="J982" s="22"/>
      <c r="K982" s="25"/>
      <c r="L982" s="25"/>
      <c r="M982" s="25"/>
      <c r="N982" s="25"/>
      <c r="O982" s="22"/>
      <c r="P982" s="22"/>
      <c r="Q982" s="22"/>
      <c r="R982" s="22"/>
      <c r="S982" s="25"/>
      <c r="T982" s="25"/>
      <c r="U982" s="25"/>
      <c r="V982" s="25"/>
      <c r="W982" s="25"/>
      <c r="X982" s="25"/>
      <c r="Y982" s="25"/>
      <c r="Z982" s="22"/>
      <c r="AA982" s="22"/>
      <c r="AB982" s="22"/>
      <c r="AC982" s="22"/>
      <c r="AD982" s="22"/>
      <c r="AE982" s="22"/>
      <c r="AF982" s="25"/>
      <c r="AG982" s="22"/>
      <c r="AH982" s="22"/>
      <c r="AI982" s="22"/>
      <c r="AJ982" s="22"/>
      <c r="AK982" s="22"/>
      <c r="AL982" s="22"/>
      <c r="AM982" s="22"/>
      <c r="AN982" s="25"/>
      <c r="AO982" s="22"/>
      <c r="AP982" s="22"/>
      <c r="AQ982" s="22"/>
      <c r="AR982" s="22"/>
      <c r="AS982" s="22"/>
      <c r="AT982" s="22"/>
      <c r="AU982" s="22"/>
      <c r="AV982" s="25"/>
      <c r="AW982" s="25"/>
      <c r="AX982" s="25"/>
      <c r="AY982" s="25"/>
      <c r="AZ982" s="25"/>
      <c r="BA982" s="25"/>
      <c r="BB982" s="25"/>
      <c r="BC982" s="25"/>
      <c r="BD982" s="25"/>
      <c r="BE982" s="25"/>
      <c r="BF982" s="25"/>
      <c r="BG982" s="25"/>
      <c r="BH982" s="25"/>
      <c r="BI982" s="25"/>
      <c r="BJ982" s="25"/>
      <c r="BK982" s="25"/>
      <c r="BL982" s="25"/>
    </row>
    <row r="983" spans="1:64" s="21" customFormat="1" ht="18.600000000000001" customHeight="1" x14ac:dyDescent="0.25">
      <c r="A983" s="22"/>
      <c r="B983" s="22"/>
      <c r="C983" s="22"/>
      <c r="D983" s="23"/>
      <c r="E983" s="26"/>
      <c r="F983" s="25"/>
      <c r="G983" s="25"/>
      <c r="H983" s="25"/>
      <c r="I983" s="25"/>
      <c r="J983" s="22"/>
      <c r="K983" s="25"/>
      <c r="L983" s="25"/>
      <c r="M983" s="25"/>
      <c r="N983" s="25"/>
      <c r="O983" s="22"/>
      <c r="P983" s="22"/>
      <c r="Q983" s="22"/>
      <c r="R983" s="22"/>
      <c r="S983" s="25"/>
      <c r="T983" s="25"/>
      <c r="U983" s="25"/>
      <c r="V983" s="25"/>
      <c r="W983" s="25"/>
      <c r="X983" s="25"/>
      <c r="Y983" s="25"/>
      <c r="Z983" s="22"/>
      <c r="AA983" s="22"/>
      <c r="AB983" s="22"/>
      <c r="AC983" s="22"/>
      <c r="AD983" s="22"/>
      <c r="AE983" s="22"/>
      <c r="AF983" s="25"/>
      <c r="AG983" s="22"/>
      <c r="AH983" s="22"/>
      <c r="AI983" s="22"/>
      <c r="AJ983" s="22"/>
      <c r="AK983" s="22"/>
      <c r="AL983" s="22"/>
      <c r="AM983" s="22"/>
      <c r="AN983" s="25"/>
      <c r="AO983" s="22"/>
      <c r="AP983" s="22"/>
      <c r="AQ983" s="22"/>
      <c r="AR983" s="22"/>
      <c r="AS983" s="22"/>
      <c r="AT983" s="22"/>
      <c r="AU983" s="22"/>
      <c r="AV983" s="25"/>
      <c r="AW983" s="25"/>
      <c r="AX983" s="25"/>
      <c r="AY983" s="25"/>
      <c r="AZ983" s="25"/>
      <c r="BA983" s="25"/>
      <c r="BB983" s="25"/>
      <c r="BC983" s="25"/>
      <c r="BD983" s="25"/>
      <c r="BE983" s="25"/>
      <c r="BF983" s="25"/>
      <c r="BG983" s="25"/>
      <c r="BH983" s="25"/>
      <c r="BI983" s="25"/>
      <c r="BJ983" s="25"/>
      <c r="BK983" s="25"/>
      <c r="BL983" s="25"/>
    </row>
    <row r="984" spans="1:64" s="21" customFormat="1" ht="18.600000000000001" customHeight="1" x14ac:dyDescent="0.25">
      <c r="A984" s="22"/>
      <c r="B984" s="22"/>
      <c r="C984" s="22"/>
      <c r="D984" s="23"/>
      <c r="E984" s="26"/>
      <c r="F984" s="25"/>
      <c r="G984" s="25"/>
      <c r="H984" s="25"/>
      <c r="I984" s="25"/>
      <c r="J984" s="22"/>
      <c r="K984" s="25"/>
      <c r="L984" s="25"/>
      <c r="M984" s="25"/>
      <c r="N984" s="25"/>
      <c r="O984" s="22"/>
      <c r="P984" s="22"/>
      <c r="Q984" s="22"/>
      <c r="R984" s="22"/>
      <c r="S984" s="25"/>
      <c r="T984" s="25"/>
      <c r="U984" s="25"/>
      <c r="V984" s="25"/>
      <c r="W984" s="25"/>
      <c r="X984" s="25"/>
      <c r="Y984" s="25"/>
      <c r="Z984" s="22"/>
      <c r="AA984" s="22"/>
      <c r="AB984" s="22"/>
      <c r="AC984" s="22"/>
      <c r="AD984" s="22"/>
      <c r="AE984" s="22"/>
      <c r="AF984" s="25"/>
      <c r="AG984" s="22"/>
      <c r="AH984" s="22"/>
      <c r="AI984" s="22"/>
      <c r="AJ984" s="22"/>
      <c r="AK984" s="22"/>
      <c r="AL984" s="22"/>
      <c r="AM984" s="22"/>
      <c r="AN984" s="25"/>
      <c r="AO984" s="22"/>
      <c r="AP984" s="22"/>
      <c r="AQ984" s="22"/>
      <c r="AR984" s="22"/>
      <c r="AS984" s="22"/>
      <c r="AT984" s="22"/>
      <c r="AU984" s="22"/>
      <c r="AV984" s="25"/>
      <c r="AW984" s="25"/>
      <c r="AX984" s="25"/>
      <c r="AY984" s="25"/>
      <c r="AZ984" s="25"/>
      <c r="BA984" s="25"/>
      <c r="BB984" s="25"/>
      <c r="BC984" s="25"/>
      <c r="BD984" s="25"/>
      <c r="BE984" s="25"/>
      <c r="BF984" s="25"/>
      <c r="BG984" s="25"/>
      <c r="BH984" s="25"/>
      <c r="BI984" s="25"/>
      <c r="BJ984" s="25"/>
      <c r="BK984" s="25"/>
      <c r="BL984" s="25"/>
    </row>
    <row r="985" spans="1:64" s="21" customFormat="1" ht="18.600000000000001" customHeight="1" x14ac:dyDescent="0.25">
      <c r="A985" s="22"/>
      <c r="B985" s="22"/>
      <c r="C985" s="22"/>
      <c r="D985" s="23"/>
      <c r="E985" s="26"/>
      <c r="F985" s="25"/>
      <c r="G985" s="25"/>
      <c r="H985" s="25"/>
      <c r="I985" s="25"/>
      <c r="J985" s="22"/>
      <c r="K985" s="25"/>
      <c r="L985" s="25"/>
      <c r="M985" s="25"/>
      <c r="N985" s="25"/>
      <c r="O985" s="22"/>
      <c r="P985" s="22"/>
      <c r="Q985" s="22"/>
      <c r="R985" s="22"/>
      <c r="S985" s="25"/>
      <c r="T985" s="25"/>
      <c r="U985" s="25"/>
      <c r="V985" s="25"/>
      <c r="W985" s="25"/>
      <c r="X985" s="25"/>
      <c r="Y985" s="25"/>
      <c r="Z985" s="22"/>
      <c r="AA985" s="22"/>
      <c r="AB985" s="22"/>
      <c r="AC985" s="22"/>
      <c r="AD985" s="22"/>
      <c r="AE985" s="22"/>
      <c r="AF985" s="25"/>
      <c r="AG985" s="22"/>
      <c r="AH985" s="22"/>
      <c r="AI985" s="22"/>
      <c r="AJ985" s="22"/>
      <c r="AK985" s="22"/>
      <c r="AL985" s="22"/>
      <c r="AM985" s="22"/>
      <c r="AN985" s="25"/>
      <c r="AO985" s="22"/>
      <c r="AP985" s="22"/>
      <c r="AQ985" s="22"/>
      <c r="AR985" s="22"/>
      <c r="AS985" s="22"/>
      <c r="AT985" s="22"/>
      <c r="AU985" s="22"/>
      <c r="AV985" s="25"/>
      <c r="AW985" s="25"/>
      <c r="AX985" s="25"/>
      <c r="AY985" s="25"/>
      <c r="AZ985" s="25"/>
      <c r="BA985" s="25"/>
      <c r="BB985" s="25"/>
      <c r="BC985" s="25"/>
      <c r="BD985" s="25"/>
      <c r="BE985" s="25"/>
      <c r="BF985" s="25"/>
      <c r="BG985" s="25"/>
      <c r="BH985" s="25"/>
      <c r="BI985" s="25"/>
      <c r="BJ985" s="25"/>
      <c r="BK985" s="25"/>
      <c r="BL985" s="25"/>
    </row>
    <row r="986" spans="1:64" s="21" customFormat="1" ht="18.600000000000001" customHeight="1" x14ac:dyDescent="0.25">
      <c r="A986" s="22"/>
      <c r="B986" s="22"/>
      <c r="C986" s="22"/>
      <c r="D986" s="23"/>
      <c r="E986" s="26"/>
      <c r="F986" s="25"/>
      <c r="G986" s="25"/>
      <c r="H986" s="25"/>
      <c r="I986" s="25"/>
      <c r="J986" s="22"/>
      <c r="K986" s="25"/>
      <c r="L986" s="25"/>
      <c r="M986" s="25"/>
      <c r="N986" s="25"/>
      <c r="O986" s="22"/>
      <c r="P986" s="22"/>
      <c r="Q986" s="22"/>
      <c r="R986" s="22"/>
      <c r="S986" s="25"/>
      <c r="T986" s="25"/>
      <c r="U986" s="25"/>
      <c r="V986" s="25"/>
      <c r="W986" s="25"/>
      <c r="X986" s="25"/>
      <c r="Y986" s="25"/>
      <c r="Z986" s="22"/>
      <c r="AA986" s="22"/>
      <c r="AB986" s="22"/>
      <c r="AC986" s="22"/>
      <c r="AD986" s="22"/>
      <c r="AE986" s="22"/>
      <c r="AF986" s="25"/>
      <c r="AG986" s="22"/>
      <c r="AH986" s="22"/>
      <c r="AI986" s="22"/>
      <c r="AJ986" s="22"/>
      <c r="AK986" s="22"/>
      <c r="AL986" s="22"/>
      <c r="AM986" s="22"/>
      <c r="AN986" s="25"/>
      <c r="AO986" s="22"/>
      <c r="AP986" s="22"/>
      <c r="AQ986" s="22"/>
      <c r="AR986" s="22"/>
      <c r="AS986" s="22"/>
      <c r="AT986" s="22"/>
      <c r="AU986" s="22"/>
      <c r="AV986" s="25"/>
      <c r="AW986" s="25"/>
      <c r="AX986" s="25"/>
      <c r="AY986" s="25"/>
      <c r="AZ986" s="25"/>
      <c r="BA986" s="25"/>
      <c r="BB986" s="25"/>
      <c r="BC986" s="25"/>
      <c r="BD986" s="25"/>
      <c r="BE986" s="25"/>
      <c r="BF986" s="25"/>
      <c r="BG986" s="25"/>
      <c r="BH986" s="25"/>
      <c r="BI986" s="25"/>
      <c r="BJ986" s="25"/>
      <c r="BK986" s="25"/>
      <c r="BL986" s="25"/>
    </row>
    <row r="987" spans="1:64" s="21" customFormat="1" ht="18.600000000000001" customHeight="1" x14ac:dyDescent="0.25">
      <c r="A987" s="22"/>
      <c r="B987" s="22"/>
      <c r="C987" s="22"/>
      <c r="D987" s="23"/>
      <c r="E987" s="26"/>
      <c r="F987" s="25"/>
      <c r="G987" s="25"/>
      <c r="H987" s="25"/>
      <c r="I987" s="25"/>
      <c r="J987" s="22"/>
      <c r="K987" s="25"/>
      <c r="L987" s="25"/>
      <c r="M987" s="25"/>
      <c r="N987" s="25"/>
      <c r="O987" s="22"/>
      <c r="P987" s="22"/>
      <c r="Q987" s="22"/>
      <c r="R987" s="22"/>
      <c r="S987" s="25"/>
      <c r="T987" s="25"/>
      <c r="U987" s="25"/>
      <c r="V987" s="25"/>
      <c r="W987" s="25"/>
      <c r="X987" s="25"/>
      <c r="Y987" s="25"/>
      <c r="Z987" s="22"/>
      <c r="AA987" s="22"/>
      <c r="AB987" s="22"/>
      <c r="AC987" s="22"/>
      <c r="AD987" s="22"/>
      <c r="AE987" s="22"/>
      <c r="AF987" s="25"/>
      <c r="AG987" s="22"/>
      <c r="AH987" s="22"/>
      <c r="AI987" s="22"/>
      <c r="AJ987" s="22"/>
      <c r="AK987" s="22"/>
      <c r="AL987" s="22"/>
      <c r="AM987" s="22"/>
      <c r="AN987" s="25"/>
      <c r="AO987" s="22"/>
      <c r="AP987" s="22"/>
      <c r="AQ987" s="22"/>
      <c r="AR987" s="22"/>
      <c r="AS987" s="22"/>
      <c r="AT987" s="22"/>
      <c r="AU987" s="22"/>
      <c r="AV987" s="25"/>
      <c r="AW987" s="25"/>
      <c r="AX987" s="25"/>
      <c r="AY987" s="25"/>
      <c r="AZ987" s="25"/>
      <c r="BA987" s="25"/>
      <c r="BB987" s="25"/>
      <c r="BC987" s="25"/>
      <c r="BD987" s="25"/>
      <c r="BE987" s="25"/>
      <c r="BF987" s="25"/>
      <c r="BG987" s="25"/>
      <c r="BH987" s="25"/>
      <c r="BI987" s="25"/>
      <c r="BJ987" s="25"/>
      <c r="BK987" s="25"/>
      <c r="BL987" s="25"/>
    </row>
    <row r="988" spans="1:64" s="21" customFormat="1" ht="18.600000000000001" customHeight="1" x14ac:dyDescent="0.25">
      <c r="A988" s="22"/>
      <c r="B988" s="22"/>
      <c r="C988" s="22"/>
      <c r="D988" s="23"/>
      <c r="E988" s="26"/>
      <c r="F988" s="25"/>
      <c r="G988" s="25"/>
      <c r="H988" s="25"/>
      <c r="I988" s="25"/>
      <c r="J988" s="22"/>
      <c r="K988" s="25"/>
      <c r="L988" s="25"/>
      <c r="M988" s="25"/>
      <c r="N988" s="25"/>
      <c r="O988" s="22"/>
      <c r="P988" s="22"/>
      <c r="Q988" s="22"/>
      <c r="R988" s="22"/>
      <c r="S988" s="25"/>
      <c r="T988" s="25"/>
      <c r="U988" s="25"/>
      <c r="V988" s="25"/>
      <c r="W988" s="25"/>
      <c r="X988" s="25"/>
      <c r="Y988" s="25"/>
      <c r="Z988" s="22"/>
      <c r="AA988" s="22"/>
      <c r="AB988" s="22"/>
      <c r="AC988" s="22"/>
      <c r="AD988" s="22"/>
      <c r="AE988" s="22"/>
      <c r="AF988" s="25"/>
      <c r="AG988" s="22"/>
      <c r="AH988" s="22"/>
      <c r="AI988" s="22"/>
      <c r="AJ988" s="22"/>
      <c r="AK988" s="22"/>
      <c r="AL988" s="22"/>
      <c r="AM988" s="22"/>
      <c r="AN988" s="25"/>
      <c r="AO988" s="22"/>
      <c r="AP988" s="22"/>
      <c r="AQ988" s="22"/>
      <c r="AR988" s="22"/>
      <c r="AS988" s="22"/>
      <c r="AT988" s="22"/>
      <c r="AU988" s="22"/>
      <c r="AV988" s="25"/>
      <c r="AW988" s="25"/>
      <c r="AX988" s="25"/>
      <c r="AY988" s="25"/>
      <c r="AZ988" s="25"/>
      <c r="BA988" s="25"/>
      <c r="BB988" s="25"/>
      <c r="BC988" s="25"/>
      <c r="BD988" s="25"/>
      <c r="BE988" s="25"/>
      <c r="BF988" s="25"/>
      <c r="BG988" s="25"/>
      <c r="BH988" s="25"/>
      <c r="BI988" s="25"/>
      <c r="BJ988" s="25"/>
      <c r="BK988" s="25"/>
      <c r="BL988" s="25"/>
    </row>
    <row r="989" spans="1:64" s="21" customFormat="1" ht="18.600000000000001" customHeight="1" x14ac:dyDescent="0.25">
      <c r="A989" s="22"/>
      <c r="B989" s="22"/>
      <c r="C989" s="22"/>
      <c r="D989" s="23"/>
      <c r="E989" s="26"/>
      <c r="F989" s="25"/>
      <c r="G989" s="25"/>
      <c r="H989" s="25"/>
      <c r="I989" s="25"/>
      <c r="J989" s="22"/>
      <c r="K989" s="25"/>
      <c r="L989" s="25"/>
      <c r="M989" s="25"/>
      <c r="N989" s="25"/>
      <c r="O989" s="22"/>
      <c r="P989" s="22"/>
      <c r="Q989" s="22"/>
      <c r="R989" s="22"/>
      <c r="S989" s="25"/>
      <c r="T989" s="25"/>
      <c r="U989" s="25"/>
      <c r="V989" s="25"/>
      <c r="W989" s="25"/>
      <c r="X989" s="25"/>
      <c r="Y989" s="25"/>
      <c r="Z989" s="22"/>
      <c r="AA989" s="22"/>
      <c r="AB989" s="22"/>
      <c r="AC989" s="22"/>
      <c r="AD989" s="22"/>
      <c r="AE989" s="22"/>
      <c r="AF989" s="25"/>
      <c r="AG989" s="22"/>
      <c r="AH989" s="22"/>
      <c r="AI989" s="22"/>
      <c r="AJ989" s="22"/>
      <c r="AK989" s="22"/>
      <c r="AL989" s="22"/>
      <c r="AM989" s="22"/>
      <c r="AN989" s="25"/>
      <c r="AO989" s="22"/>
      <c r="AP989" s="22"/>
      <c r="AQ989" s="22"/>
      <c r="AR989" s="22"/>
      <c r="AS989" s="22"/>
      <c r="AT989" s="22"/>
      <c r="AU989" s="22"/>
      <c r="AV989" s="25"/>
      <c r="AW989" s="25"/>
      <c r="AX989" s="25"/>
      <c r="AY989" s="25"/>
      <c r="AZ989" s="25"/>
      <c r="BA989" s="25"/>
      <c r="BB989" s="25"/>
      <c r="BC989" s="25"/>
      <c r="BD989" s="25"/>
      <c r="BE989" s="25"/>
      <c r="BF989" s="25"/>
      <c r="BG989" s="25"/>
      <c r="BH989" s="25"/>
      <c r="BI989" s="25"/>
      <c r="BJ989" s="25"/>
      <c r="BK989" s="25"/>
      <c r="BL989" s="25"/>
    </row>
    <row r="990" spans="1:64" s="21" customFormat="1" ht="18.600000000000001" customHeight="1" x14ac:dyDescent="0.25">
      <c r="A990" s="22"/>
      <c r="B990" s="22"/>
      <c r="C990" s="22"/>
      <c r="D990" s="23"/>
      <c r="E990" s="26"/>
      <c r="F990" s="25"/>
      <c r="G990" s="25"/>
      <c r="H990" s="25"/>
      <c r="I990" s="25"/>
      <c r="J990" s="22"/>
      <c r="K990" s="25"/>
      <c r="L990" s="25"/>
      <c r="M990" s="25"/>
      <c r="N990" s="25"/>
      <c r="O990" s="22"/>
      <c r="P990" s="22"/>
      <c r="Q990" s="22"/>
      <c r="R990" s="22"/>
      <c r="S990" s="25"/>
      <c r="T990" s="25"/>
      <c r="U990" s="25"/>
      <c r="V990" s="25"/>
      <c r="W990" s="25"/>
      <c r="X990" s="25"/>
      <c r="Y990" s="25"/>
      <c r="Z990" s="22"/>
      <c r="AA990" s="22"/>
      <c r="AB990" s="22"/>
      <c r="AC990" s="22"/>
      <c r="AD990" s="22"/>
      <c r="AE990" s="22"/>
      <c r="AF990" s="25"/>
      <c r="AG990" s="22"/>
      <c r="AH990" s="22"/>
      <c r="AI990" s="22"/>
      <c r="AJ990" s="22"/>
      <c r="AK990" s="22"/>
      <c r="AL990" s="22"/>
      <c r="AM990" s="22"/>
      <c r="AN990" s="25"/>
      <c r="AO990" s="22"/>
      <c r="AP990" s="22"/>
      <c r="AQ990" s="22"/>
      <c r="AR990" s="22"/>
      <c r="AS990" s="22"/>
      <c r="AT990" s="22"/>
      <c r="AU990" s="22"/>
      <c r="AV990" s="25"/>
      <c r="AW990" s="25"/>
      <c r="AX990" s="25"/>
      <c r="AY990" s="25"/>
      <c r="AZ990" s="25"/>
      <c r="BA990" s="25"/>
      <c r="BB990" s="25"/>
      <c r="BC990" s="25"/>
      <c r="BD990" s="25"/>
      <c r="BE990" s="25"/>
      <c r="BF990" s="25"/>
      <c r="BG990" s="25"/>
      <c r="BH990" s="25"/>
      <c r="BI990" s="25"/>
      <c r="BJ990" s="25"/>
      <c r="BK990" s="25"/>
      <c r="BL990" s="25"/>
    </row>
    <row r="991" spans="1:64" s="21" customFormat="1" ht="18.600000000000001" customHeight="1" x14ac:dyDescent="0.25">
      <c r="A991" s="22"/>
      <c r="B991" s="22"/>
      <c r="C991" s="22"/>
      <c r="D991" s="23"/>
      <c r="E991" s="26"/>
      <c r="F991" s="25"/>
      <c r="G991" s="25"/>
      <c r="H991" s="25"/>
      <c r="I991" s="25"/>
      <c r="J991" s="22"/>
      <c r="K991" s="25"/>
      <c r="L991" s="25"/>
      <c r="M991" s="25"/>
      <c r="N991" s="25"/>
      <c r="O991" s="22"/>
      <c r="P991" s="22"/>
      <c r="Q991" s="22"/>
      <c r="R991" s="22"/>
      <c r="S991" s="25"/>
      <c r="T991" s="25"/>
      <c r="U991" s="25"/>
      <c r="V991" s="25"/>
      <c r="W991" s="25"/>
      <c r="X991" s="25"/>
      <c r="Y991" s="25"/>
      <c r="Z991" s="22"/>
      <c r="AA991" s="22"/>
      <c r="AB991" s="22"/>
      <c r="AC991" s="22"/>
      <c r="AD991" s="22"/>
      <c r="AE991" s="22"/>
      <c r="AF991" s="25"/>
      <c r="AG991" s="22"/>
      <c r="AH991" s="22"/>
      <c r="AI991" s="22"/>
      <c r="AJ991" s="22"/>
      <c r="AK991" s="22"/>
      <c r="AL991" s="22"/>
      <c r="AM991" s="22"/>
      <c r="AN991" s="25"/>
      <c r="AO991" s="22"/>
      <c r="AP991" s="22"/>
      <c r="AQ991" s="22"/>
      <c r="AR991" s="22"/>
      <c r="AS991" s="22"/>
      <c r="AT991" s="22"/>
      <c r="AU991" s="22"/>
      <c r="AV991" s="25"/>
      <c r="AW991" s="25"/>
      <c r="AX991" s="25"/>
      <c r="AY991" s="25"/>
      <c r="AZ991" s="25"/>
      <c r="BA991" s="25"/>
      <c r="BB991" s="25"/>
      <c r="BC991" s="25"/>
      <c r="BD991" s="25"/>
      <c r="BE991" s="25"/>
      <c r="BF991" s="25"/>
      <c r="BG991" s="25"/>
      <c r="BH991" s="25"/>
      <c r="BI991" s="25"/>
      <c r="BJ991" s="25"/>
      <c r="BK991" s="25"/>
      <c r="BL991" s="25"/>
    </row>
    <row r="992" spans="1:64" s="21" customFormat="1" ht="18.600000000000001" customHeight="1" x14ac:dyDescent="0.25">
      <c r="A992" s="22"/>
      <c r="B992" s="22"/>
      <c r="C992" s="22"/>
      <c r="D992" s="23"/>
      <c r="E992" s="26"/>
      <c r="F992" s="25"/>
      <c r="G992" s="25"/>
      <c r="H992" s="25"/>
      <c r="I992" s="25"/>
      <c r="J992" s="22"/>
      <c r="K992" s="25"/>
      <c r="L992" s="25"/>
      <c r="M992" s="25"/>
      <c r="N992" s="25"/>
      <c r="O992" s="22"/>
      <c r="P992" s="22"/>
      <c r="Q992" s="22"/>
      <c r="R992" s="22"/>
      <c r="S992" s="25"/>
      <c r="T992" s="25"/>
      <c r="U992" s="25"/>
      <c r="V992" s="25"/>
      <c r="W992" s="25"/>
      <c r="X992" s="25"/>
      <c r="Y992" s="25"/>
      <c r="Z992" s="22"/>
      <c r="AA992" s="22"/>
      <c r="AB992" s="22"/>
      <c r="AC992" s="22"/>
      <c r="AD992" s="22"/>
      <c r="AE992" s="22"/>
      <c r="AF992" s="25"/>
      <c r="AG992" s="22"/>
      <c r="AH992" s="22"/>
      <c r="AI992" s="22"/>
      <c r="AJ992" s="22"/>
      <c r="AK992" s="22"/>
      <c r="AL992" s="22"/>
      <c r="AM992" s="22"/>
      <c r="AN992" s="25"/>
      <c r="AO992" s="22"/>
      <c r="AP992" s="22"/>
      <c r="AQ992" s="22"/>
      <c r="AR992" s="22"/>
      <c r="AS992" s="22"/>
      <c r="AT992" s="22"/>
      <c r="AU992" s="22"/>
      <c r="AV992" s="25"/>
      <c r="AW992" s="25"/>
      <c r="AX992" s="25"/>
      <c r="AY992" s="25"/>
      <c r="AZ992" s="25"/>
      <c r="BA992" s="25"/>
      <c r="BB992" s="25"/>
      <c r="BC992" s="25"/>
      <c r="BD992" s="25"/>
      <c r="BE992" s="25"/>
      <c r="BF992" s="25"/>
      <c r="BG992" s="25"/>
      <c r="BH992" s="25"/>
      <c r="BI992" s="25"/>
      <c r="BJ992" s="25"/>
      <c r="BK992" s="25"/>
      <c r="BL992" s="25"/>
    </row>
    <row r="993" spans="1:64" s="21" customFormat="1" ht="18.600000000000001" customHeight="1" x14ac:dyDescent="0.25">
      <c r="A993" s="22"/>
      <c r="B993" s="22"/>
      <c r="C993" s="22"/>
      <c r="D993" s="23"/>
      <c r="E993" s="26"/>
      <c r="F993" s="25"/>
      <c r="G993" s="25"/>
      <c r="H993" s="25"/>
      <c r="I993" s="25"/>
      <c r="J993" s="22"/>
      <c r="K993" s="25"/>
      <c r="L993" s="25"/>
      <c r="M993" s="25"/>
      <c r="N993" s="25"/>
      <c r="O993" s="22"/>
      <c r="P993" s="22"/>
      <c r="Q993" s="22"/>
      <c r="R993" s="22"/>
      <c r="S993" s="25"/>
      <c r="T993" s="25"/>
      <c r="U993" s="25"/>
      <c r="V993" s="25"/>
      <c r="W993" s="25"/>
      <c r="X993" s="25"/>
      <c r="Y993" s="25"/>
      <c r="Z993" s="22"/>
      <c r="AA993" s="22"/>
      <c r="AB993" s="22"/>
      <c r="AC993" s="22"/>
      <c r="AD993" s="22"/>
      <c r="AE993" s="22"/>
      <c r="AF993" s="25"/>
      <c r="AG993" s="22"/>
      <c r="AH993" s="22"/>
      <c r="AI993" s="22"/>
      <c r="AJ993" s="22"/>
      <c r="AK993" s="22"/>
      <c r="AL993" s="22"/>
      <c r="AM993" s="22"/>
      <c r="AN993" s="25"/>
      <c r="AO993" s="22"/>
      <c r="AP993" s="22"/>
      <c r="AQ993" s="22"/>
      <c r="AR993" s="22"/>
      <c r="AS993" s="22"/>
      <c r="AT993" s="22"/>
      <c r="AU993" s="22"/>
      <c r="AV993" s="25"/>
      <c r="AW993" s="25"/>
      <c r="AX993" s="25"/>
      <c r="AY993" s="25"/>
      <c r="AZ993" s="25"/>
      <c r="BA993" s="25"/>
      <c r="BB993" s="25"/>
      <c r="BC993" s="25"/>
      <c r="BD993" s="25"/>
      <c r="BE993" s="25"/>
      <c r="BF993" s="25"/>
      <c r="BG993" s="25"/>
      <c r="BH993" s="25"/>
      <c r="BI993" s="25"/>
      <c r="BJ993" s="25"/>
      <c r="BK993" s="25"/>
      <c r="BL993" s="25"/>
    </row>
    <row r="994" spans="1:64" s="21" customFormat="1" ht="18.600000000000001" customHeight="1" x14ac:dyDescent="0.25">
      <c r="A994" s="22"/>
      <c r="B994" s="22"/>
      <c r="C994" s="22"/>
      <c r="D994" s="23"/>
      <c r="E994" s="26"/>
      <c r="F994" s="25"/>
      <c r="G994" s="25"/>
      <c r="H994" s="25"/>
      <c r="I994" s="25"/>
      <c r="J994" s="22"/>
      <c r="K994" s="25"/>
      <c r="L994" s="25"/>
      <c r="M994" s="25"/>
      <c r="N994" s="25"/>
      <c r="O994" s="22"/>
      <c r="P994" s="22"/>
      <c r="Q994" s="22"/>
      <c r="R994" s="22"/>
      <c r="S994" s="25"/>
      <c r="T994" s="25"/>
      <c r="U994" s="25"/>
      <c r="V994" s="25"/>
      <c r="W994" s="25"/>
      <c r="X994" s="25"/>
      <c r="Y994" s="25"/>
      <c r="Z994" s="22"/>
      <c r="AA994" s="22"/>
      <c r="AB994" s="22"/>
      <c r="AC994" s="22"/>
      <c r="AD994" s="22"/>
      <c r="AE994" s="22"/>
      <c r="AF994" s="25"/>
      <c r="AG994" s="22"/>
      <c r="AH994" s="22"/>
      <c r="AI994" s="22"/>
      <c r="AJ994" s="22"/>
      <c r="AK994" s="22"/>
      <c r="AL994" s="22"/>
      <c r="AM994" s="22"/>
      <c r="AN994" s="25"/>
      <c r="AO994" s="22"/>
      <c r="AP994" s="22"/>
      <c r="AQ994" s="22"/>
      <c r="AR994" s="22"/>
      <c r="AS994" s="22"/>
      <c r="AT994" s="22"/>
      <c r="AU994" s="22"/>
      <c r="AV994" s="25"/>
      <c r="AW994" s="25"/>
      <c r="AX994" s="25"/>
      <c r="AY994" s="25"/>
      <c r="AZ994" s="25"/>
      <c r="BA994" s="25"/>
      <c r="BB994" s="25"/>
      <c r="BC994" s="25"/>
      <c r="BD994" s="25"/>
      <c r="BE994" s="25"/>
      <c r="BF994" s="25"/>
      <c r="BG994" s="25"/>
      <c r="BH994" s="25"/>
      <c r="BI994" s="25"/>
      <c r="BJ994" s="25"/>
      <c r="BK994" s="25"/>
      <c r="BL994" s="25"/>
    </row>
    <row r="995" spans="1:64" s="21" customFormat="1" ht="18.600000000000001" customHeight="1" x14ac:dyDescent="0.25">
      <c r="A995" s="22"/>
      <c r="B995" s="22"/>
      <c r="C995" s="22"/>
      <c r="D995" s="23"/>
      <c r="E995" s="26"/>
      <c r="F995" s="25"/>
      <c r="G995" s="25"/>
      <c r="H995" s="25"/>
      <c r="I995" s="25"/>
      <c r="J995" s="22"/>
      <c r="K995" s="25"/>
      <c r="L995" s="25"/>
      <c r="M995" s="25"/>
      <c r="N995" s="25"/>
      <c r="O995" s="22"/>
      <c r="P995" s="22"/>
      <c r="Q995" s="22"/>
      <c r="R995" s="22"/>
      <c r="S995" s="25"/>
      <c r="T995" s="25"/>
      <c r="U995" s="25"/>
      <c r="V995" s="25"/>
      <c r="W995" s="25"/>
      <c r="X995" s="25"/>
      <c r="Y995" s="25"/>
      <c r="Z995" s="22"/>
      <c r="AA995" s="22"/>
      <c r="AB995" s="22"/>
      <c r="AC995" s="22"/>
      <c r="AD995" s="22"/>
      <c r="AE995" s="22"/>
      <c r="AF995" s="25"/>
      <c r="AG995" s="22"/>
      <c r="AH995" s="22"/>
      <c r="AI995" s="22"/>
      <c r="AJ995" s="22"/>
      <c r="AK995" s="22"/>
      <c r="AL995" s="22"/>
      <c r="AM995" s="22"/>
      <c r="AN995" s="25"/>
      <c r="AO995" s="22"/>
      <c r="AP995" s="22"/>
      <c r="AQ995" s="22"/>
      <c r="AR995" s="22"/>
      <c r="AS995" s="22"/>
      <c r="AT995" s="22"/>
      <c r="AU995" s="22"/>
      <c r="AV995" s="25"/>
      <c r="AW995" s="25"/>
      <c r="AX995" s="25"/>
      <c r="AY995" s="25"/>
      <c r="AZ995" s="25"/>
      <c r="BA995" s="25"/>
      <c r="BB995" s="25"/>
      <c r="BC995" s="25"/>
      <c r="BD995" s="25"/>
      <c r="BE995" s="25"/>
      <c r="BF995" s="25"/>
      <c r="BG995" s="25"/>
      <c r="BH995" s="25"/>
      <c r="BI995" s="25"/>
      <c r="BJ995" s="25"/>
      <c r="BK995" s="25"/>
      <c r="BL995" s="25"/>
    </row>
    <row r="996" spans="1:64" s="21" customFormat="1" ht="18.600000000000001" customHeight="1" x14ac:dyDescent="0.25">
      <c r="A996" s="22"/>
      <c r="B996" s="22"/>
      <c r="C996" s="22"/>
      <c r="D996" s="23"/>
      <c r="E996" s="26"/>
      <c r="F996" s="25"/>
      <c r="G996" s="25"/>
      <c r="H996" s="25"/>
      <c r="I996" s="25"/>
      <c r="J996" s="22"/>
      <c r="K996" s="25"/>
      <c r="L996" s="25"/>
      <c r="M996" s="25"/>
      <c r="N996" s="25"/>
      <c r="O996" s="22"/>
      <c r="P996" s="22"/>
      <c r="Q996" s="22"/>
      <c r="R996" s="22"/>
      <c r="S996" s="25"/>
      <c r="T996" s="25"/>
      <c r="U996" s="25"/>
      <c r="V996" s="25"/>
      <c r="W996" s="25"/>
      <c r="X996" s="25"/>
      <c r="Y996" s="25"/>
      <c r="Z996" s="22"/>
      <c r="AA996" s="22"/>
      <c r="AB996" s="22"/>
      <c r="AC996" s="22"/>
      <c r="AD996" s="22"/>
      <c r="AE996" s="22"/>
      <c r="AF996" s="25"/>
      <c r="AG996" s="22"/>
      <c r="AH996" s="22"/>
      <c r="AI996" s="22"/>
      <c r="AJ996" s="22"/>
      <c r="AK996" s="22"/>
      <c r="AL996" s="22"/>
      <c r="AM996" s="22"/>
      <c r="AN996" s="25"/>
      <c r="AO996" s="22"/>
      <c r="AP996" s="22"/>
      <c r="AQ996" s="22"/>
      <c r="AR996" s="22"/>
      <c r="AS996" s="22"/>
      <c r="AT996" s="22"/>
      <c r="AU996" s="22"/>
      <c r="AV996" s="25"/>
      <c r="AW996" s="25"/>
      <c r="AX996" s="25"/>
      <c r="AY996" s="25"/>
      <c r="AZ996" s="25"/>
      <c r="BA996" s="25"/>
      <c r="BB996" s="25"/>
      <c r="BC996" s="25"/>
      <c r="BD996" s="25"/>
      <c r="BE996" s="25"/>
      <c r="BF996" s="25"/>
      <c r="BG996" s="25"/>
      <c r="BH996" s="25"/>
      <c r="BI996" s="25"/>
      <c r="BJ996" s="25"/>
      <c r="BK996" s="25"/>
      <c r="BL996" s="25"/>
    </row>
    <row r="997" spans="1:64" s="21" customFormat="1" ht="18.600000000000001" customHeight="1" x14ac:dyDescent="0.25">
      <c r="A997" s="22"/>
      <c r="B997" s="22"/>
      <c r="C997" s="22"/>
      <c r="D997" s="23"/>
      <c r="E997" s="26"/>
      <c r="F997" s="25"/>
      <c r="G997" s="25"/>
      <c r="H997" s="25"/>
      <c r="I997" s="25"/>
      <c r="J997" s="22"/>
      <c r="K997" s="25"/>
      <c r="L997" s="25"/>
      <c r="M997" s="25"/>
      <c r="N997" s="25"/>
      <c r="O997" s="22"/>
      <c r="P997" s="22"/>
      <c r="Q997" s="22"/>
      <c r="R997" s="22"/>
      <c r="S997" s="25"/>
      <c r="T997" s="25"/>
      <c r="U997" s="25"/>
      <c r="V997" s="25"/>
      <c r="W997" s="25"/>
      <c r="X997" s="25"/>
      <c r="Y997" s="25"/>
      <c r="Z997" s="22"/>
      <c r="AA997" s="22"/>
      <c r="AB997" s="22"/>
      <c r="AC997" s="22"/>
      <c r="AD997" s="22"/>
      <c r="AE997" s="22"/>
      <c r="AF997" s="25"/>
      <c r="AG997" s="22"/>
      <c r="AH997" s="22"/>
      <c r="AI997" s="22"/>
      <c r="AJ997" s="22"/>
      <c r="AK997" s="22"/>
      <c r="AL997" s="22"/>
      <c r="AM997" s="22"/>
      <c r="AN997" s="25"/>
      <c r="AO997" s="22"/>
      <c r="AP997" s="22"/>
      <c r="AQ997" s="22"/>
      <c r="AR997" s="22"/>
      <c r="AS997" s="22"/>
      <c r="AT997" s="22"/>
      <c r="AU997" s="22"/>
      <c r="AV997" s="25"/>
      <c r="AW997" s="25"/>
      <c r="AX997" s="25"/>
      <c r="AY997" s="25"/>
      <c r="AZ997" s="25"/>
      <c r="BA997" s="25"/>
      <c r="BB997" s="25"/>
      <c r="BC997" s="25"/>
      <c r="BD997" s="25"/>
      <c r="BE997" s="25"/>
      <c r="BF997" s="25"/>
      <c r="BG997" s="25"/>
      <c r="BH997" s="25"/>
      <c r="BI997" s="25"/>
      <c r="BJ997" s="25"/>
      <c r="BK997" s="25"/>
      <c r="BL997" s="25"/>
    </row>
    <row r="998" spans="1:64" s="21" customFormat="1" ht="18.600000000000001" customHeight="1" x14ac:dyDescent="0.25">
      <c r="A998" s="22"/>
      <c r="B998" s="22"/>
      <c r="C998" s="22"/>
      <c r="D998" s="23"/>
      <c r="E998" s="26"/>
      <c r="F998" s="25"/>
      <c r="G998" s="25"/>
      <c r="H998" s="25"/>
      <c r="I998" s="25"/>
      <c r="J998" s="22"/>
      <c r="K998" s="25"/>
      <c r="L998" s="25"/>
      <c r="M998" s="25"/>
      <c r="N998" s="25"/>
      <c r="O998" s="22"/>
      <c r="P998" s="22"/>
      <c r="Q998" s="22"/>
      <c r="R998" s="22"/>
      <c r="S998" s="25"/>
      <c r="T998" s="25"/>
      <c r="U998" s="25"/>
      <c r="V998" s="25"/>
      <c r="W998" s="25"/>
      <c r="X998" s="25"/>
      <c r="Y998" s="25"/>
      <c r="Z998" s="22"/>
      <c r="AA998" s="22"/>
      <c r="AB998" s="22"/>
      <c r="AC998" s="22"/>
      <c r="AD998" s="22"/>
      <c r="AE998" s="22"/>
      <c r="AF998" s="25"/>
      <c r="AG998" s="22"/>
      <c r="AH998" s="22"/>
      <c r="AI998" s="22"/>
      <c r="AJ998" s="22"/>
      <c r="AK998" s="22"/>
      <c r="AL998" s="22"/>
      <c r="AM998" s="22"/>
      <c r="AN998" s="25"/>
      <c r="AO998" s="22"/>
      <c r="AP998" s="22"/>
      <c r="AQ998" s="22"/>
      <c r="AR998" s="22"/>
      <c r="AS998" s="22"/>
      <c r="AT998" s="22"/>
      <c r="AU998" s="22"/>
      <c r="AV998" s="25"/>
      <c r="AW998" s="25"/>
      <c r="AX998" s="25"/>
      <c r="AY998" s="25"/>
      <c r="AZ998" s="25"/>
      <c r="BA998" s="25"/>
      <c r="BB998" s="25"/>
      <c r="BC998" s="25"/>
      <c r="BD998" s="25"/>
      <c r="BE998" s="25"/>
      <c r="BF998" s="25"/>
      <c r="BG998" s="25"/>
      <c r="BH998" s="25"/>
      <c r="BI998" s="25"/>
      <c r="BJ998" s="25"/>
      <c r="BK998" s="25"/>
      <c r="BL998" s="25"/>
    </row>
    <row r="999" spans="1:64" s="21" customFormat="1" ht="18.600000000000001" customHeight="1" x14ac:dyDescent="0.25">
      <c r="A999" s="22"/>
      <c r="B999" s="22"/>
      <c r="C999" s="22"/>
      <c r="D999" s="23"/>
      <c r="E999" s="26"/>
      <c r="F999" s="25"/>
      <c r="G999" s="25"/>
      <c r="H999" s="25"/>
      <c r="I999" s="25"/>
      <c r="J999" s="22"/>
      <c r="K999" s="25"/>
      <c r="L999" s="25"/>
      <c r="M999" s="25"/>
      <c r="N999" s="25"/>
      <c r="O999" s="22"/>
      <c r="P999" s="22"/>
      <c r="Q999" s="22"/>
      <c r="R999" s="22"/>
      <c r="S999" s="25"/>
      <c r="T999" s="25"/>
      <c r="U999" s="25"/>
      <c r="V999" s="25"/>
      <c r="W999" s="25"/>
      <c r="X999" s="25"/>
      <c r="Y999" s="25"/>
      <c r="Z999" s="22"/>
      <c r="AA999" s="22"/>
      <c r="AB999" s="22"/>
      <c r="AC999" s="22"/>
      <c r="AD999" s="22"/>
      <c r="AE999" s="22"/>
      <c r="AF999" s="25"/>
      <c r="AG999" s="22"/>
      <c r="AH999" s="22"/>
      <c r="AI999" s="22"/>
      <c r="AJ999" s="22"/>
      <c r="AK999" s="22"/>
      <c r="AL999" s="22"/>
      <c r="AM999" s="22"/>
      <c r="AN999" s="25"/>
      <c r="AO999" s="22"/>
      <c r="AP999" s="22"/>
      <c r="AQ999" s="22"/>
      <c r="AR999" s="22"/>
      <c r="AS999" s="22"/>
      <c r="AT999" s="22"/>
      <c r="AU999" s="22"/>
      <c r="AV999" s="25"/>
      <c r="AW999" s="25"/>
      <c r="AX999" s="25"/>
      <c r="AY999" s="25"/>
      <c r="AZ999" s="25"/>
      <c r="BA999" s="25"/>
      <c r="BB999" s="25"/>
      <c r="BC999" s="25"/>
      <c r="BD999" s="25"/>
      <c r="BE999" s="25"/>
      <c r="BF999" s="25"/>
      <c r="BG999" s="25"/>
      <c r="BH999" s="25"/>
      <c r="BI999" s="25"/>
      <c r="BJ999" s="25"/>
      <c r="BK999" s="25"/>
      <c r="BL999" s="25"/>
    </row>
    <row r="1000" spans="1:64" s="21" customFormat="1" ht="18.600000000000001" customHeight="1" x14ac:dyDescent="0.25">
      <c r="A1000" s="22"/>
      <c r="B1000" s="22"/>
      <c r="C1000" s="22"/>
      <c r="D1000" s="23"/>
      <c r="E1000" s="26"/>
      <c r="F1000" s="25"/>
      <c r="G1000" s="25"/>
      <c r="H1000" s="25"/>
      <c r="I1000" s="25"/>
      <c r="J1000" s="22"/>
      <c r="K1000" s="25"/>
      <c r="L1000" s="25"/>
      <c r="M1000" s="25"/>
      <c r="N1000" s="25"/>
      <c r="O1000" s="22"/>
      <c r="P1000" s="22"/>
      <c r="Q1000" s="22"/>
      <c r="R1000" s="22"/>
      <c r="S1000" s="25"/>
      <c r="T1000" s="25"/>
      <c r="U1000" s="25"/>
      <c r="V1000" s="25"/>
      <c r="W1000" s="25"/>
      <c r="X1000" s="25"/>
      <c r="Y1000" s="25"/>
      <c r="Z1000" s="22"/>
      <c r="AA1000" s="22"/>
      <c r="AB1000" s="22"/>
      <c r="AC1000" s="22"/>
      <c r="AD1000" s="22"/>
      <c r="AE1000" s="22"/>
      <c r="AF1000" s="25"/>
      <c r="AG1000" s="22"/>
      <c r="AH1000" s="22"/>
      <c r="AI1000" s="22"/>
      <c r="AJ1000" s="22"/>
      <c r="AK1000" s="22"/>
      <c r="AL1000" s="22"/>
      <c r="AM1000" s="22"/>
      <c r="AN1000" s="25"/>
      <c r="AO1000" s="22"/>
      <c r="AP1000" s="22"/>
      <c r="AQ1000" s="22"/>
      <c r="AR1000" s="22"/>
      <c r="AS1000" s="22"/>
      <c r="AT1000" s="22"/>
      <c r="AU1000" s="22"/>
      <c r="AV1000" s="25"/>
      <c r="AW1000" s="25"/>
      <c r="AX1000" s="25"/>
      <c r="AY1000" s="25"/>
      <c r="AZ1000" s="25"/>
      <c r="BA1000" s="25"/>
      <c r="BB1000" s="25"/>
      <c r="BC1000" s="25"/>
      <c r="BD1000" s="25"/>
      <c r="BE1000" s="25"/>
      <c r="BF1000" s="25"/>
      <c r="BG1000" s="25"/>
      <c r="BH1000" s="25"/>
      <c r="BI1000" s="25"/>
      <c r="BJ1000" s="25"/>
      <c r="BK1000" s="25"/>
      <c r="BL1000" s="25"/>
    </row>
    <row r="1001" spans="1:64" s="21" customFormat="1" ht="18.600000000000001" customHeight="1" x14ac:dyDescent="0.25">
      <c r="A1001" s="22"/>
      <c r="B1001" s="22"/>
      <c r="C1001" s="22"/>
      <c r="D1001" s="23"/>
      <c r="E1001" s="26"/>
      <c r="F1001" s="25"/>
      <c r="G1001" s="25"/>
      <c r="H1001" s="25"/>
      <c r="I1001" s="25"/>
      <c r="J1001" s="22"/>
      <c r="K1001" s="25"/>
      <c r="L1001" s="25"/>
      <c r="M1001" s="25"/>
      <c r="N1001" s="25"/>
      <c r="O1001" s="22"/>
      <c r="P1001" s="22"/>
      <c r="Q1001" s="22"/>
      <c r="R1001" s="22"/>
      <c r="S1001" s="25"/>
      <c r="T1001" s="25"/>
      <c r="U1001" s="25"/>
      <c r="V1001" s="25"/>
      <c r="W1001" s="25"/>
      <c r="X1001" s="25"/>
      <c r="Y1001" s="25"/>
      <c r="Z1001" s="22"/>
      <c r="AA1001" s="22"/>
      <c r="AB1001" s="22"/>
      <c r="AC1001" s="22"/>
      <c r="AD1001" s="22"/>
      <c r="AE1001" s="22"/>
      <c r="AF1001" s="25"/>
      <c r="AG1001" s="22"/>
      <c r="AH1001" s="22"/>
      <c r="AI1001" s="22"/>
      <c r="AJ1001" s="22"/>
      <c r="AK1001" s="22"/>
      <c r="AL1001" s="22"/>
      <c r="AM1001" s="22"/>
      <c r="AN1001" s="25"/>
      <c r="AO1001" s="22"/>
      <c r="AP1001" s="22"/>
      <c r="AQ1001" s="22"/>
      <c r="AR1001" s="22"/>
      <c r="AS1001" s="22"/>
      <c r="AT1001" s="22"/>
      <c r="AU1001" s="22"/>
      <c r="AV1001" s="25"/>
      <c r="AW1001" s="25"/>
      <c r="AX1001" s="25"/>
      <c r="AY1001" s="25"/>
      <c r="AZ1001" s="25"/>
      <c r="BA1001" s="25"/>
      <c r="BB1001" s="25"/>
      <c r="BC1001" s="25"/>
      <c r="BD1001" s="25"/>
      <c r="BE1001" s="25"/>
      <c r="BF1001" s="25"/>
      <c r="BG1001" s="25"/>
      <c r="BH1001" s="25"/>
      <c r="BI1001" s="25"/>
      <c r="BJ1001" s="25"/>
      <c r="BK1001" s="25"/>
      <c r="BL1001" s="25"/>
    </row>
    <row r="1002" spans="1:64" s="21" customFormat="1" ht="18.600000000000001" customHeight="1" x14ac:dyDescent="0.25">
      <c r="A1002" s="22"/>
      <c r="B1002" s="22"/>
      <c r="C1002" s="22"/>
      <c r="D1002" s="23"/>
      <c r="E1002" s="26"/>
      <c r="F1002" s="25"/>
      <c r="G1002" s="25"/>
      <c r="H1002" s="25"/>
      <c r="I1002" s="25"/>
      <c r="J1002" s="22"/>
      <c r="K1002" s="25"/>
      <c r="L1002" s="25"/>
      <c r="M1002" s="25"/>
      <c r="N1002" s="25"/>
      <c r="O1002" s="22"/>
      <c r="P1002" s="22"/>
      <c r="Q1002" s="22"/>
      <c r="R1002" s="22"/>
      <c r="S1002" s="25"/>
      <c r="T1002" s="25"/>
      <c r="U1002" s="25"/>
      <c r="V1002" s="25"/>
      <c r="W1002" s="25"/>
      <c r="X1002" s="25"/>
      <c r="Y1002" s="25"/>
      <c r="Z1002" s="22"/>
      <c r="AA1002" s="22"/>
      <c r="AB1002" s="22"/>
      <c r="AC1002" s="22"/>
      <c r="AD1002" s="22"/>
      <c r="AE1002" s="22"/>
      <c r="AF1002" s="25"/>
      <c r="AG1002" s="22"/>
      <c r="AH1002" s="22"/>
      <c r="AI1002" s="22"/>
      <c r="AJ1002" s="22"/>
      <c r="AK1002" s="22"/>
      <c r="AL1002" s="22"/>
      <c r="AM1002" s="22"/>
      <c r="AN1002" s="25"/>
      <c r="AO1002" s="22"/>
      <c r="AP1002" s="22"/>
      <c r="AQ1002" s="22"/>
      <c r="AR1002" s="22"/>
      <c r="AS1002" s="22"/>
      <c r="AT1002" s="22"/>
      <c r="AU1002" s="22"/>
      <c r="AV1002" s="25"/>
      <c r="AW1002" s="25"/>
      <c r="AX1002" s="25"/>
      <c r="AY1002" s="25"/>
      <c r="AZ1002" s="25"/>
      <c r="BA1002" s="25"/>
      <c r="BB1002" s="25"/>
      <c r="BC1002" s="25"/>
      <c r="BD1002" s="25"/>
      <c r="BE1002" s="25"/>
      <c r="BF1002" s="25"/>
      <c r="BG1002" s="25"/>
      <c r="BH1002" s="25"/>
      <c r="BI1002" s="25"/>
      <c r="BJ1002" s="25"/>
      <c r="BK1002" s="25"/>
      <c r="BL1002" s="25"/>
    </row>
    <row r="1003" spans="1:64" s="21" customFormat="1" ht="18.600000000000001" customHeight="1" x14ac:dyDescent="0.25">
      <c r="A1003" s="22"/>
      <c r="B1003" s="22"/>
      <c r="C1003" s="22"/>
      <c r="D1003" s="23"/>
      <c r="E1003" s="26"/>
      <c r="F1003" s="25"/>
      <c r="G1003" s="25"/>
      <c r="H1003" s="25"/>
      <c r="I1003" s="25"/>
      <c r="J1003" s="22"/>
      <c r="K1003" s="25"/>
      <c r="L1003" s="25"/>
      <c r="M1003" s="25"/>
      <c r="N1003" s="25"/>
      <c r="O1003" s="22"/>
      <c r="P1003" s="22"/>
      <c r="Q1003" s="22"/>
      <c r="R1003" s="22"/>
      <c r="S1003" s="25"/>
      <c r="T1003" s="25"/>
      <c r="U1003" s="25"/>
      <c r="V1003" s="25"/>
      <c r="W1003" s="25"/>
      <c r="X1003" s="25"/>
      <c r="Y1003" s="25"/>
      <c r="Z1003" s="22"/>
      <c r="AA1003" s="22"/>
      <c r="AB1003" s="22"/>
      <c r="AC1003" s="22"/>
      <c r="AD1003" s="22"/>
      <c r="AE1003" s="22"/>
      <c r="AF1003" s="25"/>
      <c r="AG1003" s="22"/>
      <c r="AH1003" s="22"/>
      <c r="AI1003" s="22"/>
      <c r="AJ1003" s="22"/>
      <c r="AK1003" s="22"/>
      <c r="AL1003" s="22"/>
      <c r="AM1003" s="22"/>
      <c r="AN1003" s="25"/>
      <c r="AO1003" s="22"/>
      <c r="AP1003" s="22"/>
      <c r="AQ1003" s="22"/>
      <c r="AR1003" s="22"/>
      <c r="AS1003" s="22"/>
      <c r="AT1003" s="22"/>
      <c r="AU1003" s="22"/>
      <c r="AV1003" s="25"/>
      <c r="AW1003" s="25"/>
      <c r="AX1003" s="25"/>
      <c r="AY1003" s="25"/>
      <c r="AZ1003" s="25"/>
      <c r="BA1003" s="25"/>
      <c r="BB1003" s="25"/>
      <c r="BC1003" s="25"/>
      <c r="BD1003" s="25"/>
      <c r="BE1003" s="25"/>
      <c r="BF1003" s="25"/>
      <c r="BG1003" s="25"/>
      <c r="BH1003" s="25"/>
      <c r="BI1003" s="25"/>
      <c r="BJ1003" s="25"/>
      <c r="BK1003" s="25"/>
      <c r="BL1003" s="25"/>
    </row>
    <row r="1004" spans="1:64" s="21" customFormat="1" ht="18.600000000000001" customHeight="1" x14ac:dyDescent="0.25">
      <c r="A1004" s="22"/>
      <c r="B1004" s="22"/>
      <c r="C1004" s="22"/>
      <c r="D1004" s="23"/>
      <c r="E1004" s="26"/>
      <c r="F1004" s="25"/>
      <c r="G1004" s="25"/>
      <c r="H1004" s="25"/>
      <c r="I1004" s="25"/>
      <c r="J1004" s="22"/>
      <c r="K1004" s="25"/>
      <c r="L1004" s="25"/>
      <c r="M1004" s="25"/>
      <c r="N1004" s="25"/>
      <c r="O1004" s="22"/>
      <c r="P1004" s="22"/>
      <c r="Q1004" s="22"/>
      <c r="R1004" s="22"/>
      <c r="S1004" s="25"/>
      <c r="T1004" s="25"/>
      <c r="U1004" s="25"/>
      <c r="V1004" s="25"/>
      <c r="W1004" s="25"/>
      <c r="X1004" s="25"/>
      <c r="Y1004" s="25"/>
      <c r="Z1004" s="22"/>
      <c r="AA1004" s="22"/>
      <c r="AB1004" s="22"/>
      <c r="AC1004" s="22"/>
      <c r="AD1004" s="22"/>
      <c r="AE1004" s="22"/>
      <c r="AF1004" s="25"/>
      <c r="AG1004" s="22"/>
      <c r="AH1004" s="22"/>
      <c r="AI1004" s="22"/>
      <c r="AJ1004" s="22"/>
      <c r="AK1004" s="22"/>
      <c r="AL1004" s="22"/>
      <c r="AM1004" s="22"/>
      <c r="AN1004" s="25"/>
      <c r="AO1004" s="22"/>
      <c r="AP1004" s="22"/>
      <c r="AQ1004" s="22"/>
      <c r="AR1004" s="22"/>
      <c r="AS1004" s="22"/>
      <c r="AT1004" s="22"/>
      <c r="AU1004" s="22"/>
      <c r="AV1004" s="25"/>
      <c r="AW1004" s="25"/>
      <c r="AX1004" s="25"/>
      <c r="AY1004" s="25"/>
      <c r="AZ1004" s="25"/>
      <c r="BA1004" s="25"/>
      <c r="BB1004" s="25"/>
      <c r="BC1004" s="25"/>
      <c r="BD1004" s="25"/>
      <c r="BE1004" s="25"/>
      <c r="BF1004" s="25"/>
      <c r="BG1004" s="25"/>
      <c r="BH1004" s="25"/>
      <c r="BI1004" s="25"/>
      <c r="BJ1004" s="25"/>
      <c r="BK1004" s="25"/>
      <c r="BL1004" s="25"/>
    </row>
    <row r="1005" spans="1:64" s="21" customFormat="1" ht="18.600000000000001" customHeight="1" x14ac:dyDescent="0.25">
      <c r="A1005" s="22"/>
      <c r="B1005" s="22"/>
      <c r="C1005" s="22"/>
      <c r="D1005" s="23"/>
      <c r="E1005" s="26"/>
      <c r="F1005" s="25"/>
      <c r="G1005" s="25"/>
      <c r="H1005" s="25"/>
      <c r="I1005" s="25"/>
      <c r="J1005" s="22"/>
      <c r="K1005" s="25"/>
      <c r="L1005" s="25"/>
      <c r="M1005" s="25"/>
      <c r="N1005" s="25"/>
      <c r="O1005" s="22"/>
      <c r="P1005" s="22"/>
      <c r="Q1005" s="22"/>
      <c r="R1005" s="22"/>
      <c r="S1005" s="25"/>
      <c r="T1005" s="25"/>
      <c r="U1005" s="25"/>
      <c r="V1005" s="25"/>
      <c r="W1005" s="25"/>
      <c r="X1005" s="25"/>
      <c r="Y1005" s="25"/>
      <c r="Z1005" s="22"/>
      <c r="AA1005" s="22"/>
      <c r="AB1005" s="22"/>
      <c r="AC1005" s="22"/>
      <c r="AD1005" s="22"/>
      <c r="AE1005" s="22"/>
      <c r="AF1005" s="25"/>
      <c r="AG1005" s="22"/>
      <c r="AH1005" s="22"/>
      <c r="AI1005" s="22"/>
      <c r="AJ1005" s="22"/>
      <c r="AK1005" s="22"/>
      <c r="AL1005" s="22"/>
      <c r="AM1005" s="22"/>
      <c r="AN1005" s="25"/>
      <c r="AO1005" s="22"/>
      <c r="AP1005" s="22"/>
      <c r="AQ1005" s="22"/>
      <c r="AR1005" s="22"/>
      <c r="AS1005" s="22"/>
      <c r="AT1005" s="22"/>
      <c r="AU1005" s="22"/>
      <c r="AV1005" s="25"/>
      <c r="AW1005" s="25"/>
      <c r="AX1005" s="25"/>
      <c r="AY1005" s="25"/>
      <c r="AZ1005" s="25"/>
      <c r="BA1005" s="25"/>
      <c r="BB1005" s="25"/>
      <c r="BC1005" s="25"/>
      <c r="BD1005" s="25"/>
      <c r="BE1005" s="25"/>
      <c r="BF1005" s="25"/>
      <c r="BG1005" s="25"/>
      <c r="BH1005" s="25"/>
      <c r="BI1005" s="25"/>
      <c r="BJ1005" s="25"/>
      <c r="BK1005" s="25"/>
      <c r="BL1005" s="25"/>
    </row>
    <row r="1006" spans="1:64" s="21" customFormat="1" ht="18.600000000000001" customHeight="1" x14ac:dyDescent="0.25">
      <c r="A1006" s="22"/>
      <c r="B1006" s="22"/>
      <c r="C1006" s="22"/>
      <c r="D1006" s="23"/>
      <c r="E1006" s="26"/>
      <c r="F1006" s="25"/>
      <c r="G1006" s="25"/>
      <c r="H1006" s="25"/>
      <c r="I1006" s="25"/>
      <c r="J1006" s="22"/>
      <c r="K1006" s="25"/>
      <c r="L1006" s="25"/>
      <c r="M1006" s="25"/>
      <c r="N1006" s="25"/>
      <c r="O1006" s="22"/>
      <c r="P1006" s="22"/>
      <c r="Q1006" s="22"/>
      <c r="R1006" s="22"/>
      <c r="S1006" s="25"/>
      <c r="T1006" s="25"/>
      <c r="U1006" s="25"/>
      <c r="V1006" s="25"/>
      <c r="W1006" s="25"/>
      <c r="X1006" s="25"/>
      <c r="Y1006" s="25"/>
      <c r="Z1006" s="22"/>
      <c r="AA1006" s="22"/>
      <c r="AB1006" s="22"/>
      <c r="AC1006" s="22"/>
      <c r="AD1006" s="22"/>
      <c r="AE1006" s="22"/>
      <c r="AF1006" s="25"/>
      <c r="AG1006" s="22"/>
      <c r="AH1006" s="22"/>
      <c r="AI1006" s="22"/>
      <c r="AJ1006" s="22"/>
      <c r="AK1006" s="22"/>
      <c r="AL1006" s="22"/>
      <c r="AM1006" s="22"/>
      <c r="AN1006" s="25"/>
      <c r="AO1006" s="22"/>
      <c r="AP1006" s="22"/>
      <c r="AQ1006" s="22"/>
      <c r="AR1006" s="22"/>
      <c r="AS1006" s="22"/>
      <c r="AT1006" s="22"/>
      <c r="AU1006" s="22"/>
      <c r="AV1006" s="25"/>
      <c r="AW1006" s="25"/>
      <c r="AX1006" s="25"/>
      <c r="AY1006" s="25"/>
      <c r="AZ1006" s="25"/>
      <c r="BA1006" s="25"/>
      <c r="BB1006" s="25"/>
      <c r="BC1006" s="25"/>
      <c r="BD1006" s="25"/>
      <c r="BE1006" s="25"/>
      <c r="BF1006" s="25"/>
      <c r="BG1006" s="25"/>
      <c r="BH1006" s="25"/>
      <c r="BI1006" s="25"/>
      <c r="BJ1006" s="25"/>
      <c r="BK1006" s="25"/>
      <c r="BL1006" s="25"/>
    </row>
    <row r="1007" spans="1:64" s="21" customFormat="1" ht="18.600000000000001" customHeight="1" x14ac:dyDescent="0.25">
      <c r="A1007" s="22"/>
      <c r="B1007" s="22"/>
      <c r="C1007" s="22"/>
      <c r="D1007" s="23"/>
      <c r="E1007" s="26"/>
      <c r="F1007" s="25"/>
      <c r="G1007" s="25"/>
      <c r="H1007" s="25"/>
      <c r="I1007" s="25"/>
      <c r="J1007" s="22"/>
      <c r="K1007" s="25"/>
      <c r="L1007" s="25"/>
      <c r="M1007" s="25"/>
      <c r="N1007" s="25"/>
      <c r="O1007" s="22"/>
      <c r="P1007" s="22"/>
      <c r="Q1007" s="22"/>
      <c r="R1007" s="22"/>
      <c r="S1007" s="25"/>
      <c r="T1007" s="25"/>
      <c r="U1007" s="25"/>
      <c r="V1007" s="25"/>
      <c r="W1007" s="25"/>
      <c r="X1007" s="25"/>
      <c r="Y1007" s="25"/>
      <c r="Z1007" s="22"/>
      <c r="AA1007" s="22"/>
      <c r="AB1007" s="22"/>
      <c r="AC1007" s="22"/>
      <c r="AD1007" s="22"/>
      <c r="AE1007" s="22"/>
      <c r="AF1007" s="25"/>
      <c r="AG1007" s="22"/>
      <c r="AH1007" s="22"/>
      <c r="AI1007" s="22"/>
      <c r="AJ1007" s="22"/>
      <c r="AK1007" s="22"/>
      <c r="AL1007" s="22"/>
      <c r="AM1007" s="22"/>
      <c r="AN1007" s="25"/>
      <c r="AO1007" s="22"/>
      <c r="AP1007" s="22"/>
      <c r="AQ1007" s="22"/>
      <c r="AR1007" s="22"/>
      <c r="AS1007" s="22"/>
      <c r="AT1007" s="22"/>
      <c r="AU1007" s="22"/>
      <c r="AV1007" s="25"/>
      <c r="AW1007" s="25"/>
      <c r="AX1007" s="25"/>
      <c r="AY1007" s="25"/>
      <c r="AZ1007" s="25"/>
      <c r="BA1007" s="25"/>
      <c r="BB1007" s="25"/>
      <c r="BC1007" s="25"/>
      <c r="BD1007" s="25"/>
      <c r="BE1007" s="25"/>
      <c r="BF1007" s="25"/>
      <c r="BG1007" s="25"/>
      <c r="BH1007" s="25"/>
      <c r="BI1007" s="25"/>
      <c r="BJ1007" s="25"/>
      <c r="BK1007" s="25"/>
      <c r="BL1007" s="25"/>
    </row>
    <row r="1008" spans="1:64" s="21" customFormat="1" ht="18.600000000000001" customHeight="1" x14ac:dyDescent="0.25">
      <c r="A1008" s="22"/>
      <c r="B1008" s="22"/>
      <c r="C1008" s="22"/>
      <c r="D1008" s="23"/>
      <c r="E1008" s="26"/>
      <c r="F1008" s="25"/>
      <c r="G1008" s="25"/>
      <c r="H1008" s="25"/>
      <c r="I1008" s="25"/>
      <c r="J1008" s="22"/>
      <c r="K1008" s="25"/>
      <c r="L1008" s="25"/>
      <c r="M1008" s="25"/>
      <c r="N1008" s="25"/>
      <c r="O1008" s="22"/>
      <c r="P1008" s="22"/>
      <c r="Q1008" s="22"/>
      <c r="R1008" s="22"/>
      <c r="S1008" s="25"/>
      <c r="T1008" s="25"/>
      <c r="U1008" s="25"/>
      <c r="V1008" s="25"/>
      <c r="W1008" s="25"/>
      <c r="X1008" s="25"/>
      <c r="Y1008" s="25"/>
      <c r="Z1008" s="22"/>
      <c r="AA1008" s="22"/>
      <c r="AB1008" s="22"/>
      <c r="AC1008" s="22"/>
      <c r="AD1008" s="22"/>
      <c r="AE1008" s="22"/>
      <c r="AF1008" s="25"/>
      <c r="AG1008" s="22"/>
      <c r="AH1008" s="22"/>
      <c r="AI1008" s="22"/>
      <c r="AJ1008" s="22"/>
      <c r="AK1008" s="22"/>
      <c r="AL1008" s="22"/>
      <c r="AM1008" s="22"/>
      <c r="AN1008" s="25"/>
      <c r="AO1008" s="22"/>
      <c r="AP1008" s="22"/>
      <c r="AQ1008" s="22"/>
      <c r="AR1008" s="22"/>
      <c r="AS1008" s="22"/>
      <c r="AT1008" s="22"/>
      <c r="AU1008" s="22"/>
      <c r="AV1008" s="25"/>
      <c r="AW1008" s="25"/>
      <c r="AX1008" s="25"/>
      <c r="AY1008" s="25"/>
      <c r="AZ1008" s="25"/>
      <c r="BA1008" s="25"/>
      <c r="BB1008" s="25"/>
      <c r="BC1008" s="25"/>
      <c r="BD1008" s="25"/>
      <c r="BE1008" s="25"/>
      <c r="BF1008" s="25"/>
      <c r="BG1008" s="25"/>
      <c r="BH1008" s="25"/>
      <c r="BI1008" s="25"/>
      <c r="BJ1008" s="25"/>
      <c r="BK1008" s="25"/>
      <c r="BL1008" s="25"/>
    </row>
    <row r="1009" spans="1:64" s="21" customFormat="1" ht="18.600000000000001" customHeight="1" x14ac:dyDescent="0.25">
      <c r="A1009" s="22"/>
      <c r="B1009" s="22"/>
      <c r="C1009" s="22"/>
      <c r="D1009" s="23"/>
      <c r="E1009" s="26"/>
      <c r="F1009" s="25"/>
      <c r="G1009" s="25"/>
      <c r="H1009" s="25"/>
      <c r="I1009" s="25"/>
      <c r="J1009" s="22"/>
      <c r="K1009" s="25"/>
      <c r="L1009" s="25"/>
      <c r="M1009" s="25"/>
      <c r="N1009" s="25"/>
      <c r="O1009" s="22"/>
      <c r="P1009" s="22"/>
      <c r="Q1009" s="22"/>
      <c r="R1009" s="22"/>
      <c r="S1009" s="25"/>
      <c r="T1009" s="25"/>
      <c r="U1009" s="25"/>
      <c r="V1009" s="25"/>
      <c r="W1009" s="25"/>
      <c r="X1009" s="25"/>
      <c r="Y1009" s="25"/>
      <c r="Z1009" s="22"/>
      <c r="AA1009" s="22"/>
      <c r="AB1009" s="22"/>
      <c r="AC1009" s="22"/>
      <c r="AD1009" s="22"/>
      <c r="AE1009" s="22"/>
      <c r="AF1009" s="25"/>
      <c r="AG1009" s="22"/>
      <c r="AH1009" s="22"/>
      <c r="AI1009" s="22"/>
      <c r="AJ1009" s="22"/>
      <c r="AK1009" s="22"/>
      <c r="AL1009" s="22"/>
      <c r="AM1009" s="22"/>
      <c r="AN1009" s="25"/>
      <c r="AO1009" s="22"/>
      <c r="AP1009" s="22"/>
      <c r="AQ1009" s="22"/>
      <c r="AR1009" s="22"/>
      <c r="AS1009" s="22"/>
      <c r="AT1009" s="22"/>
      <c r="AU1009" s="22"/>
      <c r="AV1009" s="25"/>
      <c r="AW1009" s="25"/>
      <c r="AX1009" s="25"/>
      <c r="AY1009" s="25"/>
      <c r="AZ1009" s="25"/>
      <c r="BA1009" s="25"/>
      <c r="BB1009" s="25"/>
      <c r="BC1009" s="25"/>
      <c r="BD1009" s="25"/>
      <c r="BE1009" s="25"/>
      <c r="BF1009" s="25"/>
      <c r="BG1009" s="25"/>
      <c r="BH1009" s="25"/>
      <c r="BI1009" s="25"/>
      <c r="BJ1009" s="25"/>
      <c r="BK1009" s="25"/>
      <c r="BL1009" s="25"/>
    </row>
    <row r="1010" spans="1:64" s="21" customFormat="1" ht="18.600000000000001" customHeight="1" x14ac:dyDescent="0.25">
      <c r="A1010" s="22"/>
      <c r="B1010" s="22"/>
      <c r="C1010" s="22"/>
      <c r="D1010" s="23"/>
      <c r="E1010" s="26"/>
      <c r="F1010" s="25"/>
      <c r="G1010" s="25"/>
      <c r="H1010" s="25"/>
      <c r="I1010" s="25"/>
      <c r="J1010" s="22"/>
      <c r="K1010" s="25"/>
      <c r="L1010" s="25"/>
      <c r="M1010" s="25"/>
      <c r="N1010" s="25"/>
      <c r="O1010" s="22"/>
      <c r="P1010" s="22"/>
      <c r="Q1010" s="22"/>
      <c r="R1010" s="22"/>
      <c r="S1010" s="25"/>
      <c r="T1010" s="25"/>
      <c r="U1010" s="25"/>
      <c r="V1010" s="25"/>
      <c r="W1010" s="25"/>
      <c r="X1010" s="25"/>
      <c r="Y1010" s="25"/>
      <c r="Z1010" s="22"/>
      <c r="AA1010" s="22"/>
      <c r="AB1010" s="22"/>
      <c r="AC1010" s="22"/>
      <c r="AD1010" s="22"/>
      <c r="AE1010" s="22"/>
      <c r="AF1010" s="25"/>
      <c r="AG1010" s="22"/>
      <c r="AH1010" s="22"/>
      <c r="AI1010" s="22"/>
      <c r="AJ1010" s="22"/>
      <c r="AK1010" s="22"/>
      <c r="AL1010" s="22"/>
      <c r="AM1010" s="22"/>
      <c r="AN1010" s="25"/>
      <c r="AO1010" s="22"/>
      <c r="AP1010" s="22"/>
      <c r="AQ1010" s="22"/>
      <c r="AR1010" s="22"/>
      <c r="AS1010" s="22"/>
      <c r="AT1010" s="22"/>
      <c r="AU1010" s="22"/>
      <c r="AV1010" s="25"/>
      <c r="AW1010" s="25"/>
      <c r="AX1010" s="25"/>
      <c r="AY1010" s="25"/>
      <c r="AZ1010" s="25"/>
      <c r="BA1010" s="25"/>
      <c r="BB1010" s="25"/>
      <c r="BC1010" s="25"/>
      <c r="BD1010" s="25"/>
      <c r="BE1010" s="25"/>
      <c r="BF1010" s="25"/>
      <c r="BG1010" s="25"/>
      <c r="BH1010" s="25"/>
      <c r="BI1010" s="25"/>
      <c r="BJ1010" s="25"/>
      <c r="BK1010" s="25"/>
      <c r="BL1010" s="25"/>
    </row>
    <row r="1011" spans="1:64" s="21" customFormat="1" ht="18.600000000000001" customHeight="1" x14ac:dyDescent="0.25">
      <c r="A1011" s="22"/>
      <c r="B1011" s="22"/>
      <c r="C1011" s="22"/>
      <c r="D1011" s="23"/>
      <c r="E1011" s="26"/>
      <c r="F1011" s="25"/>
      <c r="G1011" s="25"/>
      <c r="H1011" s="25"/>
      <c r="I1011" s="25"/>
      <c r="J1011" s="22"/>
      <c r="K1011" s="25"/>
      <c r="L1011" s="25"/>
      <c r="M1011" s="25"/>
      <c r="N1011" s="25"/>
      <c r="O1011" s="22"/>
      <c r="P1011" s="22"/>
      <c r="Q1011" s="22"/>
      <c r="R1011" s="22"/>
      <c r="S1011" s="25"/>
      <c r="T1011" s="25"/>
      <c r="U1011" s="25"/>
      <c r="V1011" s="25"/>
      <c r="W1011" s="25"/>
      <c r="X1011" s="25"/>
      <c r="Y1011" s="25"/>
      <c r="Z1011" s="22"/>
      <c r="AA1011" s="22"/>
      <c r="AB1011" s="22"/>
      <c r="AC1011" s="22"/>
      <c r="AD1011" s="22"/>
      <c r="AE1011" s="22"/>
      <c r="AF1011" s="25"/>
      <c r="AG1011" s="22"/>
      <c r="AH1011" s="22"/>
      <c r="AI1011" s="22"/>
      <c r="AJ1011" s="22"/>
      <c r="AK1011" s="22"/>
      <c r="AL1011" s="22"/>
      <c r="AM1011" s="22"/>
      <c r="AN1011" s="25"/>
      <c r="AO1011" s="22"/>
      <c r="AP1011" s="22"/>
      <c r="AQ1011" s="22"/>
      <c r="AR1011" s="22"/>
      <c r="AS1011" s="22"/>
      <c r="AT1011" s="22"/>
      <c r="AU1011" s="22"/>
      <c r="AV1011" s="25"/>
      <c r="AW1011" s="25"/>
      <c r="AX1011" s="25"/>
      <c r="AY1011" s="25"/>
      <c r="AZ1011" s="25"/>
      <c r="BA1011" s="25"/>
      <c r="BB1011" s="25"/>
      <c r="BC1011" s="25"/>
      <c r="BD1011" s="25"/>
      <c r="BE1011" s="25"/>
      <c r="BF1011" s="25"/>
      <c r="BG1011" s="25"/>
      <c r="BH1011" s="25"/>
      <c r="BI1011" s="25"/>
      <c r="BJ1011" s="25"/>
      <c r="BK1011" s="25"/>
      <c r="BL1011" s="25"/>
    </row>
    <row r="1012" spans="1:64" s="21" customFormat="1" ht="18.600000000000001" customHeight="1" x14ac:dyDescent="0.25">
      <c r="A1012" s="22"/>
      <c r="B1012" s="22"/>
      <c r="C1012" s="22"/>
      <c r="D1012" s="23"/>
      <c r="E1012" s="26"/>
      <c r="F1012" s="25"/>
      <c r="G1012" s="25"/>
      <c r="H1012" s="25"/>
      <c r="I1012" s="25"/>
      <c r="J1012" s="22"/>
      <c r="K1012" s="25"/>
      <c r="L1012" s="25"/>
      <c r="M1012" s="25"/>
      <c r="N1012" s="25"/>
      <c r="O1012" s="22"/>
      <c r="P1012" s="22"/>
      <c r="Q1012" s="22"/>
      <c r="R1012" s="22"/>
      <c r="S1012" s="25"/>
      <c r="T1012" s="25"/>
      <c r="U1012" s="25"/>
      <c r="V1012" s="25"/>
      <c r="W1012" s="25"/>
      <c r="X1012" s="25"/>
      <c r="Y1012" s="25"/>
      <c r="Z1012" s="22"/>
      <c r="AA1012" s="22"/>
      <c r="AB1012" s="22"/>
      <c r="AC1012" s="22"/>
      <c r="AD1012" s="22"/>
      <c r="AE1012" s="22"/>
      <c r="AF1012" s="25"/>
      <c r="AG1012" s="22"/>
      <c r="AH1012" s="22"/>
      <c r="AI1012" s="22"/>
      <c r="AJ1012" s="22"/>
      <c r="AK1012" s="22"/>
      <c r="AL1012" s="22"/>
      <c r="AM1012" s="22"/>
      <c r="AN1012" s="25"/>
      <c r="AO1012" s="22"/>
      <c r="AP1012" s="22"/>
      <c r="AQ1012" s="22"/>
      <c r="AR1012" s="22"/>
      <c r="AS1012" s="22"/>
      <c r="AT1012" s="22"/>
      <c r="AU1012" s="22"/>
      <c r="AV1012" s="25"/>
      <c r="AW1012" s="25"/>
      <c r="AX1012" s="25"/>
      <c r="AY1012" s="25"/>
      <c r="AZ1012" s="25"/>
      <c r="BA1012" s="25"/>
      <c r="BB1012" s="25"/>
      <c r="BC1012" s="25"/>
      <c r="BD1012" s="25"/>
      <c r="BE1012" s="25"/>
      <c r="BF1012" s="25"/>
      <c r="BG1012" s="25"/>
      <c r="BH1012" s="25"/>
      <c r="BI1012" s="25"/>
      <c r="BJ1012" s="25"/>
      <c r="BK1012" s="25"/>
      <c r="BL1012" s="25"/>
    </row>
    <row r="1013" spans="1:64" s="21" customFormat="1" ht="18.600000000000001" customHeight="1" x14ac:dyDescent="0.25">
      <c r="A1013" s="22"/>
      <c r="B1013" s="22"/>
      <c r="C1013" s="22"/>
      <c r="D1013" s="23"/>
      <c r="E1013" s="26"/>
      <c r="F1013" s="25"/>
      <c r="G1013" s="25"/>
      <c r="H1013" s="25"/>
      <c r="I1013" s="25"/>
      <c r="J1013" s="22"/>
      <c r="K1013" s="25"/>
      <c r="L1013" s="25"/>
      <c r="M1013" s="25"/>
      <c r="N1013" s="25"/>
      <c r="O1013" s="22"/>
      <c r="P1013" s="22"/>
      <c r="Q1013" s="22"/>
      <c r="R1013" s="22"/>
      <c r="S1013" s="25"/>
      <c r="T1013" s="25"/>
      <c r="U1013" s="25"/>
      <c r="V1013" s="25"/>
      <c r="W1013" s="25"/>
      <c r="X1013" s="25"/>
      <c r="Y1013" s="25"/>
      <c r="Z1013" s="22"/>
      <c r="AA1013" s="22"/>
      <c r="AB1013" s="22"/>
      <c r="AC1013" s="22"/>
      <c r="AD1013" s="22"/>
      <c r="AE1013" s="22"/>
      <c r="AF1013" s="25"/>
      <c r="AG1013" s="22"/>
      <c r="AH1013" s="22"/>
      <c r="AI1013" s="22"/>
      <c r="AJ1013" s="22"/>
      <c r="AK1013" s="22"/>
      <c r="AL1013" s="22"/>
      <c r="AM1013" s="22"/>
      <c r="AN1013" s="25"/>
      <c r="AO1013" s="22"/>
      <c r="AP1013" s="22"/>
      <c r="AQ1013" s="22"/>
      <c r="AR1013" s="22"/>
      <c r="AS1013" s="22"/>
      <c r="AT1013" s="22"/>
      <c r="AU1013" s="22"/>
      <c r="AV1013" s="25"/>
      <c r="AW1013" s="25"/>
      <c r="AX1013" s="25"/>
      <c r="AY1013" s="25"/>
      <c r="AZ1013" s="25"/>
      <c r="BA1013" s="25"/>
      <c r="BB1013" s="25"/>
      <c r="BC1013" s="25"/>
      <c r="BD1013" s="25"/>
      <c r="BE1013" s="25"/>
      <c r="BF1013" s="25"/>
      <c r="BG1013" s="25"/>
      <c r="BH1013" s="25"/>
      <c r="BI1013" s="25"/>
      <c r="BJ1013" s="25"/>
      <c r="BK1013" s="25"/>
      <c r="BL1013" s="25"/>
    </row>
    <row r="1014" spans="1:64" s="21" customFormat="1" ht="18.600000000000001" customHeight="1" x14ac:dyDescent="0.25">
      <c r="A1014" s="22"/>
      <c r="B1014" s="22"/>
      <c r="C1014" s="22"/>
      <c r="D1014" s="23"/>
      <c r="E1014" s="26"/>
      <c r="F1014" s="25"/>
      <c r="G1014" s="25"/>
      <c r="H1014" s="25"/>
      <c r="I1014" s="25"/>
      <c r="J1014" s="22"/>
      <c r="K1014" s="25"/>
      <c r="L1014" s="25"/>
      <c r="M1014" s="25"/>
      <c r="N1014" s="25"/>
      <c r="O1014" s="22"/>
      <c r="P1014" s="22"/>
      <c r="Q1014" s="22"/>
      <c r="R1014" s="22"/>
      <c r="S1014" s="25"/>
      <c r="T1014" s="25"/>
      <c r="U1014" s="25"/>
      <c r="V1014" s="25"/>
      <c r="W1014" s="25"/>
      <c r="X1014" s="25"/>
      <c r="Y1014" s="25"/>
      <c r="Z1014" s="22"/>
      <c r="AA1014" s="22"/>
      <c r="AB1014" s="22"/>
      <c r="AC1014" s="22"/>
      <c r="AD1014" s="22"/>
      <c r="AE1014" s="22"/>
      <c r="AF1014" s="25"/>
      <c r="AG1014" s="22"/>
      <c r="AH1014" s="22"/>
      <c r="AI1014" s="22"/>
      <c r="AJ1014" s="22"/>
      <c r="AK1014" s="22"/>
      <c r="AL1014" s="22"/>
      <c r="AM1014" s="22"/>
      <c r="AN1014" s="25"/>
      <c r="AO1014" s="22"/>
      <c r="AP1014" s="22"/>
      <c r="AQ1014" s="22"/>
      <c r="AR1014" s="22"/>
      <c r="AS1014" s="22"/>
      <c r="AT1014" s="22"/>
      <c r="AU1014" s="22"/>
      <c r="AV1014" s="25"/>
      <c r="AW1014" s="25"/>
      <c r="AX1014" s="25"/>
      <c r="AY1014" s="25"/>
      <c r="AZ1014" s="25"/>
      <c r="BA1014" s="25"/>
      <c r="BB1014" s="25"/>
      <c r="BC1014" s="25"/>
      <c r="BD1014" s="25"/>
      <c r="BE1014" s="25"/>
      <c r="BF1014" s="25"/>
      <c r="BG1014" s="25"/>
      <c r="BH1014" s="25"/>
      <c r="BI1014" s="25"/>
      <c r="BJ1014" s="25"/>
      <c r="BK1014" s="25"/>
      <c r="BL1014" s="25"/>
    </row>
    <row r="1015" spans="1:64" s="21" customFormat="1" ht="18.600000000000001" customHeight="1" x14ac:dyDescent="0.25">
      <c r="A1015" s="22"/>
      <c r="B1015" s="22"/>
      <c r="C1015" s="22"/>
      <c r="D1015" s="23"/>
      <c r="E1015" s="26"/>
      <c r="F1015" s="25"/>
      <c r="G1015" s="25"/>
      <c r="H1015" s="25"/>
      <c r="I1015" s="25"/>
      <c r="J1015" s="22"/>
      <c r="K1015" s="25"/>
      <c r="L1015" s="25"/>
      <c r="M1015" s="25"/>
      <c r="N1015" s="25"/>
      <c r="O1015" s="22"/>
      <c r="P1015" s="22"/>
      <c r="Q1015" s="22"/>
      <c r="R1015" s="22"/>
      <c r="S1015" s="25"/>
      <c r="T1015" s="25"/>
      <c r="U1015" s="25"/>
      <c r="V1015" s="25"/>
      <c r="W1015" s="25"/>
      <c r="X1015" s="25"/>
      <c r="Y1015" s="25"/>
      <c r="Z1015" s="22"/>
      <c r="AA1015" s="22"/>
      <c r="AB1015" s="22"/>
      <c r="AC1015" s="22"/>
      <c r="AD1015" s="22"/>
      <c r="AE1015" s="22"/>
      <c r="AF1015" s="25"/>
      <c r="AG1015" s="22"/>
      <c r="AH1015" s="22"/>
      <c r="AI1015" s="22"/>
      <c r="AJ1015" s="22"/>
      <c r="AK1015" s="22"/>
      <c r="AL1015" s="22"/>
      <c r="AM1015" s="22"/>
      <c r="AN1015" s="25"/>
      <c r="AO1015" s="22"/>
      <c r="AP1015" s="22"/>
      <c r="AQ1015" s="22"/>
      <c r="AR1015" s="22"/>
      <c r="AS1015" s="22"/>
      <c r="AT1015" s="22"/>
      <c r="AU1015" s="22"/>
      <c r="AV1015" s="25"/>
      <c r="AW1015" s="25"/>
      <c r="AX1015" s="25"/>
      <c r="AY1015" s="25"/>
      <c r="AZ1015" s="25"/>
      <c r="BA1015" s="25"/>
      <c r="BB1015" s="25"/>
      <c r="BC1015" s="25"/>
      <c r="BD1015" s="25"/>
      <c r="BE1015" s="25"/>
      <c r="BF1015" s="25"/>
      <c r="BG1015" s="25"/>
      <c r="BH1015" s="25"/>
      <c r="BI1015" s="25"/>
      <c r="BJ1015" s="25"/>
      <c r="BK1015" s="25"/>
      <c r="BL1015" s="25"/>
    </row>
    <row r="1016" spans="1:64" s="21" customFormat="1" ht="18.600000000000001" customHeight="1" x14ac:dyDescent="0.25">
      <c r="A1016" s="22"/>
      <c r="B1016" s="22"/>
      <c r="C1016" s="22"/>
      <c r="D1016" s="23"/>
      <c r="E1016" s="26"/>
      <c r="F1016" s="25"/>
      <c r="G1016" s="25"/>
      <c r="H1016" s="25"/>
      <c r="I1016" s="25"/>
      <c r="J1016" s="22"/>
      <c r="K1016" s="25"/>
      <c r="L1016" s="25"/>
      <c r="M1016" s="25"/>
      <c r="N1016" s="25"/>
      <c r="O1016" s="22"/>
      <c r="P1016" s="22"/>
      <c r="Q1016" s="22"/>
      <c r="R1016" s="22"/>
      <c r="S1016" s="25"/>
      <c r="T1016" s="25"/>
      <c r="U1016" s="25"/>
      <c r="V1016" s="25"/>
      <c r="W1016" s="25"/>
      <c r="X1016" s="25"/>
      <c r="Y1016" s="25"/>
      <c r="Z1016" s="22"/>
      <c r="AA1016" s="22"/>
      <c r="AB1016" s="22"/>
      <c r="AC1016" s="22"/>
      <c r="AD1016" s="22"/>
      <c r="AE1016" s="22"/>
      <c r="AF1016" s="25"/>
      <c r="AG1016" s="22"/>
      <c r="AH1016" s="22"/>
      <c r="AI1016" s="22"/>
      <c r="AJ1016" s="22"/>
      <c r="AK1016" s="22"/>
      <c r="AL1016" s="22"/>
      <c r="AM1016" s="22"/>
      <c r="AN1016" s="25"/>
      <c r="AO1016" s="22"/>
      <c r="AP1016" s="22"/>
      <c r="AQ1016" s="22"/>
      <c r="AR1016" s="22"/>
      <c r="AS1016" s="22"/>
      <c r="AT1016" s="22"/>
      <c r="AU1016" s="22"/>
      <c r="AV1016" s="25"/>
      <c r="AW1016" s="25"/>
      <c r="AX1016" s="25"/>
      <c r="AY1016" s="25"/>
      <c r="AZ1016" s="25"/>
      <c r="BA1016" s="25"/>
      <c r="BB1016" s="25"/>
      <c r="BC1016" s="25"/>
      <c r="BD1016" s="25"/>
      <c r="BE1016" s="25"/>
      <c r="BF1016" s="25"/>
      <c r="BG1016" s="25"/>
      <c r="BH1016" s="25"/>
      <c r="BI1016" s="25"/>
      <c r="BJ1016" s="25"/>
      <c r="BK1016" s="25"/>
      <c r="BL1016" s="25"/>
    </row>
    <row r="1017" spans="1:64" s="21" customFormat="1" ht="18.600000000000001" customHeight="1" x14ac:dyDescent="0.25">
      <c r="A1017" s="22"/>
      <c r="B1017" s="22"/>
      <c r="C1017" s="22"/>
      <c r="D1017" s="23"/>
      <c r="E1017" s="26"/>
      <c r="F1017" s="25"/>
      <c r="G1017" s="25"/>
      <c r="H1017" s="25"/>
      <c r="I1017" s="25"/>
      <c r="J1017" s="22"/>
      <c r="K1017" s="25"/>
      <c r="L1017" s="25"/>
      <c r="M1017" s="25"/>
      <c r="N1017" s="25"/>
      <c r="O1017" s="22"/>
      <c r="P1017" s="22"/>
      <c r="Q1017" s="22"/>
      <c r="R1017" s="22"/>
      <c r="S1017" s="25"/>
      <c r="T1017" s="25"/>
      <c r="U1017" s="25"/>
      <c r="V1017" s="25"/>
      <c r="W1017" s="25"/>
      <c r="X1017" s="25"/>
      <c r="Y1017" s="25"/>
      <c r="Z1017" s="22"/>
      <c r="AA1017" s="22"/>
      <c r="AB1017" s="22"/>
      <c r="AC1017" s="22"/>
      <c r="AD1017" s="22"/>
      <c r="AE1017" s="22"/>
      <c r="AF1017" s="25"/>
      <c r="AG1017" s="22"/>
      <c r="AH1017" s="22"/>
      <c r="AI1017" s="22"/>
      <c r="AJ1017" s="22"/>
      <c r="AK1017" s="22"/>
      <c r="AL1017" s="22"/>
      <c r="AM1017" s="22"/>
      <c r="AN1017" s="25"/>
      <c r="AO1017" s="22"/>
      <c r="AP1017" s="22"/>
      <c r="AQ1017" s="22"/>
      <c r="AR1017" s="22"/>
      <c r="AS1017" s="22"/>
      <c r="AT1017" s="22"/>
      <c r="AU1017" s="22"/>
      <c r="AV1017" s="25"/>
      <c r="AW1017" s="25"/>
      <c r="AX1017" s="25"/>
      <c r="AY1017" s="25"/>
      <c r="AZ1017" s="25"/>
      <c r="BA1017" s="25"/>
      <c r="BB1017" s="25"/>
      <c r="BC1017" s="25"/>
      <c r="BD1017" s="25"/>
      <c r="BE1017" s="25"/>
      <c r="BF1017" s="25"/>
      <c r="BG1017" s="25"/>
      <c r="BH1017" s="25"/>
      <c r="BI1017" s="25"/>
      <c r="BJ1017" s="25"/>
      <c r="BK1017" s="25"/>
      <c r="BL1017" s="25"/>
    </row>
    <row r="1018" spans="1:64" s="21" customFormat="1" ht="18.600000000000001" customHeight="1" x14ac:dyDescent="0.25">
      <c r="A1018" s="22"/>
      <c r="B1018" s="22"/>
      <c r="C1018" s="22"/>
      <c r="D1018" s="23"/>
      <c r="E1018" s="26"/>
      <c r="F1018" s="25"/>
      <c r="G1018" s="25"/>
      <c r="H1018" s="25"/>
      <c r="I1018" s="25"/>
      <c r="J1018" s="22"/>
      <c r="K1018" s="25"/>
      <c r="L1018" s="25"/>
      <c r="M1018" s="25"/>
      <c r="N1018" s="25"/>
      <c r="O1018" s="22"/>
      <c r="P1018" s="22"/>
      <c r="Q1018" s="22"/>
      <c r="R1018" s="22"/>
      <c r="S1018" s="25"/>
      <c r="T1018" s="25"/>
      <c r="U1018" s="25"/>
      <c r="V1018" s="25"/>
      <c r="W1018" s="25"/>
      <c r="X1018" s="25"/>
      <c r="Y1018" s="25"/>
      <c r="Z1018" s="22"/>
      <c r="AA1018" s="22"/>
      <c r="AB1018" s="22"/>
      <c r="AC1018" s="22"/>
      <c r="AD1018" s="22"/>
      <c r="AE1018" s="22"/>
      <c r="AF1018" s="25"/>
      <c r="AG1018" s="22"/>
      <c r="AH1018" s="22"/>
      <c r="AI1018" s="22"/>
      <c r="AJ1018" s="22"/>
      <c r="AK1018" s="22"/>
      <c r="AL1018" s="22"/>
      <c r="AM1018" s="22"/>
      <c r="AN1018" s="25"/>
      <c r="AO1018" s="22"/>
      <c r="AP1018" s="22"/>
      <c r="AQ1018" s="22"/>
      <c r="AR1018" s="22"/>
      <c r="AS1018" s="22"/>
      <c r="AT1018" s="22"/>
      <c r="AU1018" s="22"/>
      <c r="AV1018" s="25"/>
      <c r="AW1018" s="25"/>
      <c r="AX1018" s="25"/>
      <c r="AY1018" s="25"/>
      <c r="AZ1018" s="25"/>
      <c r="BA1018" s="25"/>
      <c r="BB1018" s="25"/>
      <c r="BC1018" s="25"/>
      <c r="BD1018" s="25"/>
      <c r="BE1018" s="25"/>
      <c r="BF1018" s="25"/>
      <c r="BG1018" s="25"/>
      <c r="BH1018" s="25"/>
      <c r="BI1018" s="25"/>
      <c r="BJ1018" s="25"/>
      <c r="BK1018" s="25"/>
      <c r="BL1018" s="25"/>
    </row>
    <row r="1019" spans="1:64" s="21" customFormat="1" ht="18.600000000000001" customHeight="1" x14ac:dyDescent="0.25">
      <c r="A1019" s="22"/>
      <c r="B1019" s="22"/>
      <c r="C1019" s="22"/>
      <c r="D1019" s="23"/>
      <c r="E1019" s="26"/>
      <c r="F1019" s="25"/>
      <c r="G1019" s="25"/>
      <c r="H1019" s="25"/>
      <c r="I1019" s="25"/>
      <c r="J1019" s="22"/>
      <c r="K1019" s="25"/>
      <c r="L1019" s="25"/>
      <c r="M1019" s="25"/>
      <c r="N1019" s="25"/>
      <c r="O1019" s="22"/>
      <c r="P1019" s="22"/>
      <c r="Q1019" s="22"/>
      <c r="R1019" s="22"/>
      <c r="S1019" s="25"/>
      <c r="T1019" s="25"/>
      <c r="U1019" s="25"/>
      <c r="V1019" s="25"/>
      <c r="W1019" s="25"/>
      <c r="X1019" s="25"/>
      <c r="Y1019" s="25"/>
      <c r="Z1019" s="22"/>
      <c r="AA1019" s="22"/>
      <c r="AB1019" s="22"/>
      <c r="AC1019" s="22"/>
      <c r="AD1019" s="22"/>
      <c r="AE1019" s="22"/>
      <c r="AF1019" s="25"/>
      <c r="AG1019" s="22"/>
      <c r="AH1019" s="22"/>
      <c r="AI1019" s="22"/>
      <c r="AJ1019" s="22"/>
      <c r="AK1019" s="22"/>
      <c r="AL1019" s="22"/>
      <c r="AM1019" s="22"/>
      <c r="AN1019" s="25"/>
      <c r="AO1019" s="22"/>
      <c r="AP1019" s="22"/>
      <c r="AQ1019" s="22"/>
      <c r="AR1019" s="22"/>
      <c r="AS1019" s="22"/>
      <c r="AT1019" s="22"/>
      <c r="AU1019" s="22"/>
      <c r="AV1019" s="25"/>
      <c r="AW1019" s="25"/>
      <c r="AX1019" s="25"/>
      <c r="AY1019" s="25"/>
      <c r="AZ1019" s="25"/>
      <c r="BA1019" s="25"/>
      <c r="BB1019" s="25"/>
      <c r="BC1019" s="25"/>
      <c r="BD1019" s="25"/>
      <c r="BE1019" s="25"/>
      <c r="BF1019" s="25"/>
      <c r="BG1019" s="25"/>
      <c r="BH1019" s="25"/>
      <c r="BI1019" s="25"/>
      <c r="BJ1019" s="25"/>
      <c r="BK1019" s="25"/>
      <c r="BL1019" s="25"/>
    </row>
    <row r="1020" spans="1:64" s="21" customFormat="1" ht="18.600000000000001" customHeight="1" x14ac:dyDescent="0.25">
      <c r="A1020" s="22"/>
      <c r="B1020" s="22"/>
      <c r="C1020" s="22"/>
      <c r="D1020" s="23"/>
      <c r="E1020" s="26"/>
      <c r="F1020" s="25"/>
      <c r="G1020" s="25"/>
      <c r="H1020" s="25"/>
      <c r="I1020" s="25"/>
      <c r="J1020" s="22"/>
      <c r="K1020" s="25"/>
      <c r="L1020" s="25"/>
      <c r="M1020" s="25"/>
      <c r="N1020" s="25"/>
      <c r="O1020" s="22"/>
      <c r="P1020" s="22"/>
      <c r="Q1020" s="22"/>
      <c r="R1020" s="22"/>
      <c r="S1020" s="25"/>
      <c r="T1020" s="25"/>
      <c r="U1020" s="25"/>
      <c r="V1020" s="25"/>
      <c r="W1020" s="25"/>
      <c r="X1020" s="25"/>
      <c r="Y1020" s="25"/>
      <c r="Z1020" s="22"/>
      <c r="AA1020" s="22"/>
      <c r="AB1020" s="22"/>
      <c r="AC1020" s="22"/>
      <c r="AD1020" s="22"/>
      <c r="AE1020" s="22"/>
      <c r="AF1020" s="25"/>
      <c r="AG1020" s="22"/>
      <c r="AH1020" s="22"/>
      <c r="AI1020" s="22"/>
      <c r="AJ1020" s="22"/>
      <c r="AK1020" s="22"/>
      <c r="AL1020" s="22"/>
      <c r="AM1020" s="22"/>
      <c r="AN1020" s="25"/>
      <c r="AO1020" s="22"/>
      <c r="AP1020" s="22"/>
      <c r="AQ1020" s="22"/>
      <c r="AR1020" s="22"/>
      <c r="AS1020" s="22"/>
      <c r="AT1020" s="22"/>
      <c r="AU1020" s="22"/>
      <c r="AV1020" s="25"/>
      <c r="AW1020" s="25"/>
      <c r="AX1020" s="25"/>
      <c r="AY1020" s="25"/>
      <c r="AZ1020" s="25"/>
      <c r="BA1020" s="25"/>
      <c r="BB1020" s="25"/>
      <c r="BC1020" s="25"/>
      <c r="BD1020" s="25"/>
      <c r="BE1020" s="25"/>
      <c r="BF1020" s="25"/>
      <c r="BG1020" s="25"/>
      <c r="BH1020" s="25"/>
      <c r="BI1020" s="25"/>
      <c r="BJ1020" s="25"/>
      <c r="BK1020" s="25"/>
      <c r="BL1020" s="25"/>
    </row>
    <row r="1021" spans="1:64" s="21" customFormat="1" ht="18.600000000000001" customHeight="1" x14ac:dyDescent="0.25">
      <c r="A1021" s="22"/>
      <c r="B1021" s="22"/>
      <c r="C1021" s="22"/>
      <c r="D1021" s="23"/>
      <c r="E1021" s="26"/>
      <c r="F1021" s="25"/>
      <c r="G1021" s="25"/>
      <c r="H1021" s="25"/>
      <c r="I1021" s="25"/>
      <c r="J1021" s="22"/>
      <c r="K1021" s="25"/>
      <c r="L1021" s="25"/>
      <c r="M1021" s="25"/>
      <c r="N1021" s="25"/>
      <c r="O1021" s="22"/>
      <c r="P1021" s="22"/>
      <c r="Q1021" s="22"/>
      <c r="R1021" s="22"/>
      <c r="S1021" s="25"/>
      <c r="T1021" s="25"/>
      <c r="U1021" s="25"/>
      <c r="V1021" s="25"/>
      <c r="W1021" s="25"/>
      <c r="X1021" s="25"/>
      <c r="Y1021" s="25"/>
      <c r="Z1021" s="22"/>
      <c r="AA1021" s="22"/>
      <c r="AB1021" s="22"/>
      <c r="AC1021" s="22"/>
      <c r="AD1021" s="22"/>
      <c r="AE1021" s="22"/>
      <c r="AF1021" s="25"/>
      <c r="AG1021" s="22"/>
      <c r="AH1021" s="22"/>
      <c r="AI1021" s="22"/>
      <c r="AJ1021" s="22"/>
      <c r="AK1021" s="22"/>
      <c r="AL1021" s="22"/>
      <c r="AM1021" s="22"/>
      <c r="AN1021" s="25"/>
      <c r="AO1021" s="22"/>
      <c r="AP1021" s="22"/>
      <c r="AQ1021" s="22"/>
      <c r="AR1021" s="22"/>
      <c r="AS1021" s="22"/>
      <c r="AT1021" s="22"/>
      <c r="AU1021" s="22"/>
      <c r="AV1021" s="25"/>
      <c r="AW1021" s="25"/>
      <c r="AX1021" s="25"/>
      <c r="AY1021" s="25"/>
      <c r="AZ1021" s="25"/>
      <c r="BA1021" s="25"/>
      <c r="BB1021" s="25"/>
      <c r="BC1021" s="25"/>
      <c r="BD1021" s="25"/>
      <c r="BE1021" s="25"/>
      <c r="BF1021" s="25"/>
      <c r="BG1021" s="25"/>
      <c r="BH1021" s="25"/>
      <c r="BI1021" s="25"/>
      <c r="BJ1021" s="25"/>
      <c r="BK1021" s="25"/>
      <c r="BL1021" s="25"/>
    </row>
    <row r="1022" spans="1:64" s="21" customFormat="1" ht="18.600000000000001" customHeight="1" x14ac:dyDescent="0.25">
      <c r="A1022" s="22"/>
      <c r="B1022" s="22"/>
      <c r="C1022" s="22"/>
      <c r="D1022" s="23"/>
      <c r="E1022" s="26"/>
      <c r="F1022" s="25"/>
      <c r="G1022" s="25"/>
      <c r="H1022" s="25"/>
      <c r="I1022" s="25"/>
      <c r="J1022" s="22"/>
      <c r="K1022" s="25"/>
      <c r="L1022" s="25"/>
      <c r="M1022" s="25"/>
      <c r="N1022" s="25"/>
      <c r="O1022" s="22"/>
      <c r="P1022" s="22"/>
      <c r="Q1022" s="22"/>
      <c r="R1022" s="22"/>
      <c r="S1022" s="25"/>
      <c r="T1022" s="25"/>
      <c r="U1022" s="25"/>
      <c r="V1022" s="25"/>
      <c r="W1022" s="25"/>
      <c r="X1022" s="25"/>
      <c r="Y1022" s="25"/>
      <c r="Z1022" s="22"/>
      <c r="AA1022" s="22"/>
      <c r="AB1022" s="22"/>
      <c r="AC1022" s="22"/>
      <c r="AD1022" s="22"/>
      <c r="AE1022" s="22"/>
      <c r="AF1022" s="25"/>
      <c r="AG1022" s="22"/>
      <c r="AH1022" s="22"/>
      <c r="AI1022" s="22"/>
      <c r="AJ1022" s="22"/>
      <c r="AK1022" s="22"/>
      <c r="AL1022" s="22"/>
      <c r="AM1022" s="22"/>
      <c r="AN1022" s="25"/>
      <c r="AO1022" s="22"/>
      <c r="AP1022" s="22"/>
      <c r="AQ1022" s="22"/>
      <c r="AR1022" s="22"/>
      <c r="AS1022" s="22"/>
      <c r="AT1022" s="22"/>
      <c r="AU1022" s="22"/>
      <c r="AV1022" s="25"/>
      <c r="AW1022" s="25"/>
      <c r="AX1022" s="25"/>
      <c r="AY1022" s="25"/>
      <c r="AZ1022" s="25"/>
      <c r="BA1022" s="25"/>
      <c r="BB1022" s="25"/>
      <c r="BC1022" s="25"/>
      <c r="BD1022" s="25"/>
      <c r="BE1022" s="25"/>
      <c r="BF1022" s="25"/>
      <c r="BG1022" s="25"/>
      <c r="BH1022" s="25"/>
      <c r="BI1022" s="25"/>
      <c r="BJ1022" s="25"/>
      <c r="BK1022" s="25"/>
      <c r="BL1022" s="25"/>
    </row>
    <row r="1023" spans="1:64" s="21" customFormat="1" ht="18.600000000000001" customHeight="1" x14ac:dyDescent="0.25">
      <c r="A1023" s="22"/>
      <c r="B1023" s="22"/>
      <c r="C1023" s="22"/>
      <c r="D1023" s="23"/>
      <c r="E1023" s="26"/>
      <c r="F1023" s="25"/>
      <c r="G1023" s="25"/>
      <c r="H1023" s="25"/>
      <c r="I1023" s="25"/>
      <c r="J1023" s="22"/>
      <c r="K1023" s="25"/>
      <c r="L1023" s="25"/>
      <c r="M1023" s="25"/>
      <c r="N1023" s="25"/>
      <c r="O1023" s="22"/>
      <c r="P1023" s="22"/>
      <c r="Q1023" s="22"/>
      <c r="R1023" s="22"/>
      <c r="S1023" s="25"/>
      <c r="T1023" s="25"/>
      <c r="U1023" s="25"/>
      <c r="V1023" s="25"/>
      <c r="W1023" s="25"/>
      <c r="X1023" s="25"/>
      <c r="Y1023" s="25"/>
      <c r="Z1023" s="22"/>
      <c r="AA1023" s="22"/>
      <c r="AB1023" s="22"/>
      <c r="AC1023" s="22"/>
      <c r="AD1023" s="22"/>
      <c r="AE1023" s="22"/>
      <c r="AF1023" s="25"/>
      <c r="AG1023" s="22"/>
      <c r="AH1023" s="22"/>
      <c r="AI1023" s="22"/>
      <c r="AJ1023" s="22"/>
      <c r="AK1023" s="22"/>
      <c r="AL1023" s="22"/>
      <c r="AM1023" s="22"/>
      <c r="AN1023" s="25"/>
      <c r="AO1023" s="22"/>
      <c r="AP1023" s="22"/>
      <c r="AQ1023" s="22"/>
      <c r="AR1023" s="22"/>
      <c r="AS1023" s="22"/>
      <c r="AT1023" s="22"/>
      <c r="AU1023" s="22"/>
      <c r="AV1023" s="25"/>
      <c r="AW1023" s="25"/>
      <c r="AX1023" s="25"/>
      <c r="AY1023" s="25"/>
      <c r="AZ1023" s="25"/>
      <c r="BA1023" s="25"/>
      <c r="BB1023" s="25"/>
      <c r="BC1023" s="25"/>
      <c r="BD1023" s="25"/>
      <c r="BE1023" s="25"/>
      <c r="BF1023" s="25"/>
      <c r="BG1023" s="25"/>
      <c r="BH1023" s="25"/>
      <c r="BI1023" s="25"/>
      <c r="BJ1023" s="25"/>
      <c r="BK1023" s="25"/>
      <c r="BL1023" s="25"/>
    </row>
    <row r="1024" spans="1:64" s="21" customFormat="1" ht="18.600000000000001" customHeight="1" x14ac:dyDescent="0.25">
      <c r="A1024" s="22"/>
      <c r="B1024" s="22"/>
      <c r="C1024" s="22"/>
      <c r="D1024" s="23"/>
      <c r="E1024" s="26"/>
      <c r="F1024" s="25"/>
      <c r="G1024" s="25"/>
      <c r="H1024" s="25"/>
      <c r="I1024" s="25"/>
      <c r="J1024" s="22"/>
      <c r="K1024" s="25"/>
      <c r="L1024" s="25"/>
      <c r="M1024" s="25"/>
      <c r="N1024" s="25"/>
      <c r="O1024" s="22"/>
      <c r="P1024" s="22"/>
      <c r="Q1024" s="22"/>
      <c r="R1024" s="22"/>
      <c r="S1024" s="25"/>
      <c r="T1024" s="25"/>
      <c r="U1024" s="25"/>
      <c r="V1024" s="25"/>
      <c r="W1024" s="25"/>
      <c r="X1024" s="25"/>
      <c r="Y1024" s="25"/>
      <c r="Z1024" s="22"/>
      <c r="AA1024" s="22"/>
      <c r="AB1024" s="22"/>
      <c r="AC1024" s="22"/>
      <c r="AD1024" s="22"/>
      <c r="AE1024" s="22"/>
      <c r="AF1024" s="25"/>
      <c r="AG1024" s="22"/>
      <c r="AH1024" s="22"/>
      <c r="AI1024" s="22"/>
      <c r="AJ1024" s="22"/>
      <c r="AK1024" s="22"/>
      <c r="AL1024" s="22"/>
      <c r="AM1024" s="22"/>
      <c r="AN1024" s="25"/>
      <c r="AO1024" s="22"/>
      <c r="AP1024" s="22"/>
      <c r="AQ1024" s="22"/>
      <c r="AR1024" s="22"/>
      <c r="AS1024" s="22"/>
      <c r="AT1024" s="22"/>
      <c r="AU1024" s="22"/>
      <c r="AV1024" s="25"/>
      <c r="AW1024" s="25"/>
      <c r="AX1024" s="25"/>
      <c r="AY1024" s="25"/>
      <c r="AZ1024" s="25"/>
      <c r="BA1024" s="25"/>
      <c r="BB1024" s="25"/>
      <c r="BC1024" s="25"/>
      <c r="BD1024" s="25"/>
      <c r="BE1024" s="25"/>
      <c r="BF1024" s="25"/>
      <c r="BG1024" s="25"/>
      <c r="BH1024" s="25"/>
      <c r="BI1024" s="25"/>
      <c r="BJ1024" s="25"/>
      <c r="BK1024" s="25"/>
      <c r="BL1024" s="25"/>
    </row>
    <row r="1025" spans="1:64" s="21" customFormat="1" ht="18.600000000000001" customHeight="1" x14ac:dyDescent="0.25">
      <c r="A1025" s="22"/>
      <c r="B1025" s="22"/>
      <c r="C1025" s="22"/>
      <c r="D1025" s="23"/>
      <c r="E1025" s="26"/>
      <c r="F1025" s="25"/>
      <c r="G1025" s="25"/>
      <c r="H1025" s="25"/>
      <c r="I1025" s="25"/>
      <c r="J1025" s="22"/>
      <c r="K1025" s="25"/>
      <c r="L1025" s="25"/>
      <c r="M1025" s="25"/>
      <c r="N1025" s="25"/>
      <c r="O1025" s="22"/>
      <c r="P1025" s="22"/>
      <c r="Q1025" s="22"/>
      <c r="R1025" s="22"/>
      <c r="S1025" s="25"/>
      <c r="T1025" s="25"/>
      <c r="U1025" s="25"/>
      <c r="V1025" s="25"/>
      <c r="W1025" s="25"/>
      <c r="X1025" s="25"/>
      <c r="Y1025" s="25"/>
      <c r="Z1025" s="22"/>
      <c r="AA1025" s="22"/>
      <c r="AB1025" s="22"/>
      <c r="AC1025" s="22"/>
      <c r="AD1025" s="22"/>
      <c r="AE1025" s="22"/>
      <c r="AF1025" s="25"/>
      <c r="AG1025" s="22"/>
      <c r="AH1025" s="22"/>
      <c r="AI1025" s="22"/>
      <c r="AJ1025" s="22"/>
      <c r="AK1025" s="22"/>
      <c r="AL1025" s="22"/>
      <c r="AM1025" s="22"/>
      <c r="AN1025" s="25"/>
      <c r="AO1025" s="22"/>
      <c r="AP1025" s="22"/>
      <c r="AQ1025" s="22"/>
      <c r="AR1025" s="22"/>
      <c r="AS1025" s="22"/>
      <c r="AT1025" s="22"/>
      <c r="AU1025" s="22"/>
      <c r="AV1025" s="25"/>
      <c r="AW1025" s="25"/>
      <c r="AX1025" s="25"/>
      <c r="AY1025" s="25"/>
      <c r="AZ1025" s="25"/>
      <c r="BA1025" s="25"/>
      <c r="BB1025" s="25"/>
      <c r="BC1025" s="25"/>
      <c r="BD1025" s="25"/>
      <c r="BE1025" s="25"/>
      <c r="BF1025" s="25"/>
      <c r="BG1025" s="25"/>
      <c r="BH1025" s="25"/>
      <c r="BI1025" s="25"/>
      <c r="BJ1025" s="25"/>
      <c r="BK1025" s="25"/>
      <c r="BL1025" s="25"/>
    </row>
    <row r="1026" spans="1:64" ht="18.600000000000001" customHeight="1" x14ac:dyDescent="0.25">
      <c r="A1026" s="22"/>
      <c r="B1026" s="22"/>
      <c r="C1026" s="22"/>
      <c r="D1026" s="8"/>
      <c r="F1026" s="4"/>
      <c r="G1026" s="4"/>
      <c r="H1026" s="4"/>
      <c r="I1026" s="4"/>
      <c r="J1026" s="22"/>
      <c r="K1026" s="25"/>
      <c r="L1026" s="25"/>
      <c r="M1026" s="25"/>
      <c r="N1026" s="25"/>
      <c r="O1026" s="22"/>
      <c r="P1026" s="22"/>
      <c r="Q1026" s="22"/>
      <c r="R1026" s="22"/>
      <c r="S1026" s="25"/>
      <c r="T1026" s="25"/>
      <c r="U1026" s="25"/>
      <c r="V1026" s="25"/>
      <c r="W1026" s="25"/>
      <c r="X1026" s="25"/>
      <c r="Y1026" s="25"/>
      <c r="Z1026" s="22"/>
      <c r="AA1026" s="22"/>
      <c r="AB1026" s="22"/>
      <c r="AC1026" s="22"/>
      <c r="AD1026" s="22"/>
      <c r="AE1026" s="22"/>
      <c r="AF1026" s="25"/>
      <c r="AG1026" s="22"/>
      <c r="AH1026" s="22"/>
      <c r="AI1026" s="22"/>
      <c r="AJ1026" s="22"/>
      <c r="AK1026" s="22"/>
      <c r="AL1026" s="22"/>
      <c r="AM1026" s="22"/>
      <c r="AN1026" s="25"/>
      <c r="AO1026" s="22"/>
      <c r="AP1026" s="22"/>
      <c r="AQ1026" s="22"/>
      <c r="AR1026" s="22"/>
      <c r="AS1026" s="22"/>
      <c r="AT1026" s="22"/>
      <c r="AU1026" s="22"/>
      <c r="AV1026" s="25"/>
      <c r="AW1026" s="25"/>
      <c r="AX1026" s="25"/>
      <c r="AY1026" s="25"/>
      <c r="AZ1026" s="25"/>
      <c r="BA1026" s="25"/>
      <c r="BB1026" s="25"/>
      <c r="BC1026" s="25"/>
      <c r="BD1026" s="25"/>
      <c r="BE1026" s="25"/>
      <c r="BF1026" s="25"/>
      <c r="BG1026" s="25"/>
      <c r="BH1026" s="25"/>
      <c r="BI1026" s="25"/>
      <c r="BJ1026" s="25"/>
      <c r="BK1026" s="25"/>
      <c r="BL1026" s="25"/>
    </row>
    <row r="1027" spans="1:64" ht="18.600000000000001" customHeight="1" x14ac:dyDescent="0.25">
      <c r="F1027" s="2"/>
      <c r="G1027" s="2"/>
      <c r="H1027" s="2"/>
      <c r="I1027" s="2"/>
      <c r="K1027" s="2"/>
      <c r="L1027" s="2"/>
      <c r="M1027" s="2"/>
      <c r="S1027" s="2"/>
      <c r="T1027" s="2"/>
      <c r="U1027" s="2"/>
      <c r="V1027" s="2"/>
      <c r="W1027" s="2"/>
      <c r="X1027" s="2"/>
      <c r="Y1027" s="2"/>
      <c r="AF1027" s="2"/>
    </row>
    <row r="1028" spans="1:64" ht="18.600000000000001" customHeight="1" x14ac:dyDescent="0.25">
      <c r="F1028" s="2"/>
      <c r="G1028" s="2"/>
      <c r="H1028" s="2"/>
      <c r="I1028" s="2"/>
      <c r="K1028" s="2"/>
      <c r="L1028" s="2"/>
      <c r="M1028" s="2"/>
      <c r="S1028" s="2"/>
      <c r="T1028" s="2"/>
      <c r="U1028" s="2"/>
      <c r="V1028" s="2"/>
      <c r="W1028" s="2"/>
      <c r="X1028" s="2"/>
      <c r="Y1028" s="2"/>
      <c r="AF1028" s="2"/>
    </row>
    <row r="1029" spans="1:64" ht="18.600000000000001" customHeight="1" x14ac:dyDescent="0.25">
      <c r="F1029" s="2"/>
      <c r="G1029" s="2"/>
      <c r="H1029" s="2"/>
      <c r="I1029" s="2"/>
      <c r="K1029" s="2"/>
      <c r="L1029" s="2"/>
      <c r="M1029" s="2"/>
      <c r="S1029" s="2"/>
      <c r="T1029" s="2"/>
      <c r="U1029" s="2"/>
      <c r="V1029" s="2"/>
      <c r="W1029" s="2"/>
      <c r="X1029" s="2"/>
      <c r="Y1029" s="2"/>
      <c r="AF1029" s="2"/>
    </row>
    <row r="1030" spans="1:64" ht="18.600000000000001" customHeight="1" x14ac:dyDescent="0.25">
      <c r="F1030" s="2"/>
      <c r="G1030" s="2"/>
      <c r="H1030" s="2"/>
      <c r="I1030" s="2"/>
      <c r="K1030" s="2"/>
      <c r="L1030" s="2"/>
      <c r="M1030" s="2"/>
      <c r="N1030" s="2"/>
      <c r="S1030" s="2"/>
      <c r="T1030" s="2"/>
      <c r="U1030" s="2"/>
      <c r="V1030" s="2"/>
      <c r="W1030" s="2"/>
      <c r="X1030" s="2"/>
      <c r="Y1030" s="2"/>
      <c r="AF1030" s="2"/>
    </row>
    <row r="1032" spans="1:64" ht="18.600000000000001" customHeight="1" x14ac:dyDescent="0.25">
      <c r="AN1032" s="5"/>
      <c r="AO1032" s="17"/>
      <c r="AP1032" s="17"/>
      <c r="AQ1032" s="17"/>
      <c r="AR1032" s="17"/>
      <c r="AS1032" s="17"/>
      <c r="AT1032" s="17"/>
      <c r="AU1032" s="17"/>
    </row>
    <row r="1033" spans="1:64" ht="18.600000000000001" customHeight="1" x14ac:dyDescent="0.25">
      <c r="AN1033" s="5"/>
      <c r="AO1033" s="17"/>
      <c r="AP1033" s="17"/>
      <c r="AQ1033" s="17"/>
      <c r="AR1033" s="17"/>
      <c r="AS1033" s="17"/>
      <c r="AT1033" s="17"/>
      <c r="AU1033" s="17"/>
    </row>
    <row r="1034" spans="1:64" ht="18.600000000000001" customHeight="1" x14ac:dyDescent="0.25">
      <c r="AN1034" s="5"/>
      <c r="AO1034" s="17"/>
      <c r="AP1034" s="17"/>
      <c r="AQ1034" s="17"/>
      <c r="AR1034" s="17"/>
      <c r="AS1034" s="17"/>
      <c r="AT1034" s="17"/>
      <c r="AU1034" s="17"/>
    </row>
    <row r="1035" spans="1:64" ht="18.600000000000001" customHeight="1" x14ac:dyDescent="0.25">
      <c r="AN1035" s="5"/>
      <c r="AO1035" s="17"/>
      <c r="AP1035" s="17"/>
      <c r="AQ1035" s="17"/>
      <c r="AR1035" s="17"/>
      <c r="AS1035" s="17"/>
      <c r="AT1035" s="17"/>
      <c r="AU1035" s="17"/>
    </row>
    <row r="1036" spans="1:64" ht="18.600000000000001" customHeight="1" x14ac:dyDescent="0.25">
      <c r="AN1036" s="5"/>
      <c r="AO1036" s="17"/>
      <c r="AP1036" s="17"/>
      <c r="AQ1036" s="17"/>
      <c r="AR1036" s="17"/>
      <c r="AS1036" s="17"/>
      <c r="AT1036" s="17"/>
      <c r="AU1036" s="17"/>
    </row>
    <row r="1037" spans="1:64" ht="18.600000000000001" customHeight="1" x14ac:dyDescent="0.25">
      <c r="AN1037" s="5"/>
      <c r="AO1037" s="17"/>
      <c r="AP1037" s="17"/>
      <c r="AQ1037" s="17"/>
      <c r="AR1037" s="17"/>
      <c r="AS1037" s="17"/>
      <c r="AT1037" s="17"/>
      <c r="AU1037" s="17"/>
    </row>
    <row r="1038" spans="1:64" ht="18.600000000000001" customHeight="1" x14ac:dyDescent="0.25">
      <c r="AN1038" s="5"/>
      <c r="AO1038" s="17"/>
      <c r="AP1038" s="17"/>
      <c r="AQ1038" s="17"/>
      <c r="AR1038" s="17"/>
      <c r="AS1038" s="17"/>
      <c r="AT1038" s="17"/>
      <c r="AU1038" s="17"/>
    </row>
    <row r="1039" spans="1:64" ht="18.600000000000001" customHeight="1" x14ac:dyDescent="0.25">
      <c r="D1039" s="9"/>
      <c r="E1039" s="5"/>
      <c r="F1039" s="5"/>
      <c r="G1039" s="5"/>
      <c r="H1039" s="5"/>
      <c r="I1039" s="5"/>
      <c r="K1039" s="3"/>
      <c r="L1039" s="3"/>
      <c r="M1039" s="3"/>
      <c r="N1039" s="5"/>
      <c r="S1039" s="3"/>
      <c r="T1039" s="3"/>
      <c r="U1039" s="3"/>
      <c r="V1039" s="3"/>
      <c r="W1039" s="3"/>
      <c r="X1039" s="3"/>
      <c r="Y1039" s="3"/>
      <c r="AF1039" s="3"/>
      <c r="AN1039" s="3"/>
      <c r="AO1039" s="82"/>
      <c r="AP1039" s="82"/>
      <c r="AQ1039" s="82"/>
      <c r="AR1039" s="82"/>
      <c r="AS1039" s="82"/>
      <c r="AT1039" s="82"/>
      <c r="AU1039" s="82"/>
    </row>
    <row r="1041" spans="4:47" ht="18.600000000000001" customHeight="1" x14ac:dyDescent="0.25">
      <c r="D1041" s="9"/>
      <c r="E1041" s="5"/>
      <c r="F1041" s="5"/>
      <c r="G1041" s="5"/>
      <c r="H1041" s="5"/>
      <c r="I1041" s="5"/>
      <c r="K1041" s="3"/>
      <c r="L1041" s="3"/>
      <c r="M1041" s="3"/>
      <c r="N1041" s="5"/>
      <c r="S1041" s="3"/>
      <c r="T1041" s="3"/>
      <c r="U1041" s="3"/>
      <c r="V1041" s="3"/>
      <c r="W1041" s="3"/>
      <c r="X1041" s="3"/>
      <c r="Y1041" s="3"/>
      <c r="AF1041" s="3"/>
      <c r="AN1041" s="3"/>
      <c r="AO1041" s="82"/>
      <c r="AP1041" s="82"/>
      <c r="AQ1041" s="82"/>
      <c r="AR1041" s="82"/>
      <c r="AS1041" s="82"/>
      <c r="AT1041" s="82"/>
      <c r="AU1041" s="82"/>
    </row>
    <row r="1042" spans="4:47" ht="18.600000000000001" customHeight="1" x14ac:dyDescent="0.25">
      <c r="D1042" s="9"/>
      <c r="E1042" s="5"/>
      <c r="F1042" s="5"/>
      <c r="G1042" s="5"/>
      <c r="H1042" s="5"/>
      <c r="I1042" s="5"/>
      <c r="K1042" s="3"/>
      <c r="L1042" s="3"/>
      <c r="M1042" s="3"/>
      <c r="N1042" s="5"/>
      <c r="S1042" s="3"/>
      <c r="T1042" s="3"/>
      <c r="U1042" s="3"/>
      <c r="V1042" s="3"/>
      <c r="W1042" s="3"/>
      <c r="X1042" s="3"/>
      <c r="Y1042" s="3"/>
      <c r="AF1042" s="3"/>
      <c r="AN1042" s="3"/>
      <c r="AO1042" s="82"/>
      <c r="AP1042" s="82"/>
      <c r="AQ1042" s="82"/>
      <c r="AR1042" s="82"/>
      <c r="AS1042" s="82"/>
      <c r="AT1042" s="82"/>
      <c r="AU1042" s="82"/>
    </row>
    <row r="1043" spans="4:47" ht="18.600000000000001" customHeight="1" x14ac:dyDescent="0.25">
      <c r="D1043" s="9"/>
      <c r="E1043" s="5"/>
      <c r="F1043" s="5"/>
      <c r="G1043" s="5"/>
      <c r="H1043" s="5"/>
      <c r="I1043" s="5"/>
      <c r="K1043" s="3"/>
      <c r="L1043" s="3"/>
      <c r="M1043" s="3"/>
      <c r="N1043" s="5"/>
      <c r="S1043" s="3"/>
      <c r="T1043" s="3"/>
      <c r="U1043" s="3"/>
      <c r="V1043" s="3"/>
      <c r="W1043" s="3"/>
      <c r="X1043" s="3"/>
      <c r="Y1043" s="3"/>
      <c r="AF1043" s="3"/>
      <c r="AN1043" s="3"/>
      <c r="AO1043" s="82"/>
      <c r="AP1043" s="82"/>
      <c r="AQ1043" s="82"/>
      <c r="AR1043" s="82"/>
      <c r="AS1043" s="82"/>
      <c r="AT1043" s="82"/>
      <c r="AU1043" s="82"/>
    </row>
    <row r="1044" spans="4:47" ht="18.600000000000001" customHeight="1" x14ac:dyDescent="0.25">
      <c r="D1044" s="9"/>
      <c r="E1044" s="5"/>
      <c r="F1044" s="5"/>
      <c r="G1044" s="5"/>
      <c r="H1044" s="5"/>
      <c r="I1044" s="5"/>
      <c r="K1044" s="3"/>
      <c r="L1044" s="3"/>
      <c r="M1044" s="3"/>
      <c r="N1044" s="5"/>
      <c r="S1044" s="3"/>
      <c r="T1044" s="3"/>
      <c r="U1044" s="3"/>
      <c r="V1044" s="3"/>
      <c r="W1044" s="3"/>
      <c r="X1044" s="3"/>
      <c r="Y1044" s="3"/>
      <c r="AF1044" s="3"/>
      <c r="AN1044" s="3"/>
      <c r="AO1044" s="82"/>
      <c r="AP1044" s="82"/>
      <c r="AQ1044" s="82"/>
      <c r="AR1044" s="82"/>
      <c r="AS1044" s="82"/>
      <c r="AT1044" s="82"/>
      <c r="AU1044" s="82"/>
    </row>
    <row r="1045" spans="4:47" ht="18.600000000000001" customHeight="1" x14ac:dyDescent="0.25">
      <c r="D1045" s="9"/>
      <c r="E1045" s="5"/>
      <c r="F1045" s="5"/>
      <c r="G1045" s="5"/>
      <c r="H1045" s="5"/>
      <c r="I1045" s="5"/>
      <c r="K1045" s="3"/>
      <c r="L1045" s="3"/>
      <c r="M1045" s="3"/>
      <c r="N1045" s="5"/>
      <c r="S1045" s="3"/>
      <c r="T1045" s="3"/>
      <c r="U1045" s="3"/>
      <c r="V1045" s="3"/>
      <c r="W1045" s="3"/>
      <c r="X1045" s="3"/>
      <c r="Y1045" s="3"/>
      <c r="AF1045" s="3"/>
      <c r="AN1045" s="3"/>
      <c r="AO1045" s="82"/>
      <c r="AP1045" s="82"/>
      <c r="AQ1045" s="82"/>
      <c r="AR1045" s="82"/>
      <c r="AS1045" s="82"/>
      <c r="AT1045" s="82"/>
      <c r="AU1045" s="82"/>
    </row>
    <row r="1046" spans="4:47" ht="18.600000000000001" customHeight="1" x14ac:dyDescent="0.25">
      <c r="D1046" s="9"/>
      <c r="E1046" s="5"/>
      <c r="F1046" s="5"/>
      <c r="G1046" s="5"/>
      <c r="H1046" s="5"/>
      <c r="I1046" s="5"/>
      <c r="K1046" s="3"/>
      <c r="L1046" s="3"/>
      <c r="M1046" s="3"/>
      <c r="N1046" s="5"/>
      <c r="S1046" s="3"/>
      <c r="T1046" s="3"/>
      <c r="U1046" s="3"/>
      <c r="V1046" s="3"/>
      <c r="W1046" s="3"/>
      <c r="X1046" s="3"/>
      <c r="Y1046" s="3"/>
      <c r="AF1046" s="3"/>
      <c r="AN1046" s="3"/>
      <c r="AO1046" s="82"/>
      <c r="AP1046" s="82"/>
      <c r="AQ1046" s="82"/>
      <c r="AR1046" s="82"/>
      <c r="AS1046" s="82"/>
      <c r="AT1046" s="82"/>
      <c r="AU1046" s="82"/>
    </row>
    <row r="1047" spans="4:47" ht="18.600000000000001" customHeight="1" x14ac:dyDescent="0.25">
      <c r="D1047" s="9"/>
      <c r="E1047" s="5"/>
      <c r="F1047" s="5"/>
      <c r="G1047" s="5"/>
      <c r="H1047" s="5"/>
      <c r="I1047" s="5"/>
      <c r="K1047" s="3"/>
      <c r="L1047" s="3"/>
      <c r="M1047" s="3"/>
      <c r="N1047" s="5"/>
      <c r="S1047" s="3"/>
      <c r="T1047" s="3"/>
      <c r="U1047" s="3"/>
      <c r="V1047" s="3"/>
      <c r="W1047" s="3"/>
      <c r="X1047" s="3"/>
      <c r="Y1047" s="3"/>
      <c r="AF1047" s="3"/>
      <c r="AN1047" s="3"/>
      <c r="AO1047" s="82"/>
      <c r="AP1047" s="82"/>
      <c r="AQ1047" s="82"/>
      <c r="AR1047" s="82"/>
      <c r="AS1047" s="82"/>
      <c r="AT1047" s="82"/>
      <c r="AU1047" s="82"/>
    </row>
    <row r="1048" spans="4:47" ht="18.600000000000001" customHeight="1" x14ac:dyDescent="0.25">
      <c r="D1048" s="9"/>
      <c r="E1048" s="5"/>
      <c r="F1048" s="5"/>
      <c r="G1048" s="5"/>
      <c r="H1048" s="5"/>
      <c r="I1048" s="5"/>
      <c r="K1048" s="3"/>
      <c r="L1048" s="3"/>
      <c r="M1048" s="3"/>
      <c r="N1048" s="5"/>
      <c r="S1048" s="3"/>
      <c r="T1048" s="3"/>
      <c r="U1048" s="3"/>
      <c r="V1048" s="3"/>
      <c r="W1048" s="3"/>
      <c r="X1048" s="3"/>
      <c r="Y1048" s="3"/>
      <c r="AF1048" s="3"/>
      <c r="AN1048" s="3"/>
      <c r="AO1048" s="82"/>
      <c r="AP1048" s="82"/>
      <c r="AQ1048" s="82"/>
      <c r="AR1048" s="82"/>
      <c r="AS1048" s="82"/>
      <c r="AT1048" s="82"/>
      <c r="AU1048" s="82"/>
    </row>
    <row r="1049" spans="4:47" ht="18.600000000000001" customHeight="1" x14ac:dyDescent="0.25">
      <c r="D1049" s="9"/>
      <c r="E1049" s="5"/>
      <c r="F1049" s="5"/>
      <c r="G1049" s="5"/>
      <c r="H1049" s="5"/>
      <c r="I1049" s="5"/>
      <c r="K1049" s="3"/>
      <c r="L1049" s="3"/>
      <c r="M1049" s="3"/>
      <c r="N1049" s="5"/>
      <c r="S1049" s="3"/>
      <c r="T1049" s="3"/>
      <c r="U1049" s="3"/>
      <c r="V1049" s="3"/>
      <c r="W1049" s="3"/>
      <c r="X1049" s="3"/>
      <c r="Y1049" s="3"/>
      <c r="AF1049" s="3"/>
      <c r="AN1049" s="3"/>
      <c r="AO1049" s="82"/>
      <c r="AP1049" s="82"/>
      <c r="AQ1049" s="82"/>
      <c r="AR1049" s="82"/>
      <c r="AS1049" s="82"/>
      <c r="AT1049" s="82"/>
      <c r="AU1049" s="82"/>
    </row>
    <row r="1050" spans="4:47" ht="18.600000000000001" customHeight="1" x14ac:dyDescent="0.25">
      <c r="D1050" s="9"/>
      <c r="E1050" s="5"/>
      <c r="F1050" s="5"/>
      <c r="G1050" s="5"/>
      <c r="H1050" s="5"/>
      <c r="I1050" s="5"/>
      <c r="K1050" s="3"/>
      <c r="L1050" s="3"/>
      <c r="M1050" s="3"/>
      <c r="N1050" s="5"/>
      <c r="S1050" s="3"/>
      <c r="T1050" s="3"/>
      <c r="U1050" s="3"/>
      <c r="V1050" s="3"/>
      <c r="W1050" s="3"/>
      <c r="X1050" s="3"/>
      <c r="Y1050" s="3"/>
      <c r="AF1050" s="3"/>
      <c r="AN1050" s="3"/>
      <c r="AO1050" s="82"/>
      <c r="AP1050" s="82"/>
      <c r="AQ1050" s="82"/>
      <c r="AR1050" s="82"/>
      <c r="AS1050" s="82"/>
      <c r="AT1050" s="82"/>
      <c r="AU1050" s="82"/>
    </row>
    <row r="1051" spans="4:47" ht="18.600000000000001" customHeight="1" x14ac:dyDescent="0.25">
      <c r="D1051" s="9"/>
      <c r="E1051" s="5"/>
      <c r="F1051" s="5"/>
      <c r="G1051" s="5"/>
      <c r="H1051" s="5"/>
      <c r="I1051" s="5"/>
      <c r="K1051" s="3"/>
      <c r="L1051" s="3"/>
      <c r="M1051" s="3"/>
      <c r="N1051" s="5"/>
      <c r="S1051" s="3"/>
      <c r="T1051" s="3"/>
      <c r="U1051" s="3"/>
      <c r="V1051" s="3"/>
      <c r="W1051" s="3"/>
      <c r="X1051" s="3"/>
      <c r="Y1051" s="3"/>
      <c r="AF1051" s="3"/>
      <c r="AN1051" s="3"/>
      <c r="AO1051" s="82"/>
      <c r="AP1051" s="82"/>
      <c r="AQ1051" s="82"/>
      <c r="AR1051" s="82"/>
      <c r="AS1051" s="82"/>
      <c r="AT1051" s="82"/>
      <c r="AU1051" s="82"/>
    </row>
    <row r="1052" spans="4:47" ht="18.600000000000001" customHeight="1" x14ac:dyDescent="0.25">
      <c r="D1052" s="9"/>
      <c r="E1052" s="5"/>
      <c r="F1052" s="5"/>
      <c r="G1052" s="5"/>
      <c r="H1052" s="5"/>
      <c r="I1052" s="5"/>
      <c r="K1052" s="3"/>
      <c r="L1052" s="3"/>
      <c r="M1052" s="3"/>
      <c r="N1052" s="5"/>
      <c r="S1052" s="3"/>
      <c r="T1052" s="3"/>
      <c r="U1052" s="3"/>
      <c r="V1052" s="3"/>
      <c r="W1052" s="3"/>
      <c r="X1052" s="3"/>
      <c r="Y1052" s="3"/>
      <c r="AF1052" s="3"/>
      <c r="AN1052" s="3"/>
      <c r="AO1052" s="82"/>
      <c r="AP1052" s="82"/>
      <c r="AQ1052" s="82"/>
      <c r="AR1052" s="82"/>
      <c r="AS1052" s="82"/>
      <c r="AT1052" s="82"/>
      <c r="AU1052" s="82"/>
    </row>
    <row r="1053" spans="4:47" ht="18.600000000000001" customHeight="1" x14ac:dyDescent="0.25">
      <c r="D1053" s="9"/>
      <c r="E1053" s="5"/>
      <c r="F1053" s="5"/>
      <c r="G1053" s="5"/>
      <c r="H1053" s="5"/>
      <c r="I1053" s="5"/>
      <c r="K1053" s="3"/>
      <c r="L1053" s="3"/>
      <c r="M1053" s="3"/>
      <c r="N1053" s="5"/>
      <c r="S1053" s="3"/>
      <c r="T1053" s="3"/>
      <c r="U1053" s="3"/>
      <c r="V1053" s="3"/>
      <c r="W1053" s="3"/>
      <c r="X1053" s="3"/>
      <c r="Y1053" s="3"/>
      <c r="AF1053" s="3"/>
      <c r="AN1053" s="3"/>
      <c r="AO1053" s="82"/>
      <c r="AP1053" s="82"/>
      <c r="AQ1053" s="82"/>
      <c r="AR1053" s="82"/>
      <c r="AS1053" s="82"/>
      <c r="AT1053" s="82"/>
      <c r="AU1053" s="82"/>
    </row>
    <row r="1054" spans="4:47" ht="18.600000000000001" customHeight="1" x14ac:dyDescent="0.25">
      <c r="D1054" s="9"/>
      <c r="E1054" s="5"/>
      <c r="F1054" s="5"/>
      <c r="G1054" s="5"/>
      <c r="H1054" s="5"/>
      <c r="I1054" s="5"/>
      <c r="K1054" s="3"/>
      <c r="L1054" s="3"/>
      <c r="M1054" s="3"/>
      <c r="N1054" s="5"/>
      <c r="S1054" s="3"/>
      <c r="T1054" s="3"/>
      <c r="U1054" s="3"/>
      <c r="V1054" s="3"/>
      <c r="W1054" s="3"/>
      <c r="X1054" s="3"/>
      <c r="Y1054" s="3"/>
      <c r="AF1054" s="3"/>
      <c r="AN1054" s="3"/>
      <c r="AO1054" s="82"/>
      <c r="AP1054" s="82"/>
      <c r="AQ1054" s="82"/>
      <c r="AR1054" s="82"/>
      <c r="AS1054" s="82"/>
      <c r="AT1054" s="82"/>
      <c r="AU1054" s="82"/>
    </row>
    <row r="1055" spans="4:47" ht="18.600000000000001" customHeight="1" x14ac:dyDescent="0.25">
      <c r="D1055" s="9"/>
      <c r="E1055" s="5"/>
      <c r="F1055" s="5"/>
      <c r="G1055" s="5"/>
      <c r="H1055" s="5"/>
      <c r="I1055" s="5"/>
      <c r="K1055" s="3"/>
      <c r="L1055" s="3"/>
      <c r="M1055" s="3"/>
      <c r="N1055" s="5"/>
      <c r="S1055" s="3"/>
      <c r="T1055" s="3"/>
      <c r="U1055" s="3"/>
      <c r="V1055" s="3"/>
      <c r="W1055" s="3"/>
      <c r="X1055" s="3"/>
      <c r="Y1055" s="3"/>
      <c r="AF1055" s="3"/>
      <c r="AN1055" s="3"/>
      <c r="AO1055" s="82"/>
      <c r="AP1055" s="82"/>
      <c r="AQ1055" s="82"/>
      <c r="AR1055" s="82"/>
      <c r="AS1055" s="82"/>
      <c r="AT1055" s="82"/>
      <c r="AU1055" s="82"/>
    </row>
    <row r="1056" spans="4:47" ht="18.600000000000001" customHeight="1" x14ac:dyDescent="0.25">
      <c r="D1056" s="9"/>
      <c r="E1056" s="5"/>
      <c r="F1056" s="5"/>
      <c r="G1056" s="5"/>
      <c r="H1056" s="5"/>
      <c r="I1056" s="5"/>
      <c r="K1056" s="3"/>
      <c r="L1056" s="3"/>
      <c r="M1056" s="3"/>
      <c r="N1056" s="5"/>
      <c r="S1056" s="3"/>
      <c r="T1056" s="3"/>
      <c r="U1056" s="3"/>
      <c r="V1056" s="3"/>
      <c r="W1056" s="3"/>
      <c r="X1056" s="3"/>
      <c r="Y1056" s="3"/>
      <c r="AF1056" s="3"/>
      <c r="AN1056" s="3"/>
      <c r="AO1056" s="82"/>
      <c r="AP1056" s="82"/>
      <c r="AQ1056" s="82"/>
      <c r="AR1056" s="82"/>
      <c r="AS1056" s="82"/>
      <c r="AT1056" s="82"/>
      <c r="AU1056" s="82"/>
    </row>
    <row r="1057" spans="4:47" ht="18.600000000000001" customHeight="1" x14ac:dyDescent="0.25">
      <c r="D1057" s="9"/>
      <c r="E1057" s="5"/>
      <c r="F1057" s="5"/>
      <c r="G1057" s="5"/>
      <c r="H1057" s="5"/>
      <c r="I1057" s="5"/>
      <c r="K1057" s="3"/>
      <c r="L1057" s="3"/>
      <c r="M1057" s="3"/>
      <c r="N1057" s="5"/>
      <c r="S1057" s="3"/>
      <c r="T1057" s="3"/>
      <c r="U1057" s="3"/>
      <c r="V1057" s="3"/>
      <c r="W1057" s="3"/>
      <c r="X1057" s="3"/>
      <c r="Y1057" s="3"/>
      <c r="AF1057" s="3"/>
      <c r="AN1057" s="3"/>
      <c r="AO1057" s="82"/>
      <c r="AP1057" s="82"/>
      <c r="AQ1057" s="82"/>
      <c r="AR1057" s="82"/>
      <c r="AS1057" s="82"/>
      <c r="AT1057" s="82"/>
      <c r="AU1057" s="82"/>
    </row>
    <row r="1058" spans="4:47" ht="18.600000000000001" customHeight="1" x14ac:dyDescent="0.25">
      <c r="D1058" s="9"/>
      <c r="E1058" s="5"/>
      <c r="F1058" s="5"/>
      <c r="G1058" s="5"/>
      <c r="H1058" s="5"/>
      <c r="I1058" s="5"/>
      <c r="K1058" s="3"/>
      <c r="L1058" s="3"/>
      <c r="M1058" s="3"/>
      <c r="N1058" s="5"/>
      <c r="S1058" s="3"/>
      <c r="T1058" s="3"/>
      <c r="U1058" s="3"/>
      <c r="V1058" s="3"/>
      <c r="W1058" s="3"/>
      <c r="X1058" s="3"/>
      <c r="Y1058" s="3"/>
      <c r="AF1058" s="3"/>
      <c r="AN1058" s="3"/>
      <c r="AO1058" s="82"/>
      <c r="AP1058" s="82"/>
      <c r="AQ1058" s="82"/>
      <c r="AR1058" s="82"/>
      <c r="AS1058" s="82"/>
      <c r="AT1058" s="82"/>
      <c r="AU1058" s="82"/>
    </row>
    <row r="1059" spans="4:47" ht="18.600000000000001" customHeight="1" x14ac:dyDescent="0.25">
      <c r="D1059" s="9"/>
      <c r="E1059" s="5"/>
      <c r="F1059" s="5"/>
      <c r="G1059" s="5"/>
      <c r="H1059" s="5"/>
      <c r="I1059" s="5"/>
      <c r="K1059" s="3"/>
      <c r="L1059" s="3"/>
      <c r="M1059" s="3"/>
      <c r="N1059" s="5"/>
      <c r="S1059" s="3"/>
      <c r="T1059" s="3"/>
      <c r="U1059" s="3"/>
      <c r="V1059" s="3"/>
      <c r="W1059" s="3"/>
      <c r="X1059" s="3"/>
      <c r="Y1059" s="3"/>
      <c r="AF1059" s="3"/>
      <c r="AN1059" s="3"/>
      <c r="AO1059" s="82"/>
      <c r="AP1059" s="82"/>
      <c r="AQ1059" s="82"/>
      <c r="AR1059" s="82"/>
      <c r="AS1059" s="82"/>
      <c r="AT1059" s="82"/>
      <c r="AU1059" s="82"/>
    </row>
    <row r="1060" spans="4:47" ht="18.600000000000001" customHeight="1" x14ac:dyDescent="0.25">
      <c r="D1060" s="9"/>
      <c r="E1060" s="5"/>
      <c r="F1060" s="5"/>
      <c r="G1060" s="5"/>
      <c r="H1060" s="5"/>
      <c r="I1060" s="5"/>
      <c r="K1060" s="3"/>
      <c r="L1060" s="3"/>
      <c r="M1060" s="3"/>
      <c r="N1060" s="5"/>
      <c r="S1060" s="3"/>
      <c r="T1060" s="3"/>
      <c r="U1060" s="3"/>
      <c r="V1060" s="3"/>
      <c r="W1060" s="3"/>
      <c r="X1060" s="3"/>
      <c r="Y1060" s="3"/>
      <c r="AF1060" s="3"/>
      <c r="AN1060" s="3"/>
      <c r="AO1060" s="82"/>
      <c r="AP1060" s="82"/>
      <c r="AQ1060" s="82"/>
      <c r="AR1060" s="82"/>
      <c r="AS1060" s="82"/>
      <c r="AT1060" s="82"/>
      <c r="AU1060" s="82"/>
    </row>
    <row r="1061" spans="4:47" ht="18.600000000000001" customHeight="1" x14ac:dyDescent="0.25">
      <c r="D1061" s="9"/>
      <c r="E1061" s="5"/>
      <c r="F1061" s="5"/>
      <c r="G1061" s="5"/>
      <c r="H1061" s="5"/>
      <c r="I1061" s="5"/>
      <c r="K1061" s="3"/>
      <c r="L1061" s="3"/>
      <c r="M1061" s="3"/>
      <c r="N1061" s="5"/>
      <c r="S1061" s="3"/>
      <c r="T1061" s="3"/>
      <c r="U1061" s="3"/>
      <c r="V1061" s="3"/>
      <c r="W1061" s="3"/>
      <c r="X1061" s="3"/>
      <c r="Y1061" s="3"/>
      <c r="AF1061" s="3"/>
      <c r="AN1061" s="3"/>
      <c r="AO1061" s="82"/>
      <c r="AP1061" s="82"/>
      <c r="AQ1061" s="82"/>
      <c r="AR1061" s="82"/>
      <c r="AS1061" s="82"/>
      <c r="AT1061" s="82"/>
      <c r="AU1061" s="82"/>
    </row>
    <row r="1062" spans="4:47" ht="18.600000000000001" customHeight="1" x14ac:dyDescent="0.25">
      <c r="D1062" s="9"/>
      <c r="E1062" s="5"/>
      <c r="F1062" s="5"/>
      <c r="G1062" s="5"/>
      <c r="H1062" s="5"/>
      <c r="I1062" s="5"/>
      <c r="K1062" s="3"/>
      <c r="L1062" s="3"/>
      <c r="M1062" s="3"/>
      <c r="N1062" s="5"/>
      <c r="S1062" s="3"/>
      <c r="T1062" s="3"/>
      <c r="U1062" s="3"/>
      <c r="V1062" s="3"/>
      <c r="W1062" s="3"/>
      <c r="X1062" s="3"/>
      <c r="Y1062" s="3"/>
      <c r="AF1062" s="3"/>
      <c r="AN1062" s="3"/>
      <c r="AO1062" s="82"/>
      <c r="AP1062" s="82"/>
      <c r="AQ1062" s="82"/>
      <c r="AR1062" s="82"/>
      <c r="AS1062" s="82"/>
      <c r="AT1062" s="82"/>
      <c r="AU1062" s="82"/>
    </row>
    <row r="1063" spans="4:47" ht="18.600000000000001" customHeight="1" x14ac:dyDescent="0.25">
      <c r="D1063" s="9"/>
      <c r="E1063" s="5"/>
      <c r="F1063" s="5"/>
      <c r="G1063" s="5"/>
      <c r="H1063" s="5"/>
      <c r="I1063" s="5"/>
      <c r="K1063" s="3"/>
      <c r="L1063" s="3"/>
      <c r="M1063" s="3"/>
      <c r="N1063" s="5"/>
      <c r="S1063" s="3"/>
      <c r="T1063" s="3"/>
      <c r="U1063" s="3"/>
      <c r="V1063" s="3"/>
      <c r="W1063" s="3"/>
      <c r="X1063" s="3"/>
      <c r="Y1063" s="3"/>
      <c r="AF1063" s="3"/>
      <c r="AN1063" s="3"/>
      <c r="AO1063" s="82"/>
      <c r="AP1063" s="82"/>
      <c r="AQ1063" s="82"/>
      <c r="AR1063" s="82"/>
      <c r="AS1063" s="82"/>
      <c r="AT1063" s="82"/>
      <c r="AU1063" s="82"/>
    </row>
    <row r="1064" spans="4:47" ht="18.600000000000001" customHeight="1" x14ac:dyDescent="0.25">
      <c r="D1064" s="9"/>
      <c r="E1064" s="5"/>
      <c r="F1064" s="5"/>
      <c r="G1064" s="5"/>
      <c r="H1064" s="5"/>
      <c r="I1064" s="5"/>
      <c r="K1064" s="3"/>
      <c r="L1064" s="3"/>
      <c r="M1064" s="3"/>
      <c r="N1064" s="5"/>
      <c r="S1064" s="3"/>
      <c r="T1064" s="3"/>
      <c r="U1064" s="3"/>
      <c r="V1064" s="3"/>
      <c r="W1064" s="3"/>
      <c r="X1064" s="3"/>
      <c r="Y1064" s="3"/>
      <c r="AF1064" s="3"/>
      <c r="AN1064" s="3"/>
      <c r="AO1064" s="82"/>
      <c r="AP1064" s="82"/>
      <c r="AQ1064" s="82"/>
      <c r="AR1064" s="82"/>
      <c r="AS1064" s="82"/>
      <c r="AT1064" s="82"/>
      <c r="AU1064" s="82"/>
    </row>
    <row r="1065" spans="4:47" ht="18.600000000000001" customHeight="1" x14ac:dyDescent="0.25">
      <c r="D1065" s="9"/>
      <c r="E1065" s="5"/>
      <c r="F1065" s="5"/>
      <c r="G1065" s="5"/>
      <c r="H1065" s="5"/>
      <c r="I1065" s="5"/>
      <c r="K1065" s="3"/>
      <c r="L1065" s="3"/>
      <c r="M1065" s="3"/>
      <c r="N1065" s="5"/>
      <c r="S1065" s="3"/>
      <c r="T1065" s="3"/>
      <c r="U1065" s="3"/>
      <c r="V1065" s="3"/>
      <c r="W1065" s="3"/>
      <c r="X1065" s="3"/>
      <c r="Y1065" s="3"/>
      <c r="AF1065" s="3"/>
      <c r="AN1065" s="3"/>
      <c r="AO1065" s="82"/>
      <c r="AP1065" s="82"/>
      <c r="AQ1065" s="82"/>
      <c r="AR1065" s="82"/>
      <c r="AS1065" s="82"/>
      <c r="AT1065" s="82"/>
      <c r="AU1065" s="82"/>
    </row>
    <row r="1066" spans="4:47" ht="18.600000000000001" customHeight="1" x14ac:dyDescent="0.25">
      <c r="D1066" s="9"/>
      <c r="E1066" s="5"/>
      <c r="F1066" s="5"/>
      <c r="G1066" s="5"/>
      <c r="H1066" s="5"/>
      <c r="I1066" s="5"/>
      <c r="K1066" s="3"/>
      <c r="L1066" s="3"/>
      <c r="M1066" s="3"/>
      <c r="N1066" s="5"/>
      <c r="S1066" s="3"/>
      <c r="T1066" s="3"/>
      <c r="U1066" s="3"/>
      <c r="V1066" s="3"/>
      <c r="W1066" s="3"/>
      <c r="X1066" s="3"/>
      <c r="Y1066" s="3"/>
      <c r="AF1066" s="3"/>
      <c r="AN1066" s="3"/>
      <c r="AO1066" s="82"/>
      <c r="AP1066" s="82"/>
      <c r="AQ1066" s="82"/>
      <c r="AR1066" s="82"/>
      <c r="AS1066" s="82"/>
      <c r="AT1066" s="82"/>
      <c r="AU1066" s="82"/>
    </row>
    <row r="1067" spans="4:47" ht="18.600000000000001" customHeight="1" x14ac:dyDescent="0.25">
      <c r="D1067" s="9"/>
      <c r="E1067" s="5"/>
      <c r="F1067" s="5"/>
      <c r="G1067" s="5"/>
      <c r="H1067" s="5"/>
      <c r="I1067" s="5"/>
      <c r="K1067" s="3"/>
      <c r="L1067" s="3"/>
      <c r="M1067" s="3"/>
      <c r="N1067" s="5"/>
      <c r="S1067" s="3"/>
      <c r="T1067" s="3"/>
      <c r="U1067" s="3"/>
      <c r="V1067" s="3"/>
      <c r="W1067" s="3"/>
      <c r="X1067" s="3"/>
      <c r="Y1067" s="3"/>
      <c r="AF1067" s="3"/>
      <c r="AN1067" s="3"/>
      <c r="AO1067" s="82"/>
      <c r="AP1067" s="82"/>
      <c r="AQ1067" s="82"/>
      <c r="AR1067" s="82"/>
      <c r="AS1067" s="82"/>
      <c r="AT1067" s="82"/>
      <c r="AU1067" s="82"/>
    </row>
    <row r="1068" spans="4:47" ht="18.600000000000001" customHeight="1" x14ac:dyDescent="0.25">
      <c r="D1068" s="9"/>
      <c r="E1068" s="5"/>
      <c r="F1068" s="5"/>
      <c r="G1068" s="5"/>
      <c r="H1068" s="5"/>
      <c r="I1068" s="5"/>
      <c r="K1068" s="3"/>
      <c r="L1068" s="3"/>
      <c r="M1068" s="3"/>
      <c r="N1068" s="5"/>
      <c r="S1068" s="3"/>
      <c r="T1068" s="3"/>
      <c r="U1068" s="3"/>
      <c r="V1068" s="3"/>
      <c r="W1068" s="3"/>
      <c r="X1068" s="3"/>
      <c r="Y1068" s="3"/>
      <c r="AF1068" s="3"/>
      <c r="AN1068" s="3"/>
      <c r="AO1068" s="82"/>
      <c r="AP1068" s="82"/>
      <c r="AQ1068" s="82"/>
      <c r="AR1068" s="82"/>
      <c r="AS1068" s="82"/>
      <c r="AT1068" s="82"/>
      <c r="AU1068" s="82"/>
    </row>
    <row r="1069" spans="4:47" ht="18.600000000000001" customHeight="1" x14ac:dyDescent="0.25">
      <c r="D1069" s="9"/>
      <c r="E1069" s="5"/>
      <c r="F1069" s="5"/>
      <c r="G1069" s="5"/>
      <c r="H1069" s="5"/>
      <c r="I1069" s="5"/>
      <c r="K1069" s="3"/>
      <c r="L1069" s="3"/>
      <c r="M1069" s="3"/>
      <c r="N1069" s="5"/>
      <c r="S1069" s="3"/>
      <c r="T1069" s="3"/>
      <c r="U1069" s="3"/>
      <c r="V1069" s="3"/>
      <c r="W1069" s="3"/>
      <c r="X1069" s="3"/>
      <c r="Y1069" s="3"/>
      <c r="AF1069" s="3"/>
      <c r="AN1069" s="3"/>
      <c r="AO1069" s="82"/>
      <c r="AP1069" s="82"/>
      <c r="AQ1069" s="82"/>
      <c r="AR1069" s="82"/>
      <c r="AS1069" s="82"/>
      <c r="AT1069" s="82"/>
      <c r="AU1069" s="82"/>
    </row>
    <row r="1070" spans="4:47" ht="18.600000000000001" customHeight="1" x14ac:dyDescent="0.25">
      <c r="D1070" s="9"/>
      <c r="E1070" s="5"/>
      <c r="F1070" s="5"/>
      <c r="G1070" s="5"/>
      <c r="H1070" s="5"/>
      <c r="I1070" s="5"/>
      <c r="K1070" s="3"/>
      <c r="L1070" s="3"/>
      <c r="M1070" s="3"/>
      <c r="N1070" s="5"/>
      <c r="S1070" s="3"/>
      <c r="T1070" s="3"/>
      <c r="U1070" s="3"/>
      <c r="V1070" s="3"/>
      <c r="W1070" s="3"/>
      <c r="X1070" s="3"/>
      <c r="Y1070" s="3"/>
      <c r="AF1070" s="3"/>
      <c r="AN1070" s="3"/>
      <c r="AO1070" s="82"/>
      <c r="AP1070" s="82"/>
      <c r="AQ1070" s="82"/>
      <c r="AR1070" s="82"/>
      <c r="AS1070" s="82"/>
      <c r="AT1070" s="82"/>
      <c r="AU1070" s="82"/>
    </row>
    <row r="1071" spans="4:47" ht="18.600000000000001" customHeight="1" x14ac:dyDescent="0.25">
      <c r="D1071" s="9"/>
      <c r="E1071" s="5"/>
      <c r="F1071" s="5"/>
      <c r="G1071" s="5"/>
      <c r="H1071" s="5"/>
      <c r="I1071" s="5"/>
      <c r="K1071" s="3"/>
      <c r="L1071" s="3"/>
      <c r="M1071" s="3"/>
      <c r="N1071" s="5"/>
      <c r="S1071" s="3"/>
      <c r="T1071" s="3"/>
      <c r="U1071" s="3"/>
      <c r="V1071" s="3"/>
      <c r="W1071" s="3"/>
      <c r="X1071" s="3"/>
      <c r="Y1071" s="3"/>
      <c r="AF1071" s="3"/>
      <c r="AN1071" s="3"/>
      <c r="AO1071" s="82"/>
      <c r="AP1071" s="82"/>
      <c r="AQ1071" s="82"/>
      <c r="AR1071" s="82"/>
      <c r="AS1071" s="82"/>
      <c r="AT1071" s="82"/>
      <c r="AU1071" s="82"/>
    </row>
    <row r="1072" spans="4:47" ht="18.600000000000001" customHeight="1" x14ac:dyDescent="0.25">
      <c r="D1072" s="9"/>
      <c r="E1072" s="5"/>
      <c r="F1072" s="5"/>
      <c r="G1072" s="5"/>
      <c r="H1072" s="5"/>
      <c r="I1072" s="5"/>
      <c r="K1072" s="3"/>
      <c r="L1072" s="3"/>
      <c r="M1072" s="3"/>
      <c r="N1072" s="5"/>
      <c r="S1072" s="3"/>
      <c r="T1072" s="3"/>
      <c r="U1072" s="3"/>
      <c r="V1072" s="3"/>
      <c r="W1072" s="3"/>
      <c r="X1072" s="3"/>
      <c r="Y1072" s="3"/>
      <c r="AF1072" s="3"/>
      <c r="AN1072" s="3"/>
      <c r="AO1072" s="82"/>
      <c r="AP1072" s="82"/>
      <c r="AQ1072" s="82"/>
      <c r="AR1072" s="82"/>
      <c r="AS1072" s="82"/>
      <c r="AT1072" s="82"/>
      <c r="AU1072" s="82"/>
    </row>
    <row r="1073" spans="4:47" ht="18.600000000000001" customHeight="1" x14ac:dyDescent="0.25">
      <c r="D1073" s="9"/>
      <c r="E1073" s="5"/>
      <c r="F1073" s="5"/>
      <c r="G1073" s="5"/>
      <c r="H1073" s="5"/>
      <c r="I1073" s="5"/>
      <c r="K1073" s="3"/>
      <c r="L1073" s="3"/>
      <c r="M1073" s="3"/>
      <c r="N1073" s="5"/>
      <c r="S1073" s="3"/>
      <c r="T1073" s="3"/>
      <c r="U1073" s="3"/>
      <c r="V1073" s="3"/>
      <c r="W1073" s="3"/>
      <c r="X1073" s="3"/>
      <c r="Y1073" s="3"/>
      <c r="AF1073" s="3"/>
      <c r="AN1073" s="3"/>
      <c r="AO1073" s="82"/>
      <c r="AP1073" s="82"/>
      <c r="AQ1073" s="82"/>
      <c r="AR1073" s="82"/>
      <c r="AS1073" s="82"/>
      <c r="AT1073" s="82"/>
      <c r="AU1073" s="82"/>
    </row>
    <row r="1074" spans="4:47" ht="18.600000000000001" customHeight="1" x14ac:dyDescent="0.25">
      <c r="D1074" s="9"/>
      <c r="E1074" s="5"/>
      <c r="F1074" s="5"/>
      <c r="G1074" s="5"/>
      <c r="H1074" s="5"/>
      <c r="I1074" s="5"/>
      <c r="K1074" s="3"/>
      <c r="L1074" s="3"/>
      <c r="M1074" s="3"/>
      <c r="N1074" s="5"/>
      <c r="S1074" s="3"/>
      <c r="T1074" s="3"/>
      <c r="U1074" s="3"/>
      <c r="V1074" s="3"/>
      <c r="W1074" s="3"/>
      <c r="X1074" s="3"/>
      <c r="Y1074" s="3"/>
      <c r="AF1074" s="3"/>
      <c r="AN1074" s="3"/>
      <c r="AO1074" s="82"/>
      <c r="AP1074" s="82"/>
      <c r="AQ1074" s="82"/>
      <c r="AR1074" s="82"/>
      <c r="AS1074" s="82"/>
      <c r="AT1074" s="82"/>
      <c r="AU1074" s="82"/>
    </row>
    <row r="1075" spans="4:47" ht="18.600000000000001" customHeight="1" x14ac:dyDescent="0.25">
      <c r="D1075" s="9"/>
      <c r="E1075" s="5"/>
      <c r="F1075" s="5"/>
      <c r="G1075" s="5"/>
      <c r="H1075" s="5"/>
      <c r="I1075" s="5"/>
      <c r="K1075" s="3"/>
      <c r="L1075" s="3"/>
      <c r="M1075" s="3"/>
      <c r="N1075" s="5"/>
      <c r="S1075" s="3"/>
      <c r="T1075" s="3"/>
      <c r="U1075" s="3"/>
      <c r="V1075" s="3"/>
      <c r="W1075" s="3"/>
      <c r="X1075" s="3"/>
      <c r="Y1075" s="3"/>
      <c r="AF1075" s="3"/>
      <c r="AN1075" s="3"/>
      <c r="AO1075" s="82"/>
      <c r="AP1075" s="82"/>
      <c r="AQ1075" s="82"/>
      <c r="AR1075" s="82"/>
      <c r="AS1075" s="82"/>
      <c r="AT1075" s="82"/>
      <c r="AU1075" s="82"/>
    </row>
    <row r="1076" spans="4:47" ht="18.600000000000001" customHeight="1" x14ac:dyDescent="0.25">
      <c r="D1076" s="9"/>
      <c r="E1076" s="5"/>
      <c r="F1076" s="5"/>
      <c r="G1076" s="5"/>
      <c r="H1076" s="5"/>
      <c r="I1076" s="5"/>
      <c r="K1076" s="3"/>
      <c r="L1076" s="3"/>
      <c r="M1076" s="3"/>
      <c r="N1076" s="5"/>
      <c r="S1076" s="3"/>
      <c r="T1076" s="3"/>
      <c r="U1076" s="3"/>
      <c r="V1076" s="3"/>
      <c r="W1076" s="3"/>
      <c r="X1076" s="3"/>
      <c r="Y1076" s="3"/>
      <c r="AF1076" s="3"/>
      <c r="AN1076" s="3"/>
      <c r="AO1076" s="82"/>
      <c r="AP1076" s="82"/>
      <c r="AQ1076" s="82"/>
      <c r="AR1076" s="82"/>
      <c r="AS1076" s="82"/>
      <c r="AT1076" s="82"/>
      <c r="AU1076" s="82"/>
    </row>
    <row r="1077" spans="4:47" ht="18.600000000000001" customHeight="1" x14ac:dyDescent="0.25">
      <c r="D1077" s="9"/>
      <c r="E1077" s="5"/>
      <c r="F1077" s="5"/>
      <c r="G1077" s="5"/>
      <c r="H1077" s="5"/>
      <c r="I1077" s="5"/>
      <c r="K1077" s="3"/>
      <c r="L1077" s="3"/>
      <c r="M1077" s="3"/>
      <c r="N1077" s="5"/>
      <c r="S1077" s="3"/>
      <c r="T1077" s="3"/>
      <c r="U1077" s="3"/>
      <c r="V1077" s="3"/>
      <c r="W1077" s="3"/>
      <c r="X1077" s="3"/>
      <c r="Y1077" s="3"/>
      <c r="AF1077" s="3"/>
      <c r="AN1077" s="3"/>
      <c r="AO1077" s="82"/>
      <c r="AP1077" s="82"/>
      <c r="AQ1077" s="82"/>
      <c r="AR1077" s="82"/>
      <c r="AS1077" s="82"/>
      <c r="AT1077" s="82"/>
      <c r="AU1077" s="82"/>
    </row>
    <row r="1078" spans="4:47" ht="18.600000000000001" customHeight="1" x14ac:dyDescent="0.25">
      <c r="D1078" s="9"/>
      <c r="E1078" s="5"/>
      <c r="F1078" s="5"/>
      <c r="G1078" s="5"/>
      <c r="H1078" s="5"/>
      <c r="I1078" s="5"/>
      <c r="K1078" s="3"/>
      <c r="L1078" s="3"/>
      <c r="M1078" s="3"/>
      <c r="N1078" s="5"/>
      <c r="S1078" s="3"/>
      <c r="T1078" s="3"/>
      <c r="U1078" s="3"/>
      <c r="V1078" s="3"/>
      <c r="W1078" s="3"/>
      <c r="X1078" s="3"/>
      <c r="Y1078" s="3"/>
      <c r="AF1078" s="3"/>
      <c r="AN1078" s="3"/>
      <c r="AO1078" s="82"/>
      <c r="AP1078" s="82"/>
      <c r="AQ1078" s="82"/>
      <c r="AR1078" s="82"/>
      <c r="AS1078" s="82"/>
      <c r="AT1078" s="82"/>
      <c r="AU1078" s="82"/>
    </row>
    <row r="1079" spans="4:47" ht="18.600000000000001" customHeight="1" x14ac:dyDescent="0.25">
      <c r="D1079" s="9"/>
      <c r="E1079" s="5"/>
      <c r="F1079" s="5"/>
      <c r="G1079" s="5"/>
      <c r="H1079" s="5"/>
      <c r="I1079" s="5"/>
      <c r="K1079" s="3"/>
      <c r="L1079" s="3"/>
      <c r="M1079" s="3"/>
      <c r="N1079" s="5"/>
      <c r="S1079" s="3"/>
      <c r="T1079" s="3"/>
      <c r="U1079" s="3"/>
      <c r="V1079" s="3"/>
      <c r="W1079" s="3"/>
      <c r="X1079" s="3"/>
      <c r="Y1079" s="3"/>
      <c r="AF1079" s="3"/>
      <c r="AN1079" s="3"/>
      <c r="AO1079" s="82"/>
      <c r="AP1079" s="82"/>
      <c r="AQ1079" s="82"/>
      <c r="AR1079" s="82"/>
      <c r="AS1079" s="82"/>
      <c r="AT1079" s="82"/>
      <c r="AU1079" s="82"/>
    </row>
    <row r="1080" spans="4:47" ht="18.600000000000001" customHeight="1" x14ac:dyDescent="0.25">
      <c r="D1080" s="9"/>
      <c r="E1080" s="5"/>
      <c r="F1080" s="5"/>
      <c r="G1080" s="5"/>
      <c r="H1080" s="5"/>
      <c r="I1080" s="5"/>
      <c r="K1080" s="3"/>
      <c r="L1080" s="3"/>
      <c r="M1080" s="3"/>
      <c r="N1080" s="5"/>
      <c r="S1080" s="3"/>
      <c r="T1080" s="3"/>
      <c r="U1080" s="3"/>
      <c r="V1080" s="3"/>
      <c r="W1080" s="3"/>
      <c r="X1080" s="3"/>
      <c r="Y1080" s="3"/>
      <c r="AF1080" s="3"/>
      <c r="AN1080" s="3"/>
      <c r="AO1080" s="82"/>
      <c r="AP1080" s="82"/>
      <c r="AQ1080" s="82"/>
      <c r="AR1080" s="82"/>
      <c r="AS1080" s="82"/>
      <c r="AT1080" s="82"/>
      <c r="AU1080" s="82"/>
    </row>
    <row r="1081" spans="4:47" ht="18.600000000000001" customHeight="1" x14ac:dyDescent="0.25">
      <c r="D1081" s="9"/>
      <c r="E1081" s="5"/>
      <c r="F1081" s="5"/>
      <c r="G1081" s="5"/>
      <c r="H1081" s="5"/>
      <c r="I1081" s="5"/>
      <c r="K1081" s="3"/>
      <c r="L1081" s="3"/>
      <c r="M1081" s="3"/>
      <c r="N1081" s="5"/>
      <c r="S1081" s="3"/>
      <c r="T1081" s="3"/>
      <c r="U1081" s="3"/>
      <c r="V1081" s="3"/>
      <c r="W1081" s="3"/>
      <c r="X1081" s="3"/>
      <c r="Y1081" s="3"/>
      <c r="AF1081" s="3"/>
      <c r="AN1081" s="3"/>
      <c r="AO1081" s="82"/>
      <c r="AP1081" s="82"/>
      <c r="AQ1081" s="82"/>
      <c r="AR1081" s="82"/>
      <c r="AS1081" s="82"/>
      <c r="AT1081" s="82"/>
      <c r="AU1081" s="82"/>
    </row>
    <row r="1082" spans="4:47" ht="18.600000000000001" customHeight="1" x14ac:dyDescent="0.25">
      <c r="D1082" s="9"/>
      <c r="E1082" s="5"/>
      <c r="F1082" s="5"/>
      <c r="G1082" s="5"/>
      <c r="H1082" s="5"/>
      <c r="I1082" s="5"/>
      <c r="K1082" s="3"/>
      <c r="L1082" s="3"/>
      <c r="M1082" s="3"/>
      <c r="N1082" s="5"/>
      <c r="S1082" s="3"/>
      <c r="T1082" s="3"/>
      <c r="U1082" s="3"/>
      <c r="V1082" s="3"/>
      <c r="W1082" s="3"/>
      <c r="X1082" s="3"/>
      <c r="Y1082" s="3"/>
      <c r="AF1082" s="3"/>
      <c r="AN1082" s="3"/>
      <c r="AO1082" s="82"/>
      <c r="AP1082" s="82"/>
      <c r="AQ1082" s="82"/>
      <c r="AR1082" s="82"/>
      <c r="AS1082" s="82"/>
      <c r="AT1082" s="82"/>
      <c r="AU1082" s="82"/>
    </row>
    <row r="1083" spans="4:47" ht="18.600000000000001" customHeight="1" x14ac:dyDescent="0.25">
      <c r="D1083" s="9"/>
      <c r="E1083" s="5"/>
      <c r="F1083" s="5"/>
      <c r="G1083" s="5"/>
      <c r="H1083" s="5"/>
      <c r="I1083" s="5"/>
      <c r="K1083" s="3"/>
      <c r="L1083" s="3"/>
      <c r="M1083" s="3"/>
      <c r="N1083" s="5"/>
      <c r="S1083" s="3"/>
      <c r="T1083" s="3"/>
      <c r="U1083" s="3"/>
      <c r="V1083" s="3"/>
      <c r="W1083" s="3"/>
      <c r="X1083" s="3"/>
      <c r="Y1083" s="3"/>
      <c r="AF1083" s="3"/>
      <c r="AN1083" s="3"/>
      <c r="AO1083" s="82"/>
      <c r="AP1083" s="82"/>
      <c r="AQ1083" s="82"/>
      <c r="AR1083" s="82"/>
      <c r="AS1083" s="82"/>
      <c r="AT1083" s="82"/>
      <c r="AU1083" s="82"/>
    </row>
    <row r="1084" spans="4:47" ht="18.600000000000001" customHeight="1" x14ac:dyDescent="0.25">
      <c r="D1084" s="9"/>
      <c r="E1084" s="5"/>
      <c r="F1084" s="5"/>
      <c r="G1084" s="5"/>
      <c r="H1084" s="5"/>
      <c r="I1084" s="5"/>
      <c r="K1084" s="3"/>
      <c r="L1084" s="3"/>
      <c r="M1084" s="3"/>
      <c r="N1084" s="5"/>
      <c r="S1084" s="3"/>
      <c r="T1084" s="3"/>
      <c r="U1084" s="3"/>
      <c r="V1084" s="3"/>
      <c r="W1084" s="3"/>
      <c r="X1084" s="3"/>
      <c r="Y1084" s="3"/>
      <c r="AF1084" s="3"/>
      <c r="AN1084" s="3"/>
      <c r="AO1084" s="82"/>
      <c r="AP1084" s="82"/>
      <c r="AQ1084" s="82"/>
      <c r="AR1084" s="82"/>
      <c r="AS1084" s="82"/>
      <c r="AT1084" s="82"/>
      <c r="AU1084" s="82"/>
    </row>
    <row r="1085" spans="4:47" ht="18.600000000000001" customHeight="1" x14ac:dyDescent="0.25">
      <c r="D1085" s="9"/>
      <c r="E1085" s="5"/>
      <c r="F1085" s="5"/>
      <c r="G1085" s="5"/>
      <c r="H1085" s="5"/>
      <c r="I1085" s="5"/>
      <c r="K1085" s="3"/>
      <c r="L1085" s="3"/>
      <c r="M1085" s="3"/>
      <c r="N1085" s="5"/>
      <c r="S1085" s="3"/>
      <c r="T1085" s="3"/>
      <c r="U1085" s="3"/>
      <c r="V1085" s="3"/>
      <c r="W1085" s="3"/>
      <c r="X1085" s="3"/>
      <c r="Y1085" s="3"/>
      <c r="AF1085" s="3"/>
      <c r="AN1085" s="3"/>
      <c r="AO1085" s="82"/>
      <c r="AP1085" s="82"/>
      <c r="AQ1085" s="82"/>
      <c r="AR1085" s="82"/>
      <c r="AS1085" s="82"/>
      <c r="AT1085" s="82"/>
      <c r="AU1085" s="82"/>
    </row>
    <row r="1086" spans="4:47" ht="18.600000000000001" customHeight="1" x14ac:dyDescent="0.25">
      <c r="D1086" s="9"/>
      <c r="E1086" s="5"/>
      <c r="F1086" s="5"/>
      <c r="G1086" s="5"/>
      <c r="H1086" s="5"/>
      <c r="I1086" s="5"/>
      <c r="K1086" s="3"/>
      <c r="L1086" s="3"/>
      <c r="M1086" s="3"/>
      <c r="N1086" s="5"/>
      <c r="S1086" s="3"/>
      <c r="T1086" s="3"/>
      <c r="U1086" s="3"/>
      <c r="V1086" s="3"/>
      <c r="W1086" s="3"/>
      <c r="X1086" s="3"/>
      <c r="Y1086" s="3"/>
      <c r="AF1086" s="3"/>
      <c r="AN1086" s="3"/>
      <c r="AO1086" s="82"/>
      <c r="AP1086" s="82"/>
      <c r="AQ1086" s="82"/>
      <c r="AR1086" s="82"/>
      <c r="AS1086" s="82"/>
      <c r="AT1086" s="82"/>
      <c r="AU1086" s="82"/>
    </row>
    <row r="1087" spans="4:47" ht="18.600000000000001" customHeight="1" x14ac:dyDescent="0.25">
      <c r="D1087" s="9"/>
      <c r="E1087" s="5"/>
      <c r="F1087" s="5"/>
      <c r="G1087" s="5"/>
      <c r="H1087" s="5"/>
      <c r="I1087" s="5"/>
      <c r="K1087" s="3"/>
      <c r="L1087" s="3"/>
      <c r="M1087" s="3"/>
      <c r="N1087" s="5"/>
      <c r="S1087" s="3"/>
      <c r="T1087" s="3"/>
      <c r="U1087" s="3"/>
      <c r="V1087" s="3"/>
      <c r="W1087" s="3"/>
      <c r="X1087" s="3"/>
      <c r="Y1087" s="3"/>
      <c r="AF1087" s="3"/>
      <c r="AN1087" s="3"/>
      <c r="AO1087" s="82"/>
      <c r="AP1087" s="82"/>
      <c r="AQ1087" s="82"/>
      <c r="AR1087" s="82"/>
      <c r="AS1087" s="82"/>
      <c r="AT1087" s="82"/>
      <c r="AU1087" s="82"/>
    </row>
    <row r="1088" spans="4:47" ht="18.600000000000001" customHeight="1" x14ac:dyDescent="0.25">
      <c r="D1088" s="9"/>
      <c r="E1088" s="5"/>
      <c r="F1088" s="5"/>
      <c r="G1088" s="5"/>
      <c r="H1088" s="5"/>
      <c r="I1088" s="5"/>
      <c r="K1088" s="3"/>
      <c r="L1088" s="3"/>
      <c r="M1088" s="3"/>
      <c r="N1088" s="5"/>
      <c r="S1088" s="3"/>
      <c r="T1088" s="3"/>
      <c r="U1088" s="3"/>
      <c r="V1088" s="3"/>
      <c r="W1088" s="3"/>
      <c r="X1088" s="3"/>
      <c r="Y1088" s="3"/>
      <c r="AF1088" s="3"/>
      <c r="AN1088" s="3"/>
      <c r="AO1088" s="82"/>
      <c r="AP1088" s="82"/>
      <c r="AQ1088" s="82"/>
      <c r="AR1088" s="82"/>
      <c r="AS1088" s="82"/>
      <c r="AT1088" s="82"/>
      <c r="AU1088" s="82"/>
    </row>
    <row r="1089" spans="4:47" ht="18.600000000000001" customHeight="1" x14ac:dyDescent="0.25">
      <c r="D1089" s="9"/>
      <c r="E1089" s="5"/>
      <c r="F1089" s="5"/>
      <c r="G1089" s="5"/>
      <c r="H1089" s="5"/>
      <c r="I1089" s="5"/>
      <c r="K1089" s="3"/>
      <c r="L1089" s="3"/>
      <c r="M1089" s="3"/>
      <c r="N1089" s="5"/>
      <c r="S1089" s="3"/>
      <c r="T1089" s="3"/>
      <c r="U1089" s="3"/>
      <c r="V1089" s="3"/>
      <c r="W1089" s="3"/>
      <c r="X1089" s="3"/>
      <c r="Y1089" s="3"/>
      <c r="AF1089" s="3"/>
      <c r="AN1089" s="3"/>
      <c r="AO1089" s="82"/>
      <c r="AP1089" s="82"/>
      <c r="AQ1089" s="82"/>
      <c r="AR1089" s="82"/>
      <c r="AS1089" s="82"/>
      <c r="AT1089" s="82"/>
      <c r="AU1089" s="82"/>
    </row>
    <row r="1090" spans="4:47" ht="18.600000000000001" customHeight="1" x14ac:dyDescent="0.25">
      <c r="D1090" s="9"/>
      <c r="E1090" s="5"/>
      <c r="F1090" s="5"/>
      <c r="G1090" s="5"/>
      <c r="H1090" s="5"/>
      <c r="I1090" s="5"/>
      <c r="K1090" s="3"/>
      <c r="L1090" s="3"/>
      <c r="M1090" s="3"/>
      <c r="N1090" s="5"/>
      <c r="S1090" s="3"/>
      <c r="T1090" s="3"/>
      <c r="U1090" s="3"/>
      <c r="V1090" s="3"/>
      <c r="W1090" s="3"/>
      <c r="X1090" s="3"/>
      <c r="Y1090" s="3"/>
      <c r="AF1090" s="3"/>
      <c r="AN1090" s="3"/>
      <c r="AO1090" s="82"/>
      <c r="AP1090" s="82"/>
      <c r="AQ1090" s="82"/>
      <c r="AR1090" s="82"/>
      <c r="AS1090" s="82"/>
      <c r="AT1090" s="82"/>
      <c r="AU1090" s="82"/>
    </row>
    <row r="1091" spans="4:47" ht="18.600000000000001" customHeight="1" x14ac:dyDescent="0.25">
      <c r="D1091" s="9"/>
      <c r="E1091" s="5"/>
      <c r="F1091" s="5"/>
      <c r="G1091" s="5"/>
      <c r="H1091" s="5"/>
      <c r="I1091" s="5"/>
      <c r="K1091" s="3"/>
      <c r="L1091" s="3"/>
      <c r="M1091" s="3"/>
      <c r="N1091" s="5"/>
      <c r="S1091" s="3"/>
      <c r="T1091" s="3"/>
      <c r="U1091" s="3"/>
      <c r="V1091" s="3"/>
      <c r="W1091" s="3"/>
      <c r="X1091" s="3"/>
      <c r="Y1091" s="3"/>
      <c r="AF1091" s="3"/>
      <c r="AN1091" s="3"/>
      <c r="AO1091" s="82"/>
      <c r="AP1091" s="82"/>
      <c r="AQ1091" s="82"/>
      <c r="AR1091" s="82"/>
      <c r="AS1091" s="82"/>
      <c r="AT1091" s="82"/>
      <c r="AU1091" s="82"/>
    </row>
    <row r="1092" spans="4:47" ht="18.600000000000001" customHeight="1" x14ac:dyDescent="0.25">
      <c r="D1092" s="9"/>
      <c r="E1092" s="5"/>
      <c r="F1092" s="5"/>
      <c r="G1092" s="5"/>
      <c r="H1092" s="5"/>
      <c r="I1092" s="5"/>
      <c r="K1092" s="3"/>
      <c r="L1092" s="3"/>
      <c r="M1092" s="3"/>
      <c r="N1092" s="5"/>
      <c r="S1092" s="3"/>
      <c r="T1092" s="3"/>
      <c r="U1092" s="3"/>
      <c r="V1092" s="3"/>
      <c r="W1092" s="3"/>
      <c r="X1092" s="3"/>
      <c r="Y1092" s="3"/>
      <c r="AF1092" s="3"/>
      <c r="AN1092" s="3"/>
      <c r="AO1092" s="82"/>
      <c r="AP1092" s="82"/>
      <c r="AQ1092" s="82"/>
      <c r="AR1092" s="82"/>
      <c r="AS1092" s="82"/>
      <c r="AT1092" s="82"/>
      <c r="AU1092" s="82"/>
    </row>
    <row r="1093" spans="4:47" ht="18.600000000000001" customHeight="1" x14ac:dyDescent="0.25">
      <c r="D1093" s="9"/>
      <c r="E1093" s="5"/>
      <c r="F1093" s="5"/>
      <c r="G1093" s="5"/>
      <c r="H1093" s="5"/>
      <c r="I1093" s="5"/>
      <c r="K1093" s="3"/>
      <c r="L1093" s="3"/>
      <c r="M1093" s="3"/>
      <c r="N1093" s="5"/>
      <c r="S1093" s="3"/>
      <c r="T1093" s="3"/>
      <c r="U1093" s="3"/>
      <c r="V1093" s="3"/>
      <c r="W1093" s="3"/>
      <c r="X1093" s="3"/>
      <c r="Y1093" s="3"/>
      <c r="AF1093" s="3"/>
      <c r="AN1093" s="3"/>
      <c r="AO1093" s="82"/>
      <c r="AP1093" s="82"/>
      <c r="AQ1093" s="82"/>
      <c r="AR1093" s="82"/>
      <c r="AS1093" s="82"/>
      <c r="AT1093" s="82"/>
      <c r="AU1093" s="82"/>
    </row>
    <row r="1094" spans="4:47" ht="18.600000000000001" customHeight="1" x14ac:dyDescent="0.25">
      <c r="D1094" s="9"/>
      <c r="E1094" s="5"/>
      <c r="F1094" s="5"/>
      <c r="G1094" s="5"/>
      <c r="H1094" s="5"/>
      <c r="I1094" s="5"/>
      <c r="K1094" s="3"/>
      <c r="L1094" s="3"/>
      <c r="M1094" s="3"/>
      <c r="N1094" s="5"/>
      <c r="S1094" s="3"/>
      <c r="T1094" s="3"/>
      <c r="U1094" s="3"/>
      <c r="V1094" s="3"/>
      <c r="W1094" s="3"/>
      <c r="X1094" s="3"/>
      <c r="Y1094" s="3"/>
      <c r="AF1094" s="3"/>
      <c r="AN1094" s="3"/>
      <c r="AO1094" s="82"/>
      <c r="AP1094" s="82"/>
      <c r="AQ1094" s="82"/>
      <c r="AR1094" s="82"/>
      <c r="AS1094" s="82"/>
      <c r="AT1094" s="82"/>
      <c r="AU1094" s="82"/>
    </row>
    <row r="1095" spans="4:47" ht="18.600000000000001" customHeight="1" x14ac:dyDescent="0.25">
      <c r="D1095" s="9"/>
      <c r="E1095" s="5"/>
      <c r="F1095" s="5"/>
      <c r="G1095" s="5"/>
      <c r="H1095" s="5"/>
      <c r="I1095" s="5"/>
      <c r="K1095" s="3"/>
      <c r="L1095" s="3"/>
      <c r="M1095" s="3"/>
      <c r="N1095" s="5"/>
      <c r="S1095" s="3"/>
      <c r="T1095" s="3"/>
      <c r="U1095" s="3"/>
      <c r="V1095" s="3"/>
      <c r="W1095" s="3"/>
      <c r="X1095" s="3"/>
      <c r="Y1095" s="3"/>
      <c r="AF1095" s="3"/>
      <c r="AN1095" s="3"/>
      <c r="AO1095" s="82"/>
      <c r="AP1095" s="82"/>
      <c r="AQ1095" s="82"/>
      <c r="AR1095" s="82"/>
      <c r="AS1095" s="82"/>
      <c r="AT1095" s="82"/>
      <c r="AU1095" s="82"/>
    </row>
    <row r="1096" spans="4:47" ht="18.600000000000001" customHeight="1" x14ac:dyDescent="0.25">
      <c r="D1096" s="9"/>
      <c r="E1096" s="5"/>
      <c r="F1096" s="5"/>
      <c r="G1096" s="5"/>
      <c r="H1096" s="5"/>
      <c r="I1096" s="5"/>
      <c r="K1096" s="3"/>
      <c r="L1096" s="3"/>
      <c r="M1096" s="3"/>
      <c r="N1096" s="5"/>
      <c r="S1096" s="3"/>
      <c r="T1096" s="3"/>
      <c r="U1096" s="3"/>
      <c r="V1096" s="3"/>
      <c r="W1096" s="3"/>
      <c r="X1096" s="3"/>
      <c r="Y1096" s="3"/>
      <c r="AF1096" s="3"/>
      <c r="AN1096" s="3"/>
      <c r="AO1096" s="82"/>
      <c r="AP1096" s="82"/>
      <c r="AQ1096" s="82"/>
      <c r="AR1096" s="82"/>
      <c r="AS1096" s="82"/>
      <c r="AT1096" s="82"/>
      <c r="AU1096" s="82"/>
    </row>
    <row r="1097" spans="4:47" ht="18.600000000000001" customHeight="1" x14ac:dyDescent="0.25">
      <c r="D1097" s="9"/>
      <c r="E1097" s="5"/>
      <c r="F1097" s="5"/>
      <c r="G1097" s="5"/>
      <c r="H1097" s="5"/>
      <c r="I1097" s="5"/>
      <c r="K1097" s="3"/>
      <c r="L1097" s="3"/>
      <c r="M1097" s="3"/>
      <c r="N1097" s="5"/>
      <c r="S1097" s="3"/>
      <c r="T1097" s="3"/>
      <c r="U1097" s="3"/>
      <c r="V1097" s="3"/>
      <c r="W1097" s="3"/>
      <c r="X1097" s="3"/>
      <c r="Y1097" s="3"/>
      <c r="AF1097" s="3"/>
      <c r="AN1097" s="3"/>
      <c r="AO1097" s="82"/>
      <c r="AP1097" s="82"/>
      <c r="AQ1097" s="82"/>
      <c r="AR1097" s="82"/>
      <c r="AS1097" s="82"/>
      <c r="AT1097" s="82"/>
      <c r="AU1097" s="82"/>
    </row>
    <row r="1098" spans="4:47" ht="18.600000000000001" customHeight="1" x14ac:dyDescent="0.25">
      <c r="D1098" s="9"/>
      <c r="E1098" s="5"/>
      <c r="F1098" s="5"/>
      <c r="G1098" s="5"/>
      <c r="H1098" s="5"/>
      <c r="I1098" s="5"/>
      <c r="K1098" s="3"/>
      <c r="L1098" s="3"/>
      <c r="M1098" s="3"/>
      <c r="N1098" s="5"/>
      <c r="S1098" s="3"/>
      <c r="T1098" s="3"/>
      <c r="U1098" s="3"/>
      <c r="V1098" s="3"/>
      <c r="W1098" s="3"/>
      <c r="X1098" s="3"/>
      <c r="Y1098" s="3"/>
      <c r="AF1098" s="3"/>
      <c r="AN1098" s="3"/>
      <c r="AO1098" s="82"/>
      <c r="AP1098" s="82"/>
      <c r="AQ1098" s="82"/>
      <c r="AR1098" s="82"/>
      <c r="AS1098" s="82"/>
      <c r="AT1098" s="82"/>
      <c r="AU1098" s="82"/>
    </row>
    <row r="1099" spans="4:47" ht="18.600000000000001" customHeight="1" x14ac:dyDescent="0.25">
      <c r="D1099" s="9"/>
      <c r="E1099" s="5"/>
      <c r="F1099" s="5"/>
      <c r="G1099" s="5"/>
      <c r="H1099" s="5"/>
      <c r="I1099" s="5"/>
      <c r="K1099" s="3"/>
      <c r="L1099" s="3"/>
      <c r="M1099" s="3"/>
      <c r="N1099" s="5"/>
      <c r="S1099" s="3"/>
      <c r="T1099" s="3"/>
      <c r="U1099" s="3"/>
      <c r="V1099" s="3"/>
      <c r="W1099" s="3"/>
      <c r="X1099" s="3"/>
      <c r="Y1099" s="3"/>
      <c r="AF1099" s="3"/>
      <c r="AN1099" s="3"/>
      <c r="AO1099" s="82"/>
      <c r="AP1099" s="82"/>
      <c r="AQ1099" s="82"/>
      <c r="AR1099" s="82"/>
      <c r="AS1099" s="82"/>
      <c r="AT1099" s="82"/>
      <c r="AU1099" s="82"/>
    </row>
    <row r="1100" spans="4:47" ht="18.600000000000001" customHeight="1" x14ac:dyDescent="0.25">
      <c r="D1100" s="9"/>
      <c r="E1100" s="5"/>
      <c r="F1100" s="5"/>
      <c r="G1100" s="5"/>
      <c r="H1100" s="5"/>
      <c r="I1100" s="5"/>
      <c r="K1100" s="3"/>
      <c r="L1100" s="3"/>
      <c r="M1100" s="3"/>
      <c r="N1100" s="5"/>
      <c r="S1100" s="3"/>
      <c r="T1100" s="3"/>
      <c r="U1100" s="3"/>
      <c r="V1100" s="3"/>
      <c r="W1100" s="3"/>
      <c r="X1100" s="3"/>
      <c r="Y1100" s="3"/>
      <c r="AF1100" s="3"/>
      <c r="AN1100" s="3"/>
      <c r="AO1100" s="82"/>
      <c r="AP1100" s="82"/>
      <c r="AQ1100" s="82"/>
      <c r="AR1100" s="82"/>
      <c r="AS1100" s="82"/>
      <c r="AT1100" s="82"/>
      <c r="AU1100" s="82"/>
    </row>
    <row r="1101" spans="4:47" ht="18.600000000000001" customHeight="1" x14ac:dyDescent="0.25">
      <c r="D1101" s="9"/>
      <c r="E1101" s="5"/>
      <c r="F1101" s="5"/>
      <c r="G1101" s="5"/>
      <c r="H1101" s="5"/>
      <c r="I1101" s="5"/>
      <c r="K1101" s="3"/>
      <c r="L1101" s="3"/>
      <c r="M1101" s="3"/>
      <c r="N1101" s="5"/>
      <c r="S1101" s="3"/>
      <c r="T1101" s="3"/>
      <c r="U1101" s="3"/>
      <c r="V1101" s="3"/>
      <c r="W1101" s="3"/>
      <c r="X1101" s="3"/>
      <c r="Y1101" s="3"/>
      <c r="AF1101" s="3"/>
      <c r="AN1101" s="3"/>
      <c r="AO1101" s="82"/>
      <c r="AP1101" s="82"/>
      <c r="AQ1101" s="82"/>
      <c r="AR1101" s="82"/>
      <c r="AS1101" s="82"/>
      <c r="AT1101" s="82"/>
      <c r="AU1101" s="82"/>
    </row>
    <row r="1102" spans="4:47" ht="18.600000000000001" customHeight="1" x14ac:dyDescent="0.25">
      <c r="D1102" s="9"/>
      <c r="E1102" s="5"/>
      <c r="F1102" s="5"/>
      <c r="G1102" s="5"/>
      <c r="H1102" s="5"/>
      <c r="I1102" s="5"/>
      <c r="K1102" s="3"/>
      <c r="L1102" s="3"/>
      <c r="M1102" s="3"/>
      <c r="N1102" s="5"/>
      <c r="S1102" s="3"/>
      <c r="T1102" s="3"/>
      <c r="U1102" s="3"/>
      <c r="V1102" s="3"/>
      <c r="W1102" s="3"/>
      <c r="X1102" s="3"/>
      <c r="Y1102" s="3"/>
      <c r="AF1102" s="3"/>
      <c r="AN1102" s="3"/>
      <c r="AO1102" s="82"/>
      <c r="AP1102" s="82"/>
      <c r="AQ1102" s="82"/>
      <c r="AR1102" s="82"/>
      <c r="AS1102" s="82"/>
      <c r="AT1102" s="82"/>
      <c r="AU1102" s="82"/>
    </row>
    <row r="1103" spans="4:47" ht="18.600000000000001" customHeight="1" x14ac:dyDescent="0.25">
      <c r="D1103" s="9"/>
      <c r="E1103" s="5"/>
      <c r="F1103" s="5"/>
      <c r="G1103" s="5"/>
      <c r="H1103" s="5"/>
      <c r="I1103" s="5"/>
      <c r="K1103" s="3"/>
      <c r="L1103" s="3"/>
      <c r="M1103" s="3"/>
      <c r="N1103" s="5"/>
      <c r="S1103" s="3"/>
      <c r="T1103" s="3"/>
      <c r="U1103" s="3"/>
      <c r="V1103" s="3"/>
      <c r="W1103" s="3"/>
      <c r="X1103" s="3"/>
      <c r="Y1103" s="3"/>
      <c r="AF1103" s="3"/>
      <c r="AN1103" s="3"/>
      <c r="AO1103" s="82"/>
      <c r="AP1103" s="82"/>
      <c r="AQ1103" s="82"/>
      <c r="AR1103" s="82"/>
      <c r="AS1103" s="82"/>
      <c r="AT1103" s="82"/>
      <c r="AU1103" s="82"/>
    </row>
    <row r="1104" spans="4:47" ht="18.600000000000001" customHeight="1" x14ac:dyDescent="0.25">
      <c r="D1104" s="9"/>
      <c r="E1104" s="5"/>
      <c r="F1104" s="5"/>
      <c r="G1104" s="5"/>
      <c r="H1104" s="5"/>
      <c r="I1104" s="5"/>
      <c r="K1104" s="3"/>
      <c r="L1104" s="3"/>
      <c r="M1104" s="3"/>
      <c r="N1104" s="5"/>
      <c r="S1104" s="3"/>
      <c r="T1104" s="3"/>
      <c r="U1104" s="3"/>
      <c r="V1104" s="3"/>
      <c r="W1104" s="3"/>
      <c r="X1104" s="3"/>
      <c r="Y1104" s="3"/>
      <c r="AF1104" s="3"/>
      <c r="AN1104" s="3"/>
      <c r="AO1104" s="82"/>
      <c r="AP1104" s="82"/>
      <c r="AQ1104" s="82"/>
      <c r="AR1104" s="82"/>
      <c r="AS1104" s="82"/>
      <c r="AT1104" s="82"/>
      <c r="AU1104" s="82"/>
    </row>
    <row r="1105" spans="4:47" ht="18.600000000000001" customHeight="1" x14ac:dyDescent="0.25">
      <c r="D1105" s="9"/>
      <c r="E1105" s="5"/>
      <c r="F1105" s="5"/>
      <c r="G1105" s="5"/>
      <c r="H1105" s="5"/>
      <c r="I1105" s="5"/>
      <c r="K1105" s="3"/>
      <c r="L1105" s="3"/>
      <c r="M1105" s="3"/>
      <c r="N1105" s="5"/>
      <c r="S1105" s="3"/>
      <c r="T1105" s="3"/>
      <c r="U1105" s="3"/>
      <c r="V1105" s="3"/>
      <c r="W1105" s="3"/>
      <c r="X1105" s="3"/>
      <c r="Y1105" s="3"/>
      <c r="AF1105" s="3"/>
      <c r="AN1105" s="3"/>
      <c r="AO1105" s="82"/>
      <c r="AP1105" s="82"/>
      <c r="AQ1105" s="82"/>
      <c r="AR1105" s="82"/>
      <c r="AS1105" s="82"/>
      <c r="AT1105" s="82"/>
      <c r="AU1105" s="82"/>
    </row>
    <row r="1106" spans="4:47" ht="18.600000000000001" customHeight="1" x14ac:dyDescent="0.25">
      <c r="D1106" s="9"/>
      <c r="E1106" s="5"/>
      <c r="F1106" s="5"/>
      <c r="G1106" s="5"/>
      <c r="H1106" s="5"/>
      <c r="I1106" s="5"/>
      <c r="K1106" s="3"/>
      <c r="L1106" s="3"/>
      <c r="M1106" s="3"/>
      <c r="N1106" s="5"/>
      <c r="S1106" s="3"/>
      <c r="T1106" s="3"/>
      <c r="U1106" s="3"/>
      <c r="V1106" s="3"/>
      <c r="W1106" s="3"/>
      <c r="X1106" s="3"/>
      <c r="Y1106" s="3"/>
      <c r="AF1106" s="3"/>
      <c r="AN1106" s="3"/>
      <c r="AO1106" s="82"/>
      <c r="AP1106" s="82"/>
      <c r="AQ1106" s="82"/>
      <c r="AR1106" s="82"/>
      <c r="AS1106" s="82"/>
      <c r="AT1106" s="82"/>
      <c r="AU1106" s="82"/>
    </row>
    <row r="1107" spans="4:47" ht="18.600000000000001" customHeight="1" x14ac:dyDescent="0.25">
      <c r="D1107" s="9"/>
      <c r="E1107" s="5"/>
      <c r="F1107" s="5"/>
      <c r="G1107" s="5"/>
      <c r="H1107" s="5"/>
      <c r="I1107" s="5"/>
      <c r="K1107" s="3"/>
      <c r="L1107" s="3"/>
      <c r="M1107" s="3"/>
      <c r="N1107" s="5"/>
      <c r="S1107" s="3"/>
      <c r="T1107" s="3"/>
      <c r="U1107" s="3"/>
      <c r="V1107" s="3"/>
      <c r="W1107" s="3"/>
      <c r="X1107" s="3"/>
      <c r="Y1107" s="3"/>
      <c r="AF1107" s="3"/>
      <c r="AN1107" s="3"/>
      <c r="AO1107" s="82"/>
      <c r="AP1107" s="82"/>
      <c r="AQ1107" s="82"/>
      <c r="AR1107" s="82"/>
      <c r="AS1107" s="82"/>
      <c r="AT1107" s="82"/>
      <c r="AU1107" s="82"/>
    </row>
    <row r="1108" spans="4:47" ht="18.600000000000001" customHeight="1" x14ac:dyDescent="0.25">
      <c r="D1108" s="9"/>
      <c r="E1108" s="5"/>
      <c r="F1108" s="5"/>
      <c r="G1108" s="5"/>
      <c r="H1108" s="5"/>
      <c r="I1108" s="5"/>
      <c r="K1108" s="3"/>
      <c r="L1108" s="3"/>
      <c r="M1108" s="3"/>
      <c r="N1108" s="5"/>
      <c r="S1108" s="3"/>
      <c r="T1108" s="3"/>
      <c r="U1108" s="3"/>
      <c r="V1108" s="3"/>
      <c r="W1108" s="3"/>
      <c r="X1108" s="3"/>
      <c r="Y1108" s="3"/>
      <c r="AF1108" s="3"/>
      <c r="AN1108" s="3"/>
      <c r="AO1108" s="82"/>
      <c r="AP1108" s="82"/>
      <c r="AQ1108" s="82"/>
      <c r="AR1108" s="82"/>
      <c r="AS1108" s="82"/>
      <c r="AT1108" s="82"/>
      <c r="AU1108" s="82"/>
    </row>
    <row r="1109" spans="4:47" ht="18.600000000000001" customHeight="1" x14ac:dyDescent="0.25">
      <c r="D1109" s="9"/>
      <c r="E1109" s="5"/>
      <c r="F1109" s="5"/>
      <c r="G1109" s="5"/>
      <c r="H1109" s="5"/>
      <c r="I1109" s="5"/>
      <c r="K1109" s="3"/>
      <c r="L1109" s="3"/>
      <c r="M1109" s="3"/>
      <c r="N1109" s="5"/>
      <c r="S1109" s="3"/>
      <c r="T1109" s="3"/>
      <c r="U1109" s="3"/>
      <c r="V1109" s="3"/>
      <c r="W1109" s="3"/>
      <c r="X1109" s="3"/>
      <c r="Y1109" s="3"/>
      <c r="AF1109" s="3"/>
      <c r="AN1109" s="3"/>
      <c r="AO1109" s="82"/>
      <c r="AP1109" s="82"/>
      <c r="AQ1109" s="82"/>
      <c r="AR1109" s="82"/>
      <c r="AS1109" s="82"/>
      <c r="AT1109" s="82"/>
      <c r="AU1109" s="82"/>
    </row>
    <row r="1110" spans="4:47" ht="18.600000000000001" customHeight="1" x14ac:dyDescent="0.25">
      <c r="D1110" s="9"/>
      <c r="E1110" s="5"/>
      <c r="F1110" s="5"/>
      <c r="G1110" s="5"/>
      <c r="H1110" s="5"/>
      <c r="I1110" s="5"/>
      <c r="K1110" s="3"/>
      <c r="L1110" s="3"/>
      <c r="M1110" s="3"/>
      <c r="N1110" s="5"/>
      <c r="S1110" s="3"/>
      <c r="T1110" s="3"/>
      <c r="U1110" s="3"/>
      <c r="V1110" s="3"/>
      <c r="W1110" s="3"/>
      <c r="X1110" s="3"/>
      <c r="Y1110" s="3"/>
      <c r="AF1110" s="3"/>
      <c r="AN1110" s="3"/>
      <c r="AO1110" s="82"/>
      <c r="AP1110" s="82"/>
      <c r="AQ1110" s="82"/>
      <c r="AR1110" s="82"/>
      <c r="AS1110" s="82"/>
      <c r="AT1110" s="82"/>
      <c r="AU1110" s="82"/>
    </row>
    <row r="1111" spans="4:47" ht="18.600000000000001" customHeight="1" x14ac:dyDescent="0.25">
      <c r="D1111" s="9"/>
      <c r="E1111" s="5"/>
      <c r="F1111" s="5"/>
      <c r="G1111" s="5"/>
      <c r="H1111" s="5"/>
      <c r="I1111" s="5"/>
      <c r="K1111" s="3"/>
      <c r="L1111" s="3"/>
      <c r="M1111" s="3"/>
      <c r="N1111" s="5"/>
      <c r="S1111" s="3"/>
      <c r="T1111" s="3"/>
      <c r="U1111" s="3"/>
      <c r="V1111" s="3"/>
      <c r="W1111" s="3"/>
      <c r="X1111" s="3"/>
      <c r="Y1111" s="3"/>
      <c r="AF1111" s="3"/>
      <c r="AN1111" s="3"/>
      <c r="AO1111" s="82"/>
      <c r="AP1111" s="82"/>
      <c r="AQ1111" s="82"/>
      <c r="AR1111" s="82"/>
      <c r="AS1111" s="82"/>
      <c r="AT1111" s="82"/>
      <c r="AU1111" s="82"/>
    </row>
    <row r="1112" spans="4:47" ht="18.600000000000001" customHeight="1" x14ac:dyDescent="0.25">
      <c r="D1112" s="9"/>
      <c r="E1112" s="5"/>
      <c r="F1112" s="5"/>
      <c r="G1112" s="5"/>
      <c r="H1112" s="5"/>
      <c r="I1112" s="5"/>
      <c r="K1112" s="3"/>
      <c r="L1112" s="3"/>
      <c r="M1112" s="3"/>
      <c r="N1112" s="5"/>
      <c r="S1112" s="3"/>
      <c r="T1112" s="3"/>
      <c r="U1112" s="3"/>
      <c r="V1112" s="3"/>
      <c r="W1112" s="3"/>
      <c r="X1112" s="3"/>
      <c r="Y1112" s="3"/>
      <c r="AF1112" s="3"/>
      <c r="AN1112" s="3"/>
      <c r="AO1112" s="82"/>
      <c r="AP1112" s="82"/>
      <c r="AQ1112" s="82"/>
      <c r="AR1112" s="82"/>
      <c r="AS1112" s="82"/>
      <c r="AT1112" s="82"/>
      <c r="AU1112" s="82"/>
    </row>
    <row r="1113" spans="4:47" ht="18.600000000000001" customHeight="1" x14ac:dyDescent="0.25">
      <c r="D1113" s="9"/>
      <c r="E1113" s="5"/>
      <c r="F1113" s="5"/>
      <c r="G1113" s="5"/>
      <c r="H1113" s="5"/>
      <c r="I1113" s="5"/>
      <c r="K1113" s="3"/>
      <c r="L1113" s="3"/>
      <c r="M1113" s="3"/>
      <c r="N1113" s="5"/>
      <c r="S1113" s="3"/>
      <c r="T1113" s="3"/>
      <c r="U1113" s="3"/>
      <c r="V1113" s="3"/>
      <c r="W1113" s="3"/>
      <c r="X1113" s="3"/>
      <c r="Y1113" s="3"/>
      <c r="AF1113" s="3"/>
      <c r="AN1113" s="3"/>
      <c r="AO1113" s="82"/>
      <c r="AP1113" s="82"/>
      <c r="AQ1113" s="82"/>
      <c r="AR1113" s="82"/>
      <c r="AS1113" s="82"/>
      <c r="AT1113" s="82"/>
      <c r="AU1113" s="82"/>
    </row>
    <row r="1114" spans="4:47" ht="18.600000000000001" customHeight="1" x14ac:dyDescent="0.25">
      <c r="D1114" s="9"/>
      <c r="E1114" s="5"/>
      <c r="F1114" s="5"/>
      <c r="G1114" s="5"/>
      <c r="H1114" s="5"/>
      <c r="I1114" s="5"/>
      <c r="K1114" s="3"/>
      <c r="L1114" s="3"/>
      <c r="M1114" s="3"/>
      <c r="N1114" s="5"/>
      <c r="S1114" s="3"/>
      <c r="T1114" s="3"/>
      <c r="U1114" s="3"/>
      <c r="V1114" s="3"/>
      <c r="W1114" s="3"/>
      <c r="X1114" s="3"/>
      <c r="Y1114" s="3"/>
      <c r="AF1114" s="3"/>
      <c r="AN1114" s="3"/>
      <c r="AO1114" s="82"/>
      <c r="AP1114" s="82"/>
      <c r="AQ1114" s="82"/>
      <c r="AR1114" s="82"/>
      <c r="AS1114" s="82"/>
      <c r="AT1114" s="82"/>
      <c r="AU1114" s="82"/>
    </row>
    <row r="1115" spans="4:47" ht="18.600000000000001" customHeight="1" x14ac:dyDescent="0.25">
      <c r="D1115" s="9"/>
      <c r="E1115" s="5"/>
      <c r="F1115" s="5"/>
      <c r="G1115" s="5"/>
      <c r="H1115" s="5"/>
      <c r="I1115" s="5"/>
      <c r="K1115" s="3"/>
      <c r="L1115" s="3"/>
      <c r="M1115" s="3"/>
      <c r="N1115" s="5"/>
      <c r="S1115" s="3"/>
      <c r="T1115" s="3"/>
      <c r="U1115" s="3"/>
      <c r="V1115" s="3"/>
      <c r="W1115" s="3"/>
      <c r="X1115" s="3"/>
      <c r="Y1115" s="3"/>
      <c r="AF1115" s="3"/>
      <c r="AN1115" s="3"/>
      <c r="AO1115" s="82"/>
      <c r="AP1115" s="82"/>
      <c r="AQ1115" s="82"/>
      <c r="AR1115" s="82"/>
      <c r="AS1115" s="82"/>
      <c r="AT1115" s="82"/>
      <c r="AU1115" s="82"/>
    </row>
    <row r="1116" spans="4:47" ht="18.600000000000001" customHeight="1" x14ac:dyDescent="0.25">
      <c r="D1116" s="9"/>
      <c r="E1116" s="5"/>
      <c r="F1116" s="5"/>
      <c r="G1116" s="5"/>
      <c r="H1116" s="5"/>
      <c r="I1116" s="5"/>
      <c r="K1116" s="3"/>
      <c r="L1116" s="3"/>
      <c r="M1116" s="3"/>
      <c r="N1116" s="5"/>
      <c r="S1116" s="3"/>
      <c r="T1116" s="3"/>
      <c r="U1116" s="3"/>
      <c r="V1116" s="3"/>
      <c r="W1116" s="3"/>
      <c r="X1116" s="3"/>
      <c r="Y1116" s="3"/>
      <c r="AF1116" s="3"/>
      <c r="AN1116" s="3"/>
      <c r="AO1116" s="82"/>
      <c r="AP1116" s="82"/>
      <c r="AQ1116" s="82"/>
      <c r="AR1116" s="82"/>
      <c r="AS1116" s="82"/>
      <c r="AT1116" s="82"/>
      <c r="AU1116" s="82"/>
    </row>
    <row r="1117" spans="4:47" ht="18.600000000000001" customHeight="1" x14ac:dyDescent="0.25">
      <c r="D1117" s="9"/>
      <c r="E1117" s="5"/>
      <c r="F1117" s="5"/>
      <c r="G1117" s="5"/>
      <c r="H1117" s="5"/>
      <c r="I1117" s="5"/>
      <c r="K1117" s="3"/>
      <c r="L1117" s="3"/>
      <c r="M1117" s="3"/>
      <c r="N1117" s="5"/>
      <c r="S1117" s="3"/>
      <c r="T1117" s="3"/>
      <c r="U1117" s="3"/>
      <c r="V1117" s="3"/>
      <c r="W1117" s="3"/>
      <c r="X1117" s="3"/>
      <c r="Y1117" s="3"/>
      <c r="AF1117" s="3"/>
      <c r="AN1117" s="3"/>
      <c r="AO1117" s="82"/>
      <c r="AP1117" s="82"/>
      <c r="AQ1117" s="82"/>
      <c r="AR1117" s="82"/>
      <c r="AS1117" s="82"/>
      <c r="AT1117" s="82"/>
      <c r="AU1117" s="82"/>
    </row>
    <row r="1118" spans="4:47" ht="18.600000000000001" customHeight="1" x14ac:dyDescent="0.25">
      <c r="D1118" s="9"/>
      <c r="E1118" s="5"/>
      <c r="F1118" s="5"/>
      <c r="G1118" s="5"/>
      <c r="H1118" s="5"/>
      <c r="I1118" s="5"/>
      <c r="K1118" s="3"/>
      <c r="L1118" s="3"/>
      <c r="M1118" s="3"/>
      <c r="N1118" s="5"/>
      <c r="S1118" s="3"/>
      <c r="T1118" s="3"/>
      <c r="U1118" s="3"/>
      <c r="V1118" s="3"/>
      <c r="W1118" s="3"/>
      <c r="X1118" s="3"/>
      <c r="Y1118" s="3"/>
      <c r="AF1118" s="3"/>
      <c r="AN1118" s="3"/>
      <c r="AO1118" s="82"/>
      <c r="AP1118" s="82"/>
      <c r="AQ1118" s="82"/>
      <c r="AR1118" s="82"/>
      <c r="AS1118" s="82"/>
      <c r="AT1118" s="82"/>
      <c r="AU1118" s="82"/>
    </row>
    <row r="1119" spans="4:47" ht="18.600000000000001" customHeight="1" x14ac:dyDescent="0.25">
      <c r="D1119" s="9"/>
      <c r="E1119" s="5"/>
      <c r="F1119" s="5"/>
      <c r="G1119" s="5"/>
      <c r="H1119" s="5"/>
      <c r="I1119" s="5"/>
      <c r="K1119" s="3"/>
      <c r="L1119" s="3"/>
      <c r="M1119" s="3"/>
      <c r="N1119" s="5"/>
      <c r="S1119" s="3"/>
      <c r="T1119" s="3"/>
      <c r="U1119" s="3"/>
      <c r="V1119" s="3"/>
      <c r="W1119" s="3"/>
      <c r="X1119" s="3"/>
      <c r="Y1119" s="3"/>
      <c r="AF1119" s="3"/>
      <c r="AN1119" s="3"/>
      <c r="AO1119" s="82"/>
      <c r="AP1119" s="82"/>
      <c r="AQ1119" s="82"/>
      <c r="AR1119" s="82"/>
      <c r="AS1119" s="82"/>
      <c r="AT1119" s="82"/>
      <c r="AU1119" s="82"/>
    </row>
    <row r="1120" spans="4:47" ht="18.600000000000001" customHeight="1" x14ac:dyDescent="0.25">
      <c r="D1120" s="9"/>
      <c r="E1120" s="5"/>
      <c r="F1120" s="5"/>
      <c r="G1120" s="5"/>
      <c r="H1120" s="5"/>
      <c r="I1120" s="5"/>
      <c r="K1120" s="3"/>
      <c r="L1120" s="3"/>
      <c r="M1120" s="3"/>
      <c r="N1120" s="5"/>
      <c r="S1120" s="3"/>
      <c r="T1120" s="3"/>
      <c r="U1120" s="3"/>
      <c r="V1120" s="3"/>
      <c r="W1120" s="3"/>
      <c r="X1120" s="3"/>
      <c r="Y1120" s="3"/>
      <c r="AF1120" s="3"/>
      <c r="AN1120" s="3"/>
      <c r="AO1120" s="82"/>
      <c r="AP1120" s="82"/>
      <c r="AQ1120" s="82"/>
      <c r="AR1120" s="82"/>
      <c r="AS1120" s="82"/>
      <c r="AT1120" s="82"/>
      <c r="AU1120" s="82"/>
    </row>
    <row r="1121" spans="4:47" ht="18.600000000000001" customHeight="1" x14ac:dyDescent="0.25">
      <c r="D1121" s="9"/>
      <c r="E1121" s="5"/>
      <c r="F1121" s="5"/>
      <c r="G1121" s="5"/>
      <c r="H1121" s="5"/>
      <c r="I1121" s="5"/>
      <c r="K1121" s="3"/>
      <c r="L1121" s="3"/>
      <c r="M1121" s="3"/>
      <c r="N1121" s="5"/>
      <c r="S1121" s="3"/>
      <c r="T1121" s="3"/>
      <c r="U1121" s="3"/>
      <c r="V1121" s="3"/>
      <c r="W1121" s="3"/>
      <c r="X1121" s="3"/>
      <c r="Y1121" s="3"/>
      <c r="AF1121" s="3"/>
      <c r="AN1121" s="3"/>
      <c r="AO1121" s="82"/>
      <c r="AP1121" s="82"/>
      <c r="AQ1121" s="82"/>
      <c r="AR1121" s="82"/>
      <c r="AS1121" s="82"/>
      <c r="AT1121" s="82"/>
      <c r="AU1121" s="82"/>
    </row>
    <row r="1122" spans="4:47" ht="18.600000000000001" customHeight="1" x14ac:dyDescent="0.25">
      <c r="D1122" s="9"/>
      <c r="E1122" s="5"/>
      <c r="F1122" s="5"/>
      <c r="G1122" s="5"/>
      <c r="H1122" s="5"/>
      <c r="I1122" s="5"/>
      <c r="K1122" s="3"/>
      <c r="L1122" s="3"/>
      <c r="M1122" s="3"/>
      <c r="N1122" s="5"/>
      <c r="S1122" s="3"/>
      <c r="T1122" s="3"/>
      <c r="U1122" s="3"/>
      <c r="V1122" s="3"/>
      <c r="W1122" s="3"/>
      <c r="X1122" s="3"/>
      <c r="Y1122" s="3"/>
      <c r="AF1122" s="3"/>
      <c r="AN1122" s="3"/>
      <c r="AO1122" s="82"/>
      <c r="AP1122" s="82"/>
      <c r="AQ1122" s="82"/>
      <c r="AR1122" s="82"/>
      <c r="AS1122" s="82"/>
      <c r="AT1122" s="82"/>
      <c r="AU1122" s="82"/>
    </row>
    <row r="1123" spans="4:47" ht="18.600000000000001" customHeight="1" x14ac:dyDescent="0.25">
      <c r="D1123" s="9"/>
      <c r="E1123" s="5"/>
      <c r="F1123" s="5"/>
      <c r="G1123" s="5"/>
      <c r="H1123" s="5"/>
      <c r="I1123" s="5"/>
      <c r="K1123" s="3"/>
      <c r="L1123" s="3"/>
      <c r="M1123" s="3"/>
      <c r="N1123" s="5"/>
      <c r="S1123" s="3"/>
      <c r="T1123" s="3"/>
      <c r="U1123" s="3"/>
      <c r="V1123" s="3"/>
      <c r="W1123" s="3"/>
      <c r="X1123" s="3"/>
      <c r="Y1123" s="3"/>
      <c r="AF1123" s="3"/>
      <c r="AN1123" s="3"/>
      <c r="AO1123" s="82"/>
      <c r="AP1123" s="82"/>
      <c r="AQ1123" s="82"/>
      <c r="AR1123" s="82"/>
      <c r="AS1123" s="82"/>
      <c r="AT1123" s="82"/>
      <c r="AU1123" s="82"/>
    </row>
    <row r="1124" spans="4:47" ht="18.600000000000001" customHeight="1" x14ac:dyDescent="0.25">
      <c r="D1124" s="9"/>
      <c r="E1124" s="5"/>
      <c r="F1124" s="5"/>
      <c r="G1124" s="5"/>
      <c r="H1124" s="5"/>
      <c r="I1124" s="5"/>
      <c r="K1124" s="3"/>
      <c r="L1124" s="3"/>
      <c r="M1124" s="3"/>
      <c r="N1124" s="5"/>
      <c r="S1124" s="3"/>
      <c r="T1124" s="3"/>
      <c r="U1124" s="3"/>
      <c r="V1124" s="3"/>
      <c r="W1124" s="3"/>
      <c r="X1124" s="3"/>
      <c r="Y1124" s="3"/>
      <c r="AF1124" s="3"/>
      <c r="AN1124" s="3"/>
      <c r="AO1124" s="82"/>
      <c r="AP1124" s="82"/>
      <c r="AQ1124" s="82"/>
      <c r="AR1124" s="82"/>
      <c r="AS1124" s="82"/>
      <c r="AT1124" s="82"/>
      <c r="AU1124" s="82"/>
    </row>
    <row r="1125" spans="4:47" ht="18.600000000000001" customHeight="1" x14ac:dyDescent="0.25">
      <c r="D1125" s="9"/>
      <c r="E1125" s="5"/>
      <c r="F1125" s="5"/>
      <c r="G1125" s="5"/>
      <c r="H1125" s="5"/>
      <c r="I1125" s="5"/>
      <c r="K1125" s="3"/>
      <c r="L1125" s="3"/>
      <c r="M1125" s="3"/>
      <c r="N1125" s="5"/>
      <c r="S1125" s="3"/>
      <c r="T1125" s="3"/>
      <c r="U1125" s="3"/>
      <c r="V1125" s="3"/>
      <c r="W1125" s="3"/>
      <c r="X1125" s="3"/>
      <c r="Y1125" s="3"/>
      <c r="AF1125" s="3"/>
      <c r="AN1125" s="3"/>
      <c r="AO1125" s="82"/>
      <c r="AP1125" s="82"/>
      <c r="AQ1125" s="82"/>
      <c r="AR1125" s="82"/>
      <c r="AS1125" s="82"/>
      <c r="AT1125" s="82"/>
      <c r="AU1125" s="82"/>
    </row>
    <row r="1126" spans="4:47" ht="18.600000000000001" customHeight="1" x14ac:dyDescent="0.25">
      <c r="D1126" s="9"/>
      <c r="E1126" s="5"/>
      <c r="F1126" s="5"/>
      <c r="G1126" s="5"/>
      <c r="H1126" s="5"/>
      <c r="I1126" s="5"/>
      <c r="K1126" s="3"/>
      <c r="L1126" s="3"/>
      <c r="M1126" s="3"/>
      <c r="N1126" s="5"/>
      <c r="S1126" s="3"/>
      <c r="T1126" s="3"/>
      <c r="U1126" s="3"/>
      <c r="V1126" s="3"/>
      <c r="W1126" s="3"/>
      <c r="X1126" s="3"/>
      <c r="Y1126" s="3"/>
      <c r="AF1126" s="3"/>
      <c r="AN1126" s="3"/>
      <c r="AO1126" s="82"/>
      <c r="AP1126" s="82"/>
      <c r="AQ1126" s="82"/>
      <c r="AR1126" s="82"/>
      <c r="AS1126" s="82"/>
      <c r="AT1126" s="82"/>
      <c r="AU1126" s="82"/>
    </row>
    <row r="1127" spans="4:47" ht="18.600000000000001" customHeight="1" x14ac:dyDescent="0.25">
      <c r="D1127" s="9"/>
      <c r="E1127" s="5"/>
      <c r="F1127" s="5"/>
      <c r="G1127" s="5"/>
      <c r="H1127" s="5"/>
      <c r="I1127" s="5"/>
      <c r="K1127" s="3"/>
      <c r="L1127" s="3"/>
      <c r="M1127" s="3"/>
      <c r="N1127" s="5"/>
      <c r="S1127" s="3"/>
      <c r="T1127" s="3"/>
      <c r="U1127" s="3"/>
      <c r="V1127" s="3"/>
      <c r="W1127" s="3"/>
      <c r="X1127" s="3"/>
      <c r="Y1127" s="3"/>
      <c r="AF1127" s="3"/>
      <c r="AN1127" s="3"/>
      <c r="AO1127" s="82"/>
      <c r="AP1127" s="82"/>
      <c r="AQ1127" s="82"/>
      <c r="AR1127" s="82"/>
      <c r="AS1127" s="82"/>
      <c r="AT1127" s="82"/>
      <c r="AU1127" s="82"/>
    </row>
    <row r="1128" spans="4:47" ht="18.600000000000001" customHeight="1" x14ac:dyDescent="0.25">
      <c r="D1128" s="9"/>
      <c r="E1128" s="5"/>
      <c r="F1128" s="5"/>
      <c r="G1128" s="5"/>
      <c r="H1128" s="5"/>
      <c r="I1128" s="5"/>
      <c r="K1128" s="3"/>
      <c r="L1128" s="3"/>
      <c r="M1128" s="3"/>
      <c r="N1128" s="5"/>
      <c r="S1128" s="3"/>
      <c r="T1128" s="3"/>
      <c r="U1128" s="3"/>
      <c r="V1128" s="3"/>
      <c r="W1128" s="3"/>
      <c r="X1128" s="3"/>
      <c r="Y1128" s="3"/>
      <c r="AF1128" s="3"/>
      <c r="AN1128" s="3"/>
      <c r="AO1128" s="82"/>
      <c r="AP1128" s="82"/>
      <c r="AQ1128" s="82"/>
      <c r="AR1128" s="82"/>
      <c r="AS1128" s="82"/>
      <c r="AT1128" s="82"/>
      <c r="AU1128" s="82"/>
    </row>
    <row r="1129" spans="4:47" ht="18.600000000000001" customHeight="1" x14ac:dyDescent="0.25">
      <c r="D1129" s="9"/>
      <c r="E1129" s="5"/>
      <c r="F1129" s="5"/>
      <c r="G1129" s="5"/>
      <c r="H1129" s="5"/>
      <c r="I1129" s="5"/>
      <c r="K1129" s="3"/>
      <c r="L1129" s="3"/>
      <c r="M1129" s="3"/>
      <c r="N1129" s="5"/>
      <c r="S1129" s="3"/>
      <c r="T1129" s="3"/>
      <c r="U1129" s="3"/>
      <c r="V1129" s="3"/>
      <c r="W1129" s="3"/>
      <c r="X1129" s="3"/>
      <c r="Y1129" s="3"/>
      <c r="AF1129" s="3"/>
      <c r="AN1129" s="3"/>
      <c r="AO1129" s="82"/>
      <c r="AP1129" s="82"/>
      <c r="AQ1129" s="82"/>
      <c r="AR1129" s="82"/>
      <c r="AS1129" s="82"/>
      <c r="AT1129" s="82"/>
      <c r="AU1129" s="82"/>
    </row>
    <row r="1130" spans="4:47" ht="18.600000000000001" customHeight="1" x14ac:dyDescent="0.25">
      <c r="D1130" s="9"/>
      <c r="E1130" s="5"/>
      <c r="F1130" s="5"/>
      <c r="G1130" s="5"/>
      <c r="H1130" s="5"/>
      <c r="I1130" s="5"/>
      <c r="K1130" s="3"/>
      <c r="L1130" s="3"/>
      <c r="M1130" s="3"/>
      <c r="N1130" s="5"/>
      <c r="S1130" s="3"/>
      <c r="T1130" s="3"/>
      <c r="U1130" s="3"/>
      <c r="V1130" s="3"/>
      <c r="W1130" s="3"/>
      <c r="X1130" s="3"/>
      <c r="Y1130" s="3"/>
      <c r="AF1130" s="3"/>
      <c r="AN1130" s="3"/>
      <c r="AO1130" s="82"/>
      <c r="AP1130" s="82"/>
      <c r="AQ1130" s="82"/>
      <c r="AR1130" s="82"/>
      <c r="AS1130" s="82"/>
      <c r="AT1130" s="82"/>
      <c r="AU1130" s="82"/>
    </row>
    <row r="1131" spans="4:47" ht="18.600000000000001" customHeight="1" x14ac:dyDescent="0.25">
      <c r="D1131" s="9"/>
      <c r="E1131" s="5"/>
      <c r="F1131" s="5"/>
      <c r="G1131" s="5"/>
      <c r="H1131" s="5"/>
      <c r="I1131" s="5"/>
      <c r="K1131" s="3"/>
      <c r="L1131" s="3"/>
      <c r="M1131" s="3"/>
      <c r="N1131" s="5"/>
      <c r="S1131" s="3"/>
      <c r="T1131" s="3"/>
      <c r="U1131" s="3"/>
      <c r="V1131" s="3"/>
      <c r="W1131" s="3"/>
      <c r="X1131" s="3"/>
      <c r="Y1131" s="3"/>
      <c r="AF1131" s="3"/>
      <c r="AN1131" s="3"/>
      <c r="AO1131" s="82"/>
      <c r="AP1131" s="82"/>
      <c r="AQ1131" s="82"/>
      <c r="AR1131" s="82"/>
      <c r="AS1131" s="82"/>
      <c r="AT1131" s="82"/>
      <c r="AU1131" s="82"/>
    </row>
    <row r="1132" spans="4:47" ht="18.600000000000001" customHeight="1" x14ac:dyDescent="0.25">
      <c r="D1132" s="9"/>
      <c r="E1132" s="5"/>
      <c r="F1132" s="5"/>
      <c r="G1132" s="5"/>
      <c r="H1132" s="5"/>
      <c r="I1132" s="5"/>
      <c r="K1132" s="3"/>
      <c r="L1132" s="3"/>
      <c r="M1132" s="3"/>
      <c r="N1132" s="5"/>
      <c r="S1132" s="3"/>
      <c r="T1132" s="3"/>
      <c r="U1132" s="3"/>
      <c r="V1132" s="3"/>
      <c r="W1132" s="3"/>
      <c r="X1132" s="3"/>
      <c r="Y1132" s="3"/>
      <c r="AF1132" s="3"/>
      <c r="AN1132" s="3"/>
      <c r="AO1132" s="82"/>
      <c r="AP1132" s="82"/>
      <c r="AQ1132" s="82"/>
      <c r="AR1132" s="82"/>
      <c r="AS1132" s="82"/>
      <c r="AT1132" s="82"/>
      <c r="AU1132" s="82"/>
    </row>
    <row r="1133" spans="4:47" ht="18.600000000000001" customHeight="1" x14ac:dyDescent="0.25">
      <c r="D1133" s="9"/>
      <c r="E1133" s="5"/>
      <c r="F1133" s="5"/>
      <c r="G1133" s="5"/>
      <c r="H1133" s="5"/>
      <c r="I1133" s="5"/>
      <c r="K1133" s="3"/>
      <c r="L1133" s="3"/>
      <c r="M1133" s="3"/>
      <c r="N1133" s="5"/>
      <c r="S1133" s="3"/>
      <c r="T1133" s="3"/>
      <c r="U1133" s="3"/>
      <c r="V1133" s="3"/>
      <c r="W1133" s="3"/>
      <c r="X1133" s="3"/>
      <c r="Y1133" s="3"/>
      <c r="AF1133" s="3"/>
      <c r="AN1133" s="3"/>
      <c r="AO1133" s="82"/>
      <c r="AP1133" s="82"/>
      <c r="AQ1133" s="82"/>
      <c r="AR1133" s="82"/>
      <c r="AS1133" s="82"/>
      <c r="AT1133" s="82"/>
      <c r="AU1133" s="82"/>
    </row>
    <row r="1134" spans="4:47" ht="18.600000000000001" customHeight="1" x14ac:dyDescent="0.25">
      <c r="D1134" s="9"/>
      <c r="E1134" s="5"/>
      <c r="F1134" s="5"/>
      <c r="G1134" s="5"/>
      <c r="H1134" s="5"/>
      <c r="I1134" s="5"/>
      <c r="K1134" s="3"/>
      <c r="L1134" s="3"/>
      <c r="M1134" s="3"/>
      <c r="N1134" s="5"/>
      <c r="S1134" s="3"/>
      <c r="T1134" s="3"/>
      <c r="U1134" s="3"/>
      <c r="V1134" s="3"/>
      <c r="W1134" s="3"/>
      <c r="X1134" s="3"/>
      <c r="Y1134" s="3"/>
      <c r="AF1134" s="3"/>
      <c r="AN1134" s="3"/>
      <c r="AO1134" s="82"/>
      <c r="AP1134" s="82"/>
      <c r="AQ1134" s="82"/>
      <c r="AR1134" s="82"/>
      <c r="AS1134" s="82"/>
      <c r="AT1134" s="82"/>
      <c r="AU1134" s="82"/>
    </row>
    <row r="1135" spans="4:47" ht="18.600000000000001" customHeight="1" x14ac:dyDescent="0.25">
      <c r="D1135" s="9"/>
      <c r="E1135" s="5"/>
      <c r="F1135" s="5"/>
      <c r="G1135" s="5"/>
      <c r="H1135" s="5"/>
      <c r="I1135" s="5"/>
      <c r="K1135" s="3"/>
      <c r="L1135" s="3"/>
      <c r="M1135" s="3"/>
      <c r="N1135" s="5"/>
      <c r="S1135" s="3"/>
      <c r="T1135" s="3"/>
      <c r="U1135" s="3"/>
      <c r="V1135" s="3"/>
      <c r="W1135" s="3"/>
      <c r="X1135" s="3"/>
      <c r="Y1135" s="3"/>
      <c r="AF1135" s="3"/>
      <c r="AN1135" s="3"/>
      <c r="AO1135" s="82"/>
      <c r="AP1135" s="82"/>
      <c r="AQ1135" s="82"/>
      <c r="AR1135" s="82"/>
      <c r="AS1135" s="82"/>
      <c r="AT1135" s="82"/>
      <c r="AU1135" s="82"/>
    </row>
    <row r="1136" spans="4:47" ht="18.600000000000001" customHeight="1" x14ac:dyDescent="0.25">
      <c r="D1136" s="9"/>
      <c r="E1136" s="5"/>
      <c r="F1136" s="5"/>
      <c r="G1136" s="5"/>
      <c r="H1136" s="5"/>
      <c r="I1136" s="5"/>
      <c r="K1136" s="3"/>
      <c r="L1136" s="3"/>
      <c r="M1136" s="3"/>
      <c r="N1136" s="5"/>
      <c r="S1136" s="3"/>
      <c r="T1136" s="3"/>
      <c r="U1136" s="3"/>
      <c r="V1136" s="3"/>
      <c r="W1136" s="3"/>
      <c r="X1136" s="3"/>
      <c r="Y1136" s="3"/>
      <c r="AF1136" s="3"/>
      <c r="AN1136" s="3"/>
      <c r="AO1136" s="82"/>
      <c r="AP1136" s="82"/>
      <c r="AQ1136" s="82"/>
      <c r="AR1136" s="82"/>
      <c r="AS1136" s="82"/>
      <c r="AT1136" s="82"/>
      <c r="AU1136" s="82"/>
    </row>
    <row r="1137" spans="4:47" ht="18.600000000000001" customHeight="1" x14ac:dyDescent="0.25">
      <c r="D1137" s="9"/>
      <c r="E1137" s="5"/>
      <c r="F1137" s="5"/>
      <c r="G1137" s="5"/>
      <c r="H1137" s="5"/>
      <c r="I1137" s="5"/>
      <c r="K1137" s="3"/>
      <c r="L1137" s="3"/>
      <c r="M1137" s="3"/>
      <c r="N1137" s="5"/>
      <c r="S1137" s="3"/>
      <c r="T1137" s="3"/>
      <c r="U1137" s="3"/>
      <c r="V1137" s="3"/>
      <c r="W1137" s="3"/>
      <c r="X1137" s="3"/>
      <c r="Y1137" s="3"/>
      <c r="AF1137" s="3"/>
      <c r="AN1137" s="3"/>
      <c r="AO1137" s="82"/>
      <c r="AP1137" s="82"/>
      <c r="AQ1137" s="82"/>
      <c r="AR1137" s="82"/>
      <c r="AS1137" s="82"/>
      <c r="AT1137" s="82"/>
      <c r="AU1137" s="82"/>
    </row>
    <row r="1138" spans="4:47" ht="18.600000000000001" customHeight="1" x14ac:dyDescent="0.25">
      <c r="D1138" s="9"/>
      <c r="E1138" s="5"/>
      <c r="F1138" s="5"/>
      <c r="G1138" s="5"/>
      <c r="H1138" s="5"/>
      <c r="I1138" s="5"/>
      <c r="K1138" s="3"/>
      <c r="L1138" s="3"/>
      <c r="M1138" s="3"/>
      <c r="N1138" s="5"/>
      <c r="S1138" s="3"/>
      <c r="T1138" s="3"/>
      <c r="U1138" s="3"/>
      <c r="V1138" s="3"/>
      <c r="W1138" s="3"/>
      <c r="X1138" s="3"/>
      <c r="Y1138" s="3"/>
      <c r="AF1138" s="3"/>
      <c r="AN1138" s="3"/>
      <c r="AO1138" s="82"/>
      <c r="AP1138" s="82"/>
      <c r="AQ1138" s="82"/>
      <c r="AR1138" s="82"/>
      <c r="AS1138" s="82"/>
      <c r="AT1138" s="82"/>
      <c r="AU1138" s="82"/>
    </row>
    <row r="1139" spans="4:47" ht="18.600000000000001" customHeight="1" x14ac:dyDescent="0.25">
      <c r="D1139" s="9"/>
      <c r="E1139" s="5"/>
      <c r="F1139" s="5"/>
      <c r="G1139" s="5"/>
      <c r="H1139" s="5"/>
      <c r="I1139" s="5"/>
      <c r="K1139" s="3"/>
      <c r="L1139" s="3"/>
      <c r="M1139" s="3"/>
      <c r="N1139" s="5"/>
      <c r="S1139" s="3"/>
      <c r="T1139" s="3"/>
      <c r="U1139" s="3"/>
      <c r="V1139" s="3"/>
      <c r="W1139" s="3"/>
      <c r="X1139" s="3"/>
      <c r="Y1139" s="3"/>
      <c r="AF1139" s="3"/>
      <c r="AN1139" s="3"/>
      <c r="AO1139" s="82"/>
      <c r="AP1139" s="82"/>
      <c r="AQ1139" s="82"/>
      <c r="AR1139" s="82"/>
      <c r="AS1139" s="82"/>
      <c r="AT1139" s="82"/>
      <c r="AU1139" s="82"/>
    </row>
    <row r="1140" spans="4:47" ht="18.600000000000001" customHeight="1" x14ac:dyDescent="0.25">
      <c r="D1140" s="9"/>
      <c r="E1140" s="5"/>
      <c r="F1140" s="5"/>
      <c r="G1140" s="5"/>
      <c r="H1140" s="5"/>
      <c r="I1140" s="5"/>
      <c r="K1140" s="3"/>
      <c r="L1140" s="3"/>
      <c r="M1140" s="3"/>
      <c r="N1140" s="5"/>
      <c r="S1140" s="3"/>
      <c r="T1140" s="3"/>
      <c r="U1140" s="3"/>
      <c r="V1140" s="3"/>
      <c r="W1140" s="3"/>
      <c r="X1140" s="3"/>
      <c r="Y1140" s="3"/>
      <c r="AF1140" s="3"/>
      <c r="AN1140" s="3"/>
      <c r="AO1140" s="82"/>
      <c r="AP1140" s="82"/>
      <c r="AQ1140" s="82"/>
      <c r="AR1140" s="82"/>
      <c r="AS1140" s="82"/>
      <c r="AT1140" s="82"/>
      <c r="AU1140" s="82"/>
    </row>
    <row r="1141" spans="4:47" ht="18.600000000000001" customHeight="1" x14ac:dyDescent="0.25">
      <c r="D1141" s="9"/>
      <c r="E1141" s="5"/>
      <c r="F1141" s="5"/>
      <c r="G1141" s="5"/>
      <c r="H1141" s="5"/>
      <c r="I1141" s="5"/>
      <c r="K1141" s="3"/>
      <c r="L1141" s="3"/>
      <c r="M1141" s="3"/>
      <c r="N1141" s="5"/>
      <c r="S1141" s="3"/>
      <c r="T1141" s="3"/>
      <c r="U1141" s="3"/>
      <c r="V1141" s="3"/>
      <c r="W1141" s="3"/>
      <c r="X1141" s="3"/>
      <c r="Y1141" s="3"/>
      <c r="AF1141" s="3"/>
      <c r="AN1141" s="3"/>
      <c r="AO1141" s="82"/>
      <c r="AP1141" s="82"/>
      <c r="AQ1141" s="82"/>
      <c r="AR1141" s="82"/>
      <c r="AS1141" s="82"/>
      <c r="AT1141" s="82"/>
      <c r="AU1141" s="82"/>
    </row>
    <row r="1142" spans="4:47" ht="18.600000000000001" customHeight="1" x14ac:dyDescent="0.25">
      <c r="D1142" s="9"/>
      <c r="E1142" s="5"/>
      <c r="F1142" s="5"/>
      <c r="G1142" s="5"/>
      <c r="H1142" s="5"/>
      <c r="I1142" s="5"/>
      <c r="K1142" s="3"/>
      <c r="L1142" s="3"/>
      <c r="M1142" s="3"/>
      <c r="N1142" s="5"/>
      <c r="S1142" s="3"/>
      <c r="T1142" s="3"/>
      <c r="U1142" s="3"/>
      <c r="V1142" s="3"/>
      <c r="W1142" s="3"/>
      <c r="X1142" s="3"/>
      <c r="Y1142" s="3"/>
      <c r="AF1142" s="3"/>
      <c r="AN1142" s="3"/>
      <c r="AO1142" s="82"/>
      <c r="AP1142" s="82"/>
      <c r="AQ1142" s="82"/>
      <c r="AR1142" s="82"/>
      <c r="AS1142" s="82"/>
      <c r="AT1142" s="82"/>
      <c r="AU1142" s="82"/>
    </row>
    <row r="1143" spans="4:47" ht="18.600000000000001" customHeight="1" x14ac:dyDescent="0.25">
      <c r="D1143" s="9"/>
      <c r="E1143" s="5"/>
      <c r="F1143" s="5"/>
      <c r="G1143" s="5"/>
      <c r="H1143" s="5"/>
      <c r="I1143" s="5"/>
      <c r="K1143" s="3"/>
      <c r="L1143" s="3"/>
      <c r="M1143" s="3"/>
      <c r="N1143" s="5"/>
      <c r="S1143" s="3"/>
      <c r="T1143" s="3"/>
      <c r="U1143" s="3"/>
      <c r="V1143" s="3"/>
      <c r="W1143" s="3"/>
      <c r="X1143" s="3"/>
      <c r="Y1143" s="3"/>
      <c r="AF1143" s="3"/>
      <c r="AN1143" s="3"/>
      <c r="AO1143" s="82"/>
      <c r="AP1143" s="82"/>
      <c r="AQ1143" s="82"/>
      <c r="AR1143" s="82"/>
      <c r="AS1143" s="82"/>
      <c r="AT1143" s="82"/>
      <c r="AU1143" s="82"/>
    </row>
    <row r="1144" spans="4:47" ht="18.600000000000001" customHeight="1" x14ac:dyDescent="0.25">
      <c r="D1144" s="9"/>
      <c r="E1144" s="5"/>
      <c r="F1144" s="5"/>
      <c r="G1144" s="5"/>
      <c r="H1144" s="5"/>
      <c r="I1144" s="5"/>
      <c r="K1144" s="3"/>
      <c r="L1144" s="3"/>
      <c r="M1144" s="3"/>
      <c r="N1144" s="5"/>
      <c r="S1144" s="3"/>
      <c r="T1144" s="3"/>
      <c r="U1144" s="3"/>
      <c r="V1144" s="3"/>
      <c r="W1144" s="3"/>
      <c r="X1144" s="3"/>
      <c r="Y1144" s="3"/>
      <c r="AF1144" s="3"/>
      <c r="AN1144" s="3"/>
      <c r="AO1144" s="82"/>
      <c r="AP1144" s="82"/>
      <c r="AQ1144" s="82"/>
      <c r="AR1144" s="82"/>
      <c r="AS1144" s="82"/>
      <c r="AT1144" s="82"/>
      <c r="AU1144" s="82"/>
    </row>
    <row r="1145" spans="4:47" ht="18.600000000000001" customHeight="1" x14ac:dyDescent="0.25">
      <c r="D1145" s="9"/>
      <c r="E1145" s="5"/>
      <c r="F1145" s="5"/>
      <c r="G1145" s="5"/>
      <c r="H1145" s="5"/>
      <c r="I1145" s="5"/>
      <c r="K1145" s="3"/>
      <c r="L1145" s="3"/>
      <c r="M1145" s="3"/>
      <c r="N1145" s="5"/>
      <c r="S1145" s="3"/>
      <c r="T1145" s="3"/>
      <c r="U1145" s="3"/>
      <c r="V1145" s="3"/>
      <c r="W1145" s="3"/>
      <c r="X1145" s="3"/>
      <c r="Y1145" s="3"/>
      <c r="AF1145" s="3"/>
      <c r="AN1145" s="3"/>
      <c r="AO1145" s="82"/>
      <c r="AP1145" s="82"/>
      <c r="AQ1145" s="82"/>
      <c r="AR1145" s="82"/>
      <c r="AS1145" s="82"/>
      <c r="AT1145" s="82"/>
      <c r="AU1145" s="82"/>
    </row>
    <row r="1146" spans="4:47" ht="18.600000000000001" customHeight="1" x14ac:dyDescent="0.25">
      <c r="D1146" s="9"/>
      <c r="E1146" s="5"/>
      <c r="F1146" s="5"/>
      <c r="G1146" s="5"/>
      <c r="H1146" s="5"/>
      <c r="I1146" s="5"/>
      <c r="K1146" s="3"/>
      <c r="L1146" s="3"/>
      <c r="M1146" s="3"/>
      <c r="N1146" s="5"/>
      <c r="S1146" s="3"/>
      <c r="T1146" s="3"/>
      <c r="U1146" s="3"/>
      <c r="V1146" s="3"/>
      <c r="W1146" s="3"/>
      <c r="X1146" s="3"/>
      <c r="Y1146" s="3"/>
      <c r="AF1146" s="3"/>
      <c r="AN1146" s="3"/>
      <c r="AO1146" s="82"/>
      <c r="AP1146" s="82"/>
      <c r="AQ1146" s="82"/>
      <c r="AR1146" s="82"/>
      <c r="AS1146" s="82"/>
      <c r="AT1146" s="82"/>
      <c r="AU1146" s="82"/>
    </row>
    <row r="1147" spans="4:47" ht="18.600000000000001" customHeight="1" x14ac:dyDescent="0.25">
      <c r="D1147" s="9"/>
      <c r="E1147" s="5"/>
      <c r="F1147" s="5"/>
      <c r="G1147" s="5"/>
      <c r="H1147" s="5"/>
      <c r="I1147" s="5"/>
      <c r="K1147" s="3"/>
      <c r="L1147" s="3"/>
      <c r="M1147" s="3"/>
      <c r="N1147" s="5"/>
      <c r="S1147" s="3"/>
      <c r="T1147" s="3"/>
      <c r="U1147" s="3"/>
      <c r="V1147" s="3"/>
      <c r="W1147" s="3"/>
      <c r="X1147" s="3"/>
      <c r="Y1147" s="3"/>
      <c r="AF1147" s="3"/>
      <c r="AN1147" s="3"/>
      <c r="AO1147" s="82"/>
      <c r="AP1147" s="82"/>
      <c r="AQ1147" s="82"/>
      <c r="AR1147" s="82"/>
      <c r="AS1147" s="82"/>
      <c r="AT1147" s="82"/>
      <c r="AU1147" s="82"/>
    </row>
    <row r="1148" spans="4:47" ht="18.600000000000001" customHeight="1" x14ac:dyDescent="0.25">
      <c r="D1148" s="9"/>
      <c r="E1148" s="5"/>
      <c r="F1148" s="5"/>
      <c r="G1148" s="5"/>
      <c r="H1148" s="5"/>
      <c r="I1148" s="5"/>
      <c r="K1148" s="3"/>
      <c r="L1148" s="3"/>
      <c r="M1148" s="3"/>
      <c r="N1148" s="5"/>
      <c r="S1148" s="3"/>
      <c r="T1148" s="3"/>
      <c r="U1148" s="3"/>
      <c r="V1148" s="3"/>
      <c r="W1148" s="3"/>
      <c r="X1148" s="3"/>
      <c r="Y1148" s="3"/>
      <c r="AF1148" s="3"/>
      <c r="AN1148" s="3"/>
      <c r="AO1148" s="82"/>
      <c r="AP1148" s="82"/>
      <c r="AQ1148" s="82"/>
      <c r="AR1148" s="82"/>
      <c r="AS1148" s="82"/>
      <c r="AT1148" s="82"/>
      <c r="AU1148" s="82"/>
    </row>
    <row r="1149" spans="4:47" ht="18.600000000000001" customHeight="1" x14ac:dyDescent="0.25">
      <c r="D1149" s="9"/>
      <c r="E1149" s="5"/>
      <c r="F1149" s="5"/>
      <c r="G1149" s="5"/>
      <c r="H1149" s="5"/>
      <c r="I1149" s="5"/>
      <c r="K1149" s="3"/>
      <c r="L1149" s="3"/>
      <c r="M1149" s="3"/>
      <c r="N1149" s="5"/>
      <c r="S1149" s="3"/>
      <c r="T1149" s="3"/>
      <c r="U1149" s="3"/>
      <c r="V1149" s="3"/>
      <c r="W1149" s="3"/>
      <c r="X1149" s="3"/>
      <c r="Y1149" s="3"/>
      <c r="AF1149" s="3"/>
      <c r="AN1149" s="3"/>
      <c r="AO1149" s="82"/>
      <c r="AP1149" s="82"/>
      <c r="AQ1149" s="82"/>
      <c r="AR1149" s="82"/>
      <c r="AS1149" s="82"/>
      <c r="AT1149" s="82"/>
      <c r="AU1149" s="82"/>
    </row>
    <row r="1150" spans="4:47" ht="18.600000000000001" customHeight="1" x14ac:dyDescent="0.25">
      <c r="D1150" s="9"/>
      <c r="E1150" s="5"/>
      <c r="F1150" s="5"/>
      <c r="G1150" s="5"/>
      <c r="H1150" s="5"/>
      <c r="I1150" s="5"/>
      <c r="K1150" s="3"/>
      <c r="L1150" s="3"/>
      <c r="M1150" s="3"/>
      <c r="N1150" s="5"/>
      <c r="S1150" s="3"/>
      <c r="T1150" s="3"/>
      <c r="U1150" s="3"/>
      <c r="V1150" s="3"/>
      <c r="W1150" s="3"/>
      <c r="X1150" s="3"/>
      <c r="Y1150" s="3"/>
      <c r="AF1150" s="3"/>
      <c r="AN1150" s="3"/>
      <c r="AO1150" s="82"/>
      <c r="AP1150" s="82"/>
      <c r="AQ1150" s="82"/>
      <c r="AR1150" s="82"/>
      <c r="AS1150" s="82"/>
      <c r="AT1150" s="82"/>
      <c r="AU1150" s="82"/>
    </row>
    <row r="1151" spans="4:47" ht="18.600000000000001" customHeight="1" x14ac:dyDescent="0.25">
      <c r="D1151" s="9"/>
      <c r="E1151" s="5"/>
      <c r="F1151" s="5"/>
      <c r="G1151" s="5"/>
      <c r="H1151" s="5"/>
      <c r="I1151" s="5"/>
      <c r="K1151" s="3"/>
      <c r="L1151" s="3"/>
      <c r="M1151" s="3"/>
      <c r="N1151" s="5"/>
      <c r="S1151" s="3"/>
      <c r="T1151" s="3"/>
      <c r="U1151" s="3"/>
      <c r="V1151" s="3"/>
      <c r="W1151" s="3"/>
      <c r="X1151" s="3"/>
      <c r="Y1151" s="3"/>
      <c r="AF1151" s="3"/>
      <c r="AN1151" s="3"/>
      <c r="AO1151" s="82"/>
      <c r="AP1151" s="82"/>
      <c r="AQ1151" s="82"/>
      <c r="AR1151" s="82"/>
      <c r="AS1151" s="82"/>
      <c r="AT1151" s="82"/>
      <c r="AU1151" s="82"/>
    </row>
    <row r="1152" spans="4:47" ht="18.600000000000001" customHeight="1" x14ac:dyDescent="0.25">
      <c r="D1152" s="9"/>
      <c r="E1152" s="5"/>
      <c r="F1152" s="5"/>
      <c r="G1152" s="5"/>
      <c r="H1152" s="5"/>
      <c r="I1152" s="5"/>
      <c r="K1152" s="3"/>
      <c r="L1152" s="3"/>
      <c r="M1152" s="3"/>
      <c r="N1152" s="5"/>
      <c r="S1152" s="3"/>
      <c r="T1152" s="3"/>
      <c r="U1152" s="3"/>
      <c r="V1152" s="3"/>
      <c r="W1152" s="3"/>
      <c r="X1152" s="3"/>
      <c r="Y1152" s="3"/>
      <c r="AF1152" s="3"/>
      <c r="AN1152" s="3"/>
      <c r="AO1152" s="82"/>
      <c r="AP1152" s="82"/>
      <c r="AQ1152" s="82"/>
      <c r="AR1152" s="82"/>
      <c r="AS1152" s="82"/>
      <c r="AT1152" s="82"/>
      <c r="AU1152" s="82"/>
    </row>
    <row r="1153" spans="4:47" ht="18.600000000000001" customHeight="1" x14ac:dyDescent="0.25">
      <c r="D1153" s="9"/>
      <c r="E1153" s="5"/>
      <c r="F1153" s="5"/>
      <c r="G1153" s="5"/>
      <c r="H1153" s="5"/>
      <c r="I1153" s="5"/>
      <c r="K1153" s="3"/>
      <c r="L1153" s="3"/>
      <c r="M1153" s="3"/>
      <c r="N1153" s="5"/>
      <c r="S1153" s="3"/>
      <c r="T1153" s="3"/>
      <c r="U1153" s="3"/>
      <c r="V1153" s="3"/>
      <c r="W1153" s="3"/>
      <c r="X1153" s="3"/>
      <c r="Y1153" s="3"/>
      <c r="AF1153" s="3"/>
      <c r="AN1153" s="3"/>
      <c r="AO1153" s="82"/>
      <c r="AP1153" s="82"/>
      <c r="AQ1153" s="82"/>
      <c r="AR1153" s="82"/>
      <c r="AS1153" s="82"/>
      <c r="AT1153" s="82"/>
      <c r="AU1153" s="82"/>
    </row>
    <row r="1154" spans="4:47" ht="18.600000000000001" customHeight="1" x14ac:dyDescent="0.25">
      <c r="D1154" s="9"/>
      <c r="E1154" s="5"/>
      <c r="F1154" s="5"/>
      <c r="G1154" s="5"/>
      <c r="H1154" s="5"/>
      <c r="I1154" s="5"/>
      <c r="K1154" s="3"/>
      <c r="L1154" s="3"/>
      <c r="M1154" s="3"/>
      <c r="N1154" s="5"/>
      <c r="S1154" s="3"/>
      <c r="T1154" s="3"/>
      <c r="U1154" s="3"/>
      <c r="V1154" s="3"/>
      <c r="W1154" s="3"/>
      <c r="X1154" s="3"/>
      <c r="Y1154" s="3"/>
      <c r="AF1154" s="3"/>
      <c r="AN1154" s="3"/>
      <c r="AO1154" s="82"/>
      <c r="AP1154" s="82"/>
      <c r="AQ1154" s="82"/>
      <c r="AR1154" s="82"/>
      <c r="AS1154" s="82"/>
      <c r="AT1154" s="82"/>
      <c r="AU1154" s="82"/>
    </row>
    <row r="1155" spans="4:47" ht="18.600000000000001" customHeight="1" x14ac:dyDescent="0.25">
      <c r="D1155" s="9"/>
      <c r="E1155" s="5"/>
      <c r="F1155" s="5"/>
      <c r="G1155" s="5"/>
      <c r="H1155" s="5"/>
      <c r="I1155" s="5"/>
      <c r="K1155" s="3"/>
      <c r="L1155" s="3"/>
      <c r="M1155" s="3"/>
      <c r="N1155" s="5"/>
      <c r="S1155" s="3"/>
      <c r="T1155" s="3"/>
      <c r="U1155" s="3"/>
      <c r="V1155" s="3"/>
      <c r="W1155" s="3"/>
      <c r="X1155" s="3"/>
      <c r="Y1155" s="3"/>
      <c r="AF1155" s="3"/>
      <c r="AN1155" s="3"/>
      <c r="AO1155" s="82"/>
      <c r="AP1155" s="82"/>
      <c r="AQ1155" s="82"/>
      <c r="AR1155" s="82"/>
      <c r="AS1155" s="82"/>
      <c r="AT1155" s="82"/>
      <c r="AU1155" s="82"/>
    </row>
    <row r="1156" spans="4:47" ht="18.600000000000001" customHeight="1" x14ac:dyDescent="0.25">
      <c r="D1156" s="9"/>
      <c r="E1156" s="5"/>
      <c r="F1156" s="5"/>
      <c r="G1156" s="5"/>
      <c r="H1156" s="5"/>
      <c r="I1156" s="5"/>
      <c r="K1156" s="3"/>
      <c r="L1156" s="3"/>
      <c r="M1156" s="3"/>
      <c r="N1156" s="5"/>
      <c r="S1156" s="3"/>
      <c r="T1156" s="3"/>
      <c r="U1156" s="3"/>
      <c r="V1156" s="3"/>
      <c r="W1156" s="3"/>
      <c r="X1156" s="3"/>
      <c r="Y1156" s="3"/>
      <c r="AF1156" s="3"/>
      <c r="AN1156" s="3"/>
      <c r="AO1156" s="82"/>
      <c r="AP1156" s="82"/>
      <c r="AQ1156" s="82"/>
      <c r="AR1156" s="82"/>
      <c r="AS1156" s="82"/>
      <c r="AT1156" s="82"/>
      <c r="AU1156" s="82"/>
    </row>
    <row r="1157" spans="4:47" ht="18.600000000000001" customHeight="1" x14ac:dyDescent="0.25">
      <c r="D1157" s="9"/>
      <c r="E1157" s="5"/>
      <c r="F1157" s="5"/>
      <c r="G1157" s="5"/>
      <c r="H1157" s="5"/>
      <c r="I1157" s="5"/>
      <c r="K1157" s="3"/>
      <c r="L1157" s="3"/>
      <c r="M1157" s="3"/>
      <c r="N1157" s="5"/>
      <c r="S1157" s="3"/>
      <c r="T1157" s="3"/>
      <c r="U1157" s="3"/>
      <c r="V1157" s="3"/>
      <c r="W1157" s="3"/>
      <c r="X1157" s="3"/>
      <c r="Y1157" s="3"/>
      <c r="AF1157" s="3"/>
      <c r="AN1157" s="3"/>
      <c r="AO1157" s="82"/>
      <c r="AP1157" s="82"/>
      <c r="AQ1157" s="82"/>
      <c r="AR1157" s="82"/>
      <c r="AS1157" s="82"/>
      <c r="AT1157" s="82"/>
      <c r="AU1157" s="82"/>
    </row>
    <row r="1158" spans="4:47" ht="18.600000000000001" customHeight="1" x14ac:dyDescent="0.25">
      <c r="D1158" s="9"/>
      <c r="E1158" s="5"/>
      <c r="F1158" s="5"/>
      <c r="G1158" s="5"/>
      <c r="H1158" s="5"/>
      <c r="I1158" s="5"/>
      <c r="K1158" s="3"/>
      <c r="L1158" s="3"/>
      <c r="M1158" s="3"/>
      <c r="N1158" s="5"/>
      <c r="S1158" s="3"/>
      <c r="T1158" s="3"/>
      <c r="U1158" s="3"/>
      <c r="V1158" s="3"/>
      <c r="W1158" s="3"/>
      <c r="X1158" s="3"/>
      <c r="Y1158" s="3"/>
      <c r="AF1158" s="3"/>
      <c r="AN1158" s="3"/>
      <c r="AO1158" s="82"/>
      <c r="AP1158" s="82"/>
      <c r="AQ1158" s="82"/>
      <c r="AR1158" s="82"/>
      <c r="AS1158" s="82"/>
      <c r="AT1158" s="82"/>
      <c r="AU1158" s="82"/>
    </row>
    <row r="1159" spans="4:47" ht="18.600000000000001" customHeight="1" x14ac:dyDescent="0.25">
      <c r="D1159" s="9"/>
      <c r="E1159" s="5"/>
      <c r="F1159" s="5"/>
      <c r="G1159" s="5"/>
      <c r="H1159" s="5"/>
      <c r="I1159" s="5"/>
      <c r="K1159" s="3"/>
      <c r="L1159" s="3"/>
      <c r="M1159" s="3"/>
      <c r="N1159" s="5"/>
      <c r="S1159" s="3"/>
      <c r="T1159" s="3"/>
      <c r="U1159" s="3"/>
      <c r="V1159" s="3"/>
      <c r="W1159" s="3"/>
      <c r="X1159" s="3"/>
      <c r="Y1159" s="3"/>
      <c r="AF1159" s="3"/>
      <c r="AN1159" s="3"/>
      <c r="AO1159" s="82"/>
      <c r="AP1159" s="82"/>
      <c r="AQ1159" s="82"/>
      <c r="AR1159" s="82"/>
      <c r="AS1159" s="82"/>
      <c r="AT1159" s="82"/>
      <c r="AU1159" s="82"/>
    </row>
    <row r="1160" spans="4:47" ht="18.600000000000001" customHeight="1" x14ac:dyDescent="0.25">
      <c r="D1160" s="9"/>
      <c r="E1160" s="5"/>
      <c r="F1160" s="5"/>
      <c r="G1160" s="5"/>
      <c r="H1160" s="5"/>
      <c r="I1160" s="5"/>
      <c r="K1160" s="3"/>
      <c r="L1160" s="3"/>
      <c r="M1160" s="3"/>
      <c r="N1160" s="5"/>
      <c r="S1160" s="3"/>
      <c r="T1160" s="3"/>
      <c r="U1160" s="3"/>
      <c r="V1160" s="3"/>
      <c r="W1160" s="3"/>
      <c r="X1160" s="3"/>
      <c r="Y1160" s="3"/>
      <c r="AF1160" s="3"/>
      <c r="AN1160" s="3"/>
      <c r="AO1160" s="82"/>
      <c r="AP1160" s="82"/>
      <c r="AQ1160" s="82"/>
      <c r="AR1160" s="82"/>
      <c r="AS1160" s="82"/>
      <c r="AT1160" s="82"/>
      <c r="AU1160" s="82"/>
    </row>
    <row r="1161" spans="4:47" ht="18.600000000000001" customHeight="1" x14ac:dyDescent="0.25">
      <c r="D1161" s="9"/>
      <c r="E1161" s="5"/>
      <c r="F1161" s="5"/>
      <c r="G1161" s="5"/>
      <c r="H1161" s="5"/>
      <c r="I1161" s="5"/>
      <c r="K1161" s="3"/>
      <c r="L1161" s="3"/>
      <c r="M1161" s="3"/>
      <c r="N1161" s="5"/>
      <c r="S1161" s="3"/>
      <c r="T1161" s="3"/>
      <c r="U1161" s="3"/>
      <c r="V1161" s="3"/>
      <c r="W1161" s="3"/>
      <c r="X1161" s="3"/>
      <c r="Y1161" s="3"/>
      <c r="AF1161" s="3"/>
      <c r="AN1161" s="3"/>
      <c r="AO1161" s="82"/>
      <c r="AP1161" s="82"/>
      <c r="AQ1161" s="82"/>
      <c r="AR1161" s="82"/>
      <c r="AS1161" s="82"/>
      <c r="AT1161" s="82"/>
      <c r="AU1161" s="82"/>
    </row>
    <row r="1162" spans="4:47" ht="18.600000000000001" customHeight="1" x14ac:dyDescent="0.25">
      <c r="D1162" s="9"/>
      <c r="E1162" s="5"/>
      <c r="F1162" s="5"/>
      <c r="G1162" s="5"/>
      <c r="H1162" s="5"/>
      <c r="I1162" s="5"/>
      <c r="K1162" s="3"/>
      <c r="L1162" s="3"/>
      <c r="M1162" s="3"/>
      <c r="N1162" s="5"/>
      <c r="S1162" s="3"/>
      <c r="T1162" s="3"/>
      <c r="U1162" s="3"/>
      <c r="V1162" s="3"/>
      <c r="W1162" s="3"/>
      <c r="X1162" s="3"/>
      <c r="Y1162" s="3"/>
      <c r="AF1162" s="3"/>
      <c r="AN1162" s="3"/>
      <c r="AO1162" s="82"/>
      <c r="AP1162" s="82"/>
      <c r="AQ1162" s="82"/>
      <c r="AR1162" s="82"/>
      <c r="AS1162" s="82"/>
      <c r="AT1162" s="82"/>
      <c r="AU1162" s="82"/>
    </row>
    <row r="1163" spans="4:47" ht="18.600000000000001" customHeight="1" x14ac:dyDescent="0.25">
      <c r="D1163" s="9"/>
      <c r="E1163" s="5"/>
      <c r="F1163" s="5"/>
      <c r="G1163" s="5"/>
      <c r="H1163" s="5"/>
      <c r="I1163" s="5"/>
      <c r="K1163" s="3"/>
      <c r="L1163" s="3"/>
      <c r="M1163" s="3"/>
      <c r="N1163" s="5"/>
      <c r="S1163" s="3"/>
      <c r="T1163" s="3"/>
      <c r="U1163" s="3"/>
      <c r="V1163" s="3"/>
      <c r="W1163" s="3"/>
      <c r="X1163" s="3"/>
      <c r="Y1163" s="3"/>
      <c r="AF1163" s="3"/>
      <c r="AN1163" s="3"/>
      <c r="AO1163" s="82"/>
      <c r="AP1163" s="82"/>
      <c r="AQ1163" s="82"/>
      <c r="AR1163" s="82"/>
      <c r="AS1163" s="82"/>
      <c r="AT1163" s="82"/>
      <c r="AU1163" s="82"/>
    </row>
    <row r="1164" spans="4:47" ht="18.600000000000001" customHeight="1" x14ac:dyDescent="0.25">
      <c r="D1164" s="9"/>
      <c r="E1164" s="5"/>
      <c r="F1164" s="5"/>
      <c r="G1164" s="5"/>
      <c r="H1164" s="5"/>
      <c r="I1164" s="5"/>
      <c r="K1164" s="3"/>
      <c r="L1164" s="3"/>
      <c r="M1164" s="3"/>
      <c r="N1164" s="5"/>
      <c r="S1164" s="3"/>
      <c r="T1164" s="3"/>
      <c r="U1164" s="3"/>
      <c r="V1164" s="3"/>
      <c r="W1164" s="3"/>
      <c r="X1164" s="3"/>
      <c r="Y1164" s="3"/>
      <c r="AF1164" s="3"/>
      <c r="AN1164" s="3"/>
      <c r="AO1164" s="82"/>
      <c r="AP1164" s="82"/>
      <c r="AQ1164" s="82"/>
      <c r="AR1164" s="82"/>
      <c r="AS1164" s="82"/>
      <c r="AT1164" s="82"/>
      <c r="AU1164" s="82"/>
    </row>
    <row r="1165" spans="4:47" ht="18.600000000000001" customHeight="1" x14ac:dyDescent="0.25">
      <c r="D1165" s="9"/>
      <c r="E1165" s="5"/>
      <c r="F1165" s="5"/>
      <c r="G1165" s="5"/>
      <c r="H1165" s="5"/>
      <c r="I1165" s="5"/>
      <c r="K1165" s="3"/>
      <c r="L1165" s="3"/>
      <c r="M1165" s="3"/>
      <c r="N1165" s="5"/>
      <c r="S1165" s="3"/>
      <c r="T1165" s="3"/>
      <c r="U1165" s="3"/>
      <c r="V1165" s="3"/>
      <c r="W1165" s="3"/>
      <c r="X1165" s="3"/>
      <c r="Y1165" s="3"/>
      <c r="AF1165" s="3"/>
      <c r="AN1165" s="3"/>
      <c r="AO1165" s="82"/>
      <c r="AP1165" s="82"/>
      <c r="AQ1165" s="82"/>
      <c r="AR1165" s="82"/>
      <c r="AS1165" s="82"/>
      <c r="AT1165" s="82"/>
      <c r="AU1165" s="82"/>
    </row>
    <row r="1166" spans="4:47" ht="18.600000000000001" customHeight="1" x14ac:dyDescent="0.25">
      <c r="D1166" s="9"/>
      <c r="E1166" s="5"/>
      <c r="F1166" s="5"/>
      <c r="G1166" s="5"/>
      <c r="H1166" s="5"/>
      <c r="I1166" s="5"/>
      <c r="K1166" s="3"/>
      <c r="L1166" s="3"/>
      <c r="M1166" s="3"/>
      <c r="N1166" s="5"/>
      <c r="S1166" s="3"/>
      <c r="T1166" s="3"/>
      <c r="U1166" s="3"/>
      <c r="V1166" s="3"/>
      <c r="W1166" s="3"/>
      <c r="X1166" s="3"/>
      <c r="Y1166" s="3"/>
      <c r="AF1166" s="3"/>
      <c r="AN1166" s="3"/>
      <c r="AO1166" s="82"/>
      <c r="AP1166" s="82"/>
      <c r="AQ1166" s="82"/>
      <c r="AR1166" s="82"/>
      <c r="AS1166" s="82"/>
      <c r="AT1166" s="82"/>
      <c r="AU1166" s="82"/>
    </row>
    <row r="1167" spans="4:47" ht="18.600000000000001" customHeight="1" x14ac:dyDescent="0.25">
      <c r="D1167" s="9"/>
      <c r="E1167" s="5"/>
      <c r="F1167" s="5"/>
      <c r="G1167" s="5"/>
      <c r="H1167" s="5"/>
      <c r="I1167" s="5"/>
      <c r="K1167" s="3"/>
      <c r="L1167" s="3"/>
      <c r="M1167" s="3"/>
      <c r="N1167" s="5"/>
      <c r="S1167" s="3"/>
      <c r="T1167" s="3"/>
      <c r="U1167" s="3"/>
      <c r="V1167" s="3"/>
      <c r="W1167" s="3"/>
      <c r="X1167" s="3"/>
      <c r="Y1167" s="3"/>
      <c r="AF1167" s="3"/>
      <c r="AN1167" s="3"/>
      <c r="AO1167" s="82"/>
      <c r="AP1167" s="82"/>
      <c r="AQ1167" s="82"/>
      <c r="AR1167" s="82"/>
      <c r="AS1167" s="82"/>
      <c r="AT1167" s="82"/>
      <c r="AU1167" s="82"/>
    </row>
    <row r="1168" spans="4:47" ht="18.600000000000001" customHeight="1" x14ac:dyDescent="0.25">
      <c r="D1168" s="9"/>
      <c r="E1168" s="5"/>
      <c r="F1168" s="5"/>
      <c r="G1168" s="5"/>
      <c r="H1168" s="5"/>
      <c r="I1168" s="5"/>
      <c r="K1168" s="3"/>
      <c r="L1168" s="3"/>
      <c r="M1168" s="3"/>
      <c r="N1168" s="5"/>
      <c r="S1168" s="3"/>
      <c r="T1168" s="3"/>
      <c r="U1168" s="3"/>
      <c r="V1168" s="3"/>
      <c r="W1168" s="3"/>
      <c r="X1168" s="3"/>
      <c r="Y1168" s="3"/>
      <c r="AF1168" s="3"/>
      <c r="AN1168" s="3"/>
      <c r="AO1168" s="82"/>
      <c r="AP1168" s="82"/>
      <c r="AQ1168" s="82"/>
      <c r="AR1168" s="82"/>
      <c r="AS1168" s="82"/>
      <c r="AT1168" s="82"/>
      <c r="AU1168" s="82"/>
    </row>
    <row r="1169" spans="4:47" ht="18.600000000000001" customHeight="1" x14ac:dyDescent="0.25">
      <c r="D1169" s="9"/>
      <c r="E1169" s="5"/>
      <c r="F1169" s="5"/>
      <c r="G1169" s="5"/>
      <c r="H1169" s="5"/>
      <c r="I1169" s="5"/>
      <c r="K1169" s="3"/>
      <c r="L1169" s="3"/>
      <c r="M1169" s="3"/>
      <c r="N1169" s="5"/>
      <c r="S1169" s="3"/>
      <c r="T1169" s="3"/>
      <c r="U1169" s="3"/>
      <c r="V1169" s="3"/>
      <c r="W1169" s="3"/>
      <c r="X1169" s="3"/>
      <c r="Y1169" s="3"/>
      <c r="AF1169" s="3"/>
      <c r="AN1169" s="3"/>
      <c r="AO1169" s="82"/>
      <c r="AP1169" s="82"/>
      <c r="AQ1169" s="82"/>
      <c r="AR1169" s="82"/>
      <c r="AS1169" s="82"/>
      <c r="AT1169" s="82"/>
      <c r="AU1169" s="82"/>
    </row>
    <row r="1170" spans="4:47" ht="18.600000000000001" customHeight="1" x14ac:dyDescent="0.25">
      <c r="D1170" s="9"/>
      <c r="E1170" s="5"/>
      <c r="F1170" s="5"/>
      <c r="G1170" s="5"/>
      <c r="H1170" s="5"/>
      <c r="I1170" s="5"/>
      <c r="K1170" s="3"/>
      <c r="L1170" s="3"/>
      <c r="M1170" s="3"/>
      <c r="N1170" s="5"/>
      <c r="S1170" s="3"/>
      <c r="T1170" s="3"/>
      <c r="U1170" s="3"/>
      <c r="V1170" s="3"/>
      <c r="W1170" s="3"/>
      <c r="X1170" s="3"/>
      <c r="Y1170" s="3"/>
      <c r="AF1170" s="3"/>
      <c r="AN1170" s="3"/>
      <c r="AO1170" s="82"/>
      <c r="AP1170" s="82"/>
      <c r="AQ1170" s="82"/>
      <c r="AR1170" s="82"/>
      <c r="AS1170" s="82"/>
      <c r="AT1170" s="82"/>
      <c r="AU1170" s="82"/>
    </row>
    <row r="1171" spans="4:47" ht="18.600000000000001" customHeight="1" x14ac:dyDescent="0.25">
      <c r="D1171" s="9"/>
      <c r="E1171" s="5"/>
      <c r="F1171" s="5"/>
      <c r="G1171" s="5"/>
      <c r="H1171" s="5"/>
      <c r="I1171" s="5"/>
      <c r="K1171" s="3"/>
      <c r="L1171" s="3"/>
      <c r="M1171" s="3"/>
      <c r="N1171" s="5"/>
      <c r="S1171" s="3"/>
      <c r="T1171" s="3"/>
      <c r="U1171" s="3"/>
      <c r="V1171" s="3"/>
      <c r="W1171" s="3"/>
      <c r="X1171" s="3"/>
      <c r="Y1171" s="3"/>
      <c r="AF1171" s="3"/>
      <c r="AN1171" s="3"/>
      <c r="AO1171" s="82"/>
      <c r="AP1171" s="82"/>
      <c r="AQ1171" s="82"/>
      <c r="AR1171" s="82"/>
      <c r="AS1171" s="82"/>
      <c r="AT1171" s="82"/>
      <c r="AU1171" s="82"/>
    </row>
    <row r="1172" spans="4:47" ht="18.600000000000001" customHeight="1" x14ac:dyDescent="0.25">
      <c r="D1172" s="9"/>
      <c r="E1172" s="5"/>
      <c r="F1172" s="5"/>
      <c r="G1172" s="5"/>
      <c r="H1172" s="5"/>
      <c r="I1172" s="5"/>
      <c r="K1172" s="3"/>
      <c r="L1172" s="3"/>
      <c r="M1172" s="3"/>
      <c r="N1172" s="5"/>
      <c r="S1172" s="3"/>
      <c r="T1172" s="3"/>
      <c r="U1172" s="3"/>
      <c r="V1172" s="3"/>
      <c r="W1172" s="3"/>
      <c r="X1172" s="3"/>
      <c r="Y1172" s="3"/>
      <c r="AF1172" s="3"/>
      <c r="AN1172" s="3"/>
      <c r="AO1172" s="82"/>
      <c r="AP1172" s="82"/>
      <c r="AQ1172" s="82"/>
      <c r="AR1172" s="82"/>
      <c r="AS1172" s="82"/>
      <c r="AT1172" s="82"/>
      <c r="AU1172" s="82"/>
    </row>
    <row r="1173" spans="4:47" ht="18.600000000000001" customHeight="1" x14ac:dyDescent="0.25">
      <c r="D1173" s="9"/>
      <c r="E1173" s="5"/>
      <c r="F1173" s="5"/>
      <c r="G1173" s="5"/>
      <c r="H1173" s="5"/>
      <c r="I1173" s="5"/>
      <c r="K1173" s="3"/>
      <c r="L1173" s="3"/>
      <c r="M1173" s="3"/>
      <c r="N1173" s="5"/>
      <c r="S1173" s="3"/>
      <c r="T1173" s="3"/>
      <c r="U1173" s="3"/>
      <c r="V1173" s="3"/>
      <c r="W1173" s="3"/>
      <c r="X1173" s="3"/>
      <c r="Y1173" s="3"/>
      <c r="AF1173" s="3"/>
      <c r="AN1173" s="3"/>
      <c r="AO1173" s="82"/>
      <c r="AP1173" s="82"/>
      <c r="AQ1173" s="82"/>
      <c r="AR1173" s="82"/>
      <c r="AS1173" s="82"/>
      <c r="AT1173" s="82"/>
      <c r="AU1173" s="82"/>
    </row>
    <row r="1174" spans="4:47" ht="18.600000000000001" customHeight="1" x14ac:dyDescent="0.25">
      <c r="D1174" s="9"/>
      <c r="E1174" s="5"/>
      <c r="F1174" s="5"/>
      <c r="G1174" s="5"/>
      <c r="H1174" s="5"/>
      <c r="I1174" s="5"/>
      <c r="K1174" s="3"/>
      <c r="L1174" s="3"/>
      <c r="M1174" s="3"/>
      <c r="N1174" s="5"/>
      <c r="S1174" s="3"/>
      <c r="T1174" s="3"/>
      <c r="U1174" s="3"/>
      <c r="V1174" s="3"/>
      <c r="W1174" s="3"/>
      <c r="X1174" s="3"/>
      <c r="Y1174" s="3"/>
      <c r="AF1174" s="3"/>
      <c r="AN1174" s="3"/>
      <c r="AO1174" s="82"/>
      <c r="AP1174" s="82"/>
      <c r="AQ1174" s="82"/>
      <c r="AR1174" s="82"/>
      <c r="AS1174" s="82"/>
      <c r="AT1174" s="82"/>
      <c r="AU1174" s="82"/>
    </row>
    <row r="1175" spans="4:47" ht="18.600000000000001" customHeight="1" x14ac:dyDescent="0.25">
      <c r="D1175" s="9"/>
      <c r="E1175" s="5"/>
      <c r="F1175" s="5"/>
      <c r="G1175" s="5"/>
      <c r="H1175" s="5"/>
      <c r="I1175" s="5"/>
      <c r="K1175" s="3"/>
      <c r="L1175" s="3"/>
      <c r="M1175" s="3"/>
      <c r="N1175" s="5"/>
      <c r="S1175" s="3"/>
      <c r="T1175" s="3"/>
      <c r="U1175" s="3"/>
      <c r="V1175" s="3"/>
      <c r="W1175" s="3"/>
      <c r="X1175" s="3"/>
      <c r="Y1175" s="3"/>
      <c r="AF1175" s="3"/>
      <c r="AN1175" s="3"/>
      <c r="AO1175" s="82"/>
      <c r="AP1175" s="82"/>
      <c r="AQ1175" s="82"/>
      <c r="AR1175" s="82"/>
      <c r="AS1175" s="82"/>
      <c r="AT1175" s="82"/>
      <c r="AU1175" s="82"/>
    </row>
    <row r="1176" spans="4:47" ht="18.600000000000001" customHeight="1" x14ac:dyDescent="0.25">
      <c r="D1176" s="9"/>
      <c r="E1176" s="5"/>
      <c r="F1176" s="5"/>
      <c r="G1176" s="5"/>
      <c r="H1176" s="5"/>
      <c r="I1176" s="5"/>
      <c r="K1176" s="3"/>
      <c r="L1176" s="3"/>
      <c r="M1176" s="3"/>
      <c r="N1176" s="5"/>
      <c r="S1176" s="3"/>
      <c r="T1176" s="3"/>
      <c r="U1176" s="3"/>
      <c r="V1176" s="3"/>
      <c r="W1176" s="3"/>
      <c r="X1176" s="3"/>
      <c r="Y1176" s="3"/>
      <c r="AF1176" s="3"/>
      <c r="AN1176" s="3"/>
      <c r="AO1176" s="82"/>
      <c r="AP1176" s="82"/>
      <c r="AQ1176" s="82"/>
      <c r="AR1176" s="82"/>
      <c r="AS1176" s="82"/>
      <c r="AT1176" s="82"/>
      <c r="AU1176" s="82"/>
    </row>
    <row r="1177" spans="4:47" ht="18.600000000000001" customHeight="1" x14ac:dyDescent="0.25">
      <c r="D1177" s="9"/>
      <c r="E1177" s="5"/>
      <c r="F1177" s="5"/>
      <c r="G1177" s="5"/>
      <c r="H1177" s="5"/>
      <c r="I1177" s="5"/>
      <c r="K1177" s="3"/>
      <c r="L1177" s="3"/>
      <c r="M1177" s="3"/>
      <c r="N1177" s="5"/>
      <c r="S1177" s="3"/>
      <c r="T1177" s="3"/>
      <c r="U1177" s="3"/>
      <c r="V1177" s="3"/>
      <c r="W1177" s="3"/>
      <c r="X1177" s="3"/>
      <c r="Y1177" s="3"/>
      <c r="AF1177" s="3"/>
      <c r="AN1177" s="3"/>
      <c r="AO1177" s="82"/>
      <c r="AP1177" s="82"/>
      <c r="AQ1177" s="82"/>
      <c r="AR1177" s="82"/>
      <c r="AS1177" s="82"/>
      <c r="AT1177" s="82"/>
      <c r="AU1177" s="82"/>
    </row>
    <row r="1178" spans="4:47" ht="18.600000000000001" customHeight="1" x14ac:dyDescent="0.25">
      <c r="D1178" s="9"/>
      <c r="E1178" s="5"/>
      <c r="F1178" s="5"/>
      <c r="G1178" s="5"/>
      <c r="H1178" s="5"/>
      <c r="I1178" s="5"/>
      <c r="K1178" s="3"/>
      <c r="L1178" s="3"/>
      <c r="M1178" s="3"/>
      <c r="N1178" s="5"/>
      <c r="S1178" s="3"/>
      <c r="T1178" s="3"/>
      <c r="U1178" s="3"/>
      <c r="V1178" s="3"/>
      <c r="W1178" s="3"/>
      <c r="X1178" s="3"/>
      <c r="Y1178" s="3"/>
      <c r="AF1178" s="3"/>
      <c r="AN1178" s="3"/>
      <c r="AO1178" s="82"/>
      <c r="AP1178" s="82"/>
      <c r="AQ1178" s="82"/>
      <c r="AR1178" s="82"/>
      <c r="AS1178" s="82"/>
      <c r="AT1178" s="82"/>
      <c r="AU1178" s="82"/>
    </row>
    <row r="1179" spans="4:47" ht="18.600000000000001" customHeight="1" x14ac:dyDescent="0.25">
      <c r="D1179" s="9"/>
      <c r="E1179" s="5"/>
      <c r="F1179" s="5"/>
      <c r="G1179" s="5"/>
      <c r="H1179" s="5"/>
      <c r="I1179" s="5"/>
      <c r="K1179" s="3"/>
      <c r="L1179" s="3"/>
      <c r="M1179" s="3"/>
      <c r="N1179" s="5"/>
      <c r="S1179" s="3"/>
      <c r="T1179" s="3"/>
      <c r="U1179" s="3"/>
      <c r="V1179" s="3"/>
      <c r="W1179" s="3"/>
      <c r="X1179" s="3"/>
      <c r="Y1179" s="3"/>
      <c r="AF1179" s="3"/>
      <c r="AN1179" s="3"/>
      <c r="AO1179" s="82"/>
      <c r="AP1179" s="82"/>
      <c r="AQ1179" s="82"/>
      <c r="AR1179" s="82"/>
      <c r="AS1179" s="82"/>
      <c r="AT1179" s="82"/>
      <c r="AU1179" s="82"/>
    </row>
    <row r="1180" spans="4:47" ht="18.600000000000001" customHeight="1" x14ac:dyDescent="0.25">
      <c r="D1180" s="9"/>
      <c r="E1180" s="5"/>
      <c r="F1180" s="5"/>
      <c r="G1180" s="5"/>
      <c r="H1180" s="5"/>
      <c r="I1180" s="5"/>
      <c r="K1180" s="3"/>
      <c r="L1180" s="3"/>
      <c r="M1180" s="3"/>
      <c r="N1180" s="5"/>
      <c r="S1180" s="3"/>
      <c r="T1180" s="3"/>
      <c r="U1180" s="3"/>
      <c r="V1180" s="3"/>
      <c r="W1180" s="3"/>
      <c r="X1180" s="3"/>
      <c r="Y1180" s="3"/>
      <c r="AF1180" s="3"/>
      <c r="AN1180" s="3"/>
      <c r="AO1180" s="82"/>
      <c r="AP1180" s="82"/>
      <c r="AQ1180" s="82"/>
      <c r="AR1180" s="82"/>
      <c r="AS1180" s="82"/>
      <c r="AT1180" s="82"/>
      <c r="AU1180" s="82"/>
    </row>
    <row r="1181" spans="4:47" ht="18.600000000000001" customHeight="1" x14ac:dyDescent="0.25">
      <c r="D1181" s="9"/>
      <c r="E1181" s="5"/>
      <c r="F1181" s="5"/>
      <c r="G1181" s="5"/>
      <c r="H1181" s="5"/>
      <c r="I1181" s="5"/>
      <c r="K1181" s="3"/>
      <c r="L1181" s="3"/>
      <c r="M1181" s="3"/>
      <c r="N1181" s="5"/>
      <c r="S1181" s="3"/>
      <c r="T1181" s="3"/>
      <c r="U1181" s="3"/>
      <c r="V1181" s="3"/>
      <c r="W1181" s="3"/>
      <c r="X1181" s="3"/>
      <c r="Y1181" s="3"/>
      <c r="AF1181" s="3"/>
      <c r="AN1181" s="3"/>
      <c r="AO1181" s="82"/>
      <c r="AP1181" s="82"/>
      <c r="AQ1181" s="82"/>
      <c r="AR1181" s="82"/>
      <c r="AS1181" s="82"/>
      <c r="AT1181" s="82"/>
      <c r="AU1181" s="82"/>
    </row>
    <row r="1182" spans="4:47" ht="18.600000000000001" customHeight="1" x14ac:dyDescent="0.25">
      <c r="D1182" s="9"/>
      <c r="E1182" s="5"/>
      <c r="F1182" s="5"/>
      <c r="G1182" s="5"/>
      <c r="H1182" s="5"/>
      <c r="I1182" s="5"/>
      <c r="K1182" s="3"/>
      <c r="L1182" s="3"/>
      <c r="M1182" s="3"/>
      <c r="N1182" s="5"/>
      <c r="S1182" s="3"/>
      <c r="T1182" s="3"/>
      <c r="U1182" s="3"/>
      <c r="V1182" s="3"/>
      <c r="W1182" s="3"/>
      <c r="X1182" s="3"/>
      <c r="Y1182" s="3"/>
      <c r="AF1182" s="3"/>
      <c r="AN1182" s="3"/>
      <c r="AO1182" s="82"/>
      <c r="AP1182" s="82"/>
      <c r="AQ1182" s="82"/>
      <c r="AR1182" s="82"/>
      <c r="AS1182" s="82"/>
      <c r="AT1182" s="82"/>
      <c r="AU1182" s="82"/>
    </row>
    <row r="1183" spans="4:47" ht="18.600000000000001" customHeight="1" x14ac:dyDescent="0.25">
      <c r="D1183" s="9"/>
      <c r="E1183" s="5"/>
      <c r="F1183" s="5"/>
      <c r="G1183" s="5"/>
      <c r="H1183" s="5"/>
      <c r="I1183" s="5"/>
      <c r="K1183" s="3"/>
      <c r="L1183" s="3"/>
      <c r="M1183" s="3"/>
      <c r="N1183" s="5"/>
      <c r="S1183" s="3"/>
      <c r="T1183" s="3"/>
      <c r="U1183" s="3"/>
      <c r="V1183" s="3"/>
      <c r="W1183" s="3"/>
      <c r="X1183" s="3"/>
      <c r="Y1183" s="3"/>
      <c r="AF1183" s="3"/>
      <c r="AN1183" s="3"/>
      <c r="AO1183" s="82"/>
      <c r="AP1183" s="82"/>
      <c r="AQ1183" s="82"/>
      <c r="AR1183" s="82"/>
      <c r="AS1183" s="82"/>
      <c r="AT1183" s="82"/>
      <c r="AU1183" s="82"/>
    </row>
    <row r="1184" spans="4:47" ht="18.600000000000001" customHeight="1" x14ac:dyDescent="0.25">
      <c r="D1184" s="9"/>
      <c r="E1184" s="5"/>
      <c r="F1184" s="5"/>
      <c r="G1184" s="5"/>
      <c r="H1184" s="5"/>
      <c r="I1184" s="5"/>
      <c r="K1184" s="3"/>
      <c r="L1184" s="3"/>
      <c r="M1184" s="3"/>
      <c r="N1184" s="5"/>
      <c r="S1184" s="3"/>
      <c r="T1184" s="3"/>
      <c r="U1184" s="3"/>
      <c r="V1184" s="3"/>
      <c r="W1184" s="3"/>
      <c r="X1184" s="3"/>
      <c r="Y1184" s="3"/>
      <c r="AF1184" s="3"/>
      <c r="AN1184" s="3"/>
      <c r="AO1184" s="82"/>
      <c r="AP1184" s="82"/>
      <c r="AQ1184" s="82"/>
      <c r="AR1184" s="82"/>
      <c r="AS1184" s="82"/>
      <c r="AT1184" s="82"/>
      <c r="AU1184" s="82"/>
    </row>
    <row r="1185" spans="4:47" ht="18.600000000000001" customHeight="1" x14ac:dyDescent="0.25">
      <c r="D1185" s="9"/>
      <c r="E1185" s="5"/>
      <c r="F1185" s="5"/>
      <c r="G1185" s="5"/>
      <c r="H1185" s="5"/>
      <c r="I1185" s="5"/>
      <c r="K1185" s="3"/>
      <c r="L1185" s="3"/>
      <c r="M1185" s="3"/>
      <c r="N1185" s="5"/>
      <c r="S1185" s="3"/>
      <c r="T1185" s="3"/>
      <c r="U1185" s="3"/>
      <c r="V1185" s="3"/>
      <c r="W1185" s="3"/>
      <c r="X1185" s="3"/>
      <c r="Y1185" s="3"/>
      <c r="AF1185" s="3"/>
      <c r="AN1185" s="3"/>
      <c r="AO1185" s="82"/>
      <c r="AP1185" s="82"/>
      <c r="AQ1185" s="82"/>
      <c r="AR1185" s="82"/>
      <c r="AS1185" s="82"/>
      <c r="AT1185" s="82"/>
      <c r="AU1185" s="82"/>
    </row>
    <row r="1186" spans="4:47" ht="18.600000000000001" customHeight="1" x14ac:dyDescent="0.25">
      <c r="D1186" s="9"/>
      <c r="E1186" s="5"/>
      <c r="F1186" s="5"/>
      <c r="G1186" s="5"/>
      <c r="H1186" s="5"/>
      <c r="I1186" s="5"/>
      <c r="K1186" s="3"/>
      <c r="L1186" s="3"/>
      <c r="M1186" s="3"/>
      <c r="N1186" s="5"/>
      <c r="S1186" s="3"/>
      <c r="T1186" s="3"/>
      <c r="U1186" s="3"/>
      <c r="V1186" s="3"/>
      <c r="W1186" s="3"/>
      <c r="X1186" s="3"/>
      <c r="Y1186" s="3"/>
      <c r="AF1186" s="3"/>
      <c r="AN1186" s="3"/>
      <c r="AO1186" s="82"/>
      <c r="AP1186" s="82"/>
      <c r="AQ1186" s="82"/>
      <c r="AR1186" s="82"/>
      <c r="AS1186" s="82"/>
      <c r="AT1186" s="82"/>
      <c r="AU1186" s="82"/>
    </row>
    <row r="1187" spans="4:47" ht="18.600000000000001" customHeight="1" x14ac:dyDescent="0.25">
      <c r="D1187" s="9"/>
      <c r="E1187" s="5"/>
      <c r="F1187" s="5"/>
      <c r="G1187" s="5"/>
      <c r="H1187" s="5"/>
      <c r="I1187" s="5"/>
      <c r="K1187" s="3"/>
      <c r="L1187" s="3"/>
      <c r="M1187" s="3"/>
      <c r="N1187" s="5"/>
      <c r="S1187" s="3"/>
      <c r="T1187" s="3"/>
      <c r="U1187" s="3"/>
      <c r="V1187" s="3"/>
      <c r="W1187" s="3"/>
      <c r="X1187" s="3"/>
      <c r="Y1187" s="3"/>
      <c r="AF1187" s="3"/>
      <c r="AN1187" s="3"/>
      <c r="AO1187" s="82"/>
      <c r="AP1187" s="82"/>
      <c r="AQ1187" s="82"/>
      <c r="AR1187" s="82"/>
      <c r="AS1187" s="82"/>
      <c r="AT1187" s="82"/>
      <c r="AU1187" s="82"/>
    </row>
    <row r="1188" spans="4:47" ht="18.600000000000001" customHeight="1" x14ac:dyDescent="0.25">
      <c r="D1188" s="9"/>
      <c r="E1188" s="5"/>
      <c r="F1188" s="5"/>
      <c r="G1188" s="5"/>
      <c r="H1188" s="5"/>
      <c r="I1188" s="5"/>
      <c r="K1188" s="3"/>
      <c r="L1188" s="3"/>
      <c r="M1188" s="3"/>
      <c r="N1188" s="5"/>
      <c r="S1188" s="3"/>
      <c r="T1188" s="3"/>
      <c r="U1188" s="3"/>
      <c r="V1188" s="3"/>
      <c r="W1188" s="3"/>
      <c r="X1188" s="3"/>
      <c r="Y1188" s="3"/>
      <c r="AF1188" s="3"/>
      <c r="AN1188" s="3"/>
      <c r="AO1188" s="82"/>
      <c r="AP1188" s="82"/>
      <c r="AQ1188" s="82"/>
      <c r="AR1188" s="82"/>
      <c r="AS1188" s="82"/>
      <c r="AT1188" s="82"/>
      <c r="AU1188" s="82"/>
    </row>
    <row r="1189" spans="4:47" ht="18.600000000000001" customHeight="1" x14ac:dyDescent="0.25">
      <c r="D1189" s="9"/>
      <c r="E1189" s="5"/>
      <c r="F1189" s="5"/>
      <c r="G1189" s="5"/>
      <c r="H1189" s="5"/>
      <c r="I1189" s="5"/>
      <c r="K1189" s="3"/>
      <c r="L1189" s="3"/>
      <c r="M1189" s="3"/>
      <c r="N1189" s="5"/>
      <c r="S1189" s="3"/>
      <c r="T1189" s="3"/>
      <c r="U1189" s="3"/>
      <c r="V1189" s="3"/>
      <c r="W1189" s="3"/>
      <c r="X1189" s="3"/>
      <c r="Y1189" s="3"/>
      <c r="AF1189" s="3"/>
      <c r="AN1189" s="3"/>
      <c r="AO1189" s="82"/>
      <c r="AP1189" s="82"/>
      <c r="AQ1189" s="82"/>
      <c r="AR1189" s="82"/>
      <c r="AS1189" s="82"/>
      <c r="AT1189" s="82"/>
      <c r="AU1189" s="82"/>
    </row>
    <row r="1190" spans="4:47" ht="18.600000000000001" customHeight="1" x14ac:dyDescent="0.25">
      <c r="D1190" s="9"/>
      <c r="E1190" s="5"/>
      <c r="F1190" s="5"/>
      <c r="G1190" s="5"/>
      <c r="H1190" s="5"/>
      <c r="I1190" s="5"/>
      <c r="K1190" s="3"/>
      <c r="L1190" s="3"/>
      <c r="M1190" s="3"/>
      <c r="N1190" s="5"/>
      <c r="S1190" s="3"/>
      <c r="T1190" s="3"/>
      <c r="U1190" s="3"/>
      <c r="V1190" s="3"/>
      <c r="W1190" s="3"/>
      <c r="X1190" s="3"/>
      <c r="Y1190" s="3"/>
      <c r="AF1190" s="3"/>
      <c r="AN1190" s="3"/>
      <c r="AO1190" s="82"/>
      <c r="AP1190" s="82"/>
      <c r="AQ1190" s="82"/>
      <c r="AR1190" s="82"/>
      <c r="AS1190" s="82"/>
      <c r="AT1190" s="82"/>
      <c r="AU1190" s="82"/>
    </row>
    <row r="1191" spans="4:47" ht="18.600000000000001" customHeight="1" x14ac:dyDescent="0.25">
      <c r="D1191" s="9"/>
      <c r="E1191" s="5"/>
      <c r="F1191" s="5"/>
      <c r="G1191" s="5"/>
      <c r="H1191" s="5"/>
      <c r="I1191" s="5"/>
      <c r="K1191" s="3"/>
      <c r="L1191" s="3"/>
      <c r="M1191" s="3"/>
      <c r="N1191" s="5"/>
      <c r="S1191" s="3"/>
      <c r="T1191" s="3"/>
      <c r="U1191" s="3"/>
      <c r="V1191" s="3"/>
      <c r="W1191" s="3"/>
      <c r="X1191" s="3"/>
      <c r="Y1191" s="3"/>
      <c r="AF1191" s="3"/>
      <c r="AN1191" s="3"/>
      <c r="AO1191" s="82"/>
      <c r="AP1191" s="82"/>
      <c r="AQ1191" s="82"/>
      <c r="AR1191" s="82"/>
      <c r="AS1191" s="82"/>
      <c r="AT1191" s="82"/>
      <c r="AU1191" s="82"/>
    </row>
    <row r="1192" spans="4:47" ht="18.600000000000001" customHeight="1" x14ac:dyDescent="0.25">
      <c r="D1192" s="9"/>
      <c r="E1192" s="5"/>
      <c r="F1192" s="5"/>
      <c r="G1192" s="5"/>
      <c r="H1192" s="5"/>
      <c r="I1192" s="5"/>
      <c r="K1192" s="3"/>
      <c r="L1192" s="3"/>
      <c r="M1192" s="3"/>
      <c r="N1192" s="5"/>
      <c r="S1192" s="3"/>
      <c r="T1192" s="3"/>
      <c r="U1192" s="3"/>
      <c r="V1192" s="3"/>
      <c r="W1192" s="3"/>
      <c r="X1192" s="3"/>
      <c r="Y1192" s="3"/>
      <c r="AF1192" s="3"/>
      <c r="AN1192" s="3"/>
      <c r="AO1192" s="82"/>
      <c r="AP1192" s="82"/>
      <c r="AQ1192" s="82"/>
      <c r="AR1192" s="82"/>
      <c r="AS1192" s="82"/>
      <c r="AT1192" s="82"/>
      <c r="AU1192" s="82"/>
    </row>
    <row r="1193" spans="4:47" ht="18.600000000000001" customHeight="1" x14ac:dyDescent="0.25">
      <c r="D1193" s="9"/>
      <c r="E1193" s="5"/>
      <c r="F1193" s="5"/>
      <c r="G1193" s="5"/>
      <c r="H1193" s="5"/>
      <c r="I1193" s="5"/>
      <c r="K1193" s="3"/>
      <c r="L1193" s="3"/>
      <c r="M1193" s="3"/>
      <c r="N1193" s="5"/>
      <c r="S1193" s="3"/>
      <c r="T1193" s="3"/>
      <c r="U1193" s="3"/>
      <c r="V1193" s="3"/>
      <c r="W1193" s="3"/>
      <c r="X1193" s="3"/>
      <c r="Y1193" s="3"/>
      <c r="AF1193" s="3"/>
      <c r="AN1193" s="3"/>
      <c r="AO1193" s="82"/>
      <c r="AP1193" s="82"/>
      <c r="AQ1193" s="82"/>
      <c r="AR1193" s="82"/>
      <c r="AS1193" s="82"/>
      <c r="AT1193" s="82"/>
      <c r="AU1193" s="82"/>
    </row>
    <row r="1194" spans="4:47" ht="18.600000000000001" customHeight="1" x14ac:dyDescent="0.25">
      <c r="D1194" s="9"/>
      <c r="E1194" s="5"/>
      <c r="F1194" s="5"/>
      <c r="G1194" s="5"/>
      <c r="H1194" s="5"/>
      <c r="I1194" s="5"/>
      <c r="K1194" s="3"/>
      <c r="L1194" s="3"/>
      <c r="M1194" s="3"/>
      <c r="N1194" s="5"/>
      <c r="S1194" s="3"/>
      <c r="T1194" s="3"/>
      <c r="U1194" s="3"/>
      <c r="V1194" s="3"/>
      <c r="W1194" s="3"/>
      <c r="X1194" s="3"/>
      <c r="Y1194" s="3"/>
      <c r="AF1194" s="3"/>
      <c r="AN1194" s="3"/>
      <c r="AO1194" s="82"/>
      <c r="AP1194" s="82"/>
      <c r="AQ1194" s="82"/>
      <c r="AR1194" s="82"/>
      <c r="AS1194" s="82"/>
      <c r="AT1194" s="82"/>
      <c r="AU1194" s="82"/>
    </row>
    <row r="1195" spans="4:47" ht="18.600000000000001" customHeight="1" x14ac:dyDescent="0.25">
      <c r="D1195" s="9"/>
      <c r="E1195" s="5"/>
      <c r="F1195" s="5"/>
      <c r="G1195" s="5"/>
      <c r="H1195" s="5"/>
      <c r="I1195" s="5"/>
      <c r="K1195" s="3"/>
      <c r="L1195" s="3"/>
      <c r="M1195" s="3"/>
      <c r="N1195" s="5"/>
      <c r="S1195" s="3"/>
      <c r="T1195" s="3"/>
      <c r="U1195" s="3"/>
      <c r="V1195" s="3"/>
      <c r="W1195" s="3"/>
      <c r="X1195" s="3"/>
      <c r="Y1195" s="3"/>
      <c r="AF1195" s="3"/>
      <c r="AN1195" s="3"/>
      <c r="AO1195" s="82"/>
      <c r="AP1195" s="82"/>
      <c r="AQ1195" s="82"/>
      <c r="AR1195" s="82"/>
      <c r="AS1195" s="82"/>
      <c r="AT1195" s="82"/>
      <c r="AU1195" s="82"/>
    </row>
    <row r="1196" spans="4:47" ht="18.600000000000001" customHeight="1" x14ac:dyDescent="0.25">
      <c r="D1196" s="9"/>
      <c r="E1196" s="5"/>
      <c r="F1196" s="5"/>
      <c r="G1196" s="5"/>
      <c r="H1196" s="5"/>
      <c r="I1196" s="5"/>
      <c r="K1196" s="3"/>
      <c r="L1196" s="3"/>
      <c r="M1196" s="3"/>
      <c r="N1196" s="5"/>
      <c r="S1196" s="3"/>
      <c r="T1196" s="3"/>
      <c r="U1196" s="3"/>
      <c r="V1196" s="3"/>
      <c r="W1196" s="3"/>
      <c r="X1196" s="3"/>
      <c r="Y1196" s="3"/>
      <c r="AF1196" s="3"/>
      <c r="AN1196" s="3"/>
      <c r="AO1196" s="82"/>
      <c r="AP1196" s="82"/>
      <c r="AQ1196" s="82"/>
      <c r="AR1196" s="82"/>
      <c r="AS1196" s="82"/>
      <c r="AT1196" s="82"/>
      <c r="AU1196" s="82"/>
    </row>
    <row r="1197" spans="4:47" ht="18.600000000000001" customHeight="1" x14ac:dyDescent="0.25">
      <c r="D1197" s="9"/>
      <c r="E1197" s="5"/>
      <c r="F1197" s="5"/>
      <c r="G1197" s="5"/>
      <c r="H1197" s="5"/>
      <c r="I1197" s="5"/>
      <c r="K1197" s="3"/>
      <c r="L1197" s="3"/>
      <c r="M1197" s="3"/>
      <c r="N1197" s="5"/>
      <c r="S1197" s="3"/>
      <c r="T1197" s="3"/>
      <c r="U1197" s="3"/>
      <c r="V1197" s="3"/>
      <c r="W1197" s="3"/>
      <c r="X1197" s="3"/>
      <c r="Y1197" s="3"/>
      <c r="AF1197" s="3"/>
      <c r="AN1197" s="3"/>
      <c r="AO1197" s="82"/>
      <c r="AP1197" s="82"/>
      <c r="AQ1197" s="82"/>
      <c r="AR1197" s="82"/>
      <c r="AS1197" s="82"/>
      <c r="AT1197" s="82"/>
      <c r="AU1197" s="82"/>
    </row>
    <row r="1198" spans="4:47" ht="18.600000000000001" customHeight="1" x14ac:dyDescent="0.25">
      <c r="D1198" s="9"/>
      <c r="E1198" s="5"/>
      <c r="F1198" s="5"/>
      <c r="G1198" s="5"/>
      <c r="H1198" s="5"/>
      <c r="I1198" s="5"/>
      <c r="K1198" s="3"/>
      <c r="L1198" s="3"/>
      <c r="M1198" s="3"/>
      <c r="N1198" s="5"/>
      <c r="S1198" s="3"/>
      <c r="T1198" s="3"/>
      <c r="U1198" s="3"/>
      <c r="V1198" s="3"/>
      <c r="W1198" s="3"/>
      <c r="X1198" s="3"/>
      <c r="Y1198" s="3"/>
      <c r="AF1198" s="3"/>
      <c r="AN1198" s="3"/>
      <c r="AO1198" s="82"/>
      <c r="AP1198" s="82"/>
      <c r="AQ1198" s="82"/>
      <c r="AR1198" s="82"/>
      <c r="AS1198" s="82"/>
      <c r="AT1198" s="82"/>
      <c r="AU1198" s="82"/>
    </row>
    <row r="1199" spans="4:47" ht="18.600000000000001" customHeight="1" x14ac:dyDescent="0.25">
      <c r="D1199" s="9"/>
      <c r="E1199" s="5"/>
      <c r="F1199" s="5"/>
      <c r="G1199" s="5"/>
      <c r="H1199" s="5"/>
      <c r="I1199" s="5"/>
      <c r="K1199" s="3"/>
      <c r="L1199" s="3"/>
      <c r="M1199" s="3"/>
      <c r="N1199" s="5"/>
      <c r="S1199" s="3"/>
      <c r="T1199" s="3"/>
      <c r="U1199" s="3"/>
      <c r="V1199" s="3"/>
      <c r="W1199" s="3"/>
      <c r="X1199" s="3"/>
      <c r="Y1199" s="3"/>
      <c r="AF1199" s="3"/>
      <c r="AN1199" s="3"/>
      <c r="AO1199" s="82"/>
      <c r="AP1199" s="82"/>
      <c r="AQ1199" s="82"/>
      <c r="AR1199" s="82"/>
      <c r="AS1199" s="82"/>
      <c r="AT1199" s="82"/>
      <c r="AU1199" s="82"/>
    </row>
    <row r="1200" spans="4:47" ht="18.600000000000001" customHeight="1" x14ac:dyDescent="0.25">
      <c r="D1200" s="9"/>
      <c r="E1200" s="5"/>
      <c r="F1200" s="5"/>
      <c r="G1200" s="5"/>
      <c r="H1200" s="5"/>
      <c r="I1200" s="5"/>
      <c r="K1200" s="3"/>
      <c r="L1200" s="3"/>
      <c r="M1200" s="3"/>
      <c r="N1200" s="5"/>
      <c r="S1200" s="3"/>
      <c r="T1200" s="3"/>
      <c r="U1200" s="3"/>
      <c r="V1200" s="3"/>
      <c r="W1200" s="3"/>
      <c r="X1200" s="3"/>
      <c r="Y1200" s="3"/>
      <c r="AF1200" s="3"/>
      <c r="AN1200" s="3"/>
      <c r="AO1200" s="82"/>
      <c r="AP1200" s="82"/>
      <c r="AQ1200" s="82"/>
      <c r="AR1200" s="82"/>
      <c r="AS1200" s="82"/>
      <c r="AT1200" s="82"/>
      <c r="AU1200" s="82"/>
    </row>
    <row r="1201" spans="4:47" ht="18.600000000000001" customHeight="1" x14ac:dyDescent="0.25">
      <c r="D1201" s="9"/>
      <c r="E1201" s="5"/>
      <c r="F1201" s="5"/>
      <c r="G1201" s="5"/>
      <c r="H1201" s="5"/>
      <c r="I1201" s="5"/>
      <c r="K1201" s="3"/>
      <c r="L1201" s="3"/>
      <c r="M1201" s="3"/>
      <c r="N1201" s="5"/>
      <c r="S1201" s="3"/>
      <c r="T1201" s="3"/>
      <c r="U1201" s="3"/>
      <c r="V1201" s="3"/>
      <c r="W1201" s="3"/>
      <c r="X1201" s="3"/>
      <c r="Y1201" s="3"/>
      <c r="AF1201" s="3"/>
      <c r="AN1201" s="3"/>
      <c r="AO1201" s="82"/>
      <c r="AP1201" s="82"/>
      <c r="AQ1201" s="82"/>
      <c r="AR1201" s="82"/>
      <c r="AS1201" s="82"/>
      <c r="AT1201" s="82"/>
      <c r="AU1201" s="82"/>
    </row>
    <row r="1202" spans="4:47" ht="18.600000000000001" customHeight="1" x14ac:dyDescent="0.25">
      <c r="D1202" s="9"/>
      <c r="E1202" s="5"/>
      <c r="F1202" s="5"/>
      <c r="G1202" s="5"/>
      <c r="H1202" s="5"/>
      <c r="I1202" s="5"/>
      <c r="K1202" s="3"/>
      <c r="L1202" s="3"/>
      <c r="M1202" s="3"/>
      <c r="N1202" s="5"/>
      <c r="S1202" s="3"/>
      <c r="T1202" s="3"/>
      <c r="U1202" s="3"/>
      <c r="V1202" s="3"/>
      <c r="W1202" s="3"/>
      <c r="X1202" s="3"/>
      <c r="Y1202" s="3"/>
      <c r="AF1202" s="3"/>
      <c r="AN1202" s="3"/>
      <c r="AO1202" s="82"/>
      <c r="AP1202" s="82"/>
      <c r="AQ1202" s="82"/>
      <c r="AR1202" s="82"/>
      <c r="AS1202" s="82"/>
      <c r="AT1202" s="82"/>
      <c r="AU1202" s="82"/>
    </row>
    <row r="1203" spans="4:47" ht="18.600000000000001" customHeight="1" x14ac:dyDescent="0.25">
      <c r="D1203" s="9"/>
      <c r="E1203" s="5"/>
      <c r="F1203" s="5"/>
      <c r="G1203" s="5"/>
      <c r="H1203" s="5"/>
      <c r="I1203" s="5"/>
      <c r="K1203" s="3"/>
      <c r="L1203" s="3"/>
      <c r="M1203" s="3"/>
      <c r="N1203" s="5"/>
      <c r="S1203" s="3"/>
      <c r="T1203" s="3"/>
      <c r="U1203" s="3"/>
      <c r="V1203" s="3"/>
      <c r="W1203" s="3"/>
      <c r="X1203" s="3"/>
      <c r="Y1203" s="3"/>
      <c r="AF1203" s="3"/>
      <c r="AN1203" s="3"/>
      <c r="AO1203" s="82"/>
      <c r="AP1203" s="82"/>
      <c r="AQ1203" s="82"/>
      <c r="AR1203" s="82"/>
      <c r="AS1203" s="82"/>
      <c r="AT1203" s="82"/>
      <c r="AU1203" s="82"/>
    </row>
    <row r="1204" spans="4:47" ht="18.600000000000001" customHeight="1" x14ac:dyDescent="0.25">
      <c r="D1204" s="9"/>
      <c r="E1204" s="5"/>
      <c r="F1204" s="5"/>
      <c r="G1204" s="5"/>
      <c r="H1204" s="5"/>
      <c r="I1204" s="5"/>
      <c r="K1204" s="3"/>
      <c r="L1204" s="3"/>
      <c r="M1204" s="3"/>
      <c r="N1204" s="5"/>
      <c r="S1204" s="3"/>
      <c r="T1204" s="3"/>
      <c r="U1204" s="3"/>
      <c r="V1204" s="3"/>
      <c r="W1204" s="3"/>
      <c r="X1204" s="3"/>
      <c r="Y1204" s="3"/>
      <c r="AF1204" s="3"/>
      <c r="AN1204" s="3"/>
      <c r="AO1204" s="82"/>
      <c r="AP1204" s="82"/>
      <c r="AQ1204" s="82"/>
      <c r="AR1204" s="82"/>
      <c r="AS1204" s="82"/>
      <c r="AT1204" s="82"/>
      <c r="AU1204" s="82"/>
    </row>
    <row r="1205" spans="4:47" ht="18.600000000000001" customHeight="1" x14ac:dyDescent="0.25">
      <c r="D1205" s="9"/>
      <c r="E1205" s="5"/>
      <c r="F1205" s="5"/>
      <c r="G1205" s="5"/>
      <c r="H1205" s="5"/>
      <c r="I1205" s="5"/>
      <c r="K1205" s="3"/>
      <c r="L1205" s="3"/>
      <c r="M1205" s="3"/>
      <c r="N1205" s="5"/>
      <c r="S1205" s="3"/>
      <c r="T1205" s="3"/>
      <c r="U1205" s="3"/>
      <c r="V1205" s="3"/>
      <c r="W1205" s="3"/>
      <c r="X1205" s="3"/>
      <c r="Y1205" s="3"/>
      <c r="AF1205" s="3"/>
      <c r="AN1205" s="3"/>
      <c r="AO1205" s="82"/>
      <c r="AP1205" s="82"/>
      <c r="AQ1205" s="82"/>
      <c r="AR1205" s="82"/>
      <c r="AS1205" s="82"/>
      <c r="AT1205" s="82"/>
      <c r="AU1205" s="82"/>
    </row>
    <row r="1206" spans="4:47" ht="18.600000000000001" customHeight="1" x14ac:dyDescent="0.25">
      <c r="D1206" s="9"/>
      <c r="E1206" s="5"/>
      <c r="F1206" s="5"/>
      <c r="G1206" s="5"/>
      <c r="H1206" s="5"/>
      <c r="I1206" s="5"/>
      <c r="K1206" s="3"/>
      <c r="L1206" s="3"/>
      <c r="M1206" s="3"/>
      <c r="N1206" s="5"/>
      <c r="S1206" s="3"/>
      <c r="T1206" s="3"/>
      <c r="U1206" s="3"/>
      <c r="V1206" s="3"/>
      <c r="W1206" s="3"/>
      <c r="X1206" s="3"/>
      <c r="Y1206" s="3"/>
      <c r="AF1206" s="3"/>
      <c r="AN1206" s="3"/>
      <c r="AO1206" s="82"/>
      <c r="AP1206" s="82"/>
      <c r="AQ1206" s="82"/>
      <c r="AR1206" s="82"/>
      <c r="AS1206" s="82"/>
      <c r="AT1206" s="82"/>
      <c r="AU1206" s="82"/>
    </row>
    <row r="1207" spans="4:47" ht="18.600000000000001" customHeight="1" x14ac:dyDescent="0.25">
      <c r="D1207" s="9"/>
      <c r="E1207" s="5"/>
      <c r="F1207" s="5"/>
      <c r="G1207" s="5"/>
      <c r="H1207" s="5"/>
      <c r="I1207" s="5"/>
      <c r="K1207" s="3"/>
      <c r="L1207" s="3"/>
      <c r="M1207" s="3"/>
      <c r="N1207" s="5"/>
      <c r="S1207" s="3"/>
      <c r="T1207" s="3"/>
      <c r="U1207" s="3"/>
      <c r="V1207" s="3"/>
      <c r="W1207" s="3"/>
      <c r="X1207" s="3"/>
      <c r="Y1207" s="3"/>
      <c r="AF1207" s="3"/>
      <c r="AN1207" s="3"/>
      <c r="AO1207" s="82"/>
      <c r="AP1207" s="82"/>
      <c r="AQ1207" s="82"/>
      <c r="AR1207" s="82"/>
      <c r="AS1207" s="82"/>
      <c r="AT1207" s="82"/>
      <c r="AU1207" s="82"/>
    </row>
    <row r="1208" spans="4:47" ht="18.600000000000001" customHeight="1" x14ac:dyDescent="0.25">
      <c r="D1208" s="9"/>
      <c r="E1208" s="5"/>
      <c r="F1208" s="5"/>
      <c r="G1208" s="5"/>
      <c r="H1208" s="5"/>
      <c r="I1208" s="5"/>
      <c r="K1208" s="3"/>
      <c r="L1208" s="3"/>
      <c r="M1208" s="3"/>
      <c r="N1208" s="5"/>
      <c r="S1208" s="3"/>
      <c r="T1208" s="3"/>
      <c r="U1208" s="3"/>
      <c r="V1208" s="3"/>
      <c r="W1208" s="3"/>
      <c r="X1208" s="3"/>
      <c r="Y1208" s="3"/>
      <c r="AF1208" s="3"/>
      <c r="AN1208" s="3"/>
      <c r="AO1208" s="82"/>
      <c r="AP1208" s="82"/>
      <c r="AQ1208" s="82"/>
      <c r="AR1208" s="82"/>
      <c r="AS1208" s="82"/>
      <c r="AT1208" s="82"/>
      <c r="AU1208" s="82"/>
    </row>
    <row r="1209" spans="4:47" ht="18.600000000000001" customHeight="1" x14ac:dyDescent="0.25">
      <c r="D1209" s="9"/>
      <c r="E1209" s="5"/>
      <c r="F1209" s="5"/>
      <c r="G1209" s="5"/>
      <c r="H1209" s="5"/>
      <c r="I1209" s="5"/>
      <c r="K1209" s="3"/>
      <c r="L1209" s="3"/>
      <c r="M1209" s="3"/>
      <c r="N1209" s="5"/>
      <c r="S1209" s="3"/>
      <c r="T1209" s="3"/>
      <c r="U1209" s="3"/>
      <c r="V1209" s="3"/>
      <c r="W1209" s="3"/>
      <c r="X1209" s="3"/>
      <c r="Y1209" s="3"/>
      <c r="AF1209" s="3"/>
      <c r="AN1209" s="3"/>
      <c r="AO1209" s="82"/>
      <c r="AP1209" s="82"/>
      <c r="AQ1209" s="82"/>
      <c r="AR1209" s="82"/>
      <c r="AS1209" s="82"/>
      <c r="AT1209" s="82"/>
      <c r="AU1209" s="82"/>
    </row>
    <row r="1210" spans="4:47" ht="18.600000000000001" customHeight="1" x14ac:dyDescent="0.25">
      <c r="D1210" s="9"/>
      <c r="E1210" s="5"/>
      <c r="F1210" s="5"/>
      <c r="G1210" s="5"/>
      <c r="H1210" s="5"/>
      <c r="I1210" s="5"/>
      <c r="K1210" s="3"/>
      <c r="L1210" s="3"/>
      <c r="M1210" s="3"/>
      <c r="N1210" s="5"/>
      <c r="S1210" s="3"/>
      <c r="T1210" s="3"/>
      <c r="U1210" s="3"/>
      <c r="V1210" s="3"/>
      <c r="W1210" s="3"/>
      <c r="X1210" s="3"/>
      <c r="Y1210" s="3"/>
      <c r="AF1210" s="3"/>
      <c r="AN1210" s="3"/>
      <c r="AO1210" s="82"/>
      <c r="AP1210" s="82"/>
      <c r="AQ1210" s="82"/>
      <c r="AR1210" s="82"/>
      <c r="AS1210" s="82"/>
      <c r="AT1210" s="82"/>
      <c r="AU1210" s="82"/>
    </row>
    <row r="1211" spans="4:47" ht="18.600000000000001" customHeight="1" x14ac:dyDescent="0.25">
      <c r="D1211" s="9"/>
      <c r="E1211" s="5"/>
      <c r="F1211" s="5"/>
      <c r="G1211" s="5"/>
      <c r="H1211" s="5"/>
      <c r="I1211" s="5"/>
      <c r="K1211" s="3"/>
      <c r="L1211" s="3"/>
      <c r="M1211" s="3"/>
      <c r="N1211" s="5"/>
      <c r="S1211" s="3"/>
      <c r="T1211" s="3"/>
      <c r="U1211" s="3"/>
      <c r="V1211" s="3"/>
      <c r="W1211" s="3"/>
      <c r="X1211" s="3"/>
      <c r="Y1211" s="3"/>
      <c r="AF1211" s="3"/>
      <c r="AN1211" s="3"/>
      <c r="AO1211" s="82"/>
      <c r="AP1211" s="82"/>
      <c r="AQ1211" s="82"/>
      <c r="AR1211" s="82"/>
      <c r="AS1211" s="82"/>
      <c r="AT1211" s="82"/>
      <c r="AU1211" s="82"/>
    </row>
    <row r="1212" spans="4:47" ht="18.600000000000001" customHeight="1" x14ac:dyDescent="0.25">
      <c r="D1212" s="9"/>
      <c r="E1212" s="5"/>
      <c r="F1212" s="5"/>
      <c r="G1212" s="5"/>
      <c r="H1212" s="5"/>
      <c r="I1212" s="5"/>
      <c r="K1212" s="3"/>
      <c r="L1212" s="3"/>
      <c r="M1212" s="3"/>
      <c r="N1212" s="5"/>
      <c r="S1212" s="3"/>
      <c r="T1212" s="3"/>
      <c r="U1212" s="3"/>
      <c r="V1212" s="3"/>
      <c r="W1212" s="3"/>
      <c r="X1212" s="3"/>
      <c r="Y1212" s="3"/>
      <c r="AF1212" s="3"/>
      <c r="AN1212" s="3"/>
      <c r="AO1212" s="82"/>
      <c r="AP1212" s="82"/>
      <c r="AQ1212" s="82"/>
      <c r="AR1212" s="82"/>
      <c r="AS1212" s="82"/>
      <c r="AT1212" s="82"/>
      <c r="AU1212" s="82"/>
    </row>
    <row r="1213" spans="4:47" ht="18.600000000000001" customHeight="1" x14ac:dyDescent="0.25">
      <c r="D1213" s="9"/>
      <c r="E1213" s="5"/>
      <c r="F1213" s="5"/>
      <c r="G1213" s="5"/>
      <c r="H1213" s="5"/>
      <c r="I1213" s="5"/>
      <c r="K1213" s="3"/>
      <c r="L1213" s="3"/>
      <c r="M1213" s="3"/>
      <c r="N1213" s="5"/>
      <c r="S1213" s="3"/>
      <c r="T1213" s="3"/>
      <c r="U1213" s="3"/>
      <c r="V1213" s="3"/>
      <c r="W1213" s="3"/>
      <c r="X1213" s="3"/>
      <c r="Y1213" s="3"/>
      <c r="AF1213" s="3"/>
      <c r="AN1213" s="3"/>
      <c r="AO1213" s="82"/>
      <c r="AP1213" s="82"/>
      <c r="AQ1213" s="82"/>
      <c r="AR1213" s="82"/>
      <c r="AS1213" s="82"/>
      <c r="AT1213" s="82"/>
      <c r="AU1213" s="82"/>
    </row>
    <row r="1214" spans="4:47" ht="18.600000000000001" customHeight="1" x14ac:dyDescent="0.25">
      <c r="D1214" s="9"/>
      <c r="E1214" s="5"/>
      <c r="F1214" s="5"/>
      <c r="G1214" s="5"/>
      <c r="H1214" s="5"/>
      <c r="I1214" s="5"/>
      <c r="K1214" s="3"/>
      <c r="L1214" s="3"/>
      <c r="M1214" s="3"/>
      <c r="N1214" s="5"/>
      <c r="S1214" s="3"/>
      <c r="T1214" s="3"/>
      <c r="U1214" s="3"/>
      <c r="V1214" s="3"/>
      <c r="W1214" s="3"/>
      <c r="X1214" s="3"/>
      <c r="Y1214" s="3"/>
      <c r="AF1214" s="3"/>
      <c r="AN1214" s="3"/>
      <c r="AO1214" s="82"/>
      <c r="AP1214" s="82"/>
      <c r="AQ1214" s="82"/>
      <c r="AR1214" s="82"/>
      <c r="AS1214" s="82"/>
      <c r="AT1214" s="82"/>
      <c r="AU1214" s="82"/>
    </row>
    <row r="1215" spans="4:47" ht="18.600000000000001" customHeight="1" x14ac:dyDescent="0.25">
      <c r="D1215" s="9"/>
      <c r="E1215" s="5"/>
      <c r="F1215" s="5"/>
      <c r="G1215" s="5"/>
      <c r="H1215" s="5"/>
      <c r="I1215" s="5"/>
      <c r="K1215" s="3"/>
      <c r="L1215" s="3"/>
      <c r="M1215" s="3"/>
      <c r="N1215" s="5"/>
      <c r="S1215" s="3"/>
      <c r="T1215" s="3"/>
      <c r="U1215" s="3"/>
      <c r="V1215" s="3"/>
      <c r="W1215" s="3"/>
      <c r="X1215" s="3"/>
      <c r="Y1215" s="3"/>
      <c r="AF1215" s="3"/>
      <c r="AN1215" s="3"/>
      <c r="AO1215" s="82"/>
      <c r="AP1215" s="82"/>
      <c r="AQ1215" s="82"/>
      <c r="AR1215" s="82"/>
      <c r="AS1215" s="82"/>
      <c r="AT1215" s="82"/>
      <c r="AU1215" s="82"/>
    </row>
    <row r="1216" spans="4:47" ht="18.600000000000001" customHeight="1" x14ac:dyDescent="0.25">
      <c r="D1216" s="9"/>
      <c r="E1216" s="5"/>
      <c r="F1216" s="5"/>
      <c r="G1216" s="5"/>
      <c r="H1216" s="5"/>
      <c r="I1216" s="5"/>
      <c r="K1216" s="3"/>
      <c r="L1216" s="3"/>
      <c r="M1216" s="3"/>
      <c r="N1216" s="5"/>
      <c r="S1216" s="3"/>
      <c r="T1216" s="3"/>
      <c r="U1216" s="3"/>
      <c r="V1216" s="3"/>
      <c r="W1216" s="3"/>
      <c r="X1216" s="3"/>
      <c r="Y1216" s="3"/>
      <c r="AF1216" s="3"/>
      <c r="AN1216" s="3"/>
      <c r="AO1216" s="82"/>
      <c r="AP1216" s="82"/>
      <c r="AQ1216" s="82"/>
      <c r="AR1216" s="82"/>
      <c r="AS1216" s="82"/>
      <c r="AT1216" s="82"/>
      <c r="AU1216" s="82"/>
    </row>
    <row r="1217" spans="4:47" ht="18.600000000000001" customHeight="1" x14ac:dyDescent="0.25">
      <c r="D1217" s="9"/>
      <c r="E1217" s="5"/>
      <c r="F1217" s="5"/>
      <c r="G1217" s="5"/>
      <c r="H1217" s="5"/>
      <c r="I1217" s="5"/>
      <c r="K1217" s="3"/>
      <c r="L1217" s="3"/>
      <c r="M1217" s="3"/>
      <c r="N1217" s="5"/>
      <c r="S1217" s="3"/>
      <c r="T1217" s="3"/>
      <c r="U1217" s="3"/>
      <c r="V1217" s="3"/>
      <c r="W1217" s="3"/>
      <c r="X1217" s="3"/>
      <c r="Y1217" s="3"/>
      <c r="AF1217" s="3"/>
      <c r="AN1217" s="3"/>
      <c r="AO1217" s="82"/>
      <c r="AP1217" s="82"/>
      <c r="AQ1217" s="82"/>
      <c r="AR1217" s="82"/>
      <c r="AS1217" s="82"/>
      <c r="AT1217" s="82"/>
      <c r="AU1217" s="82"/>
    </row>
    <row r="1218" spans="4:47" ht="18.600000000000001" customHeight="1" x14ac:dyDescent="0.25">
      <c r="D1218" s="9"/>
      <c r="E1218" s="5"/>
      <c r="F1218" s="5"/>
      <c r="G1218" s="5"/>
      <c r="H1218" s="5"/>
      <c r="I1218" s="5"/>
      <c r="K1218" s="3"/>
      <c r="L1218" s="3"/>
      <c r="M1218" s="3"/>
      <c r="N1218" s="5"/>
      <c r="S1218" s="3"/>
      <c r="T1218" s="3"/>
      <c r="U1218" s="3"/>
      <c r="V1218" s="3"/>
      <c r="W1218" s="3"/>
      <c r="X1218" s="3"/>
      <c r="Y1218" s="3"/>
      <c r="AF1218" s="3"/>
      <c r="AN1218" s="3"/>
      <c r="AO1218" s="82"/>
      <c r="AP1218" s="82"/>
      <c r="AQ1218" s="82"/>
      <c r="AR1218" s="82"/>
      <c r="AS1218" s="82"/>
      <c r="AT1218" s="82"/>
      <c r="AU1218" s="82"/>
    </row>
    <row r="1219" spans="4:47" ht="18.600000000000001" customHeight="1" x14ac:dyDescent="0.25">
      <c r="D1219" s="9"/>
      <c r="E1219" s="5"/>
      <c r="F1219" s="5"/>
      <c r="G1219" s="5"/>
      <c r="H1219" s="5"/>
      <c r="I1219" s="5"/>
      <c r="K1219" s="3"/>
      <c r="L1219" s="3"/>
      <c r="M1219" s="3"/>
      <c r="N1219" s="5"/>
      <c r="S1219" s="3"/>
      <c r="T1219" s="3"/>
      <c r="U1219" s="3"/>
      <c r="V1219" s="3"/>
      <c r="W1219" s="3"/>
      <c r="X1219" s="3"/>
      <c r="Y1219" s="3"/>
      <c r="AF1219" s="3"/>
      <c r="AN1219" s="3"/>
      <c r="AO1219" s="82"/>
      <c r="AP1219" s="82"/>
      <c r="AQ1219" s="82"/>
      <c r="AR1219" s="82"/>
      <c r="AS1219" s="82"/>
      <c r="AT1219" s="82"/>
      <c r="AU1219" s="82"/>
    </row>
    <row r="1220" spans="4:47" ht="18.600000000000001" customHeight="1" x14ac:dyDescent="0.25">
      <c r="D1220" s="9"/>
      <c r="E1220" s="5"/>
      <c r="F1220" s="5"/>
      <c r="G1220" s="5"/>
      <c r="H1220" s="5"/>
      <c r="I1220" s="5"/>
      <c r="K1220" s="3"/>
      <c r="L1220" s="3"/>
      <c r="M1220" s="3"/>
      <c r="N1220" s="5"/>
      <c r="S1220" s="3"/>
      <c r="T1220" s="3"/>
      <c r="U1220" s="3"/>
      <c r="V1220" s="3"/>
      <c r="W1220" s="3"/>
      <c r="X1220" s="3"/>
      <c r="Y1220" s="3"/>
      <c r="AF1220" s="3"/>
      <c r="AN1220" s="3"/>
      <c r="AO1220" s="82"/>
      <c r="AP1220" s="82"/>
      <c r="AQ1220" s="82"/>
      <c r="AR1220" s="82"/>
      <c r="AS1220" s="82"/>
      <c r="AT1220" s="82"/>
      <c r="AU1220" s="82"/>
    </row>
    <row r="1221" spans="4:47" ht="18.600000000000001" customHeight="1" x14ac:dyDescent="0.25">
      <c r="D1221" s="9"/>
      <c r="E1221" s="5"/>
      <c r="F1221" s="5"/>
      <c r="G1221" s="5"/>
      <c r="H1221" s="5"/>
      <c r="I1221" s="5"/>
      <c r="K1221" s="3"/>
      <c r="L1221" s="3"/>
      <c r="M1221" s="3"/>
      <c r="N1221" s="5"/>
      <c r="S1221" s="3"/>
      <c r="T1221" s="3"/>
      <c r="U1221" s="3"/>
      <c r="V1221" s="3"/>
      <c r="W1221" s="3"/>
      <c r="X1221" s="3"/>
      <c r="Y1221" s="3"/>
      <c r="AF1221" s="3"/>
      <c r="AN1221" s="3"/>
      <c r="AO1221" s="82"/>
      <c r="AP1221" s="82"/>
      <c r="AQ1221" s="82"/>
      <c r="AR1221" s="82"/>
      <c r="AS1221" s="82"/>
      <c r="AT1221" s="82"/>
      <c r="AU1221" s="82"/>
    </row>
    <row r="1222" spans="4:47" ht="18.600000000000001" customHeight="1" x14ac:dyDescent="0.25">
      <c r="D1222" s="9"/>
      <c r="E1222" s="5"/>
      <c r="F1222" s="5"/>
      <c r="G1222" s="5"/>
      <c r="H1222" s="5"/>
      <c r="I1222" s="5"/>
      <c r="K1222" s="3"/>
      <c r="L1222" s="3"/>
      <c r="M1222" s="3"/>
      <c r="N1222" s="5"/>
      <c r="S1222" s="3"/>
      <c r="T1222" s="3"/>
      <c r="U1222" s="3"/>
      <c r="V1222" s="3"/>
      <c r="W1222" s="3"/>
      <c r="X1222" s="3"/>
      <c r="Y1222" s="3"/>
      <c r="AF1222" s="3"/>
      <c r="AN1222" s="3"/>
      <c r="AO1222" s="82"/>
      <c r="AP1222" s="82"/>
      <c r="AQ1222" s="82"/>
      <c r="AR1222" s="82"/>
      <c r="AS1222" s="82"/>
      <c r="AT1222" s="82"/>
      <c r="AU1222" s="82"/>
    </row>
    <row r="1223" spans="4:47" ht="18.600000000000001" customHeight="1" x14ac:dyDescent="0.25">
      <c r="D1223" s="9"/>
      <c r="E1223" s="5"/>
      <c r="F1223" s="5"/>
      <c r="G1223" s="5"/>
      <c r="H1223" s="5"/>
      <c r="I1223" s="5"/>
      <c r="K1223" s="3"/>
      <c r="L1223" s="3"/>
      <c r="M1223" s="3"/>
      <c r="N1223" s="5"/>
      <c r="S1223" s="3"/>
      <c r="T1223" s="3"/>
      <c r="U1223" s="3"/>
      <c r="V1223" s="3"/>
      <c r="W1223" s="3"/>
      <c r="X1223" s="3"/>
      <c r="Y1223" s="3"/>
      <c r="AF1223" s="3"/>
      <c r="AN1223" s="3"/>
      <c r="AO1223" s="82"/>
      <c r="AP1223" s="82"/>
      <c r="AQ1223" s="82"/>
      <c r="AR1223" s="82"/>
      <c r="AS1223" s="82"/>
      <c r="AT1223" s="82"/>
      <c r="AU1223" s="82"/>
    </row>
    <row r="1224" spans="4:47" ht="18.600000000000001" customHeight="1" x14ac:dyDescent="0.25">
      <c r="D1224" s="9"/>
      <c r="E1224" s="5"/>
      <c r="F1224" s="5"/>
      <c r="G1224" s="5"/>
      <c r="H1224" s="5"/>
      <c r="I1224" s="5"/>
      <c r="K1224" s="3"/>
      <c r="L1224" s="3"/>
      <c r="M1224" s="3"/>
      <c r="N1224" s="5"/>
      <c r="S1224" s="3"/>
      <c r="T1224" s="3"/>
      <c r="U1224" s="3"/>
      <c r="V1224" s="3"/>
      <c r="W1224" s="3"/>
      <c r="X1224" s="3"/>
      <c r="Y1224" s="3"/>
      <c r="AF1224" s="3"/>
      <c r="AN1224" s="3"/>
      <c r="AO1224" s="82"/>
      <c r="AP1224" s="82"/>
      <c r="AQ1224" s="82"/>
      <c r="AR1224" s="82"/>
      <c r="AS1224" s="82"/>
      <c r="AT1224" s="82"/>
      <c r="AU1224" s="82"/>
    </row>
    <row r="1225" spans="4:47" ht="18.600000000000001" customHeight="1" x14ac:dyDescent="0.25">
      <c r="D1225" s="9"/>
      <c r="E1225" s="5"/>
      <c r="F1225" s="5"/>
      <c r="G1225" s="5"/>
      <c r="H1225" s="5"/>
      <c r="I1225" s="5"/>
      <c r="K1225" s="3"/>
      <c r="L1225" s="3"/>
      <c r="M1225" s="3"/>
      <c r="N1225" s="5"/>
      <c r="S1225" s="3"/>
      <c r="T1225" s="3"/>
      <c r="U1225" s="3"/>
      <c r="V1225" s="3"/>
      <c r="W1225" s="3"/>
      <c r="X1225" s="3"/>
      <c r="Y1225" s="3"/>
      <c r="AF1225" s="3"/>
      <c r="AN1225" s="3"/>
      <c r="AO1225" s="82"/>
      <c r="AP1225" s="82"/>
      <c r="AQ1225" s="82"/>
      <c r="AR1225" s="82"/>
      <c r="AS1225" s="82"/>
      <c r="AT1225" s="82"/>
      <c r="AU1225" s="82"/>
    </row>
    <row r="1226" spans="4:47" ht="18.600000000000001" customHeight="1" x14ac:dyDescent="0.25">
      <c r="D1226" s="9"/>
      <c r="E1226" s="5"/>
      <c r="F1226" s="5"/>
      <c r="G1226" s="5"/>
      <c r="H1226" s="5"/>
      <c r="I1226" s="5"/>
      <c r="K1226" s="3"/>
      <c r="L1226" s="3"/>
      <c r="M1226" s="3"/>
      <c r="N1226" s="5"/>
      <c r="S1226" s="3"/>
      <c r="T1226" s="3"/>
      <c r="U1226" s="3"/>
      <c r="V1226" s="3"/>
      <c r="W1226" s="3"/>
      <c r="X1226" s="3"/>
      <c r="Y1226" s="3"/>
      <c r="AF1226" s="3"/>
      <c r="AN1226" s="3"/>
      <c r="AO1226" s="82"/>
      <c r="AP1226" s="82"/>
      <c r="AQ1226" s="82"/>
      <c r="AR1226" s="82"/>
      <c r="AS1226" s="82"/>
      <c r="AT1226" s="82"/>
      <c r="AU1226" s="82"/>
    </row>
    <row r="1227" spans="4:47" ht="18.600000000000001" customHeight="1" x14ac:dyDescent="0.25">
      <c r="D1227" s="9"/>
      <c r="E1227" s="5"/>
      <c r="F1227" s="5"/>
      <c r="G1227" s="5"/>
      <c r="H1227" s="5"/>
      <c r="I1227" s="5"/>
      <c r="K1227" s="3"/>
      <c r="L1227" s="3"/>
      <c r="M1227" s="3"/>
      <c r="N1227" s="5"/>
      <c r="S1227" s="3"/>
      <c r="T1227" s="3"/>
      <c r="U1227" s="3"/>
      <c r="V1227" s="3"/>
      <c r="W1227" s="3"/>
      <c r="X1227" s="3"/>
      <c r="Y1227" s="3"/>
      <c r="AF1227" s="3"/>
      <c r="AN1227" s="3"/>
      <c r="AO1227" s="82"/>
      <c r="AP1227" s="82"/>
      <c r="AQ1227" s="82"/>
      <c r="AR1227" s="82"/>
      <c r="AS1227" s="82"/>
      <c r="AT1227" s="82"/>
      <c r="AU1227" s="82"/>
    </row>
    <row r="1228" spans="4:47" ht="18.600000000000001" customHeight="1" x14ac:dyDescent="0.25">
      <c r="D1228" s="9"/>
      <c r="E1228" s="5"/>
      <c r="F1228" s="5"/>
      <c r="G1228" s="5"/>
      <c r="H1228" s="5"/>
      <c r="I1228" s="5"/>
      <c r="K1228" s="3"/>
      <c r="L1228" s="3"/>
      <c r="M1228" s="3"/>
      <c r="N1228" s="5"/>
      <c r="S1228" s="3"/>
      <c r="T1228" s="3"/>
      <c r="U1228" s="3"/>
      <c r="V1228" s="3"/>
      <c r="W1228" s="3"/>
      <c r="X1228" s="3"/>
      <c r="Y1228" s="3"/>
      <c r="AF1228" s="3"/>
      <c r="AN1228" s="3"/>
      <c r="AO1228" s="82"/>
      <c r="AP1228" s="82"/>
      <c r="AQ1228" s="82"/>
      <c r="AR1228" s="82"/>
      <c r="AS1228" s="82"/>
      <c r="AT1228" s="82"/>
      <c r="AU1228" s="82"/>
    </row>
    <row r="1229" spans="4:47" ht="18.600000000000001" customHeight="1" x14ac:dyDescent="0.25">
      <c r="D1229" s="9"/>
      <c r="E1229" s="5"/>
      <c r="F1229" s="5"/>
      <c r="G1229" s="5"/>
      <c r="H1229" s="5"/>
      <c r="I1229" s="5"/>
      <c r="K1229" s="3"/>
      <c r="L1229" s="3"/>
      <c r="M1229" s="3"/>
      <c r="N1229" s="5"/>
      <c r="S1229" s="3"/>
      <c r="T1229" s="3"/>
      <c r="U1229" s="3"/>
      <c r="V1229" s="3"/>
      <c r="W1229" s="3"/>
      <c r="X1229" s="3"/>
      <c r="Y1229" s="3"/>
      <c r="AF1229" s="3"/>
      <c r="AN1229" s="3"/>
      <c r="AO1229" s="82"/>
      <c r="AP1229" s="82"/>
      <c r="AQ1229" s="82"/>
      <c r="AR1229" s="82"/>
      <c r="AS1229" s="82"/>
      <c r="AT1229" s="82"/>
      <c r="AU1229" s="82"/>
    </row>
    <row r="1230" spans="4:47" ht="18.600000000000001" customHeight="1" x14ac:dyDescent="0.25">
      <c r="D1230" s="9"/>
      <c r="E1230" s="5"/>
      <c r="F1230" s="5"/>
      <c r="G1230" s="5"/>
      <c r="H1230" s="5"/>
      <c r="I1230" s="5"/>
      <c r="K1230" s="3"/>
      <c r="L1230" s="3"/>
      <c r="M1230" s="3"/>
      <c r="N1230" s="5"/>
      <c r="S1230" s="3"/>
      <c r="T1230" s="3"/>
      <c r="U1230" s="3"/>
      <c r="V1230" s="3"/>
      <c r="W1230" s="3"/>
      <c r="X1230" s="3"/>
      <c r="Y1230" s="3"/>
      <c r="AF1230" s="3"/>
      <c r="AN1230" s="3"/>
      <c r="AO1230" s="82"/>
      <c r="AP1230" s="82"/>
      <c r="AQ1230" s="82"/>
      <c r="AR1230" s="82"/>
      <c r="AS1230" s="82"/>
      <c r="AT1230" s="82"/>
      <c r="AU1230" s="82"/>
    </row>
    <row r="1231" spans="4:47" ht="18.600000000000001" customHeight="1" x14ac:dyDescent="0.25">
      <c r="D1231" s="9"/>
      <c r="E1231" s="5"/>
      <c r="F1231" s="5"/>
      <c r="G1231" s="5"/>
      <c r="H1231" s="5"/>
      <c r="I1231" s="5"/>
      <c r="K1231" s="3"/>
      <c r="L1231" s="3"/>
      <c r="M1231" s="3"/>
      <c r="N1231" s="5"/>
      <c r="S1231" s="3"/>
      <c r="T1231" s="3"/>
      <c r="U1231" s="3"/>
      <c r="V1231" s="3"/>
      <c r="W1231" s="3"/>
      <c r="X1231" s="3"/>
      <c r="Y1231" s="3"/>
      <c r="AF1231" s="3"/>
      <c r="AN1231" s="3"/>
      <c r="AO1231" s="82"/>
      <c r="AP1231" s="82"/>
      <c r="AQ1231" s="82"/>
      <c r="AR1231" s="82"/>
      <c r="AS1231" s="82"/>
      <c r="AT1231" s="82"/>
      <c r="AU1231" s="82"/>
    </row>
    <row r="1232" spans="4:47" ht="18.600000000000001" customHeight="1" x14ac:dyDescent="0.25">
      <c r="D1232" s="9"/>
      <c r="E1232" s="5"/>
      <c r="F1232" s="5"/>
      <c r="G1232" s="5"/>
      <c r="H1232" s="5"/>
      <c r="I1232" s="5"/>
      <c r="K1232" s="3"/>
      <c r="L1232" s="3"/>
      <c r="M1232" s="3"/>
      <c r="N1232" s="5"/>
      <c r="S1232" s="3"/>
      <c r="T1232" s="3"/>
      <c r="U1232" s="3"/>
      <c r="V1232" s="3"/>
      <c r="W1232" s="3"/>
      <c r="X1232" s="3"/>
      <c r="Y1232" s="3"/>
      <c r="AF1232" s="3"/>
      <c r="AN1232" s="3"/>
      <c r="AO1232" s="82"/>
      <c r="AP1232" s="82"/>
      <c r="AQ1232" s="82"/>
      <c r="AR1232" s="82"/>
      <c r="AS1232" s="82"/>
      <c r="AT1232" s="82"/>
      <c r="AU1232" s="82"/>
    </row>
    <row r="1233" spans="4:47" ht="18.600000000000001" customHeight="1" x14ac:dyDescent="0.25">
      <c r="D1233" s="9"/>
      <c r="E1233" s="5"/>
      <c r="F1233" s="5"/>
      <c r="G1233" s="5"/>
      <c r="H1233" s="5"/>
      <c r="I1233" s="5"/>
      <c r="K1233" s="3"/>
      <c r="L1233" s="3"/>
      <c r="M1233" s="3"/>
      <c r="N1233" s="5"/>
      <c r="S1233" s="3"/>
      <c r="T1233" s="3"/>
      <c r="U1233" s="3"/>
      <c r="V1233" s="3"/>
      <c r="W1233" s="3"/>
      <c r="X1233" s="3"/>
      <c r="Y1233" s="3"/>
      <c r="AF1233" s="3"/>
      <c r="AN1233" s="3"/>
      <c r="AO1233" s="82"/>
      <c r="AP1233" s="82"/>
      <c r="AQ1233" s="82"/>
      <c r="AR1233" s="82"/>
      <c r="AS1233" s="82"/>
      <c r="AT1233" s="82"/>
      <c r="AU1233" s="82"/>
    </row>
    <row r="1234" spans="4:47" ht="18.600000000000001" customHeight="1" x14ac:dyDescent="0.25">
      <c r="D1234" s="9"/>
      <c r="E1234" s="5"/>
      <c r="F1234" s="5"/>
      <c r="G1234" s="5"/>
      <c r="H1234" s="5"/>
      <c r="I1234" s="5"/>
      <c r="K1234" s="3"/>
      <c r="L1234" s="3"/>
      <c r="M1234" s="3"/>
      <c r="N1234" s="5"/>
      <c r="S1234" s="3"/>
      <c r="T1234" s="3"/>
      <c r="U1234" s="3"/>
      <c r="V1234" s="3"/>
      <c r="W1234" s="3"/>
      <c r="X1234" s="3"/>
      <c r="Y1234" s="3"/>
      <c r="AF1234" s="3"/>
      <c r="AN1234" s="3"/>
      <c r="AO1234" s="82"/>
      <c r="AP1234" s="82"/>
      <c r="AQ1234" s="82"/>
      <c r="AR1234" s="82"/>
      <c r="AS1234" s="82"/>
      <c r="AT1234" s="82"/>
      <c r="AU1234" s="82"/>
    </row>
    <row r="1235" spans="4:47" ht="18.600000000000001" customHeight="1" x14ac:dyDescent="0.25">
      <c r="D1235" s="9"/>
      <c r="E1235" s="5"/>
      <c r="F1235" s="5"/>
      <c r="G1235" s="5"/>
      <c r="H1235" s="5"/>
      <c r="I1235" s="5"/>
      <c r="K1235" s="3"/>
      <c r="L1235" s="3"/>
      <c r="M1235" s="3"/>
      <c r="N1235" s="5"/>
      <c r="S1235" s="3"/>
      <c r="T1235" s="3"/>
      <c r="U1235" s="3"/>
      <c r="V1235" s="3"/>
      <c r="W1235" s="3"/>
      <c r="X1235" s="3"/>
      <c r="Y1235" s="3"/>
      <c r="AF1235" s="3"/>
      <c r="AN1235" s="3"/>
      <c r="AO1235" s="82"/>
      <c r="AP1235" s="82"/>
      <c r="AQ1235" s="82"/>
      <c r="AR1235" s="82"/>
      <c r="AS1235" s="82"/>
      <c r="AT1235" s="82"/>
      <c r="AU1235" s="82"/>
    </row>
    <row r="1236" spans="4:47" ht="18.600000000000001" customHeight="1" x14ac:dyDescent="0.25">
      <c r="D1236" s="9"/>
      <c r="E1236" s="5"/>
      <c r="F1236" s="5"/>
      <c r="G1236" s="5"/>
      <c r="H1236" s="5"/>
      <c r="I1236" s="5"/>
      <c r="K1236" s="3"/>
      <c r="L1236" s="3"/>
      <c r="M1236" s="3"/>
      <c r="N1236" s="5"/>
      <c r="S1236" s="3"/>
      <c r="T1236" s="3"/>
      <c r="U1236" s="3"/>
      <c r="V1236" s="3"/>
      <c r="W1236" s="3"/>
      <c r="X1236" s="3"/>
      <c r="Y1236" s="3"/>
      <c r="AF1236" s="3"/>
      <c r="AN1236" s="3"/>
      <c r="AO1236" s="82"/>
      <c r="AP1236" s="82"/>
      <c r="AQ1236" s="82"/>
      <c r="AR1236" s="82"/>
      <c r="AS1236" s="82"/>
      <c r="AT1236" s="82"/>
      <c r="AU1236" s="82"/>
    </row>
    <row r="1237" spans="4:47" ht="18.600000000000001" customHeight="1" x14ac:dyDescent="0.25">
      <c r="D1237" s="9"/>
      <c r="E1237" s="5"/>
      <c r="F1237" s="5"/>
      <c r="G1237" s="5"/>
      <c r="H1237" s="5"/>
      <c r="I1237" s="5"/>
      <c r="K1237" s="3"/>
      <c r="L1237" s="3"/>
      <c r="M1237" s="3"/>
      <c r="N1237" s="5"/>
      <c r="S1237" s="3"/>
      <c r="T1237" s="3"/>
      <c r="U1237" s="3"/>
      <c r="V1237" s="3"/>
      <c r="W1237" s="3"/>
      <c r="X1237" s="3"/>
      <c r="Y1237" s="3"/>
      <c r="AF1237" s="3"/>
      <c r="AN1237" s="3"/>
      <c r="AO1237" s="82"/>
      <c r="AP1237" s="82"/>
      <c r="AQ1237" s="82"/>
      <c r="AR1237" s="82"/>
      <c r="AS1237" s="82"/>
      <c r="AT1237" s="82"/>
      <c r="AU1237" s="82"/>
    </row>
    <row r="1238" spans="4:47" ht="18.600000000000001" customHeight="1" x14ac:dyDescent="0.25">
      <c r="D1238" s="9"/>
      <c r="E1238" s="5"/>
      <c r="F1238" s="5"/>
      <c r="G1238" s="5"/>
      <c r="H1238" s="5"/>
      <c r="I1238" s="5"/>
      <c r="K1238" s="3"/>
      <c r="L1238" s="3"/>
      <c r="M1238" s="3"/>
      <c r="N1238" s="5"/>
      <c r="S1238" s="3"/>
      <c r="T1238" s="3"/>
      <c r="U1238" s="3"/>
      <c r="V1238" s="3"/>
      <c r="W1238" s="3"/>
      <c r="X1238" s="3"/>
      <c r="Y1238" s="3"/>
      <c r="AF1238" s="3"/>
      <c r="AN1238" s="3"/>
      <c r="AO1238" s="82"/>
      <c r="AP1238" s="82"/>
      <c r="AQ1238" s="82"/>
      <c r="AR1238" s="82"/>
      <c r="AS1238" s="82"/>
      <c r="AT1238" s="82"/>
      <c r="AU1238" s="82"/>
    </row>
    <row r="1239" spans="4:47" ht="18.600000000000001" customHeight="1" x14ac:dyDescent="0.25">
      <c r="D1239" s="9"/>
      <c r="E1239" s="5"/>
      <c r="F1239" s="5"/>
      <c r="G1239" s="5"/>
      <c r="H1239" s="5"/>
      <c r="I1239" s="5"/>
      <c r="K1239" s="3"/>
      <c r="L1239" s="3"/>
      <c r="M1239" s="3"/>
      <c r="N1239" s="5"/>
      <c r="S1239" s="3"/>
      <c r="T1239" s="3"/>
      <c r="U1239" s="3"/>
      <c r="V1239" s="3"/>
      <c r="W1239" s="3"/>
      <c r="X1239" s="3"/>
      <c r="Y1239" s="3"/>
      <c r="AF1239" s="3"/>
      <c r="AN1239" s="3"/>
      <c r="AO1239" s="82"/>
      <c r="AP1239" s="82"/>
      <c r="AQ1239" s="82"/>
      <c r="AR1239" s="82"/>
      <c r="AS1239" s="82"/>
      <c r="AT1239" s="82"/>
      <c r="AU1239" s="82"/>
    </row>
    <row r="1240" spans="4:47" ht="18.600000000000001" customHeight="1" x14ac:dyDescent="0.25">
      <c r="D1240" s="9"/>
      <c r="E1240" s="5"/>
      <c r="F1240" s="5"/>
      <c r="G1240" s="5"/>
      <c r="H1240" s="5"/>
      <c r="I1240" s="5"/>
      <c r="K1240" s="3"/>
      <c r="L1240" s="3"/>
      <c r="M1240" s="3"/>
      <c r="N1240" s="5"/>
      <c r="S1240" s="3"/>
      <c r="T1240" s="3"/>
      <c r="U1240" s="3"/>
      <c r="V1240" s="3"/>
      <c r="W1240" s="3"/>
      <c r="X1240" s="3"/>
      <c r="Y1240" s="3"/>
      <c r="AF1240" s="3"/>
      <c r="AN1240" s="3"/>
      <c r="AO1240" s="82"/>
      <c r="AP1240" s="82"/>
      <c r="AQ1240" s="82"/>
      <c r="AR1240" s="82"/>
      <c r="AS1240" s="82"/>
      <c r="AT1240" s="82"/>
      <c r="AU1240" s="82"/>
    </row>
    <row r="1241" spans="4:47" ht="18.600000000000001" customHeight="1" x14ac:dyDescent="0.25">
      <c r="D1241" s="9"/>
      <c r="E1241" s="5"/>
      <c r="F1241" s="5"/>
      <c r="G1241" s="5"/>
      <c r="H1241" s="5"/>
      <c r="I1241" s="5"/>
      <c r="K1241" s="3"/>
      <c r="L1241" s="3"/>
      <c r="M1241" s="3"/>
      <c r="N1241" s="5"/>
      <c r="S1241" s="3"/>
      <c r="T1241" s="3"/>
      <c r="U1241" s="3"/>
      <c r="V1241" s="3"/>
      <c r="W1241" s="3"/>
      <c r="X1241" s="3"/>
      <c r="Y1241" s="3"/>
      <c r="AF1241" s="3"/>
      <c r="AN1241" s="3"/>
      <c r="AO1241" s="82"/>
      <c r="AP1241" s="82"/>
      <c r="AQ1241" s="82"/>
      <c r="AR1241" s="82"/>
      <c r="AS1241" s="82"/>
      <c r="AT1241" s="82"/>
      <c r="AU1241" s="82"/>
    </row>
    <row r="1242" spans="4:47" ht="18.600000000000001" customHeight="1" x14ac:dyDescent="0.25">
      <c r="D1242" s="9"/>
      <c r="E1242" s="5"/>
      <c r="F1242" s="5"/>
      <c r="G1242" s="5"/>
      <c r="H1242" s="5"/>
      <c r="I1242" s="5"/>
      <c r="K1242" s="3"/>
      <c r="L1242" s="3"/>
      <c r="M1242" s="3"/>
      <c r="N1242" s="5"/>
      <c r="S1242" s="3"/>
      <c r="T1242" s="3"/>
      <c r="U1242" s="3"/>
      <c r="V1242" s="3"/>
      <c r="W1242" s="3"/>
      <c r="X1242" s="3"/>
      <c r="Y1242" s="3"/>
      <c r="AF1242" s="3"/>
      <c r="AN1242" s="3"/>
      <c r="AO1242" s="82"/>
      <c r="AP1242" s="82"/>
      <c r="AQ1242" s="82"/>
      <c r="AR1242" s="82"/>
      <c r="AS1242" s="82"/>
      <c r="AT1242" s="82"/>
      <c r="AU1242" s="82"/>
    </row>
    <row r="1243" spans="4:47" ht="18.600000000000001" customHeight="1" x14ac:dyDescent="0.25">
      <c r="D1243" s="9"/>
      <c r="E1243" s="5"/>
      <c r="F1243" s="5"/>
      <c r="G1243" s="5"/>
      <c r="H1243" s="5"/>
      <c r="I1243" s="5"/>
      <c r="K1243" s="3"/>
      <c r="L1243" s="3"/>
      <c r="M1243" s="3"/>
      <c r="N1243" s="5"/>
      <c r="S1243" s="3"/>
      <c r="T1243" s="3"/>
      <c r="U1243" s="3"/>
      <c r="V1243" s="3"/>
      <c r="W1243" s="3"/>
      <c r="X1243" s="3"/>
      <c r="Y1243" s="3"/>
      <c r="AF1243" s="3"/>
      <c r="AN1243" s="3"/>
      <c r="AO1243" s="82"/>
      <c r="AP1243" s="82"/>
      <c r="AQ1243" s="82"/>
      <c r="AR1243" s="82"/>
      <c r="AS1243" s="82"/>
      <c r="AT1243" s="82"/>
      <c r="AU1243" s="82"/>
    </row>
    <row r="1244" spans="4:47" ht="18.600000000000001" customHeight="1" x14ac:dyDescent="0.25">
      <c r="D1244" s="9"/>
      <c r="E1244" s="5"/>
      <c r="F1244" s="5"/>
      <c r="G1244" s="5"/>
      <c r="H1244" s="5"/>
      <c r="I1244" s="5"/>
      <c r="K1244" s="3"/>
      <c r="L1244" s="3"/>
      <c r="M1244" s="3"/>
      <c r="N1244" s="5"/>
      <c r="S1244" s="3"/>
      <c r="T1244" s="3"/>
      <c r="U1244" s="3"/>
      <c r="V1244" s="3"/>
      <c r="W1244" s="3"/>
      <c r="X1244" s="3"/>
      <c r="Y1244" s="3"/>
      <c r="AF1244" s="3"/>
      <c r="AN1244" s="3"/>
      <c r="AO1244" s="82"/>
      <c r="AP1244" s="82"/>
      <c r="AQ1244" s="82"/>
      <c r="AR1244" s="82"/>
      <c r="AS1244" s="82"/>
      <c r="AT1244" s="82"/>
      <c r="AU1244" s="82"/>
    </row>
    <row r="1245" spans="4:47" ht="18.600000000000001" customHeight="1" x14ac:dyDescent="0.25">
      <c r="D1245" s="9"/>
      <c r="E1245" s="5"/>
      <c r="F1245" s="5"/>
      <c r="G1245" s="5"/>
      <c r="H1245" s="5"/>
      <c r="I1245" s="5"/>
      <c r="K1245" s="3"/>
      <c r="L1245" s="3"/>
      <c r="M1245" s="3"/>
      <c r="N1245" s="5"/>
      <c r="S1245" s="3"/>
      <c r="T1245" s="3"/>
      <c r="U1245" s="3"/>
      <c r="V1245" s="3"/>
      <c r="W1245" s="3"/>
      <c r="X1245" s="3"/>
      <c r="Y1245" s="3"/>
      <c r="AF1245" s="3"/>
      <c r="AN1245" s="3"/>
      <c r="AO1245" s="82"/>
      <c r="AP1245" s="82"/>
      <c r="AQ1245" s="82"/>
      <c r="AR1245" s="82"/>
      <c r="AS1245" s="82"/>
      <c r="AT1245" s="82"/>
      <c r="AU1245" s="82"/>
    </row>
    <row r="1246" spans="4:47" ht="18.600000000000001" customHeight="1" x14ac:dyDescent="0.25">
      <c r="D1246" s="9"/>
      <c r="E1246" s="5"/>
      <c r="F1246" s="5"/>
      <c r="G1246" s="5"/>
      <c r="H1246" s="5"/>
      <c r="I1246" s="5"/>
      <c r="K1246" s="3"/>
      <c r="L1246" s="3"/>
      <c r="M1246" s="3"/>
      <c r="N1246" s="5"/>
      <c r="S1246" s="3"/>
      <c r="T1246" s="3"/>
      <c r="U1246" s="3"/>
      <c r="V1246" s="3"/>
      <c r="W1246" s="3"/>
      <c r="X1246" s="3"/>
      <c r="Y1246" s="3"/>
      <c r="AF1246" s="3"/>
      <c r="AN1246" s="3"/>
      <c r="AO1246" s="82"/>
      <c r="AP1246" s="82"/>
      <c r="AQ1246" s="82"/>
      <c r="AR1246" s="82"/>
      <c r="AS1246" s="82"/>
      <c r="AT1246" s="82"/>
      <c r="AU1246" s="82"/>
    </row>
    <row r="1247" spans="4:47" ht="18.600000000000001" customHeight="1" x14ac:dyDescent="0.25">
      <c r="D1247" s="9"/>
      <c r="E1247" s="5"/>
      <c r="F1247" s="5"/>
      <c r="G1247" s="5"/>
      <c r="H1247" s="5"/>
      <c r="I1247" s="5"/>
      <c r="K1247" s="3"/>
      <c r="L1247" s="3"/>
      <c r="M1247" s="3"/>
      <c r="N1247" s="5"/>
      <c r="S1247" s="3"/>
      <c r="T1247" s="3"/>
      <c r="U1247" s="3"/>
      <c r="V1247" s="3"/>
      <c r="W1247" s="3"/>
      <c r="X1247" s="3"/>
      <c r="Y1247" s="3"/>
      <c r="AF1247" s="3"/>
      <c r="AN1247" s="3"/>
      <c r="AO1247" s="82"/>
      <c r="AP1247" s="82"/>
      <c r="AQ1247" s="82"/>
      <c r="AR1247" s="82"/>
      <c r="AS1247" s="82"/>
      <c r="AT1247" s="82"/>
      <c r="AU1247" s="82"/>
    </row>
    <row r="1248" spans="4:47" ht="18.600000000000001" customHeight="1" x14ac:dyDescent="0.25">
      <c r="D1248" s="9"/>
      <c r="E1248" s="5"/>
      <c r="F1248" s="5"/>
      <c r="G1248" s="5"/>
      <c r="H1248" s="5"/>
      <c r="I1248" s="5"/>
      <c r="K1248" s="3"/>
      <c r="L1248" s="3"/>
      <c r="M1248" s="3"/>
      <c r="N1248" s="5"/>
      <c r="S1248" s="3"/>
      <c r="T1248" s="3"/>
      <c r="U1248" s="3"/>
      <c r="V1248" s="3"/>
      <c r="W1248" s="3"/>
      <c r="X1248" s="3"/>
      <c r="Y1248" s="3"/>
      <c r="AF1248" s="3"/>
      <c r="AN1248" s="3"/>
      <c r="AO1248" s="82"/>
      <c r="AP1248" s="82"/>
      <c r="AQ1248" s="82"/>
      <c r="AR1248" s="82"/>
      <c r="AS1248" s="82"/>
      <c r="AT1248" s="82"/>
      <c r="AU1248" s="82"/>
    </row>
    <row r="1249" spans="4:47" ht="18.600000000000001" customHeight="1" x14ac:dyDescent="0.25">
      <c r="D1249" s="9"/>
      <c r="E1249" s="5"/>
      <c r="F1249" s="5"/>
      <c r="G1249" s="5"/>
      <c r="H1249" s="5"/>
      <c r="I1249" s="5"/>
      <c r="K1249" s="3"/>
      <c r="L1249" s="3"/>
      <c r="M1249" s="3"/>
      <c r="N1249" s="5"/>
      <c r="S1249" s="3"/>
      <c r="T1249" s="3"/>
      <c r="U1249" s="3"/>
      <c r="V1249" s="3"/>
      <c r="W1249" s="3"/>
      <c r="X1249" s="3"/>
      <c r="Y1249" s="3"/>
      <c r="AF1249" s="3"/>
      <c r="AN1249" s="3"/>
      <c r="AO1249" s="82"/>
      <c r="AP1249" s="82"/>
      <c r="AQ1249" s="82"/>
      <c r="AR1249" s="82"/>
      <c r="AS1249" s="82"/>
      <c r="AT1249" s="82"/>
      <c r="AU1249" s="82"/>
    </row>
    <row r="1250" spans="4:47" ht="18.600000000000001" customHeight="1" x14ac:dyDescent="0.25">
      <c r="D1250" s="9"/>
      <c r="E1250" s="5"/>
      <c r="F1250" s="5"/>
      <c r="G1250" s="5"/>
      <c r="H1250" s="5"/>
      <c r="I1250" s="5"/>
      <c r="K1250" s="3"/>
      <c r="L1250" s="3"/>
      <c r="M1250" s="3"/>
      <c r="N1250" s="5"/>
      <c r="S1250" s="3"/>
      <c r="T1250" s="3"/>
      <c r="U1250" s="3"/>
      <c r="V1250" s="3"/>
      <c r="W1250" s="3"/>
      <c r="X1250" s="3"/>
      <c r="Y1250" s="3"/>
      <c r="AF1250" s="3"/>
      <c r="AN1250" s="3"/>
      <c r="AO1250" s="82"/>
      <c r="AP1250" s="82"/>
      <c r="AQ1250" s="82"/>
      <c r="AR1250" s="82"/>
      <c r="AS1250" s="82"/>
      <c r="AT1250" s="82"/>
      <c r="AU1250" s="82"/>
    </row>
    <row r="1251" spans="4:47" ht="18.600000000000001" customHeight="1" x14ac:dyDescent="0.25">
      <c r="D1251" s="9"/>
      <c r="E1251" s="5"/>
      <c r="F1251" s="5"/>
      <c r="G1251" s="5"/>
      <c r="H1251" s="5"/>
      <c r="I1251" s="5"/>
      <c r="K1251" s="3"/>
      <c r="L1251" s="3"/>
      <c r="M1251" s="3"/>
      <c r="N1251" s="5"/>
      <c r="S1251" s="3"/>
      <c r="T1251" s="3"/>
      <c r="U1251" s="3"/>
      <c r="V1251" s="3"/>
      <c r="W1251" s="3"/>
      <c r="X1251" s="3"/>
      <c r="Y1251" s="3"/>
      <c r="AF1251" s="3"/>
      <c r="AN1251" s="3"/>
      <c r="AO1251" s="82"/>
      <c r="AP1251" s="82"/>
      <c r="AQ1251" s="82"/>
      <c r="AR1251" s="82"/>
      <c r="AS1251" s="82"/>
      <c r="AT1251" s="82"/>
      <c r="AU1251" s="82"/>
    </row>
    <row r="1252" spans="4:47" ht="18.600000000000001" customHeight="1" x14ac:dyDescent="0.25">
      <c r="D1252" s="9"/>
      <c r="E1252" s="5"/>
      <c r="F1252" s="5"/>
      <c r="G1252" s="5"/>
      <c r="H1252" s="5"/>
      <c r="I1252" s="5"/>
      <c r="K1252" s="3"/>
      <c r="L1252" s="3"/>
      <c r="M1252" s="3"/>
      <c r="N1252" s="5"/>
      <c r="S1252" s="3"/>
      <c r="T1252" s="3"/>
      <c r="U1252" s="3"/>
      <c r="V1252" s="3"/>
      <c r="W1252" s="3"/>
      <c r="X1252" s="3"/>
      <c r="Y1252" s="3"/>
      <c r="AF1252" s="3"/>
      <c r="AN1252" s="3"/>
      <c r="AO1252" s="82"/>
      <c r="AP1252" s="82"/>
      <c r="AQ1252" s="82"/>
      <c r="AR1252" s="82"/>
      <c r="AS1252" s="82"/>
      <c r="AT1252" s="82"/>
      <c r="AU1252" s="82"/>
    </row>
    <row r="1253" spans="4:47" ht="18.600000000000001" customHeight="1" x14ac:dyDescent="0.25">
      <c r="D1253" s="9"/>
      <c r="E1253" s="5"/>
      <c r="F1253" s="5"/>
      <c r="G1253" s="5"/>
      <c r="H1253" s="5"/>
      <c r="I1253" s="5"/>
      <c r="K1253" s="3"/>
      <c r="L1253" s="3"/>
      <c r="M1253" s="3"/>
      <c r="N1253" s="5"/>
      <c r="S1253" s="3"/>
      <c r="T1253" s="3"/>
      <c r="U1253" s="3"/>
      <c r="V1253" s="3"/>
      <c r="W1253" s="3"/>
      <c r="X1253" s="3"/>
      <c r="Y1253" s="3"/>
      <c r="AF1253" s="3"/>
      <c r="AN1253" s="3"/>
      <c r="AO1253" s="82"/>
      <c r="AP1253" s="82"/>
      <c r="AQ1253" s="82"/>
      <c r="AR1253" s="82"/>
      <c r="AS1253" s="82"/>
      <c r="AT1253" s="82"/>
      <c r="AU1253" s="82"/>
    </row>
    <row r="1254" spans="4:47" ht="18.600000000000001" customHeight="1" x14ac:dyDescent="0.25">
      <c r="D1254" s="9"/>
      <c r="E1254" s="5"/>
      <c r="F1254" s="5"/>
      <c r="G1254" s="5"/>
      <c r="H1254" s="5"/>
      <c r="I1254" s="5"/>
      <c r="K1254" s="3"/>
      <c r="L1254" s="3"/>
      <c r="M1254" s="3"/>
      <c r="N1254" s="5"/>
      <c r="S1254" s="3"/>
      <c r="T1254" s="3"/>
      <c r="U1254" s="3"/>
      <c r="V1254" s="3"/>
      <c r="W1254" s="3"/>
      <c r="X1254" s="3"/>
      <c r="Y1254" s="3"/>
      <c r="AF1254" s="3"/>
      <c r="AN1254" s="3"/>
      <c r="AO1254" s="82"/>
      <c r="AP1254" s="82"/>
      <c r="AQ1254" s="82"/>
      <c r="AR1254" s="82"/>
      <c r="AS1254" s="82"/>
      <c r="AT1254" s="82"/>
      <c r="AU1254" s="82"/>
    </row>
    <row r="1255" spans="4:47" ht="18.600000000000001" customHeight="1" x14ac:dyDescent="0.25">
      <c r="D1255" s="9"/>
      <c r="E1255" s="5"/>
      <c r="F1255" s="5"/>
      <c r="G1255" s="5"/>
      <c r="H1255" s="5"/>
      <c r="I1255" s="5"/>
      <c r="K1255" s="3"/>
      <c r="L1255" s="3"/>
      <c r="M1255" s="3"/>
      <c r="N1255" s="5"/>
      <c r="S1255" s="3"/>
      <c r="T1255" s="3"/>
      <c r="U1255" s="3"/>
      <c r="V1255" s="3"/>
      <c r="W1255" s="3"/>
      <c r="X1255" s="3"/>
      <c r="Y1255" s="3"/>
      <c r="AF1255" s="3"/>
      <c r="AN1255" s="3"/>
      <c r="AO1255" s="82"/>
      <c r="AP1255" s="82"/>
      <c r="AQ1255" s="82"/>
      <c r="AR1255" s="82"/>
      <c r="AS1255" s="82"/>
      <c r="AT1255" s="82"/>
      <c r="AU1255" s="82"/>
    </row>
    <row r="1256" spans="4:47" ht="18.600000000000001" customHeight="1" x14ac:dyDescent="0.25">
      <c r="D1256" s="9"/>
      <c r="E1256" s="5"/>
      <c r="F1256" s="5"/>
      <c r="G1256" s="5"/>
      <c r="H1256" s="5"/>
      <c r="I1256" s="5"/>
      <c r="K1256" s="3"/>
      <c r="L1256" s="3"/>
      <c r="M1256" s="3"/>
      <c r="N1256" s="5"/>
      <c r="S1256" s="3"/>
      <c r="T1256" s="3"/>
      <c r="U1256" s="3"/>
      <c r="V1256" s="3"/>
      <c r="W1256" s="3"/>
      <c r="X1256" s="3"/>
      <c r="Y1256" s="3"/>
      <c r="AF1256" s="3"/>
      <c r="AN1256" s="3"/>
      <c r="AO1256" s="82"/>
      <c r="AP1256" s="82"/>
      <c r="AQ1256" s="82"/>
      <c r="AR1256" s="82"/>
      <c r="AS1256" s="82"/>
      <c r="AT1256" s="82"/>
      <c r="AU1256" s="82"/>
    </row>
    <row r="1257" spans="4:47" ht="18.600000000000001" customHeight="1" x14ac:dyDescent="0.25">
      <c r="D1257" s="9"/>
      <c r="E1257" s="5"/>
      <c r="F1257" s="5"/>
      <c r="G1257" s="5"/>
      <c r="H1257" s="5"/>
      <c r="I1257" s="5"/>
      <c r="K1257" s="3"/>
      <c r="L1257" s="3"/>
      <c r="M1257" s="3"/>
      <c r="N1257" s="5"/>
      <c r="S1257" s="3"/>
      <c r="T1257" s="3"/>
      <c r="U1257" s="3"/>
      <c r="V1257" s="3"/>
      <c r="W1257" s="3"/>
      <c r="X1257" s="3"/>
      <c r="Y1257" s="3"/>
      <c r="AF1257" s="3"/>
      <c r="AN1257" s="3"/>
      <c r="AO1257" s="82"/>
      <c r="AP1257" s="82"/>
      <c r="AQ1257" s="82"/>
      <c r="AR1257" s="82"/>
      <c r="AS1257" s="82"/>
      <c r="AT1257" s="82"/>
      <c r="AU1257" s="82"/>
    </row>
    <row r="1258" spans="4:47" ht="18.600000000000001" customHeight="1" x14ac:dyDescent="0.25">
      <c r="D1258" s="9"/>
      <c r="E1258" s="5"/>
      <c r="F1258" s="5"/>
      <c r="G1258" s="5"/>
      <c r="H1258" s="5"/>
      <c r="I1258" s="5"/>
      <c r="K1258" s="3"/>
      <c r="L1258" s="3"/>
      <c r="M1258" s="3"/>
      <c r="N1258" s="5"/>
      <c r="S1258" s="3"/>
      <c r="T1258" s="3"/>
      <c r="U1258" s="3"/>
      <c r="V1258" s="3"/>
      <c r="W1258" s="3"/>
      <c r="X1258" s="3"/>
      <c r="Y1258" s="3"/>
      <c r="AF1258" s="3"/>
      <c r="AN1258" s="3"/>
      <c r="AO1258" s="82"/>
      <c r="AP1258" s="82"/>
      <c r="AQ1258" s="82"/>
      <c r="AR1258" s="82"/>
      <c r="AS1258" s="82"/>
      <c r="AT1258" s="82"/>
      <c r="AU1258" s="82"/>
    </row>
    <row r="1259" spans="4:47" ht="18.600000000000001" customHeight="1" x14ac:dyDescent="0.25">
      <c r="D1259" s="9"/>
      <c r="E1259" s="5"/>
      <c r="F1259" s="5"/>
      <c r="G1259" s="5"/>
      <c r="H1259" s="5"/>
      <c r="I1259" s="5"/>
      <c r="K1259" s="3"/>
      <c r="L1259" s="3"/>
      <c r="M1259" s="3"/>
      <c r="N1259" s="5"/>
      <c r="S1259" s="3"/>
      <c r="T1259" s="3"/>
      <c r="U1259" s="3"/>
      <c r="V1259" s="3"/>
      <c r="W1259" s="3"/>
      <c r="X1259" s="3"/>
      <c r="Y1259" s="3"/>
      <c r="AF1259" s="3"/>
      <c r="AN1259" s="3"/>
      <c r="AO1259" s="82"/>
      <c r="AP1259" s="82"/>
      <c r="AQ1259" s="82"/>
      <c r="AR1259" s="82"/>
      <c r="AS1259" s="82"/>
      <c r="AT1259" s="82"/>
      <c r="AU1259" s="82"/>
    </row>
    <row r="1260" spans="4:47" ht="18.600000000000001" customHeight="1" x14ac:dyDescent="0.25">
      <c r="D1260" s="9"/>
      <c r="E1260" s="5"/>
      <c r="F1260" s="5"/>
      <c r="G1260" s="5"/>
      <c r="H1260" s="5"/>
      <c r="I1260" s="5"/>
      <c r="K1260" s="3"/>
      <c r="L1260" s="3"/>
      <c r="M1260" s="3"/>
      <c r="N1260" s="5"/>
      <c r="S1260" s="3"/>
      <c r="T1260" s="3"/>
      <c r="U1260" s="3"/>
      <c r="V1260" s="3"/>
      <c r="W1260" s="3"/>
      <c r="X1260" s="3"/>
      <c r="Y1260" s="3"/>
      <c r="AF1260" s="3"/>
      <c r="AN1260" s="3"/>
      <c r="AO1260" s="82"/>
      <c r="AP1260" s="82"/>
      <c r="AQ1260" s="82"/>
      <c r="AR1260" s="82"/>
      <c r="AS1260" s="82"/>
      <c r="AT1260" s="82"/>
      <c r="AU1260" s="82"/>
    </row>
    <row r="1261" spans="4:47" ht="18.600000000000001" customHeight="1" x14ac:dyDescent="0.25">
      <c r="D1261" s="9"/>
      <c r="E1261" s="5"/>
      <c r="F1261" s="5"/>
      <c r="G1261" s="5"/>
      <c r="H1261" s="5"/>
      <c r="I1261" s="5"/>
      <c r="K1261" s="3"/>
      <c r="L1261" s="3"/>
      <c r="M1261" s="3"/>
      <c r="N1261" s="5"/>
      <c r="S1261" s="3"/>
      <c r="T1261" s="3"/>
      <c r="U1261" s="3"/>
      <c r="V1261" s="3"/>
      <c r="W1261" s="3"/>
      <c r="X1261" s="3"/>
      <c r="Y1261" s="3"/>
      <c r="AF1261" s="3"/>
      <c r="AN1261" s="3"/>
      <c r="AO1261" s="82"/>
      <c r="AP1261" s="82"/>
      <c r="AQ1261" s="82"/>
      <c r="AR1261" s="82"/>
      <c r="AS1261" s="82"/>
      <c r="AT1261" s="82"/>
      <c r="AU1261" s="82"/>
    </row>
    <row r="1262" spans="4:47" ht="18.600000000000001" customHeight="1" x14ac:dyDescent="0.25">
      <c r="D1262" s="9"/>
      <c r="E1262" s="5"/>
      <c r="F1262" s="5"/>
      <c r="G1262" s="5"/>
      <c r="H1262" s="5"/>
      <c r="I1262" s="5"/>
      <c r="K1262" s="3"/>
      <c r="L1262" s="3"/>
      <c r="M1262" s="3"/>
      <c r="N1262" s="5"/>
      <c r="S1262" s="3"/>
      <c r="T1262" s="3"/>
      <c r="U1262" s="3"/>
      <c r="V1262" s="3"/>
      <c r="W1262" s="3"/>
      <c r="X1262" s="3"/>
      <c r="Y1262" s="3"/>
      <c r="AF1262" s="3"/>
      <c r="AN1262" s="3"/>
      <c r="AO1262" s="82"/>
      <c r="AP1262" s="82"/>
      <c r="AQ1262" s="82"/>
      <c r="AR1262" s="82"/>
      <c r="AS1262" s="82"/>
      <c r="AT1262" s="82"/>
      <c r="AU1262" s="82"/>
    </row>
    <row r="1263" spans="4:47" ht="18.600000000000001" customHeight="1" x14ac:dyDescent="0.25">
      <c r="D1263" s="9"/>
      <c r="E1263" s="5"/>
      <c r="F1263" s="5"/>
      <c r="G1263" s="5"/>
      <c r="H1263" s="5"/>
      <c r="I1263" s="5"/>
      <c r="K1263" s="3"/>
      <c r="L1263" s="3"/>
      <c r="M1263" s="3"/>
      <c r="N1263" s="5"/>
      <c r="S1263" s="3"/>
      <c r="T1263" s="3"/>
      <c r="U1263" s="3"/>
      <c r="V1263" s="3"/>
      <c r="W1263" s="3"/>
      <c r="X1263" s="3"/>
      <c r="Y1263" s="3"/>
      <c r="AF1263" s="3"/>
      <c r="AN1263" s="3"/>
      <c r="AO1263" s="82"/>
      <c r="AP1263" s="82"/>
      <c r="AQ1263" s="82"/>
      <c r="AR1263" s="82"/>
      <c r="AS1263" s="82"/>
      <c r="AT1263" s="82"/>
      <c r="AU1263" s="82"/>
    </row>
    <row r="1264" spans="4:47" ht="18.600000000000001" customHeight="1" x14ac:dyDescent="0.25">
      <c r="D1264" s="9"/>
      <c r="E1264" s="5"/>
      <c r="F1264" s="5"/>
      <c r="G1264" s="5"/>
      <c r="H1264" s="5"/>
      <c r="I1264" s="5"/>
      <c r="K1264" s="3"/>
      <c r="L1264" s="3"/>
      <c r="M1264" s="3"/>
      <c r="N1264" s="5"/>
      <c r="S1264" s="3"/>
      <c r="T1264" s="3"/>
      <c r="U1264" s="3"/>
      <c r="V1264" s="3"/>
      <c r="W1264" s="3"/>
      <c r="X1264" s="3"/>
      <c r="Y1264" s="3"/>
      <c r="AF1264" s="3"/>
      <c r="AN1264" s="3"/>
      <c r="AO1264" s="82"/>
      <c r="AP1264" s="82"/>
      <c r="AQ1264" s="82"/>
      <c r="AR1264" s="82"/>
      <c r="AS1264" s="82"/>
      <c r="AT1264" s="82"/>
      <c r="AU1264" s="82"/>
    </row>
    <row r="1265" spans="4:47" ht="18.600000000000001" customHeight="1" x14ac:dyDescent="0.25">
      <c r="D1265" s="9"/>
      <c r="E1265" s="5"/>
      <c r="F1265" s="5"/>
      <c r="G1265" s="5"/>
      <c r="H1265" s="5"/>
      <c r="I1265" s="5"/>
      <c r="K1265" s="3"/>
      <c r="L1265" s="3"/>
      <c r="M1265" s="3"/>
      <c r="N1265" s="5"/>
      <c r="S1265" s="3"/>
      <c r="T1265" s="3"/>
      <c r="U1265" s="3"/>
      <c r="V1265" s="3"/>
      <c r="W1265" s="3"/>
      <c r="X1265" s="3"/>
      <c r="Y1265" s="3"/>
      <c r="AF1265" s="3"/>
      <c r="AN1265" s="3"/>
      <c r="AO1265" s="82"/>
      <c r="AP1265" s="82"/>
      <c r="AQ1265" s="82"/>
      <c r="AR1265" s="82"/>
      <c r="AS1265" s="82"/>
      <c r="AT1265" s="82"/>
      <c r="AU1265" s="82"/>
    </row>
    <row r="1266" spans="4:47" ht="18.600000000000001" customHeight="1" x14ac:dyDescent="0.25">
      <c r="D1266" s="9"/>
      <c r="E1266" s="5"/>
      <c r="F1266" s="5"/>
      <c r="G1266" s="5"/>
      <c r="H1266" s="5"/>
      <c r="I1266" s="5"/>
      <c r="K1266" s="3"/>
      <c r="L1266" s="3"/>
      <c r="M1266" s="3"/>
      <c r="N1266" s="5"/>
      <c r="S1266" s="3"/>
      <c r="T1266" s="3"/>
      <c r="U1266" s="3"/>
      <c r="V1266" s="3"/>
      <c r="W1266" s="3"/>
      <c r="X1266" s="3"/>
      <c r="Y1266" s="3"/>
      <c r="AF1266" s="3"/>
      <c r="AN1266" s="3"/>
      <c r="AO1266" s="82"/>
      <c r="AP1266" s="82"/>
      <c r="AQ1266" s="82"/>
      <c r="AR1266" s="82"/>
      <c r="AS1266" s="82"/>
      <c r="AT1266" s="82"/>
      <c r="AU1266" s="82"/>
    </row>
    <row r="1267" spans="4:47" ht="18.600000000000001" customHeight="1" x14ac:dyDescent="0.25">
      <c r="D1267" s="9"/>
      <c r="E1267" s="5"/>
      <c r="F1267" s="5"/>
      <c r="G1267" s="5"/>
      <c r="H1267" s="5"/>
      <c r="I1267" s="5"/>
      <c r="K1267" s="3"/>
      <c r="L1267" s="3"/>
      <c r="M1267" s="3"/>
      <c r="N1267" s="5"/>
      <c r="S1267" s="3"/>
      <c r="T1267" s="3"/>
      <c r="U1267" s="3"/>
      <c r="V1267" s="3"/>
      <c r="W1267" s="3"/>
      <c r="X1267" s="3"/>
      <c r="Y1267" s="3"/>
      <c r="AF1267" s="3"/>
      <c r="AN1267" s="3"/>
      <c r="AO1267" s="82"/>
      <c r="AP1267" s="82"/>
      <c r="AQ1267" s="82"/>
      <c r="AR1267" s="82"/>
      <c r="AS1267" s="82"/>
      <c r="AT1267" s="82"/>
      <c r="AU1267" s="82"/>
    </row>
    <row r="1268" spans="4:47" ht="18.600000000000001" customHeight="1" x14ac:dyDescent="0.25">
      <c r="D1268" s="9"/>
      <c r="E1268" s="5"/>
      <c r="F1268" s="5"/>
      <c r="G1268" s="5"/>
      <c r="H1268" s="5"/>
      <c r="I1268" s="5"/>
      <c r="K1268" s="3"/>
      <c r="L1268" s="3"/>
      <c r="M1268" s="3"/>
      <c r="N1268" s="5"/>
      <c r="S1268" s="3"/>
      <c r="T1268" s="3"/>
      <c r="U1268" s="3"/>
      <c r="V1268" s="3"/>
      <c r="W1268" s="3"/>
      <c r="X1268" s="3"/>
      <c r="Y1268" s="3"/>
      <c r="AF1268" s="3"/>
      <c r="AN1268" s="3"/>
      <c r="AO1268" s="82"/>
      <c r="AP1268" s="82"/>
      <c r="AQ1268" s="82"/>
      <c r="AR1268" s="82"/>
      <c r="AS1268" s="82"/>
      <c r="AT1268" s="82"/>
      <c r="AU1268" s="82"/>
    </row>
  </sheetData>
  <autoFilter ref="A2:AU2">
    <sortState ref="A3:AU795">
      <sortCondition descending="1" ref="Z2"/>
    </sortState>
  </autoFilter>
  <sortState ref="A5:PF797">
    <sortCondition ref="F5:F797"/>
    <sortCondition ref="G5:G797"/>
  </sortState>
  <hyperlinks>
    <hyperlink ref="E637" r:id="rId1" display="http://twiplomacy.com/info/africa/Algeria"/>
    <hyperlink ref="N637" r:id="rId2" display="https://twitter.com/AMSellal/status/449587672630427649"/>
    <hyperlink ref="S637" r:id="rId3" display="https://twitter.com/AMSellal/lists"/>
    <hyperlink ref="E576" r:id="rId4" display="http://twiplomacy.com/info/africa/Angola"/>
    <hyperlink ref="N576" r:id="rId5" display="https://twitter.com/CasaCivilPRA/statuses/139778197058371584"/>
    <hyperlink ref="E759" r:id="rId6" display="http://twiplomacy.com/info/africa/Benin"/>
    <hyperlink ref="S759" r:id="rId7" display="https://twitter.com/beningouv/lists"/>
    <hyperlink ref="E124" r:id="rId8" display="http://twiplomacy.com/info/africa/Botswana"/>
    <hyperlink ref="N124" r:id="rId9" display="https://twitter.com/BWGovernment/statuses/116102771220021248"/>
    <hyperlink ref="E578" r:id="rId10" display="http://twiplomacy.com/info/africa/Botswana"/>
    <hyperlink ref="N578" r:id="rId11" display="https://twitter.com/MOFAIC/statuses/220084974257315840"/>
    <hyperlink ref="E736" r:id="rId12" display="http://twiplomacy.com/info/africa/Burkina-Faso"/>
    <hyperlink ref="N736" r:id="rId13" display="https://twitter.com/isaacyzida/status/528977435547533312"/>
    <hyperlink ref="S736" r:id="rId14" display="https://twitter.com/isaacyzida/lists"/>
    <hyperlink ref="E615" r:id="rId15" display="http://twiplomacy.com/info/africa/Burundi"/>
    <hyperlink ref="N615" r:id="rId16" display="https://twitter.com/PierreNkurunziz/statuses/165502877253644288"/>
    <hyperlink ref="E403" r:id="rId17" display="http://twiplomacy.com/info/africa/Burundi"/>
    <hyperlink ref="N403" r:id="rId18" display="https://twitter.com/BdiPresidence/statuses/165502877253644288"/>
    <hyperlink ref="E566" r:id="rId19" display="http://twiplomacy.com/info/africa/Burundi"/>
    <hyperlink ref="N566" r:id="rId20" display="https://twitter.com/BurundiGov/statuses/21144762689"/>
    <hyperlink ref="E666" r:id="rId21" display="http://twiplomacy.com/info/africa/Burundi"/>
    <hyperlink ref="S666" r:id="rId22" display="https://twitter.com/BurundiForeign/lists"/>
    <hyperlink ref="E362" r:id="rId23" display="http://twiplomacy.com/info/africa/Cameroon"/>
    <hyperlink ref="N362" r:id="rId24" display="https://twitter.com/PR_Paul_Biya/statuses/83272997632360449"/>
    <hyperlink ref="N555" r:id="rId25" display="https://twitter.com/presidenciaCV/statuses/202126169104064512"/>
    <hyperlink ref="N651" r:id="rId26" display="https://twitter.com/MKOfficiel/status/535823667964690432"/>
    <hyperlink ref="S651" r:id="rId27" display="https://twitter.com/MKOfficiel/lists"/>
    <hyperlink ref="N743" r:id="rId28" display="https://twitter.com/PRIMATURERCA/status/522117815139311618"/>
    <hyperlink ref="S743" r:id="rId29" display="https://twitter.com/PRIMATURERCA/lists"/>
    <hyperlink ref="E726" r:id="rId30" display="http://twiplomacy.com/info/africa/Chad"/>
    <hyperlink ref="N726" r:id="rId31" display="https://twitter.com/ID_Itno/statuses/439116871770849280"/>
    <hyperlink ref="E727" r:id="rId32" display="http://twiplomacy.com/info/africa/Chad"/>
    <hyperlink ref="N727" r:id="rId33" display="https://twitter.com/PMTCHAD/statuses/183359023490400256"/>
    <hyperlink ref="E760" r:id="rId34" display="http://twiplomacy.com/info/africa/Comores"/>
    <hyperlink ref="N760" r:id="rId35" display="https://twitter.com/dhoinine/status/189757102783336448"/>
    <hyperlink ref="S760" r:id="rId36" display="https://twitter.com/dhoinine/lists"/>
    <hyperlink ref="E527" r:id="rId37" display="http://twiplomacy.com/info/africa/Congo"/>
    <hyperlink ref="N527" r:id="rId38" display="https://twitter.com/SassouCG/statuses/296159094019067905"/>
    <hyperlink ref="E365" r:id="rId39" display="http://twiplomacy.com/info/africa/Democratic-Republic-of-Congo"/>
    <hyperlink ref="N365" r:id="rId40" display="https://twitter.com/Mapon_Matata/statuses/435737696258883584"/>
    <hyperlink ref="S365" r:id="rId41" display="https://twitter.com/mapon_matata/lists"/>
    <hyperlink ref="N315" r:id="rId42" display="https://twitter.com/PrimatureRDC/statuses/336881780265218048"/>
    <hyperlink ref="E546" r:id="rId43" display="http://twiplomacy.com/info/africa/Djibouti"/>
    <hyperlink ref="N546" r:id="rId44" display="https://twitter.com/djiboutidiplo/status/472458637097455616"/>
    <hyperlink ref="S546" r:id="rId45" display="https://twitter.com/djiboutidiplo/lists"/>
    <hyperlink ref="E719" r:id="rId46" display="http://twiplomacy.com/info/africa/Djibouti"/>
    <hyperlink ref="N719" r:id="rId47" display="https://twitter.com/DjibPrimature/status/436177407557390336"/>
    <hyperlink ref="S719" r:id="rId48" display="https://twitter.com/DjibPrimature/lists"/>
    <hyperlink ref="E395" r:id="rId49" display="http://twiplomacy.com/info/africa/Egypt"/>
    <hyperlink ref="N395" r:id="rId50" display="https://twitter.com/AlsisiOfficial/statuses/462355912137908225"/>
    <hyperlink ref="S395" r:id="rId51" display="https://twitter.com/elsisi_official/lists"/>
    <hyperlink ref="E500" r:id="rId52" display="http://twiplomacy.com/info/africa/Egypt"/>
    <hyperlink ref="N500" r:id="rId53" display="https://twitter.com/egyptgovportal/statuses/3826194000"/>
    <hyperlink ref="S500" r:id="rId54" display="https://twitter.com/egyptgovportal/lists"/>
    <hyperlink ref="E453" r:id="rId55" display="http://twiplomacy.com/info/africa/Egypt"/>
    <hyperlink ref="E145" r:id="rId56" display="http://twiplomacy.com/info/africa/Egypt"/>
    <hyperlink ref="N145" r:id="rId57" display="https://twitter.com/MOFAEGYPT/statuses/42600976846303232"/>
    <hyperlink ref="O145" r:id="rId58" display="https://twitter.com/MOFAEGYPT/statuses/268802344970493953"/>
    <hyperlink ref="E766" r:id="rId59" display="http://twiplomacy.com/info/africa/Egypt"/>
    <hyperlink ref="N766" r:id="rId60" display="https://twitter.com/EgyPresidency/statuses/286518889595158528"/>
    <hyperlink ref="E746" r:id="rId61" display="http://twiplomacy.com/info/africa/Ethiopia"/>
    <hyperlink ref="N746" r:id="rId62" display="https://twitter.com/HailemariamD/statuses/75191668583833600"/>
    <hyperlink ref="E133" r:id="rId63" display="http://twiplomacy.com/info/africa/Ethiopia"/>
    <hyperlink ref="N133" r:id="rId64" display="https://twitter.com/DrTedros/statuses/24760822141"/>
    <hyperlink ref="O133" r:id="rId65" display="https://twitter.com/DrTedros/statuses/486589117963468800"/>
    <hyperlink ref="E89" r:id="rId66" display="http://twiplomacy.com/info/africa/Ethiopia"/>
    <hyperlink ref="N89" r:id="rId67" display="https://twitter.com/mfaethiopia/statuses/306397540323053568"/>
    <hyperlink ref="E529" r:id="rId68" display="http://twiplomacy.com/info/africa/Gabon"/>
    <hyperlink ref="N529" r:id="rId69" display="https://twitter.com/PresidentABO/status/564688019828248576"/>
    <hyperlink ref="S529" r:id="rId70" display="https://twitter.com/PresidentABO/lists"/>
    <hyperlink ref="E357" r:id="rId71" display="http://twiplomacy.com/info/africa/Gabon"/>
    <hyperlink ref="N357" r:id="rId72" display="https://twitter.com/PresidenceGA/status/566208682908995584"/>
    <hyperlink ref="S357" r:id="rId73" display="https://twitter.com/PresidenceGA/lists"/>
    <hyperlink ref="E754" r:id="rId74" display="http://twiplomacy.com/info/africa/Gabon"/>
    <hyperlink ref="N754" r:id="rId75" display="https://twitter.com/PrimatureGabon/statuses/16756801778"/>
    <hyperlink ref="E660" r:id="rId76" display="http://twiplomacy.com/info/africa/Gabon"/>
    <hyperlink ref="N660" r:id="rId77" display="https://twitter.com/GouvGabon/status/496285935739625472"/>
    <hyperlink ref="S660" r:id="rId78" display="https://twitter.com/GouvGabon/lists"/>
    <hyperlink ref="E632" r:id="rId79" display="http://twiplomacy.com/info/africa/Gambia"/>
    <hyperlink ref="E493" r:id="rId80" display="http://twiplomacy.com/info/africa/Ghana"/>
    <hyperlink ref="N493" r:id="rId81" display="https://twitter.com/JDMahama/statuses/243578200343584768"/>
    <hyperlink ref="E465" r:id="rId82" display="http://twiplomacy.com/info/africa/Ghana"/>
    <hyperlink ref="N465" r:id="rId83" display="https://twitter.com/PresidencyGhana/statuses/15831470958444544"/>
    <hyperlink ref="E384" r:id="rId84" display="http://twiplomacy.com/info/africa/Ghana"/>
    <hyperlink ref="E692" r:id="rId85"/>
    <hyperlink ref="N692" r:id="rId86"/>
    <hyperlink ref="S692" r:id="rId87"/>
    <hyperlink ref="E634" r:id="rId88" display="http://twiplomacy.com/info/africa/Guinea"/>
    <hyperlink ref="N638" r:id="rId89" display="https://twitter.com/Presidence_gn/status/503090148377370624"/>
    <hyperlink ref="S638" r:id="rId90" display="https://twitter.com/Presidence_gn/lists"/>
    <hyperlink ref="N154" r:id="rId91" display="https://twitter.com/GouvGN/status/556057408045584384"/>
    <hyperlink ref="S154" r:id="rId92" display="https://twitter.com/GouvGN/lists"/>
    <hyperlink ref="N644" r:id="rId93" display="https://twitter.com/Sekhoutoureya/statuses/218068132651220993"/>
    <hyperlink ref="E228" r:id="rId94" display="http://twiplomacy.com/info/africa/Ivory-Coast"/>
    <hyperlink ref="N228" r:id="rId95" display="https://twitter.com/ADO__Solutions/statuses/26348030216"/>
    <hyperlink ref="S228" r:id="rId96" display="https://twitter.com/ADO__Solutions/lists"/>
    <hyperlink ref="E252" r:id="rId97" display="http://twiplomacy.com/info/africa/Ivory-Coast"/>
    <hyperlink ref="N252" r:id="rId98" display="https://twitter.com/adosolutions/statuses/8105552101"/>
    <hyperlink ref="E66" r:id="rId99" display="http://twiplomacy.com/info/africa/Ivory-Coast"/>
    <hyperlink ref="N66" r:id="rId100" display="https://twitter.com/Presidenceci/statuses/114354868436738050"/>
    <hyperlink ref="E761" r:id="rId101" display="http://twiplomacy.com/info/africa/Ivory-Coast"/>
    <hyperlink ref="N761" r:id="rId102" display="https://twitter.com/Daniel_k_Duncan/statuses/271915708655472640"/>
    <hyperlink ref="E151" r:id="rId103" display="http://twiplomacy.com/info/africa/Ivory-Coast"/>
    <hyperlink ref="N151" r:id="rId104" display="https://twitter.com/Gouvci/statuses/100908637165322241"/>
    <hyperlink ref="E202" r:id="rId105" display="http://twiplomacy.com/info/africa/Kenya"/>
    <hyperlink ref="N202" r:id="rId106" display="https://twitter.com/UKenyatta/statuses/23998143679"/>
    <hyperlink ref="E185" r:id="rId107" display="http://twiplomacy.com/info/africa/Kenya"/>
    <hyperlink ref="N185" r:id="rId108" display="https://twitter.com/StateHouseKenya/statuses/321667817818693632"/>
    <hyperlink ref="E767" r:id="rId109" display="http://twiplomacy.com/info/africa/Kenya"/>
    <hyperlink ref="E215" r:id="rId110" display="http://twiplomacy.com/info/africa/Kenya"/>
    <hyperlink ref="N215" r:id="rId111" display="https://twitter.com/AMB_A_Mohammed/statuses/327384607131578368"/>
    <hyperlink ref="E126" r:id="rId112" display="http://twiplomacy.com/info/africa/Kenya"/>
    <hyperlink ref="N126" r:id="rId113" display="https://twitter.com/ForeignOfficeKE/statuses/337235030994731008"/>
    <hyperlink ref="O126" r:id="rId114" display="https://twitter.com/ForeignOfficeKE/statuses/440125512640638976"/>
    <hyperlink ref="S126" r:id="rId115" display="https://twitter.com/ForeignOfficeKE/lists"/>
    <hyperlink ref="E127" r:id="rId116" display="http://twiplomacy.com/info/africa/Kenya"/>
    <hyperlink ref="N127" r:id="rId117" display="https://twitter.com/PSCU_Digital/statuses/356862024543780864"/>
    <hyperlink ref="S127" r:id="rId118" display="https://twitter.com/PSCU_Digital/lists"/>
    <hyperlink ref="E768" r:id="rId119" display="http://twiplomacy.com/info/africa/Lesotho"/>
    <hyperlink ref="S768" r:id="rId120" display="https://twitter.com/Pakalitha/lists"/>
    <hyperlink ref="E717" r:id="rId121" display="http://twiplomacy.com/info/africa/Liberia"/>
    <hyperlink ref="N717" r:id="rId122" display="https://twitter.com/emansionliberia/statuses/211375150766100480"/>
    <hyperlink ref="E367" r:id="rId123" display="http://twiplomacy.com/info/africa/Libya"/>
    <hyperlink ref="N367" r:id="rId124" display="https://twitter.com/LibyaInterimGov/statuses/318625575277301762"/>
    <hyperlink ref="S367" r:id="rId125" display="https://twitter.com/LibyaInterimGov/lists"/>
    <hyperlink ref="E445" r:id="rId126" display="http://twiplomacy.com/info/africa/Madagascar"/>
    <hyperlink ref="N445" r:id="rId127" display="https://twitter.com/PresidenceMada/statuses/447856671147442176"/>
    <hyperlink ref="E738" r:id="rId128" display="http://twiplomacy.com/info/africa/Madagascar"/>
    <hyperlink ref="N738" r:id="rId129"/>
    <hyperlink ref="S738" r:id="rId130"/>
    <hyperlink ref="E575" r:id="rId131" display="http://twiplomacy.com/info/africa/Malawi"/>
    <hyperlink ref="N575" r:id="rId132" display="https://twitter.com/ProfMutharika/statuses/466254593916420096"/>
    <hyperlink ref="S575" r:id="rId133" display="https://twitter.com/ProfMutharika/lists"/>
    <hyperlink ref="E327" r:id="rId134" display="http://twiplomacy.com/info/africa/Mali"/>
    <hyperlink ref="N327" r:id="rId135" display="https://twitter.com/IBK_2013/statuses/128791677958758400"/>
    <hyperlink ref="E150" r:id="rId136" display="http://twiplomacy.com/info/africa/Mali"/>
    <hyperlink ref="N150" r:id="rId137" display="https://twitter.com/PresidenceMali/statuses/124131254080782337"/>
    <hyperlink ref="N467" r:id="rId138" display="https://twitter.com/GouvMali/status/486808698141294592"/>
    <hyperlink ref="S467" r:id="rId139" display="https://twitter.com/GouvMali/lists"/>
    <hyperlink ref="N541" r:id="rId140" display="https://twitter.com/AbdoulayeDiop8/status/141991785420423168"/>
    <hyperlink ref="S541" r:id="rId141" display="https://twitter.com/AbdoulayeDiop8/lists"/>
    <hyperlink ref="E612" r:id="rId142" display="http://twiplomacy.com/info/africa/Mauritania"/>
    <hyperlink ref="N612" r:id="rId143" display="https://twitter.com/OuldAbdelAziz/status/231354304726962177"/>
    <hyperlink ref="S612" r:id="rId144" display="https://twitter.com/OuldAbdelAziz/lists"/>
    <hyperlink ref="E664" r:id="rId145" display="http://twiplomacy.com/info/africa/Morocco"/>
    <hyperlink ref="N664" r:id="rId146" display="https://twitter.com/ChefGov_ma/statuses/236675438926237697"/>
    <hyperlink ref="E363" r:id="rId147" display="http://twiplomacy.com/info/africa/Morrocco"/>
    <hyperlink ref="N363" r:id="rId148" display="https://twitter.com/MarocDiplomatie/statuses/464508079053492224"/>
    <hyperlink ref="E549" r:id="rId149" display="http://twiplomacy.com/info/africa/Morrocco"/>
    <hyperlink ref="N549" r:id="rId150" display="https://twitter.com/Maroc_eGov/statuses/64337648361275392"/>
    <hyperlink ref="S549" r:id="rId151" display="https://twitter.com/Maroc_eGov/lists"/>
    <hyperlink ref="S616" r:id="rId152" display="https://twitter.com/FNyusi/lists"/>
    <hyperlink ref="S588" r:id="rId153" display="https://twitter.com/FilipeNyusi/lists"/>
    <hyperlink ref="E597" r:id="rId154" display="http://twiplomacy.com/info/africa/Ivory-Coast"/>
    <hyperlink ref="N597" r:id="rId155" display="https://twitter.com/hagegeingob/status/479699859633864704"/>
    <hyperlink ref="S597" r:id="rId156" display="https://twitter.com/hagegeingob/lists"/>
    <hyperlink ref="E744" r:id="rId157" display="http://twiplomacy.com/info/africa/Namibia"/>
    <hyperlink ref="S744" r:id="rId158" display="https://twitter.com/hagegeingob/lists"/>
    <hyperlink ref="E693" r:id="rId159" display="http://twiplomacy.com/info/africa/Niger"/>
    <hyperlink ref="N693" r:id="rId160" display="https://twitter.com/presidenceNiger/status/530552671149645824"/>
    <hyperlink ref="S693" r:id="rId161" display="https://twitter.com/presidenceNiger/lists"/>
    <hyperlink ref="E390" r:id="rId162" display="http://twiplomacy.com/info/africa/Nigeria"/>
    <hyperlink ref="N390" r:id="rId163" display="https://twitter.com/MBuhari/status/546991961958518784"/>
    <hyperlink ref="S390" r:id="rId164" display="https://twitter.com/MBuhari/lists"/>
    <hyperlink ref="E446" r:id="rId165" display="http://twiplomacy.com/info/africa/Nigeria"/>
    <hyperlink ref="S446" r:id="rId166"/>
    <hyperlink ref="E626" r:id="rId167" display="http://twiplomacy.com/info/africa/Nigeria"/>
    <hyperlink ref="S626" r:id="rId168"/>
    <hyperlink ref="E731" r:id="rId169" display="http://twiplomacy.com/info/africa/Nigeria"/>
    <hyperlink ref="S731" r:id="rId170"/>
    <hyperlink ref="E319" r:id="rId171" display="http://twiplomacy.com/info/africa/Rwanda"/>
    <hyperlink ref="N319" r:id="rId172" display="https://twitter.com/PaulKagame/statuses/1809439901"/>
    <hyperlink ref="S319" r:id="rId173" display="https://twitter.com/PaulKagame/lists"/>
    <hyperlink ref="E77" r:id="rId174" display="http://twiplomacy.com/info/africa/Rwanda"/>
    <hyperlink ref="N77" r:id="rId175" display="https://twitter.com/UrugwiroVillage/statuses/35686196453580800"/>
    <hyperlink ref="E599" r:id="rId176" display="http://twiplomacy.com/info/africa/Rwanda"/>
    <hyperlink ref="N599" r:id="rId177" display="https://twitter.com/amurekezi/status/105270760867758080"/>
    <hyperlink ref="S599" r:id="rId178" display="https://twitter.com/amurekezi/lists"/>
    <hyperlink ref="E63" r:id="rId179" display="http://twiplomacy.com/info/africa/Rwanda"/>
    <hyperlink ref="N63" r:id="rId180" display="https://twitter.com/RwandaGov/statuses/5866991989"/>
    <hyperlink ref="S63" r:id="rId181" display="https://twitter.com/RwandaGov/lists"/>
    <hyperlink ref="E231" r:id="rId182" display="http://twiplomacy.com/info/africa/Rwanda"/>
    <hyperlink ref="N231" r:id="rId183" display="https://twitter.com/RwandaGov/statuses/5866991989"/>
    <hyperlink ref="E366" r:id="rId184" display="http://twiplomacy.com/info/africa/Rwanda"/>
    <hyperlink ref="N366" r:id="rId185" display="https://twitter.com/LMushikiwabo/statuses/37993946638598144"/>
    <hyperlink ref="E182" r:id="rId186" display="http://twiplomacy.com/info/africa/Rwanda"/>
    <hyperlink ref="N182" r:id="rId187" display="https://twitter.com/RwandaMFA/statuses/138638748220010496"/>
    <hyperlink ref="S182" r:id="rId188" display="https://twitter.com/RwandaMFA/lists"/>
    <hyperlink ref="E763" r:id="rId189" display="http://twiplomacy.com/info/africa/Sao-Tome-and-Principe"/>
    <hyperlink ref="S763" r:id="rId190" display="https://twitter.com/PatriceTrovoada/lists"/>
    <hyperlink ref="E426" r:id="rId191" display="http://twiplomacy.com/info/africa/Senegal"/>
    <hyperlink ref="N426" r:id="rId192" display="https://twitter.com/macky_sall/statuses/12530478317834241"/>
    <hyperlink ref="S426" r:id="rId193" display="https://twitter.com/macky_sall/lists"/>
    <hyperlink ref="E710" r:id="rId194" display="http://twiplomacy.com/info/africa/Senegal"/>
    <hyperlink ref="N710" r:id="rId195" display="https://twitter.com/MankeurNdiaye/statuses/401289126936190976"/>
    <hyperlink ref="E450" r:id="rId196" display="http://twiplomacy.com/info/africa/Seychelles"/>
    <hyperlink ref="N450" r:id="rId197" display="https://twitter.com/StateHouseSey/statuses/286786481660510208"/>
    <hyperlink ref="E512" r:id="rId198" display="http://twiplomacy.com/info/africa/Seychelles"/>
    <hyperlink ref="N512" r:id="rId199" display="https://twitter.com/SeychellesMFA/statuses/392976402678423553"/>
    <hyperlink ref="E707" r:id="rId200" display="http://twiplomacy.com/info/africa/Sierra-Leone"/>
    <hyperlink ref="N707" r:id="rId201" display="https://twitter.com/ebkoroma/statuses/288508042776047617"/>
    <hyperlink ref="E340" r:id="rId202" display="http://twiplomacy.com/info/africa/Sierra-Leone"/>
    <hyperlink ref="N340" r:id="rId203" display="https://twitter.com/StateHouseSL/statuses/239697464918147073"/>
    <hyperlink ref="E309" r:id="rId204" display="http://twiplomacy.com/info/africa/Sierra-Leone"/>
    <hyperlink ref="N309" r:id="rId205" display="https://twitter.com/CommsUnitSL/statuses/240424403081515008"/>
    <hyperlink ref="S309" r:id="rId206" display="https://twitter.com/CommsUnitSL/lists"/>
    <hyperlink ref="V309" r:id="rId207" display="https://twitter.com/CommsUnitSL/statehousefreetown"/>
    <hyperlink ref="E356" r:id="rId208" display="http://twiplomacy.com/info/africa/Somalia"/>
    <hyperlink ref="N356" r:id="rId209" display="https://twitter.com/TheVillaSomalia/statuses/269171818710040576"/>
    <hyperlink ref="E339" r:id="rId210" display="http://twiplomacy.com/info/africa/Somalia"/>
    <hyperlink ref="N339" r:id="rId211" display="https://twitter.com/SomaliPM/statuses/298050426417328128"/>
    <hyperlink ref="E682" r:id="rId212" display="http://twiplomacy.com/info/africa/Somalia"/>
    <hyperlink ref="N682" r:id="rId213" display="https://twitter.com/TheVillaSomalia/status/486566133534031872"/>
    <hyperlink ref="S682" r:id="rId214" display="https://twitter.com/PMOComms/lists"/>
    <hyperlink ref="E596" r:id="rId215" display="http://twiplomacy.com/info/africa/Somalia"/>
    <hyperlink ref="N596" r:id="rId216" display="https://twitter.com/MinisterMOFA/status/564780729138413569"/>
    <hyperlink ref="S596" r:id="rId217" display="https://twitter.com/MinisterMOFA/lists"/>
    <hyperlink ref="E478" r:id="rId218" display="http://twiplomacy.com/info/africa/Somalia"/>
    <hyperlink ref="N478" r:id="rId219" display="https://twitter.com/mofasomalia/statuses/310197762677436419"/>
    <hyperlink ref="E564" r:id="rId220" display="http://twiplomacy.com/info/africa/Somalia"/>
    <hyperlink ref="N564" r:id="rId221" display="https://twitter.com/somaligov_/statuses/269192675935260672"/>
    <hyperlink ref="S564" r:id="rId222" display="https://twitter.com/somaligov_/lists"/>
    <hyperlink ref="E662" r:id="rId223" display="http://twiplomacy.com/info/africa/South-Africa"/>
    <hyperlink ref="N662" r:id="rId224" display="https://twitter.com/SAPresident/statuses/67881501634740224"/>
    <hyperlink ref="E195" r:id="rId225" display="http://twiplomacy.com/info/africa/South-Africa"/>
    <hyperlink ref="N195" r:id="rId226" display="https://twitter.com/PresidencyZA/statuses/1834243686"/>
    <hyperlink ref="E98" r:id="rId227" display="http://twiplomacy.com/info/africa/South-Africa"/>
    <hyperlink ref="N98" r:id="rId228" display="https://twitter.com/GovernmentZA/statuses/355314169718910977"/>
    <hyperlink ref="O98" r:id="rId229" display="https://twitter.com/GovernmentZA/statuses/540127234380824576"/>
    <hyperlink ref="S98" r:id="rId230" display="https://twitter.com/GovernmentZA/lists"/>
    <hyperlink ref="E302" r:id="rId231" display="http://twiplomacy.com/info/africa/South-Africa"/>
    <hyperlink ref="N302" r:id="rId232"/>
    <hyperlink ref="S302" r:id="rId233"/>
    <hyperlink ref="E388" r:id="rId234" display="http://twiplomacy.com/info/africa/South-Sudan"/>
    <hyperlink ref="N388" r:id="rId235" display="https://twitter.com/RepSouthSudan/statuses/89450904700465152"/>
    <hyperlink ref="E547" r:id="rId236" display="http://twiplomacy.com/info/africa/Sudan"/>
    <hyperlink ref="N547" r:id="rId237" display="https://twitter.com/mofasudan/status/449882897080909824"/>
    <hyperlink ref="O547" r:id="rId238" display="https://twitter.com/mofasudan/statuses/580440943469395971"/>
    <hyperlink ref="S547" r:id="rId239" display="https://twitter.com/mofasudan/lists"/>
    <hyperlink ref="E587" r:id="rId240" display="http://twiplomacy.com/info/africa/Tanzania"/>
    <hyperlink ref="N587" r:id="rId241" display="https://twitter.com/foreigntanzania/statuses/433904532796342272"/>
    <hyperlink ref="E611" r:id="rId242" display="http://twiplomacy.com/info/africa/Togo"/>
    <hyperlink ref="N611" r:id="rId243" display="https://twitter.com/FEGnassingbe/status/517587222640750592"/>
    <hyperlink ref="S611" r:id="rId244" display="https://twitter.com/FEGnassingbe/lists"/>
    <hyperlink ref="E58" r:id="rId245" display="http://twiplomacy.com/info/africa/Togo"/>
    <hyperlink ref="N58" r:id="rId246" display="https://twitter.com/republicoftogo/status/1628411804"/>
    <hyperlink ref="S58" r:id="rId247" display="https://twitter.com/republicoftogo/lists"/>
    <hyperlink ref="E475" r:id="rId248" display="http://twiplomacy.com/info/africa/Togo"/>
    <hyperlink ref="N475" r:id="rId249" display="https://twitter.com/rdussey/status/302876610477047808"/>
    <hyperlink ref="S475" r:id="rId250" display="https://twitter.com/rdussey/lists"/>
    <hyperlink ref="E584" r:id="rId251" display="http://twiplomacy.com/info/africa/Togo"/>
    <hyperlink ref="N584" r:id="rId252" display="https://twitter.com/togodiplomatie/status/493027662009729024"/>
    <hyperlink ref="S584" r:id="rId253" display="https://twitter.com/togodiplomatie/lists"/>
    <hyperlink ref="E351" r:id="rId254" display="http://twiplomacy.com/info/africa/Tunisia"/>
    <hyperlink ref="N351" r:id="rId255" display="https://twitter.com/BejiCEOfficial/status/510382393706835968"/>
    <hyperlink ref="S351" r:id="rId256" display="https://twitter.com/BejiCEOfficial/lists"/>
    <hyperlink ref="E314" r:id="rId257" display="http://twiplomacy.com/info/africa/Tunisia"/>
    <hyperlink ref="N314" r:id="rId258" display="https://twitter.com/presidenceTN/statuses/163937585566191616"/>
    <hyperlink ref="E442" r:id="rId259" display="http://twiplomacy.com/info/africa/Tunisia"/>
    <hyperlink ref="N442" r:id="rId260" display="https://twitter.com/Habib_essid/status/568371536996012033"/>
    <hyperlink ref="O442" r:id="rId261" display="https://twitter.com/Habib_essid/statuses/512901122642964480"/>
    <hyperlink ref="S442" r:id="rId262" display="https://twitter.com/Habib_essid/lists"/>
    <hyperlink ref="N698" r:id="rId263" display="https://twitter.com/PMTunisie/status/55960111939715073"/>
    <hyperlink ref="S698" r:id="rId264" display="https://twitter.com/PMTunisie/lists"/>
    <hyperlink ref="E412" r:id="rId265" display="http://twiplomacy.com/info/africa/Tunisia"/>
    <hyperlink ref="N412" r:id="rId266" display="https://twitter.com/Al_Kasbah/status/278455135506669568"/>
    <hyperlink ref="S412" r:id="rId267" display="https://twitter.com/Al_Kasbah/lists"/>
    <hyperlink ref="N543" r:id="rId268" display="https://twitter.com/TunisieDiplo/statuses/155256427924037633"/>
    <hyperlink ref="E417" r:id="rId269" display="http://twiplomacy.com/info/africa/Uganda"/>
    <hyperlink ref="N417" r:id="rId270" display="https://twitter.com/KagutaMuseveni/status/459364673373360128"/>
    <hyperlink ref="E400" r:id="rId271" display="http://twiplomacy.com/info/africa/Uganda"/>
    <hyperlink ref="N400" r:id="rId272" display="https://twitter.com/StateHouseUg/statuses/75849861647437824"/>
    <hyperlink ref="E525" r:id="rId273" display="http://twiplomacy.com/info/africa/Uganda"/>
    <hyperlink ref="E515" r:id="rId274" display="http://twiplomacy.com/info/africa/Uganda"/>
    <hyperlink ref="E85" r:id="rId275" display="http://twiplomacy.com/info/africa/Uganda"/>
    <hyperlink ref="N85" r:id="rId276" display="https://twitter.com/UgandaMediaCent/statuses/132070276702806017"/>
    <hyperlink ref="E553" r:id="rId277" display="http://twiplomacy.com/info/africa/Uganda"/>
    <hyperlink ref="N553" r:id="rId278" display="https://twitter.com/UgandaMFA/statuses/360050031337799682"/>
    <hyperlink ref="E628" r:id="rId279" display="http://twiplomacy.com/info/africa/Zambia"/>
    <hyperlink ref="N628" r:id="rId280" display="https://twitter.com/HonEdgarCLungu/status/552830396850012161"/>
    <hyperlink ref="E704" r:id="rId281" display="http://twiplomacy.com/info/africa/Zambia"/>
    <hyperlink ref="N704" r:id="rId282" display="https://twitter.com/StateHousePress/statuses/180316329025355777"/>
    <hyperlink ref="E310" r:id="rId283" display="http://twiplomacy.com/info/asia/Afghanistan"/>
    <hyperlink ref="N310" r:id="rId284" display="https://twitter.com/ashrafghani/statuses/344764116948353024"/>
    <hyperlink ref="E134" r:id="rId285" display="http://twiplomacy.com/info/asia/Afghanistan"/>
    <hyperlink ref="N134" r:id="rId286" display="https://twitter.com/ARG_AFG/statuses/136702644554178560"/>
    <hyperlink ref="E439" r:id="rId287" display="http://twiplomacy.com/info/asia/Afghanistan"/>
    <hyperlink ref="S439" r:id="rId288" display="https://twitter.com/DrAAbdullah/lists"/>
    <hyperlink ref="E373" r:id="rId289" display="http://twiplomacy.com/info/asia/Afghanistan"/>
    <hyperlink ref="N373" r:id="rId290" display="https://twitter.com/GMICafghanistan/statuses/26154118958"/>
    <hyperlink ref="E614" r:id="rId291" display="http://twiplomacy.com/info/asia/Afghanistan"/>
    <hyperlink ref="N614" r:id="rId292" display="https://twitter.com/OAAInformation/statuses/250087294688698369"/>
    <hyperlink ref="E565" r:id="rId293" display="http://twiplomacy.com/info/asia/Afghanistan"/>
    <hyperlink ref="N565" r:id="rId294" display="https://twitter.com/SalahRabbani/status/119822082078027777"/>
    <hyperlink ref="S565" r:id="rId295" display="https://twitter.com/SalahRabbani/lists"/>
    <hyperlink ref="E311" r:id="rId296" display="http://twiplomacy.com/info/asia/Afghanistan"/>
    <hyperlink ref="N311" r:id="rId297" display="https://twitter.com/MFA_Afghanistan/statuses/154461035699507200"/>
    <hyperlink ref="E715" r:id="rId298" display="http://twiplomacy.com/info/asia/Armenia"/>
    <hyperlink ref="N715" r:id="rId299" display="https://twitter.com/PresidentAM_arm/statuses/245862931328270337"/>
    <hyperlink ref="E190" r:id="rId300" display="http://twiplomacy.com/info/asia/Armenia"/>
    <hyperlink ref="N190" r:id="rId301" display="https://twitter.com/MFAofArmenia/statuses/182418768885059584"/>
    <hyperlink ref="E770" r:id="rId302" display="http://twiplomacy.com/info/asia/Armenia"/>
    <hyperlink ref="E771" r:id="rId303" display="http://twiplomacy.com/info/asia/Armenia"/>
    <hyperlink ref="E294" r:id="rId304" display="http://twiplomacy.com/info/asia/Azerbaijan"/>
    <hyperlink ref="N294" r:id="rId305" display="https://twitter.com/azpresident/statuses/19631866340"/>
    <hyperlink ref="E233" r:id="rId306" display="http://twiplomacy.com/info/asia/Azerbaijan"/>
    <hyperlink ref="N233" r:id="rId307" display="https://twitter.com/AzerbaijanPA/statuses/56323639892656129"/>
    <hyperlink ref="E187" r:id="rId308" display="http://twiplomacy.com/info/asia/Azerbaijan"/>
    <hyperlink ref="N187" r:id="rId309" display="https://twitter.com/AzerbaijanMFA/statuses/157882476612681728"/>
    <hyperlink ref="E313" r:id="rId310" display="http://twiplomacy.com/info/asia/Azerbaijan"/>
    <hyperlink ref="N313" r:id="rId311" display="https://twitter.com/presidentaz/statuses/17743747017"/>
    <hyperlink ref="O313" r:id="rId312" display="https://twitter.com/presidentaz/statuses/497364659322626048"/>
    <hyperlink ref="E276" r:id="rId313" display="http://twiplomacy.com/info/asia/Bahrain"/>
    <hyperlink ref="N276" r:id="rId314" display="https://twitter.com/BahrainCPnews/status/200595159006707714"/>
    <hyperlink ref="S276" r:id="rId315" display="https://twitter.com/BahrainCPnews/lists"/>
    <hyperlink ref="E73" r:id="rId316" display="http://twiplomacy.com/info/asia/Bahrain"/>
    <hyperlink ref="N73" r:id="rId317" display="https://twitter.com/khalidalkhalifa/statuses/5099626917"/>
    <hyperlink ref="E87" r:id="rId318" display="http://twiplomacy.com/info/asia/Bahrain"/>
    <hyperlink ref="N87" r:id="rId319" display="https://twitter.com/bahdiplomatic/statuses/6269617237"/>
    <hyperlink ref="S87" r:id="rId320" display="https://twitter.com/bahdiplomatic/lists"/>
    <hyperlink ref="V87" r:id="rId321" display="https://twitter.com/bahdiplomatic/lists/bahrain-s-missions-abroad"/>
    <hyperlink ref="E203" r:id="rId322" display="http://twiplomacy.com/info/asia/Bahrain"/>
    <hyperlink ref="N203" r:id="rId323" display="https://twitter.com/eGovBahrain/statuses/4907313499"/>
    <hyperlink ref="O203" r:id="rId324" display="https://twitter.com/eGovBahrain/statuses/86329192865742849"/>
    <hyperlink ref="E224" r:id="rId325" display="http://twiplomacy.com/info/asia/Bhutan"/>
    <hyperlink ref="N224" r:id="rId326" display="https://twitter.com/tsheringtobgay/statuses/1703801764"/>
    <hyperlink ref="N435" r:id="rId327" display="https://twitter.com/PMBhutan/status/534268108567887874"/>
    <hyperlink ref="S435" r:id="rId328" display="https://twitter.com/PMBhutan/lists"/>
    <hyperlink ref="S695" r:id="rId329" display="https://twitter.com/BhutanGov/lists"/>
    <hyperlink ref="S663" r:id="rId330" display="https://twitter.com/PMOBhutan/lists"/>
    <hyperlink ref="E641" r:id="rId331" display="http://twiplomacy.com/info/asia/Brunei"/>
    <hyperlink ref="N641" r:id="rId332" display="https://twitter.com/brunei_pmo/statuses/295030905167282176"/>
    <hyperlink ref="E471" r:id="rId333" display="http://twiplomacy.com/info/asia/Brunei"/>
    <hyperlink ref="N471" r:id="rId334" display="https://twitter.com/GOV_BN/status/506732639340871681"/>
    <hyperlink ref="S471" r:id="rId335" display="https://twitter.com/GOV_BN/lists"/>
    <hyperlink ref="E721" r:id="rId336" display="http://twiplomacy.com/info/asia/East-Timor"/>
    <hyperlink ref="N721" r:id="rId337" display="https://twitter.com/TaurMatanRuak/statuses/116068203456765952"/>
    <hyperlink ref="E308" r:id="rId338" display="http://twiplomacy.com/info/asia/East-Timor"/>
    <hyperlink ref="N308" r:id="rId339" display="https://twitter.com/PRepublicaTL/statuses/250514675006046208"/>
    <hyperlink ref="E581" r:id="rId340" display="http://twiplomacy.com/info/asia/Georgia"/>
    <hyperlink ref="N581" r:id="rId341" display="https://twitter.com/MargvelashviliG/statuses/425156185755381760"/>
    <hyperlink ref="E775" r:id="rId342" display="http://twiplomacy.com/info/asia/Georgia"/>
    <hyperlink ref="N775" r:id="rId343"/>
    <hyperlink ref="E535" r:id="rId344" display="http://twiplomacy.com/info/asia/Georgia"/>
    <hyperlink ref="N535" r:id="rId345" display="https://twitter.com/GovernmentGeo/statuses/407849984982151168"/>
    <hyperlink ref="E389" r:id="rId346" display="http://twiplomacy.com/info/asia/Georgia"/>
    <hyperlink ref="N389" r:id="rId347" display="https://twitter.com/MFAgovge/statuses/74960938494722048"/>
    <hyperlink ref="E636" r:id="rId348" display="http://twiplomacy.com/info/asia/Georgia"/>
    <hyperlink ref="N636" r:id="rId349" display="https://twitter.com/govgeoabkhaz/status/461437898454499328"/>
    <hyperlink ref="S636" r:id="rId350" display="https://twitter.com/govgeoabkhaz/lists"/>
    <hyperlink ref="E239" r:id="rId351" display="http://twiplomacy.com/info/asia/India"/>
    <hyperlink ref="N239" r:id="rId352" display="https://twitter.com/RashtrapatiBhvn/status/483899889462419456"/>
    <hyperlink ref="S239" r:id="rId353" display="https://twitter.com/RashtrapatiBhvn/lists"/>
    <hyperlink ref="E100" r:id="rId354" display="http://twiplomacy.com/info/asia/India"/>
    <hyperlink ref="N100" r:id="rId355" display="https://twitter.com/narendramodi/statuses/1167296605"/>
    <hyperlink ref="O100" r:id="rId356" display="https://twitter.com/narendramodi/statuses/467192528878329856"/>
    <hyperlink ref="E111" r:id="rId357" display="http://twiplomacy.com/info/asia/India"/>
    <hyperlink ref="N111" r:id="rId358" display="https://twitter.com/PMOIndia/status/471292337973235712"/>
    <hyperlink ref="E264" r:id="rId359" display="http://twiplomacy.com/info/asia/India"/>
    <hyperlink ref="N264" r:id="rId360" display="https://twitter.com/SushmaSwaraj/statuses/7753830003380224"/>
    <hyperlink ref="S264" r:id="rId361" display="https://twitter.com/SushmaSwaraj/lists"/>
    <hyperlink ref="E80" r:id="rId362" display="http://twiplomacy.com/info/asia/India"/>
    <hyperlink ref="N80" r:id="rId363" display="https://twitter.com/IndianDiplomacy/statuses/18022835035"/>
    <hyperlink ref="S80" r:id="rId364" display="https://twitter.com/IndianDiplomacy/lists"/>
    <hyperlink ref="V80" r:id="rId365" display="https://twitter.com/IndianDiplomacy/indian-missions/members"/>
    <hyperlink ref="E86" r:id="rId366" display="http://twiplomacy.com/info/asia/India"/>
    <hyperlink ref="N86" r:id="rId367" display="https://twitter.com/MEAIndia/status/149091114085920768"/>
    <hyperlink ref="S86" r:id="rId368" display="https://twitter.com/MEAIndia/lists"/>
    <hyperlink ref="E580" r:id="rId369" display="http://twiplomacy.com/info/asia/Indonesia"/>
    <hyperlink ref="N580" r:id="rId370" display="https://twitter.com/jokowi_do2/status/109890722416689152"/>
    <hyperlink ref="O580" r:id="rId371" display="https://twitter.com/jokowi_do2/statuses/491641006614269953"/>
    <hyperlink ref="S580" r:id="rId372" display="https://twitter.com/jokowi_do2/lists"/>
    <hyperlink ref="E141" r:id="rId373" display="http://twiplomacy.com/info/asia/Indonesia"/>
    <hyperlink ref="N141" r:id="rId374" display="https://twitter.com/IstanaRakyat/statuses/321258110285144064"/>
    <hyperlink ref="E29" r:id="rId375" display="http://twiplomacy.com/info/asia/Indonesia"/>
    <hyperlink ref="N29" r:id="rId376" display="https://twitter.com/setkabgoid/statuses/43637617845207040"/>
    <hyperlink ref="S29" r:id="rId377" display="https://twitter.com/setkabgoid/lists"/>
    <hyperlink ref="E56" r:id="rId378" display="http://twiplomacy.com/info/asia/Indonesia"/>
    <hyperlink ref="N56" r:id="rId379" display="https://twitter.com/Portal_Kemlu_RI/statuses/17319696171"/>
    <hyperlink ref="S56" r:id="rId380" display="https://twitter.com/Portal_Kemlu_RI/lists"/>
    <hyperlink ref="E402" r:id="rId381" display="http://twiplomacy.com/info/asia/Indonesia"/>
    <hyperlink ref="N402" r:id="rId382" display="https://twitter.com/MoFA_Indonesia/statuses/18330079613"/>
    <hyperlink ref="E320" r:id="rId383" display="http://twiplomacy.com/info/asia/Indonesia"/>
    <hyperlink ref="N320" r:id="rId384" display="https://twitter.com/deplu/statuses/2906629554"/>
    <hyperlink ref="E140" r:id="rId385" display="http://twiplomacy.com/info/asia/Iran"/>
    <hyperlink ref="N140" r:id="rId386" display="https://twitter.com/khamenei_ir/statuses/1482499965"/>
    <hyperlink ref="E463" r:id="rId387" display="http://twiplomacy.com/info/asia/Iran"/>
    <hyperlink ref="N463" r:id="rId388" display="https://twitter.com/Khamenei_ar/status/447394828486070272"/>
    <hyperlink ref="S463" r:id="rId389" display="https://twitter.com/Khamenei_ar/lists"/>
    <hyperlink ref="E279" r:id="rId390" display="http://twiplomacy.com/info/asia/Iran"/>
    <hyperlink ref="N279" r:id="rId391" display="https://twitter.com/HassanRouhani/statuses/330996375540080640"/>
    <hyperlink ref="E639" r:id="rId392" display="http://twiplomacy.com/info/asia/Iran"/>
    <hyperlink ref="N639" r:id="rId393" display="https://twitter.com/JZarif/statuses/375326214132494336"/>
    <hyperlink ref="O639" r:id="rId394" display="https://twitter.com/JZarif/status/583672737194999808"/>
    <hyperlink ref="E441" r:id="rId395" display="http://twiplomacy.com/info/asia/Iran"/>
    <hyperlink ref="S441" r:id="rId396" display="https://twitter.com/IranMFA/lists"/>
    <hyperlink ref="E537" r:id="rId397" display="http://twiplomacy.com/info/asia/Iran"/>
    <hyperlink ref="N537" r:id="rId398" display="https://twitter.com/Khamenei_es/status/554259848544940032"/>
    <hyperlink ref="S537" r:id="rId399" display="https://twitter.com/Khamenei_es/lists"/>
    <hyperlink ref="E293" r:id="rId400" display="http://twiplomacy.com/info/asia/Iran"/>
    <hyperlink ref="N293" r:id="rId401" display="https://twitter.com/Rouhani_ir/statuses/326271261510619136"/>
    <hyperlink ref="E430" r:id="rId402" display="http://twiplomacy.com/info/asia/Iraq"/>
    <hyperlink ref="S430" r:id="rId403" display="https://twitter.com/PresidentFuad/lists"/>
    <hyperlink ref="E254" r:id="rId404" display="http://twiplomacy.com/info/asia/Iraq"/>
    <hyperlink ref="N254" r:id="rId405" display="https://twitter.com/HaiderAlAbadi/status/4706086949"/>
    <hyperlink ref="S254" r:id="rId406" display="https://twitter.com/HaiderAlAbadi/lists"/>
    <hyperlink ref="E474" r:id="rId407"/>
    <hyperlink ref="N474" r:id="rId408"/>
    <hyperlink ref="S474" r:id="rId409"/>
    <hyperlink ref="E303" r:id="rId410" display="http://twiplomacy.com/info/asia/Iraq"/>
    <hyperlink ref="E676" r:id="rId411" display="http://twiplomacy.com/info/asia/Iraq"/>
    <hyperlink ref="N676" r:id="rId412" display="https://twitter.com/IraqMFA/statuses/316225840050475008"/>
    <hyperlink ref="E619" r:id="rId413" display="http://twiplomacy.com/info/asia/Israel"/>
    <hyperlink ref="N619" r:id="rId414" display="https://twitter.com/PresidentRuvi/status/529568907355369472"/>
    <hyperlink ref="S619" r:id="rId415" display="https://twitter.com/PresidentRuvi/lists"/>
    <hyperlink ref="E359" r:id="rId416" display="http://twiplomacy.com/info/asia/Israel"/>
    <hyperlink ref="N359" r:id="rId417" display="https://twitter.com/netanyahu/statuses/981805657"/>
    <hyperlink ref="E184" r:id="rId418" display="http://twiplomacy.com/info/asia/Israel"/>
    <hyperlink ref="N184" r:id="rId419" display="https://twitter.com/IsraeliPM/statuses/20120210779"/>
    <hyperlink ref="E94" r:id="rId420" display="http://twiplomacy.com/info/asia/Israel"/>
    <hyperlink ref="N94" r:id="rId421" display="https://twitter.com/IsraelMFA/statuses/22590476037"/>
    <hyperlink ref="S94" r:id="rId422" display="https://twitter.com/IsraelMFA/lists"/>
    <hyperlink ref="V94" r:id="rId423" display="https://twitter.com/IsraelMFA/mfa-missions-on-tw/members"/>
    <hyperlink ref="E34" r:id="rId424" display="http://twiplomacy.com/info/asia/Israel"/>
    <hyperlink ref="N34" r:id="rId425" display="https://twitter.com/Israel/statuses/2417273993"/>
    <hyperlink ref="S34" r:id="rId426" display="https://twitter.com/Israel/lists"/>
    <hyperlink ref="V34" r:id="rId427" display="https://twitter.com/Israel/mfa-missions/members"/>
    <hyperlink ref="E300" r:id="rId428" display="http://twiplomacy.com/info/asia/Israel"/>
    <hyperlink ref="N300" r:id="rId429" display="https://twitter.com/IsraeliPM_heb/statuses/283157244701466624"/>
    <hyperlink ref="E238" r:id="rId430" display="http://twiplomacy.com/info/asia/Israel"/>
    <hyperlink ref="N238" r:id="rId431" display="https://twitter.com/Israelipm_ar/statuses/279298334823432193"/>
    <hyperlink ref="E481" r:id="rId432" display="http://twiplomacy.com/info/asia/Israel"/>
    <hyperlink ref="N481" r:id="rId433" display="https://twitter.com/rubirivlin/status/258476207287451648"/>
    <hyperlink ref="S481" r:id="rId434" display="https://twitter.com/rubirivlin/lists"/>
    <hyperlink ref="E510" r:id="rId435" display="http://twiplomacy.com/info/asia/japan/"/>
    <hyperlink ref="N510" r:id="rId436" display="https://twitter.com/JapanGov/statuses/459637747490111488"/>
    <hyperlink ref="S510" r:id="rId437" display="https://twitter.com/JapanGov/lists"/>
    <hyperlink ref="E149" r:id="rId438" display="http://twiplomacy.com/info/asia/japan/"/>
    <hyperlink ref="N149" r:id="rId439" display="https://twitter.com/kantei/statuses/139872517979521024"/>
    <hyperlink ref="O149" r:id="rId440" display="https://twitter.com/kantei/statuses/278664645596819456"/>
    <hyperlink ref="E286" r:id="rId441" display="http://twiplomacy.com/info/asia/japan/"/>
    <hyperlink ref="N286" r:id="rId442" display="https://twitter.com/jpn_pmo/statuses/47994581312225282"/>
    <hyperlink ref="E52" r:id="rId443" display="http://twiplomacy.com/info/asia/japan/"/>
    <hyperlink ref="N52" r:id="rId444" display="https://twitter.com/MofaJapan_jp/statuses/75720393121464320"/>
    <hyperlink ref="E223" r:id="rId445" display="http://twiplomacy.com/info/asia/japan/"/>
    <hyperlink ref="N223" r:id="rId446" display="https://twitter.com/MofaJapan_en/statuses/75720881107763200"/>
    <hyperlink ref="E573" r:id="rId447" display="http://twiplomacy.com/info/asia/japan/"/>
    <hyperlink ref="N573" r:id="rId448" display="https://twitter.com/japan/status/113657185002717184"/>
    <hyperlink ref="S573" r:id="rId449" display="https://twitter.com/japan/lists"/>
    <hyperlink ref="E268" r:id="rId450" display="http://twiplomacy.com/info/asia/japan/"/>
    <hyperlink ref="N268" r:id="rId451" display="https://twitter.com/Kantei_Saigai/statuses/46823550736269313"/>
    <hyperlink ref="E414" r:id="rId452"/>
    <hyperlink ref="N414" r:id="rId453" display="https://twitter.com/queenrania/statuses/1729537448"/>
    <hyperlink ref="S414" r:id="rId454" display="https://twitter.com/QueenRania/lists"/>
    <hyperlink ref="E138" r:id="rId455" display="http://twiplomacy.com/info/asia/Jordan"/>
    <hyperlink ref="N138" r:id="rId456" display="https://twitter.com/RHCJO/statuses/325880956143677440"/>
    <hyperlink ref="E270" r:id="rId457" display="http://twiplomacy.com/info/asia/Jordan"/>
    <hyperlink ref="N270" r:id="rId458" display="https://twitter.com/DrEnsour/statuses/37197612717187072"/>
    <hyperlink ref="E332" r:id="rId459" display="http://twiplomacy.com/info/asia/Jordan"/>
    <hyperlink ref="N332" r:id="rId460" display="https://twitter.com/PrimeMinistry/statuses/23125348000"/>
    <hyperlink ref="S332" r:id="rId461" display="https://twitter.com/PrimeMinistry/lists"/>
    <hyperlink ref="E301" r:id="rId462" display="http://twiplomacy.com/info/asia/Jordan"/>
    <hyperlink ref="N301" r:id="rId463" display="https://twitter.com/NasserJudeh/statuses/3513495561"/>
    <hyperlink ref="E385" r:id="rId464" display="http://twiplomacy.com/info/asia/Jordan"/>
    <hyperlink ref="N385" r:id="rId465" display="https://twitter.com/ForeignMinistry/statuses/18761753228"/>
    <hyperlink ref="E283" r:id="rId466" display="http://twiplomacy.com/info/asia/Kazakhstan"/>
    <hyperlink ref="N283" r:id="rId467" display="https://twitter.com/AkordaPress/statuses/228148727389491201"/>
    <hyperlink ref="O283" r:id="rId468" display="https://twitter.com/AkordaPress/statuses/250089525370576896"/>
    <hyperlink ref="E416" r:id="rId469" display="http://twiplomacy.com/info/asia/Kazakhstan"/>
    <hyperlink ref="N416" r:id="rId470" display="https://twitter.com/KarimMassimov/statuses/50892736022323200"/>
    <hyperlink ref="E103" r:id="rId471" display="http://twiplomacy.com/info/asia/Kazakhstan"/>
    <hyperlink ref="N103" r:id="rId472" display="https://twitter.com/primeministerkz/statuses/62877994938675200"/>
    <hyperlink ref="E165" r:id="rId473" display="http://twiplomacy.com/info/asia/Kazakhstan"/>
    <hyperlink ref="N165" r:id="rId474" display="https://twitter.com/MFA_KZ/statuses/142832018550554624"/>
    <hyperlink ref="E43" r:id="rId475" display="http://twiplomacy.com/info/asia/Kazakhstan"/>
    <hyperlink ref="N43" r:id="rId476" display="https://twitter.com/ortcomkz/statuses/284567719632830464"/>
    <hyperlink ref="O43" r:id="rId477" display="https://twitter.com/ortcomkz/statuses/428472219162128384"/>
    <hyperlink ref="E114" r:id="rId478" display="http://twiplomacy.com/info/asia/Kazakhstan"/>
    <hyperlink ref="N114" r:id="rId479" display="https://twitter.com/ortcomkzE/statuses/290055379340103682"/>
    <hyperlink ref="E556" r:id="rId480" display="http://twiplomacy.com/info/asia/Kazakhstan"/>
    <hyperlink ref="N556" r:id="rId481" display="https://twitter.com/KarimMassimov_E/statuses/50905779481485313"/>
    <hyperlink ref="E171" r:id="rId482" display="http://twiplomacy.com/info/asia/Kuwait"/>
    <hyperlink ref="N171" r:id="rId483" display="https://twitter.com/MOFAKuwait/statuses/2611365326"/>
    <hyperlink ref="E508" r:id="rId484"/>
    <hyperlink ref="N508" r:id="rId485"/>
    <hyperlink ref="S508" r:id="rId486"/>
    <hyperlink ref="E267" r:id="rId487" display="http://twiplomacy.com/info/asia/Kyrgyzstan"/>
    <hyperlink ref="N267" r:id="rId488" display="https://twitter.com/kyrgyzrepublic/statuses/18611103614"/>
    <hyperlink ref="S267" r:id="rId489" display="https://twitter.com/kyrgyzrepublic/lists"/>
    <hyperlink ref="E536" r:id="rId490" display="http://twiplomacy.com/info/asia/Kyrgyzstan"/>
    <hyperlink ref="S536" r:id="rId491" display="https://twitter.com/OkmotKG/lists"/>
    <hyperlink ref="E369" r:id="rId492" display="http://twiplomacy.com/info/asia/Kyrgyzstan"/>
    <hyperlink ref="N369" r:id="rId493" display="https://twitter.com/pressslujba/statuses/231332270189981696"/>
    <hyperlink ref="S369" r:id="rId494" display="https://twitter.com/pressslujba/lists"/>
    <hyperlink ref="E521" r:id="rId495" display="http://twiplomacy.com/info/asia/Lebanon"/>
    <hyperlink ref="N521" r:id="rId496" display="https://twitter.com/SalamTammam/statuses/228143274395856898"/>
    <hyperlink ref="S521" r:id="rId497" display="https://twitter.com/SalamTammam/lists"/>
    <hyperlink ref="E104" r:id="rId498" display="http://twiplomacy.com/info/asia/Lebanon"/>
    <hyperlink ref="N104" r:id="rId499" display="https://twitter.com/Gebran_Bassil/statuses/18510101897"/>
    <hyperlink ref="O104" r:id="rId500" display="https://twitter.com/Gebran_Bassil/statuses/522687853919092736"/>
    <hyperlink ref="S104" r:id="rId501" display="https://twitter.com/Gebran_Bassil/lists"/>
    <hyperlink ref="E118" r:id="rId502" display="http://twiplomacy.com/info/asia/Malaysia"/>
    <hyperlink ref="N118" r:id="rId503" display="https://twitter.com/najibrazak/statuses/931653995"/>
    <hyperlink ref="O118" r:id="rId504" display="https://twitter.com/NajibRazak/statuses/448097839541784577"/>
    <hyperlink ref="S118" r:id="rId505" display="https://twitter.com/NajibRazak/lists"/>
    <hyperlink ref="E273" r:id="rId506" display="http://twiplomacy.com/info/asia/Malaysia"/>
    <hyperlink ref="N273" r:id="rId507" display="https://twitter.com/PMOMalaysia/statuses/25860548627"/>
    <hyperlink ref="S273" r:id="rId508" display="https://twitter.com/PMOMalaysia/lists"/>
    <hyperlink ref="E777" r:id="rId509" display="http://twiplomacy.com/info/asia/Malaysia"/>
    <hyperlink ref="E383" r:id="rId510" display="http://twiplomacy.com/info/asia/Malaysia"/>
    <hyperlink ref="N383" r:id="rId511" display="https://twitter.com/Malaysia_Gov/statuses/343251755955548160"/>
    <hyperlink ref="E216" r:id="rId512" display="http://twiplomacy.com/info/asia/Malaysia"/>
    <hyperlink ref="N216" r:id="rId513" display="https://twitter.com/myGovPortal/statuses/11729108432"/>
    <hyperlink ref="E668" r:id="rId514" display="http://twiplomacy.com/info/asia/Maldives"/>
    <hyperlink ref="E396" r:id="rId515" display="http://twiplomacy.com/info/asia/Maldives"/>
    <hyperlink ref="N396" r:id="rId516" display="https://twitter.com/presidencymv/statuses/23979438043566080"/>
    <hyperlink ref="E355" r:id="rId517" display="http://twiplomacy.com/info/asia/Maldives"/>
    <hyperlink ref="N355" r:id="rId518" display="https://twitter.com/MDVForeign/status/540758316196966400"/>
    <hyperlink ref="S355" r:id="rId519" display="https://twitter.com/MDVForeign/lists"/>
    <hyperlink ref="E401" r:id="rId520" display="http://twiplomacy.com/info/asia/Mongolia"/>
    <hyperlink ref="N401" r:id="rId521" display="https://twitter.com/elbegdorj/statuses/26513451899691008"/>
    <hyperlink ref="E558" r:id="rId522" display="http://twiplomacy.com/info/asia/Mongolia"/>
    <hyperlink ref="N558" r:id="rId523" display="https://twitter.com/ts_elbegdorj/statuses/271524834968748035"/>
    <hyperlink ref="E656" r:id="rId524" display="http://twiplomacy.com/info/asia/Mongolia"/>
    <hyperlink ref="N656" r:id="rId525"/>
    <hyperlink ref="S656" r:id="rId526"/>
    <hyperlink ref="E603" r:id="rId527" display="http://twiplomacy.com/info/asia/Mongolia"/>
    <hyperlink ref="N603" r:id="rId528" display="https://twitter.com/pmoffice_mn/statuses/291129539147464704"/>
    <hyperlink ref="E204" r:id="rId529" display="http://twiplomacy.com/info/asia/Mongolia"/>
    <hyperlink ref="N204" r:id="rId530" display="https://twitter.com/PurevsurenL/status/252947469015601152"/>
    <hyperlink ref="S204" r:id="rId531" display="https://twitter.com/PurevsurenL/lists"/>
    <hyperlink ref="E342" r:id="rId532" display="http://twiplomacy.com/info/asia/Mongolia"/>
    <hyperlink ref="N342" r:id="rId533" display="https://twitter.com/mforeignaffairs/statuses/14219310544"/>
    <hyperlink ref="E399" r:id="rId534" display="http://twiplomacy.com/info/asia/Mongolia"/>
    <hyperlink ref="N399" r:id="rId535" display="https://twitter.com/MFAMongolia_eng/statuses/390035651581603842"/>
    <hyperlink ref="E650" r:id="rId536" display="http://twiplomacy.com/info/asia/Mongolia"/>
    <hyperlink ref="N650" r:id="rId537" display="https://twitter.com/zasagmn/statuses/306331373080297473"/>
    <hyperlink ref="S650" r:id="rId538" display="https://twitter.com/zasagmn/lists"/>
    <hyperlink ref="E780" r:id="rId539" display="http://twiplomacy.com/info/asia/Mongolia"/>
    <hyperlink ref="E551" r:id="rId540" display="http://twiplomacy.com/info/asia/Nepal"/>
    <hyperlink ref="N551" r:id="rId541"/>
    <hyperlink ref="S551" r:id="rId542"/>
    <hyperlink ref="E647" r:id="rId543" display="http://twiplomacy.com/info/asia/Nepal"/>
    <hyperlink ref="N647" r:id="rId544"/>
    <hyperlink ref="S647" r:id="rId545"/>
    <hyperlink ref="E298" r:id="rId546" display="http://twiplomacy.com/info/asia/Nepal"/>
    <hyperlink ref="N298" r:id="rId547"/>
    <hyperlink ref="S298" r:id="rId548"/>
    <hyperlink ref="E563" r:id="rId549" display="http://twiplomacy.com/info/asia/Nepal"/>
    <hyperlink ref="N563" r:id="rId550"/>
    <hyperlink ref="S563" r:id="rId551"/>
    <hyperlink ref="E526" r:id="rId552" display="http://twiplomacy.com/info/asia/Oman"/>
    <hyperlink ref="N526" r:id="rId553" display="https://twitter.com/MofaOman/statuses/420808628036042752"/>
    <hyperlink ref="E48" r:id="rId554" display="http://twiplomacy.com/info/asia/Pakistan"/>
    <hyperlink ref="S48" r:id="rId555" display="https://twitter.com/PIDPakistan/lists"/>
    <hyperlink ref="E497" r:id="rId556" display="http://twiplomacy.com/info/asia/Pakistan"/>
    <hyperlink ref="N497" r:id="rId557" display="https://twitter.com/PMNawazSharif/statuses/267381383079550976"/>
    <hyperlink ref="E539" r:id="rId558" display="http://twiplomacy.com/info/asia/Pakistan"/>
    <hyperlink ref="S539" r:id="rId559" display="https://twitter.com/ForeignOfficePk/lists"/>
    <hyperlink ref="E591" r:id="rId560" display="http://twiplomacy.com/info/asia/Pakistan"/>
    <hyperlink ref="N591" r:id="rId561" display="https://twitter.com/PakDiplomacy/statuses/206357041000890368"/>
    <hyperlink ref="E316" r:id="rId562" display="http://twiplomacy.com/info/asia/Palestine"/>
    <hyperlink ref="S316" r:id="rId563" display="https://twitter.com/RamiHamdalla/lists"/>
    <hyperlink ref="E305" r:id="rId564" display="http://twiplomacy.com/info/asia/Palestine"/>
    <hyperlink ref="N305" r:id="rId565" display="https://twitter.com/PalestinianGov/statuses/5198077756"/>
    <hyperlink ref="E346" r:id="rId566" display="http://twiplomacy.com/info/asia/Palestine"/>
    <hyperlink ref="E590" r:id="rId567" display="http://twiplomacy.com/info/asia/Papua-New-Guinea"/>
    <hyperlink ref="N590" r:id="rId568" display="https://twitter.com/PM_GOV_PG/status/504969369974083584"/>
    <hyperlink ref="S590" r:id="rId569" display="https://twitter.com/PM_GOV_PG/lists"/>
    <hyperlink ref="E255" r:id="rId570" display="http://twiplomacy.com/info/asia/Philippines"/>
    <hyperlink ref="N255" r:id="rId571" display="https://twitter.com/noynoyaquino/statuses/4141496003"/>
    <hyperlink ref="S255" r:id="rId572" display="https://twitter.com/noynoyaquino/lists"/>
    <hyperlink ref="V255" r:id="rId573" display="https://twitter.com/noynoyaquino/calamities/members"/>
    <hyperlink ref="E485" r:id="rId574" display="http://twiplomacy.com/info/asia/Philippines"/>
    <hyperlink ref="N485" r:id="rId575" display="https://twitter.com/GovPH_PCOO/statuses/22613700553"/>
    <hyperlink ref="E482" r:id="rId576" display="http://twiplomacy.com/info/asia/Philippines"/>
    <hyperlink ref="N482" r:id="rId577" display="https://twitter.com/dfaspokesperson/statuses/248716232650530817"/>
    <hyperlink ref="E289" r:id="rId578" display="http://twiplomacy.com/info/asia/Philippines"/>
    <hyperlink ref="N289" r:id="rId579" display="https://twitter.com/PresidentNoy/statuses/21135751204"/>
    <hyperlink ref="S289" r:id="rId580" display="https://twitter.com/PresidentNoy/lists"/>
    <hyperlink ref="E544" r:id="rId581"/>
    <hyperlink ref="N544" r:id="rId582"/>
    <hyperlink ref="S544" r:id="rId583"/>
    <hyperlink ref="E83" r:id="rId584"/>
    <hyperlink ref="N83" r:id="rId585"/>
    <hyperlink ref="S83" r:id="rId586"/>
    <hyperlink ref="E623" r:id="rId587" display="http://twiplomacy.com/info/asia/Qatar"/>
    <hyperlink ref="E219" r:id="rId588" display="http://twiplomacy.com/info/asia/Qatar"/>
    <hyperlink ref="N219" r:id="rId589" display="https://twitter.com/MofaQatar_AR/statuses/111705893258788865"/>
    <hyperlink ref="E304" r:id="rId590" display="http://twiplomacy.com/info/asia/Qatar"/>
    <hyperlink ref="N304" r:id="rId591" display="https://twitter.com/MofaQatar_EN/statuses/85517878346002435"/>
    <hyperlink ref="E593" r:id="rId592" display="http://twiplomacy.com/info/asia/Saudi-Arabia"/>
    <hyperlink ref="N593" r:id="rId593" display="https://twitter.com/KingSalman/statuses/305375759218913280"/>
    <hyperlink ref="E158" r:id="rId594" display="http://twiplomacy.com/info/asia/Saudi-Arabia"/>
    <hyperlink ref="N158" r:id="rId595" display="https://twitter.com/Saudiegov/status/21902148954492928"/>
    <hyperlink ref="S158" r:id="rId596" display="https://twitter.com/Saudiegov/lists"/>
    <hyperlink ref="E648" r:id="rId597" display="http://twiplomacy.com/info/asia/Saudi-Arabia"/>
    <hyperlink ref="E258" r:id="rId598" display="http://twiplomacy.com/info/asia/Saudi-Arabia"/>
    <hyperlink ref="N258" r:id="rId599" display="https://twitter.com/KSAMOFA/statuses/39779254346584064"/>
    <hyperlink ref="E377" r:id="rId600" display="http://twiplomacy.com/info/asia/Singapore"/>
    <hyperlink ref="N377" r:id="rId601" display="https://twitter.com/leehsienloong/statuses/193234376484589568"/>
    <hyperlink ref="E122" r:id="rId602" display="http://twiplomacy.com/info/asia/Singapore"/>
    <hyperlink ref="N122" r:id="rId603" display="https://twitter.com/govsingapore/statuses/2812220339"/>
    <hyperlink ref="S122" r:id="rId604" display="https://twitter.com/govsingapore/lists"/>
    <hyperlink ref="E291" r:id="rId605" display="http://twiplomacy.com/info/asia/Singapore"/>
    <hyperlink ref="N291" r:id="rId606" display="https://twitter.com/MFAsg/statuses/7628125395"/>
    <hyperlink ref="S291" r:id="rId607" display="https://twitter.com/MFAsg/lists"/>
    <hyperlink ref="V291" r:id="rId608" display="https://twitter.com/MFAsg/mfa/members"/>
    <hyperlink ref="E548" r:id="rId609" display="http://twiplomacy.com/info/asia/South-Korea"/>
    <hyperlink ref="N548" r:id="rId610" display="https://twitter.com/GH_PARK/statuses/17479058027"/>
    <hyperlink ref="O548" r:id="rId611" display="https://twitter.com/GH_PARK/statuses/280564657905864704"/>
    <hyperlink ref="S548" r:id="rId612" display="https://twitter.com/GH_PARK/lists"/>
    <hyperlink ref="V548" r:id="rId613" display="https://twitter.com/GH_PARK/most-liked/members"/>
    <hyperlink ref="E144" r:id="rId614" display="http://twiplomacy.com/info/asia/South-Korea"/>
    <hyperlink ref="N144" r:id="rId615" display="https://twitter.com/bluehousekorea/statuses/15595424901"/>
    <hyperlink ref="S144" r:id="rId616" display="https://twitter.com/bluehousekorea/lists"/>
    <hyperlink ref="E214" r:id="rId617" display="http://twiplomacy.com/info/asia/South-Korea"/>
    <hyperlink ref="N214" r:id="rId618" display="https://twitter.com/PrimeMinisterKR/statuses/11395411574"/>
    <hyperlink ref="S214" r:id="rId619" display="https://twitter.com/PrimeMinisterKR/lists"/>
    <hyperlink ref="V214" r:id="rId620" display="https://twitter.com/PrimeMinisterKR/most-liked/members"/>
    <hyperlink ref="E74" r:id="rId621" display="http://twiplomacy.com/info/asia/South-Korea"/>
    <hyperlink ref="N74" r:id="rId622" display="https://twitter.com/mofa_kr/statuses/19064563412"/>
    <hyperlink ref="O74" r:id="rId623" display="https://twitter.com/mofa_kr/statuses/376169380683341824"/>
    <hyperlink ref="S74" r:id="rId624" display="https://twitter.com/mofa_kr/lists"/>
    <hyperlink ref="V74" r:id="rId625" display="https://twitter.com/mofa_kr/lists/%EC%9E%AC%EC%99%B8%EA%B3%B5%EA%B4%80/members"/>
    <hyperlink ref="E318" r:id="rId626" display="http://twiplomacy.com/info/asia/South-Korea"/>
    <hyperlink ref="N318" r:id="rId627" display="https://twitter.com/govkorea/status/118242539701678081"/>
    <hyperlink ref="S318" r:id="rId628" display="https://twitter.com/Govkorea/lists"/>
    <hyperlink ref="E322" r:id="rId629" display="http://twiplomacy.com/info/asia/South-Korea"/>
    <hyperlink ref="N322" r:id="rId630" display="https://twitter.com/MOFAkr_eng/statuses/27720259914"/>
    <hyperlink ref="S322" r:id="rId631" display="https://twitter.com/MOFAkr_eng/lists"/>
    <hyperlink ref="E449" r:id="rId632" display="http://twiplomacy.com/info/asia/Sri-Lanka"/>
    <hyperlink ref="N449" r:id="rId633" display="https://twitter.com/PresidentGovLK/status/564652776706170880"/>
    <hyperlink ref="S449" r:id="rId634" display="https://twitter.com/PresidentGovLK/lists"/>
    <hyperlink ref="E562" r:id="rId635" display="http://twiplomacy.com/info/asia/Sri-Lanka"/>
    <hyperlink ref="N562" r:id="rId636" display="https://twitter.com/RW_UNP/status/538708316759683072"/>
    <hyperlink ref="S562" r:id="rId637" display="https://twitter.com/RW_UNP/lists"/>
    <hyperlink ref="E583" r:id="rId638" display="http://twiplomacy.com/info/asia/Sri-Lanka"/>
    <hyperlink ref="S583" r:id="rId639" display="https://twitter.com/MangalaLK/lists"/>
    <hyperlink ref="E545" r:id="rId640" display="http://twiplomacy.com/info/asia/Sri-Lanka"/>
    <hyperlink ref="N545" r:id="rId641"/>
    <hyperlink ref="S545" r:id="rId642"/>
    <hyperlink ref="E266" r:id="rId643"/>
    <hyperlink ref="N266" r:id="rId644"/>
    <hyperlink ref="S266" r:id="rId645"/>
    <hyperlink ref="E750" r:id="rId646" display="http://twiplomacy.com/info/asia/Sri-Lanka"/>
    <hyperlink ref="N750" r:id="rId647" display="https://twitter.com/LankaMFA/status/568662247318233088"/>
    <hyperlink ref="E282" r:id="rId648" display="http://twiplomacy.com/info/asia/Syria"/>
    <hyperlink ref="N282" r:id="rId649" display="https://twitter.com/Presidency_Sy/statuses/324459330315374593"/>
    <hyperlink ref="E447" r:id="rId650" display="http://twiplomacy.com/info/asia/Tajikistan"/>
    <hyperlink ref="N447" r:id="rId651" display="https://twitter.com/presstj/statuses/201866567582105600"/>
    <hyperlink ref="E598" r:id="rId652" display="http://twiplomacy.com/info/asia/Tajikistan"/>
    <hyperlink ref="N598" r:id="rId653"/>
    <hyperlink ref="S598" r:id="rId654"/>
    <hyperlink ref="E607" r:id="rId655"/>
    <hyperlink ref="N607" r:id="rId656"/>
    <hyperlink ref="S607" r:id="rId657"/>
    <hyperlink ref="E697" r:id="rId658" display="http://twiplomacy.com/info/asia/Tajikistan"/>
    <hyperlink ref="N697" r:id="rId659" display="https://twitter.com/EmomaliRahmon/statuses/54443397397745664"/>
    <hyperlink ref="E45" r:id="rId660" display="http://twiplomacy.com/info/asia/Thailand"/>
    <hyperlink ref="N45" r:id="rId661" display="https://twitter.com/ThaiKhuFah/status/17000137862"/>
    <hyperlink ref="S45" r:id="rId662" display="https://twitter.com/ThaiKhuFah/lists"/>
    <hyperlink ref="E120" r:id="rId663" display="http://twiplomacy.com/info/asia/Thailand"/>
    <hyperlink ref="N120" r:id="rId664" display="https://twitter.com/prdthailand/statuses/29475376015081472"/>
    <hyperlink ref="E194" r:id="rId665" display="http://twiplomacy.com/info/asia/Thailand"/>
    <hyperlink ref="N194" r:id="rId666" display="https://twitter.com/MFAThai_PR_TH/statuses/12634350859"/>
    <hyperlink ref="S194" r:id="rId667" display="https://twitter.com/MFAThai/lists"/>
    <hyperlink ref="E516" r:id="rId668" display="http://twiplomacy.com/info/asia/Thailand"/>
    <hyperlink ref="N516" r:id="rId669" display="https://twitter.com/MFAupdate/status/428452910041530368"/>
    <hyperlink ref="S516" r:id="rId670" display="https://twitter.com/MFAupdate/lists"/>
    <hyperlink ref="E486" r:id="rId671" display="http://twiplomacy.com/info/asia/Thailand"/>
    <hyperlink ref="N486" r:id="rId672" display="https://twitter.com/MFAThai_PR_EN/statuses/12860496161"/>
    <hyperlink ref="S486" r:id="rId673" display="https://twitter.com/MFAThai_PR_EN/lists"/>
    <hyperlink ref="E257" r:id="rId674" display="http://twiplomacy.com/info/asia/United-Arab-Emirates"/>
    <hyperlink ref="N257" r:id="rId675" display="https://twitter.com/hhshkmohd/statuses/2015590707"/>
    <hyperlink ref="O257" r:id="rId676" display="https://twitter.com/HHShkMohd/statuses/513704298841006081"/>
    <hyperlink ref="S257" r:id="rId677" display="https://twitter.com/HHShkMohd/lists"/>
    <hyperlink ref="E181" r:id="rId678" display="http://twiplomacy.com/info/asia/United-Arab-Emirates"/>
    <hyperlink ref="N181" r:id="rId679" display="https://twitter.com/MOFAUAE/statuses/207060001943064576"/>
    <hyperlink ref="O181" r:id="rId680" display="https://twitter.com/MOFAUAE/statuses/482578577796255744"/>
    <hyperlink ref="E393" r:id="rId681" display="http://twiplomacy.com/info/asia/United-Arab-Emirates"/>
    <hyperlink ref="N393" r:id="rId682" display="https://twitter.com/OFMUAE/statuses/312467619833856001"/>
    <hyperlink ref="E275" r:id="rId683" display="http://twiplomacy.com/info/asia/United-Arab-Emirates"/>
    <hyperlink ref="N275" r:id="rId684" display="https://twitter.com/MBZNews/statuses/161341143223771136"/>
    <hyperlink ref="E101" r:id="rId685" display="http://twiplomacy.com/info/asia/United-Arab-Emirates"/>
    <hyperlink ref="N101" r:id="rId686" display="https://twitter.com/UAEmGov/statuses/31972718500904960"/>
    <hyperlink ref="E220" r:id="rId687" display="http://twiplomacy.com/info/asia/Uzbekistan"/>
    <hyperlink ref="N220" r:id="rId688" display="https://twitter.com/GOVuz/statuses/4322380307"/>
    <hyperlink ref="E604" r:id="rId689" display="http://twiplomacy.com/info/asia/Vietnam"/>
    <hyperlink ref="E245" r:id="rId690" display="http://twiplomacy.com/info/asia/Yemen"/>
    <hyperlink ref="N245" r:id="rId691" display="https://twitter.com/HadiPresident/statuses/257497628152045569"/>
    <hyperlink ref="E600" r:id="rId692" display="http://twiplomacy.com/info/asia/Yemen"/>
    <hyperlink ref="N600" r:id="rId693" display="https://twitter.com/Yemen411/status/499710982059720704"/>
    <hyperlink ref="S600" r:id="rId694" display="https://twitter.com/KhaledBahah/lists"/>
    <hyperlink ref="E702" r:id="rId695" display="http://twiplomacy.com/info/europe/Albania"/>
    <hyperlink ref="S702" r:id="rId696" display="https://twitter.com/BujarNishani/lists"/>
    <hyperlink ref="E209" r:id="rId697" display="http://twiplomacy.com/info/europe/Albania"/>
    <hyperlink ref="N209" r:id="rId698" display="https://twitter.com/ediramaal/statuses/113009866662100992"/>
    <hyperlink ref="E334" r:id="rId699" display="http://twiplomacy.com/info/europe/Albania"/>
    <hyperlink ref="N334" r:id="rId700" display="https://twitter.com/ditmirbushati/statuses/303542109049335808"/>
    <hyperlink ref="E235" r:id="rId701" display="http://twiplomacy.com/info/europe/Albania"/>
    <hyperlink ref="N235" r:id="rId702" display="https://twitter.com/AlbanianMFA/statuses/13914634052"/>
    <hyperlink ref="E180" r:id="rId703" display="http://twiplomacy.com/info/europe/Andorra"/>
    <hyperlink ref="N180" r:id="rId704" display="https://twitter.com/GovernAndorra/statuses/10387041921"/>
    <hyperlink ref="O180" r:id="rId705" display="https://twitter.com/GovernAndorra/statuses/227463082560086018"/>
    <hyperlink ref="E321" r:id="rId706" display="http://twiplomacy.com/info/europe/Austria"/>
    <hyperlink ref="N321" r:id="rId707" display="https://twitter.com/sebastiankurz/statuses/2342312120"/>
    <hyperlink ref="E242" r:id="rId708" display="http://twiplomacy.com/info/europe/Austria"/>
    <hyperlink ref="N242" r:id="rId709" display="https://twitter.com/Minoritenplatz8/statuses/32131723470831616"/>
    <hyperlink ref="S242" r:id="rId710" display="https://twitter.com/MFA_Austria/lists"/>
    <hyperlink ref="V242" r:id="rId711" display="https://twitter.com/MFA_Austria/mitarbeiterinnen-bmeia/members"/>
    <hyperlink ref="E164" r:id="rId712" display="http://twiplomacy.com/info/europe/Belarus"/>
    <hyperlink ref="N164" r:id="rId713" display="https://twitter.com/BelarusMID/statuses/107001193972248576"/>
    <hyperlink ref="E278" r:id="rId714" display="http://twiplomacy.com/info/europe/Belarus"/>
    <hyperlink ref="N278" r:id="rId715" display="https://twitter.com/BelarusMFA/statuses/69049359718821889"/>
    <hyperlink ref="E329" r:id="rId716" display="http://twiplomacy.com/info/europe/Belgium"/>
    <hyperlink ref="N329" r:id="rId717" display="https://twitter.com/MonarchieBe/statuses/375908416717615104"/>
    <hyperlink ref="E262" r:id="rId718" display="http://twiplomacy.com/info/europe/Belgium"/>
    <hyperlink ref="N262" r:id="rId719" display="https://twitter.com/CharlesMichel/status/9334367304"/>
    <hyperlink ref="S262" r:id="rId720" display="https://twitter.com/CharlesMichel/lists"/>
    <hyperlink ref="E60" r:id="rId721" display="http://twiplomacy.com/info/europe/Belgium"/>
    <hyperlink ref="N60" r:id="rId722" display="https://twitter.com/dreynders/statuses/1681439845"/>
    <hyperlink ref="O60" r:id="rId723" display="https://twitter.com/dreynders/statuses/470210880215736320"/>
    <hyperlink ref="E274" r:id="rId724" display="http://twiplomacy.com/info/europe/Belgium"/>
    <hyperlink ref="N274" r:id="rId725" display="https://twitter.com/MFABelgiumMedia/statuses/165057991937236992"/>
    <hyperlink ref="S274" r:id="rId726" display="https://twitter.com/BelgiumMFA/lists"/>
    <hyperlink ref="E392" r:id="rId727" display="http://twiplomacy.com/info/europe/Bosnia-Herzegovina"/>
    <hyperlink ref="N392" r:id="rId728" display="https://twitter.com/B_Izetbegovic/statuses/22000704570"/>
    <hyperlink ref="E620" r:id="rId729" display="http://twiplomacy.com/info/europe/Bosnia-Herzegovina"/>
    <hyperlink ref="E672" r:id="rId730" display="http://twiplomacy.com/info/europe/Bulgaria"/>
    <hyperlink ref="N672" r:id="rId731" display="https://twitter.com/rplevneliev/statuses/118686974793093120"/>
    <hyperlink ref="E189" r:id="rId732" display="http://twiplomacy.com/info/europe/Bulgaria"/>
    <hyperlink ref="N189" r:id="rId733" display="https://twitter.com/BgPresidency/statuses/233163621495099392"/>
    <hyperlink ref="E533" r:id="rId734" display="http://twiplomacy.com/info/europe/Bulgaria"/>
    <hyperlink ref="N533" r:id="rId735" display="https://twitter.com/BoykoBorissov/status/18072267942526976"/>
    <hyperlink ref="S533" r:id="rId736" display="https://twitter.com/BoykoBorissov/lists"/>
    <hyperlink ref="E550" r:id="rId737" display="http://twiplomacy.com/info/europe/Bulgaria"/>
    <hyperlink ref="N550" r:id="rId738" display="https://twitter.com/DanielMitov/status/124456654455582720"/>
    <hyperlink ref="S550" r:id="rId739" display="https://twitter.com/DanielMitov/lists"/>
    <hyperlink ref="E436" r:id="rId740" display="http://twiplomacy.com/info/europe/Bulgaria"/>
    <hyperlink ref="N436" r:id="rId741" display="https://twitter.com/MFABulgaria/statuses/12387053762"/>
    <hyperlink ref="E574" r:id="rId742" display="http://twiplomacy.com/info/europe/Croatia"/>
    <hyperlink ref="N574" r:id="rId743" display="https://twitter.com/kolindagk/status/536185002829295616"/>
    <hyperlink ref="S574" r:id="rId744" display="https://twitter.com/kolindagk/lists"/>
    <hyperlink ref="E783" r:id="rId745" display="http://twiplomacy.com/info/europe/Croatia"/>
    <hyperlink ref="E11" r:id="rId746" display="http://twiplomacy.com/info/europe/Croatia"/>
    <hyperlink ref="N11" r:id="rId747" display="https://twitter.com/VladaRH/statuses/150210062546239488"/>
    <hyperlink ref="O11" r:id="rId748" display="https://twitter.com/VladaRH/statuses/468310753574125568"/>
    <hyperlink ref="S11" r:id="rId749" display="https://twitter.com/VladaRH/lists"/>
    <hyperlink ref="E271" r:id="rId750" display="http://twiplomacy.com/info/europe/Croatia"/>
    <hyperlink ref="N271" r:id="rId751" display="https://twitter.com/MVEP_hr/statuses/241167210716995584"/>
    <hyperlink ref="S271" r:id="rId752" display="https://twitter.com/MVEP_hr/lists"/>
    <hyperlink ref="V271" r:id="rId753" display="https://twitter.com/MVEP_hr/mvep/members"/>
    <hyperlink ref="E345" r:id="rId754" display="http://twiplomacy.com/info/europe/Cyprus"/>
    <hyperlink ref="N345" r:id="rId755" display="https://twitter.com/AnastasiadesCY/statuses/198411230317248513"/>
    <hyperlink ref="E420" r:id="rId756" display="http://twiplomacy.com/info/europe/Cyprus"/>
    <hyperlink ref="N420" r:id="rId757" display="https://twitter.com/CYpresidency/statuses/307242246275735553"/>
    <hyperlink ref="E370" r:id="rId758" display="http://twiplomacy.com/info/europe/Cyprus"/>
    <hyperlink ref="N370" r:id="rId759" display="https://twitter.com/GovCyprus/statuses/259226050628829185"/>
    <hyperlink ref="E483" r:id="rId760" display="http://twiplomacy.com/info/europe/Cyprus"/>
    <hyperlink ref="N483" r:id="rId761" display="https://twitter.com/IKasoulides/statuses/172650242108424192"/>
    <hyperlink ref="E523" r:id="rId762" display="http://twiplomacy.com/info/europe/Cyprus"/>
    <hyperlink ref="N523" r:id="rId763" display="https://twitter.com/CyprusMFA/statuses/336934266279702528"/>
    <hyperlink ref="E729" r:id="rId764" display="http://twiplomacy.com/info/europe/Czech-Republic"/>
    <hyperlink ref="N729" r:id="rId765" display="https://twitter.com/MZemanOficialni/statuses/360329736561496064"/>
    <hyperlink ref="E561" r:id="rId766" display="http://twiplomacy.com/info/europe/Czech-Republic"/>
    <hyperlink ref="S561" r:id="rId767" display="https://twitter.com/SlavekSobotka/lists"/>
    <hyperlink ref="E326" r:id="rId768" display="http://twiplomacy.com/info/europe/Czech-Republic"/>
    <hyperlink ref="N326" r:id="rId769" display="https://twitter.com/strakovka/statuses/18099978192"/>
    <hyperlink ref="E409" r:id="rId770" display="http://twiplomacy.com/info/europe/Czech-Republic"/>
    <hyperlink ref="N409" r:id="rId771" display="https://twitter.com/ZaoralekL/status/537985175091937280"/>
    <hyperlink ref="S409" r:id="rId772" display="https://twitter.com/ZaoralekL/lists"/>
    <hyperlink ref="E423" r:id="rId773" display="http://twiplomacy.com/info/europe/Czech-Republic"/>
    <hyperlink ref="N423" r:id="rId774" display="https://twitter.com/mzvcr/status/504189399803125761"/>
    <hyperlink ref="S423" r:id="rId775" display="https://twitter.com/mzvcr/lists"/>
    <hyperlink ref="E479" r:id="rId776" display="http://twiplomacy.com/info/europe/Czech-Republic"/>
    <hyperlink ref="N479" r:id="rId777" display="https://twitter.com/CzechMFA/status/504189820173041664"/>
    <hyperlink ref="S479" r:id="rId778" display="https://twitter.com/CzechMFA/lists"/>
    <hyperlink ref="E538" r:id="rId779" display="http://twiplomacy.com/info/europe/Denmark"/>
    <hyperlink ref="E148" r:id="rId780" display="http://twiplomacy.com/info/europe/Denmark"/>
    <hyperlink ref="E350" r:id="rId781" display="http://twiplomacy.com/info/europe/Denmark"/>
    <hyperlink ref="N350" r:id="rId782" display="https://twitter.com/UM_dk/status/324446694819368960"/>
    <hyperlink ref="S350" r:id="rId783" display="https://twitter.com/UM_dk/lists"/>
    <hyperlink ref="V350" r:id="rId784" display="https://twitter.com/UM_dk/lists/um-p%C3%A5-twitter/members"/>
    <hyperlink ref="E49" r:id="rId785" display="http://twiplomacy.com/info/europe/Estonia"/>
    <hyperlink ref="N49" r:id="rId786" display="https://twitter.com/IlvesToomas/statuses/202478265955393536"/>
    <hyperlink ref="S49" r:id="rId787" display="https://twitter.com/IlvesToomas/lists"/>
    <hyperlink ref="E174" r:id="rId788" display="http://twiplomacy.com/info/europe/Estonia"/>
    <hyperlink ref="N174" r:id="rId789" display="https://twitter.com/TaaviRoivas/statuses/141444781644587008"/>
    <hyperlink ref="S174" r:id="rId790" display="https://twitter.com/TaaviRoivas/lists"/>
    <hyperlink ref="E297" r:id="rId791" display="http://twiplomacy.com/info/europe/Estonia"/>
    <hyperlink ref="N297" r:id="rId792" display="https://twitter.com/StenbockiMaja/statuses/1852714878"/>
    <hyperlink ref="S297" r:id="rId793" display="https://twitter.com/StenbockiMaja/lists"/>
    <hyperlink ref="E610" r:id="rId794" display="http://twiplomacy.com/info/europe/Estonia"/>
    <hyperlink ref="N610" r:id="rId795" display="https://twitter.com/KeitPentus/status/1191806076"/>
    <hyperlink ref="S610" r:id="rId796" display="https://twitter.com/KeitPentus/lists"/>
    <hyperlink ref="E226" r:id="rId797" display="http://twiplomacy.com/info/europe/Estonia"/>
    <hyperlink ref="N226" r:id="rId798" display="https://twitter.com/valismin/statuses/1834338777"/>
    <hyperlink ref="S226" r:id="rId799" display="https://twitter.com/valismin/lists"/>
    <hyperlink ref="E410" r:id="rId800" display="http://twiplomacy.com/info/europe/Estonia"/>
    <hyperlink ref="N410" r:id="rId801" display="https://twitter.com/EstonianGovt/statuses/1840782609"/>
    <hyperlink ref="S410" r:id="rId802" display="https://twitter.com/EstonianGovt/lists"/>
    <hyperlink ref="E601" r:id="rId803" display="http://twiplomacy.com/info/europe/Poland"/>
    <hyperlink ref="N601" r:id="rId804" display="https://twitter.com/donaldtusk/statuses/278130070181261314"/>
    <hyperlink ref="S601" r:id="rId805" display="https://twitter.com/donaldtusk/lists"/>
    <hyperlink ref="E241" r:id="rId806" display="http://twiplomacy.com/info/europe/Europe"/>
    <hyperlink ref="N241" r:id="rId807" display="https://twitter.com/eucopresident/statuses/28774925016"/>
    <hyperlink ref="S241" r:id="rId808" display="https://twitter.com/eucopresident/lists"/>
    <hyperlink ref="E331" r:id="rId809" display="http://twiplomacy.com/info/europe/Europe"/>
    <hyperlink ref="N331" r:id="rId810" display="https://twitter.com/EUCouncil/status/275984563346485248"/>
    <hyperlink ref="S331" r:id="rId811" display="https://twitter.com/EUCouncil/lists"/>
    <hyperlink ref="V331" r:id="rId812" display="https://twitter.com/EUCouncil/lists/council-on-twitter/members"/>
    <hyperlink ref="E428" r:id="rId813" display="http://twiplomacy.com/info/europe/Europe"/>
    <hyperlink ref="N428" r:id="rId814" display="https://twitter.com/JunckerEU/status/422114705943969792"/>
    <hyperlink ref="S428" r:id="rId815" display="https://twitter.com/JunckerEU/lists"/>
    <hyperlink ref="E40" r:id="rId816" display="http://twiplomacy.com/info/europe/Europe"/>
    <hyperlink ref="N40" r:id="rId817" display="https://twitter.com/EU_Commission/statuses/16849399954"/>
    <hyperlink ref="S40" r:id="rId818" display="https://twitter.com/EU_Commission/lists"/>
    <hyperlink ref="V40" r:id="rId819" display="https://twitter.com/EU_Commission/lists/ec-representations"/>
    <hyperlink ref="E196" r:id="rId820" display="http://twiplomacy.com/info/europe/Italy"/>
    <hyperlink ref="N196" r:id="rId821" display="https://twitter.com/FedericaMog/statuses/156837127638876160"/>
    <hyperlink ref="S196" r:id="rId822" display="https://twitter.com/FedericaMog/lists"/>
    <hyperlink ref="E61" r:id="rId823" display="http://twiplomacy.com/info/europe/Eu"/>
    <hyperlink ref="N61" r:id="rId824" display="https://twitter.com/eu_eeas/statuses/8239412582"/>
    <hyperlink ref="O61" r:id="rId825" display="https://twitter.com/eu_eeas/statuses/469152982131814400"/>
    <hyperlink ref="S61" r:id="rId826" display="https://twitter.com/eu_eeas/lists"/>
    <hyperlink ref="V61" r:id="rId827" display="https://twitter.com/eu_eeas/eu-delegations/members"/>
    <hyperlink ref="E68" r:id="rId828" display="http://twiplomacy.com/info/europe/Europe"/>
    <hyperlink ref="N68" r:id="rId829" display="https://twitter.com/EUCouncilTVNews/status/2343199556"/>
    <hyperlink ref="S68" r:id="rId830" display="https://twitter.com/EUCouncilTVNews/lists"/>
    <hyperlink ref="E136" r:id="rId831" display="http://twiplomacy.com/info/europe/Europe"/>
    <hyperlink ref="N136" r:id="rId832" display="https://twitter.com/EUCouncilPress/status/28872668929"/>
    <hyperlink ref="S136" r:id="rId833" display="https://twitter.com/EUCouncilPress/lists"/>
    <hyperlink ref="V136" r:id="rId834" display="https://twitter.com/EUCouncilPress/lists/eu-in-the-world/members"/>
    <hyperlink ref="E751" r:id="rId835" display="http://twiplomacy.com/info/europe/f-y-r-o-m/"/>
    <hyperlink ref="N751" r:id="rId836" display="https://twitter.com/GjorgeIvanov/statuses/1157469096"/>
    <hyperlink ref="S751" r:id="rId837" display="https://twitter.com/GjorgeIvanov/lists"/>
    <hyperlink ref="E129" r:id="rId838" display="http://twiplomacy.com/info/europe/f-y-r-o-m/"/>
    <hyperlink ref="N129" r:id="rId839" display="https://twitter.com/VladaMK/statuses/130077672796733440"/>
    <hyperlink ref="E408" r:id="rId840" display="http://twiplomacy.com/info/europe/f-y-r-o-m/"/>
    <hyperlink ref="N408" r:id="rId841" display="https://twitter.com/NikolaPoposki/statuses/107006741413244928"/>
    <hyperlink ref="E716" r:id="rId842" display="http://twiplomacy.com/info/europe/Finland"/>
    <hyperlink ref="E295" r:id="rId843" display="http://twiplomacy.com/info/europe/Finland"/>
    <hyperlink ref="N295" r:id="rId844" display="https://twitter.com/TPKanslia/statuses/192182017209798656"/>
    <hyperlink ref="E586" r:id="rId845" display="http://twiplomacy.com/info/europe/Finland"/>
    <hyperlink ref="N586" r:id="rId846" display="https://twitter.com/alexstubb/statuses/4863774049701889"/>
    <hyperlink ref="S586" r:id="rId847" display="https://twitter.com/alexstubb/lists"/>
    <hyperlink ref="E82" r:id="rId848" display="http://twiplomacy.com/info/europe/Finland"/>
    <hyperlink ref="N82" r:id="rId849" display="https://twitter.com/valtioneuvosto/statuses/63922881360441344"/>
    <hyperlink ref="E147" r:id="rId850" display="http://twiplomacy.com/info/europe/Finland"/>
    <hyperlink ref="N147" r:id="rId851" display="https://twitter.com/Ulkoministerio/statuses/53021081644183552"/>
    <hyperlink ref="S147" r:id="rId852" display="https://twitter.com/Ulkoministerio/lists"/>
    <hyperlink ref="V147" r:id="rId853" display="https://twitter.com/Ulkoministerio/edustustot/members"/>
    <hyperlink ref="E306" r:id="rId854" display="http://twiplomacy.com/info/europe/Finland"/>
    <hyperlink ref="N306" r:id="rId855" display="https://twitter.com/FinGovernment/statuses/65392161314713601"/>
    <hyperlink ref="E143" r:id="rId856" display="http://twiplomacy.com/info/europe/Finland"/>
    <hyperlink ref="N143" r:id="rId857" display="https://twitter.com/Statsradet/statuses/65419042596458496"/>
    <hyperlink ref="E229" r:id="rId858" display="http://twiplomacy.com/info/europe/France"/>
    <hyperlink ref="N229" r:id="rId859" display="https://twitter.com/fhollande/statuses/1107658871"/>
    <hyperlink ref="E57" r:id="rId860" display="http://twiplomacy.com/info/europe/France"/>
    <hyperlink ref="N57" r:id="rId861" display="https://twitter.com/Elysee/statuses/11476186343"/>
    <hyperlink ref="S57" r:id="rId862" display="https://twitter.com/Elysee/lists"/>
    <hyperlink ref="E451" r:id="rId863" display="http://twiplomacy.com/info/europe/France"/>
    <hyperlink ref="N451" r:id="rId864" display="https://twitter.com/manuelvalls/status/504574044071788544"/>
    <hyperlink ref="S451" r:id="rId865" display="https://twitter.com/manuelvalls/lists"/>
    <hyperlink ref="E55" r:id="rId866" display="http://twiplomacy.com/info/europe/France"/>
    <hyperlink ref="N55" r:id="rId867" display="https://twitter.com/gouvernementFR/statuses/287214093667024896"/>
    <hyperlink ref="O55" r:id="rId868" display="https://twitter.com/gouvernementFR/statuses/553609545076199426"/>
    <hyperlink ref="S55" r:id="rId869" display="https://twitter.com/gouvernementFR/lists"/>
    <hyperlink ref="E36" r:id="rId870" display="http://twiplomacy.com/info/europe/France"/>
    <hyperlink ref="N36" r:id="rId871" display="https://twitter.com/francediplo/statuses/1476413603"/>
    <hyperlink ref="S36" r:id="rId872" display="https://twitter.com/francediplo/lists"/>
    <hyperlink ref="V36" r:id="rId873" display="https://twitter.com/francediplo/ambassades-et-consulats/members"/>
    <hyperlink ref="E110" r:id="rId874" display="http://twiplomacy.com/info/europe/France"/>
    <hyperlink ref="N110" r:id="rId875" display="https://twitter.com/francediplo_EN/statuses/147687501673398272"/>
    <hyperlink ref="S110" r:id="rId876" display="https://twitter.com/francediplo_EN/lists"/>
    <hyperlink ref="E246" r:id="rId877" display="http://twiplomacy.com/info/europe/France"/>
    <hyperlink ref="N246" r:id="rId878" display="https://twitter.com/Matignon/statuses/219819695174451200"/>
    <hyperlink ref="S246" r:id="rId879" display="https://twitter.com/Matignon/lists"/>
    <hyperlink ref="E222" r:id="rId880" display="http://twiplomacy.com/info/europe/France"/>
    <hyperlink ref="N222" r:id="rId881" display="https://twitter.com/francediplo_ES/statuses/304626043896098816"/>
    <hyperlink ref="S222" r:id="rId882" display="https://twitter.com/francediplo_ES/lists"/>
    <hyperlink ref="V222" r:id="rId883" display="https://twitter.com/francediplo_ES/embajadas-y-consulados/members"/>
    <hyperlink ref="E540" r:id="rId884" display="http://twiplomacy.com/info/europe/France"/>
    <hyperlink ref="N540" r:id="rId885" display="https://twitter.com/French_Gov/status/546973620275531776"/>
    <hyperlink ref="S540" r:id="rId886" display="https://twitter.com/French_Gov/lists"/>
    <hyperlink ref="E121" r:id="rId887" display="http://twiplomacy.com/info/europe/France"/>
    <hyperlink ref="N121" r:id="rId888" display="https://twitter.com/francediplo_AR/statuses/174092858666651649"/>
    <hyperlink ref="S121" r:id="rId889" display="https://twitter.com/francediplo_AR/lists"/>
    <hyperlink ref="E142" r:id="rId890" display="http://twiplomacy.com/info/europe/Germany"/>
    <hyperlink ref="N142" r:id="rId891" display="https://twitter.com/RegSprecher/statuses/42205913481875456"/>
    <hyperlink ref="S142" r:id="rId892" display="https://twitter.com/RegSprecher/lists"/>
    <hyperlink ref="N91" r:id="rId893" display="https://twitter.com/AuswaertigesAmt/statuses/65336564254904320"/>
    <hyperlink ref="S91" r:id="rId894" display="https://twitter.com/AuswaertigesAmt/lists"/>
    <hyperlink ref="V91" r:id="rId895" display="https://twitter.com/AuswaertigesAmt/deutsche-vertretungen/members"/>
    <hyperlink ref="E131" r:id="rId896" display="http://twiplomacy.com/info/europe/Germany"/>
    <hyperlink ref="N131" r:id="rId897" display="https://twitter.com/GermanyDiplo/statuses/156413909077721088"/>
    <hyperlink ref="O131" r:id="rId898" display="https://twitter.com/GermanyDiplo/statuses/530809362542264321"/>
    <hyperlink ref="S131" r:id="rId899" display="https://twitter.com/GermanyDiplo/lists"/>
    <hyperlink ref="V131" r:id="rId900" display="https://twitter.com/GermanyDiplo/german-missions/members"/>
    <hyperlink ref="E256" r:id="rId901" display="http://twiplomacy.com/info/europe/Greece"/>
    <hyperlink ref="N256" r:id="rId902" display="https://twitter.com/atsipras/status/91106508863053824"/>
    <hyperlink ref="E378" r:id="rId903" display="http://twiplomacy.com/info/europe/Greece"/>
    <hyperlink ref="N378" r:id="rId904" display="https://twitter.com/atsipras/status/91106508863053824"/>
    <hyperlink ref="E336" r:id="rId905" display="http://twiplomacy.com/info/europe/Greece"/>
    <hyperlink ref="N336" r:id="rId906" display="https://twitter.com/PrimeministerGR/statuses/9179722616"/>
    <hyperlink ref="E455" r:id="rId907" display="http://twiplomacy.com/info/europe/Greece"/>
    <hyperlink ref="N455" r:id="rId908" display="https://twitter.com/govgr/statuses/28781425219"/>
    <hyperlink ref="E173" r:id="rId909" display="http://twiplomacy.com/info/europe/Greece"/>
    <hyperlink ref="N173" r:id="rId910" display="https://twitter.com/NikosKotzias/status/131862885944147968"/>
    <hyperlink ref="S173" r:id="rId911" display="https://twitter.com/NikosKotzias/lists"/>
    <hyperlink ref="E198" r:id="rId912" display="http://twiplomacy.com/info/europe/Greece"/>
    <hyperlink ref="N198" r:id="rId913" display="https://twitter.com/GreeceMFA/statuses/12702790754"/>
    <hyperlink ref="E740" r:id="rId914" display="http://twiplomacy.com/info/europe/Hungary"/>
    <hyperlink ref="N740" r:id="rId915" display="https://twitter.com/Viktor_Orban/statuses/8464265910"/>
    <hyperlink ref="E443" r:id="rId916" display="http://twiplomacy.com/info/europe/Hungary"/>
    <hyperlink ref="N443" r:id="rId917" display="https://twitter.com/kormany_hu/statuses/25945265361920001"/>
    <hyperlink ref="E494" r:id="rId918" display="http://twiplomacy.com/info/europe/Iceland"/>
    <hyperlink ref="N494" r:id="rId919" display="https://twitter.com/forsaetisradun/statuses/6575224829"/>
    <hyperlink ref="E380" r:id="rId920" display="http://twiplomacy.com/info/europe/Iceland"/>
    <hyperlink ref="N380" r:id="rId921" display="https://twitter.com/MFAIceland/statuses/314032324419387394"/>
    <hyperlink ref="S380" r:id="rId922" display="https://twitter.com/MFAIceland/lists"/>
    <hyperlink ref="E411" r:id="rId923" display="http://twiplomacy.com/info/europe/Ireland"/>
    <hyperlink ref="N411" r:id="rId924" display="https://twitter.com/md_higgins/statuses/7675506658"/>
    <hyperlink ref="S411" r:id="rId925" display="https://twitter.com/md_higgins/lists"/>
    <hyperlink ref="E567" r:id="rId926"/>
    <hyperlink ref="N567" r:id="rId927"/>
    <hyperlink ref="S567" r:id="rId928"/>
    <hyperlink ref="E559" r:id="rId929" display="http://twiplomacy.com/info/europe/Ireland"/>
    <hyperlink ref="S559" r:id="rId930" display="https://twitter.com/EndaKennyTD/lists"/>
    <hyperlink ref="E97" r:id="rId931" display="http://twiplomacy.com/info/europe/Ireland"/>
    <hyperlink ref="N97" r:id="rId932" display="https://twitter.com/merrionstreet/statuses/53806078688894976"/>
    <hyperlink ref="S97" r:id="rId933" display="https://twitter.com/merrionstreet/lists"/>
    <hyperlink ref="E155" r:id="rId934" display="http://twiplomacy.com/info/europe/Ireland"/>
    <hyperlink ref="N155" r:id="rId935" display="https://twitter.com/CharlieFlanagan/status/23132257472479232"/>
    <hyperlink ref="S155" r:id="rId936" display="https://twitter.com/CharlieFlanagan/lists"/>
    <hyperlink ref="E119" r:id="rId937" display="http://twiplomacy.com/info/europe/Ireland"/>
    <hyperlink ref="N119" r:id="rId938" display="https://twitter.com/dfatirl/statuses/111403102451679232"/>
    <hyperlink ref="S119" r:id="rId939" display="https://twitter.com/dfatirl/lists"/>
    <hyperlink ref="V119" r:id="rId940" display="https://twitter.com/dfatirl/dfat-twitter-accounts/members"/>
    <hyperlink ref="E386" r:id="rId941" display="http://twiplomacy.com/info/europe/Ireland"/>
    <hyperlink ref="N386" r:id="rId942" display="https://twitter.com/govdotie/status/171601265619501056"/>
    <hyperlink ref="S386" r:id="rId943" display="https://twitter.com/Govdotie/lists"/>
    <hyperlink ref="E323" r:id="rId944" display="http://twiplomacy.com/info/europe/Italy"/>
    <hyperlink ref="N323" r:id="rId945" display="https://twitter.com/QuirinaleStampa/statuses/231061661602172928"/>
    <hyperlink ref="S323" r:id="rId946" display="https://twitter.com/QuirinaleStampa/lists"/>
    <hyperlink ref="E212" r:id="rId947" display="http://twiplomacy.com/info/europe/Italy"/>
    <hyperlink ref="N212" r:id="rId948" display="https://twitter.com/matteorenzi/statuses/1104303166"/>
    <hyperlink ref="E349" r:id="rId949" display="http://twiplomacy.com/info/europe/Italy"/>
    <hyperlink ref="N349" r:id="rId950" display="https://twitter.com/Palazzo_Chigi/statuses/271569532924092416"/>
    <hyperlink ref="E205" r:id="rId951" display="http://twiplomacy.com/info/europe/Italy"/>
    <hyperlink ref="N205" r:id="rId952" display="https://twitter.com/PaoloGentiloni/status/133550946553827328"/>
    <hyperlink ref="S205" r:id="rId953" display="https://twitter.com/PaoloGentiloni/lists"/>
    <hyperlink ref="E265" r:id="rId954" display="http://twiplomacy.com/info/europe/Italy"/>
    <hyperlink ref="N265" r:id="rId955" display="https://twitter.com/ItalyMFA/statuses/209606798141964288"/>
    <hyperlink ref="S265" r:id="rId956" display="https://twitter.com/ItalyMFA/lists"/>
    <hyperlink ref="V265" r:id="rId957" display="https://twitter.com/ItalyMFA/lists/ambasciate"/>
    <hyperlink ref="E360" r:id="rId958" display="http://twiplomacy.com/info/europe/Kosovo"/>
    <hyperlink ref="N360" r:id="rId959" display="https://twitter.com/pmkosovo/statuses/132028809905049601"/>
    <hyperlink ref="E175" r:id="rId960" display="http://twiplomacy.com/info/europe/Kosovo"/>
    <hyperlink ref="N175" r:id="rId961" display="https://twitter.com/MFAKOSOVO/statuses/98775178368139264"/>
    <hyperlink ref="S175" r:id="rId962" display="https://twitter.com/MFAKOSOVO/lists"/>
    <hyperlink ref="V175" r:id="rId963" display="https://twitter.com/MFAKOSOVO/lists/kosovo-diplomats"/>
    <hyperlink ref="E324" r:id="rId964" display="http://twiplomacy.com/info/europe/Latvia"/>
    <hyperlink ref="S324" r:id="rId965"/>
    <hyperlink ref="E382" r:id="rId966" display="http://twiplomacy.com/info/europe/Latvia"/>
    <hyperlink ref="N382" r:id="rId967" display="https://twitter.com/Rigas_pils/statuses/18026987782"/>
    <hyperlink ref="S382" r:id="rId968" display="https://twitter.com/Rigas_pils/lists"/>
    <hyperlink ref="E117" r:id="rId969" display="http://twiplomacy.com/info/europe/Latvia"/>
    <hyperlink ref="N117" r:id="rId970" display="https://twitter.com/Brivibas36/statuses/2074162215"/>
    <hyperlink ref="O117" r:id="rId971" display="https://twitter.com/Brivibas36/statuses/403833744600993792"/>
    <hyperlink ref="S117" r:id="rId972" display="https://twitter.com/Brivibas36/lists"/>
    <hyperlink ref="E102" r:id="rId973" display="http://twiplomacy.com/info/europe/Latvia"/>
    <hyperlink ref="N102" r:id="rId974" display="https://twitter.com/edgarsrinkevics/statuses/23047447686"/>
    <hyperlink ref="O102" r:id="rId975" display="https://twitter.com/edgarsrinkevics/statuses/530450808132108288"/>
    <hyperlink ref="S102" r:id="rId976" display="https://twitter.com/edgarsrinkevics/lists"/>
    <hyperlink ref="E161" r:id="rId977" display="http://twiplomacy.com/info/europe/Latvia"/>
    <hyperlink ref="N161" r:id="rId978" display="https://twitter.com/Arlietas/statuses/26445465103"/>
    <hyperlink ref="S161" r:id="rId979" display="https://twitter.com/Arlietas/lists"/>
    <hyperlink ref="E260" r:id="rId980" display="http://twiplomacy.com/info/europe/Latvia"/>
    <hyperlink ref="N260" r:id="rId981" display="https://twitter.com/Latvian_MFA/statuses/104184348001058816"/>
    <hyperlink ref="S260" r:id="rId982" display="https://twitter.com/Latvian_MFA/lists"/>
    <hyperlink ref="E653" r:id="rId983" display="http://twiplomacy.com/info/europe/Liechtenstein"/>
    <hyperlink ref="N653" r:id="rId984" display="https://twitter.com/MFA_LI/status/482178881580195840"/>
    <hyperlink ref="S653" r:id="rId985" display="https://twitter.com/adrian_hasler/lists"/>
    <hyperlink ref="E522" r:id="rId986" display="http://twiplomacy.com/info/europe/Liechtenstein"/>
    <hyperlink ref="N522" r:id="rId987" display="https://twitter.com/regierung_fl/statuses/15111347587"/>
    <hyperlink ref="E375" r:id="rId988" display="http://twiplomacy.com/info/europe/Liechtenstein"/>
    <hyperlink ref="N375" r:id="rId989" display="https://twitter.com/MFA_LI/statuses/439686774269702145"/>
    <hyperlink ref="E502" r:id="rId990" display="http://twiplomacy.com/info/europe/Lithuania"/>
    <hyperlink ref="N502" r:id="rId991" display="https://twitter.com/Grybauskaite_LT/statuses/271628265108668416"/>
    <hyperlink ref="E594" r:id="rId992" display="http://twiplomacy.com/info/europe/Lithuania"/>
    <hyperlink ref="N594" r:id="rId993" display="https://twitter.com/AButkevicius/statuses/56285233573675008"/>
    <hyperlink ref="E473" r:id="rId994" display="http://twiplomacy.com/info/europe/Lithuania"/>
    <hyperlink ref="N473" r:id="rId995" display="https://twitter.com/Vyriausybe/statuses/1858687951"/>
    <hyperlink ref="E261" r:id="rId996" display="http://twiplomacy.com/info/europe/Lithuania"/>
    <hyperlink ref="N261" r:id="rId997" display="https://twitter.com/LinkeviciusL/statuses/285039288058519552"/>
    <hyperlink ref="E172" r:id="rId998" display="http://twiplomacy.com/info/europe/Lithuania"/>
    <hyperlink ref="N172" r:id="rId999" display="https://twitter.com/LithuaniaMFA/statuses/315369797217046528"/>
    <hyperlink ref="S172" r:id="rId1000" display="https://twitter.com/LithuaniaMFA/lists"/>
    <hyperlink ref="E609" r:id="rId1001" display="http://twiplomacy.com/info/europe/Lithuania"/>
    <hyperlink ref="N609" r:id="rId1002" display="https://twitter.com/Lithuania/status/571298494000058368"/>
    <hyperlink ref="S609" r:id="rId1003" display="https://twitter.com/Lithuania/lists"/>
    <hyperlink ref="E501" r:id="rId1004" display="http://twiplomacy.com/info/europe/Lithuania"/>
    <hyperlink ref="N501" r:id="rId1005" display="https://twitter.com/LT_MFA_Stratcom/status/540461647127908353"/>
    <hyperlink ref="S501" r:id="rId1006" display="https://twitter.com/LT_MFA_Stratcom/lists"/>
    <hyperlink ref="E509" r:id="rId1007" display="http://twiplomacy.com/info/europe/Luxembourg"/>
    <hyperlink ref="N509" r:id="rId1008" display="https://twitter.com/CourGrandDucale/statuses/26657558608"/>
    <hyperlink ref="E407" r:id="rId1009" display="http://twiplomacy.com/info/europe/Luxembourg"/>
    <hyperlink ref="N407" r:id="rId1010" display="https://twitter.com/Xavier_Bettel/statuses/20158157335"/>
    <hyperlink ref="E456" r:id="rId1011" display="http://twiplomacy.com/info/europe/Luxembourg"/>
    <hyperlink ref="N456" r:id="rId1012" display="https://twitter.com/gouv_lu/status/484346549548638209"/>
    <hyperlink ref="S456" r:id="rId1013" display="https://twitter.com/gouv_lu/lists"/>
    <hyperlink ref="E542" r:id="rId1014" display="http://twiplomacy.com/info/europe/Malta"/>
    <hyperlink ref="N542" r:id="rId1015" display="https://twitter.com/presidentMT/status/460734546951303168"/>
    <hyperlink ref="S542" r:id="rId1016" display="https://twitter.com/presidentMT/lists"/>
    <hyperlink ref="N46" r:id="rId1017" display="https://twitter.com/JosephMuscat_JM/statuses/1470076166"/>
    <hyperlink ref="N625" r:id="rId1018"/>
    <hyperlink ref="S625" r:id="rId1019"/>
    <hyperlink ref="N227" r:id="rId1020" display="https://twitter.com/DOImalta/status/48018696630841344"/>
    <hyperlink ref="S227" r:id="rId1021" display="https://twitter.com/DOImalta/lists"/>
    <hyperlink ref="E749" r:id="rId1022" display="http://twiplomacy.com/info/europe/Moldova"/>
    <hyperlink ref="N749" r:id="rId1023" display="https://twitter.com/Nicolae_Timofti/statuses/398023918516068352"/>
    <hyperlink ref="E468" r:id="rId1024" display="http://twiplomacy.com/info/europe/Moldova"/>
    <hyperlink ref="N468" r:id="rId1025" display="https://twitter.com/presedinte_md/statuses/342179312084078593"/>
    <hyperlink ref="E495" r:id="rId1026" display="http://twiplomacy.com/info/europe/Moldova"/>
    <hyperlink ref="S495" r:id="rId1027" display="https://twitter.com/GuvernulRMD/lists"/>
    <hyperlink ref="E491" r:id="rId1028" display="http://twiplomacy.com/info/europe/Moldova"/>
    <hyperlink ref="N491" r:id="rId1029" display="https://twitter.com/Diplomacy_RM/statuses/256669560319655936"/>
    <hyperlink ref="E657" r:id="rId1030" display="http://twiplomacy.com/info/europe/Monaco"/>
    <hyperlink ref="N657" r:id="rId1031" display="https://twitter.com/palaismonaco/statuses/139351973358075905"/>
    <hyperlink ref="E178" r:id="rId1032" display="http://twiplomacy.com/info/europe/Monaco"/>
    <hyperlink ref="N178" r:id="rId1033" display="https://twitter.com/GvtMonaco/statuses/161716389407760384"/>
    <hyperlink ref="E344" r:id="rId1034" display="http://twiplomacy.com/info/europe/Monaco"/>
    <hyperlink ref="N344" r:id="rId1035" display="https://twitter.com/GovMonaco/status/433267393842778113"/>
    <hyperlink ref="S344" r:id="rId1036" display="https://twitter.com/GovMonaco/lists"/>
    <hyperlink ref="E337" r:id="rId1037" display="http://twiplomacy.com/info/europe/Montenegro"/>
    <hyperlink ref="N337" r:id="rId1038" display="https://twitter.com/MeGovernment/statuses/75928192820576256"/>
    <hyperlink ref="E353" r:id="rId1039" display="http://twiplomacy.com/info/europe/Montenegro"/>
    <hyperlink ref="N353" r:id="rId1040" display="https://twitter.com/VladaCG/statuses/248431012151980032"/>
    <hyperlink ref="E434" r:id="rId1041" display="http://twiplomacy.com/info/europe/Netherlands"/>
    <hyperlink ref="N434" r:id="rId1042" display="https://twitter.com/koninklijkhuis/statuses/25481715212"/>
    <hyperlink ref="E361" r:id="rId1043" display="http://twiplomacy.com/info/europe/Netherlands"/>
    <hyperlink ref="N361" r:id="rId1044" display="https://twitter.com/minpres/statuses/28965629825"/>
    <hyperlink ref="E93" r:id="rId1045" display="http://twiplomacy.com/info/europe/Netherlands"/>
    <hyperlink ref="N93" r:id="rId1046" display="https://twitter.com/Rijksoverheid/statuses/11250347702"/>
    <hyperlink ref="S93" r:id="rId1047" display="https://twitter.com/Rijksoverheid/lists"/>
    <hyperlink ref="E112" r:id="rId1048" display="http://twiplomacy.com/info/europe/Netherlands"/>
    <hyperlink ref="N112" r:id="rId1049" display="https://twitter.com/minbuza/statuses/16767556716"/>
    <hyperlink ref="O112" r:id="rId1050" display="https://twitter.com/minbuza/statuses/489851125907357696"/>
    <hyperlink ref="S112" r:id="rId1051" display="https://twitter.com/minbuza/lists"/>
    <hyperlink ref="E288" r:id="rId1052" display="http://twiplomacy.com/info/europe/Netherlands"/>
    <hyperlink ref="N288" r:id="rId1053" display="https://twitter.com/DutchMFA/statuses/7479573388"/>
    <hyperlink ref="S288" r:id="rId1054" display="https://twitter.com/DutchMFA/lists"/>
    <hyperlink ref="E296" r:id="rId1055" display="http://twiplomacy.com/info/europe/Netherlands"/>
    <hyperlink ref="N296" r:id="rId1056" display="https://twitter.com/NL_MFA_strategy/status/364742614257377280"/>
    <hyperlink ref="S296" r:id="rId1057" display="https://twitter.com/NL_MFA_strategy/lists"/>
    <hyperlink ref="E292" r:id="rId1058" display="http://twiplomacy.com/info/europe/Netherlands"/>
    <hyperlink ref="N292" r:id="rId1059" display="https://twitter.com/Kronprinsparet/statuses/1448102480"/>
    <hyperlink ref="E207" r:id="rId1060" display="http://twiplomacy.com/info/europe/Norway"/>
    <hyperlink ref="N207" r:id="rId1061" display="https://twitter.com/erna_solberg/statuses/932742196"/>
    <hyperlink ref="E406" r:id="rId1062" display="http://twiplomacy.com/info/europe/Norway"/>
    <hyperlink ref="N406" r:id="rId1063" display="https://twitter.com/Statsmin_kontor/statuses/2219349853"/>
    <hyperlink ref="S406" r:id="rId1064" display="https://twitter.com/Statsmin_kontor/lists"/>
    <hyperlink ref="E290" r:id="rId1065" display="http://twiplomacy.com/info/europe/Norway"/>
    <hyperlink ref="N290" r:id="rId1066" display="https://twitter.com/borgebrende/statuses/2402118022"/>
    <hyperlink ref="S290" r:id="rId1067" display="https://twitter.com/borgebrende/lists"/>
    <hyperlink ref="E191" r:id="rId1068" display="http://twiplomacy.com/info/europe/Norway"/>
    <hyperlink ref="N191" r:id="rId1069" display="https://twitter.com/Utenriksdept/statuses/6428202482"/>
    <hyperlink ref="S191" r:id="rId1070" display="https://twitter.com/Utenriksdept/lists"/>
    <hyperlink ref="E328" r:id="rId1071" display="http://twiplomacy.com/info/europe/Norway"/>
    <hyperlink ref="N328" r:id="rId1072" display="https://twitter.com/NorwayMFA/statuses/273052823774703616"/>
    <hyperlink ref="S328" r:id="rId1073" display="https://twitter.com/NorwayMFA/lists"/>
    <hyperlink ref="V328" r:id="rId1074" display="https://twitter.com/NorwayMFA/lists/norwegian-ambassadors"/>
    <hyperlink ref="E167" r:id="rId1075" display="http://twiplomacy.com/info/europe/Poland"/>
    <hyperlink ref="E244" r:id="rId1076" display="http://twiplomacy.com/info/europe/Poland"/>
    <hyperlink ref="N244" r:id="rId1077" display="https://twitter.com/prezydentpl/statuses/99252699224215552"/>
    <hyperlink ref="E458" r:id="rId1078" display="http://twiplomacy.com/info/europe/Poland"/>
    <hyperlink ref="E64" r:id="rId1079" display="http://twiplomacy.com/info/europe/Poland"/>
    <hyperlink ref="N64" r:id="rId1080" display="https://twitter.com/PremierRP/statuses/6722040413"/>
    <hyperlink ref="O64" r:id="rId1081" display="https://twitter.com/PremierRP/statuses/436773503937687552"/>
    <hyperlink ref="E38" r:id="rId1082" display="http://twiplomacy.com/info/europe/Poland"/>
    <hyperlink ref="N38" r:id="rId1083" display="https://twitter.com/MSZ_RP/statuses/100872051941847040"/>
    <hyperlink ref="O38" r:id="rId1084" display="https://twitter.com/MSZ_RP/statuses/495064988680478722"/>
    <hyperlink ref="S38" r:id="rId1085" display="https://twitter.com/MSZ_RP/lists"/>
    <hyperlink ref="E67" r:id="rId1086" display="http://twiplomacy.com/info/europe/Poland"/>
    <hyperlink ref="N67" r:id="rId1087" display="https://twitter.com/PolandMFA/statuses/4730112083"/>
    <hyperlink ref="S67" r:id="rId1088" display="https://twitter.com/PolandMFA/lists"/>
    <hyperlink ref="V67" r:id="rId1089" display="https://twitter.com/PolandMFA/pl-diplomatic-missions/members"/>
    <hyperlink ref="E661" r:id="rId1090" display="http://twiplomacy.com/info/europe/Portugal"/>
    <hyperlink ref="E249" r:id="rId1091" display="http://twiplomacy.com/info/europe/Portugal"/>
    <hyperlink ref="N249" r:id="rId1092" display="https://twitter.com/govpt/statuses/1946479609"/>
    <hyperlink ref="E755" r:id="rId1093" display="http://twiplomacy.com/info/europe/Portugal"/>
    <hyperlink ref="N755" r:id="rId1094" display="https://twitter.com/MNEGOVPT/status/446607115462115328"/>
    <hyperlink ref="S755" r:id="rId1095" display="https://twitter.com/MNEGOVPT/lists"/>
    <hyperlink ref="E460" r:id="rId1096" display="http://twiplomacy.com/info/europe/Romania"/>
    <hyperlink ref="N460" r:id="rId1097" display="https://twitter.com/KlausIohannis/status/506811288669155328"/>
    <hyperlink ref="S460" r:id="rId1098" display="https://twitter.com/KlausIohannis/lists"/>
    <hyperlink ref="N673" r:id="rId1099"/>
    <hyperlink ref="S673" r:id="rId1100"/>
    <hyperlink ref="E347" r:id="rId1101" display="http://twiplomacy.com/info/europe/Romania"/>
    <hyperlink ref="N347" r:id="rId1102" display="https://twitter.com/guv_ro/statuses/304259890317242369"/>
    <hyperlink ref="E299" r:id="rId1103" display="http://twiplomacy.com/info/europe/Romania"/>
    <hyperlink ref="N299" r:id="rId1104" display="https://twitter.com/MAERomania/statuses/5333677263"/>
    <hyperlink ref="S299" r:id="rId1105" display="https://twitter.com/MAERomania/lists"/>
    <hyperlink ref="E358" r:id="rId1106" display="http://twiplomacy.com/info/europe/Russia"/>
    <hyperlink ref="N358" r:id="rId1107" display="https://twitter.com/PutinRF/statuses/162789651801833472"/>
    <hyperlink ref="E193" r:id="rId1108" display="http://twiplomacy.com/info/europe/Russia"/>
    <hyperlink ref="N193" r:id="rId1109" display="https://twitter.com/KremlinRussia/statuses/9172727923478529"/>
    <hyperlink ref="E438" r:id="rId1110" display="http://twiplomacy.com/info/europe/Russia"/>
    <hyperlink ref="N438" r:id="rId1111" display="https://twitter.com/MedvedevRussia/statuses/16863556707"/>
    <hyperlink ref="E76" r:id="rId1112" display="http://twiplomacy.com/info/europe/Russia"/>
    <hyperlink ref="N76" r:id="rId1113" display="https://twitter.com/Pravitelstvo_RF/statuses/228369121379762176"/>
    <hyperlink ref="E23" r:id="rId1114" display="http://twiplomacy.com/info/europe/Russia"/>
    <hyperlink ref="N23" r:id="rId1115" display="https://twitter.com/MID_RF/statuses/85937470172180481"/>
    <hyperlink ref="O23" r:id="rId1116" display="https://twitter.com/MID_RF/statuses/558329985631813633"/>
    <hyperlink ref="S23" r:id="rId1117" display="https://twitter.com/MID_RF/lists"/>
    <hyperlink ref="V23" r:id="rId1118" display="https://twitter.com/MID_RF/lists/b-%D0%9F%D0%BE%D1%81%D0%BE%D0%BB%D1%8C%D1%81%D1%82%D0%B2%D0%B0-%D0%B8-%D0%BC%D0%B8%D1%81%D1%81%D0%B8%D0%B8/members"/>
    <hyperlink ref="E477" r:id="rId1119"/>
    <hyperlink ref="N477" r:id="rId1120"/>
    <hyperlink ref="S477" r:id="rId1121"/>
    <hyperlink ref="E452" r:id="rId1122" display="http://twiplomacy.com/info/europe/Russia"/>
    <hyperlink ref="N452" r:id="rId1123" display="https://twitter.com/MedvedevRussiaE/statuses/16864333645"/>
    <hyperlink ref="E234" r:id="rId1124" display="http://twiplomacy.com/info/europe/Russia"/>
    <hyperlink ref="N234" r:id="rId1125" display="https://twitter.com/GovernmentRF/statuses/228371123514007552"/>
    <hyperlink ref="E33" r:id="rId1126" display="http://twiplomacy.com/info/europe/Russia"/>
    <hyperlink ref="N33" r:id="rId1127" display="https://twitter.com/mfa_russia/statuses/83789018361364480"/>
    <hyperlink ref="O33" r:id="rId1128" display="https://twitter.com/mfa_russia/statuses/444458229859225600"/>
    <hyperlink ref="S33" r:id="rId1129" display="https://twitter.com/mfa_russia/lists"/>
    <hyperlink ref="V33" r:id="rId1130" display="https://twitter.com/mfa_russia/lists/russian-representations/members"/>
    <hyperlink ref="E253" r:id="rId1131" display="http://twiplomacy.com/info/europe/Russia"/>
    <hyperlink ref="N253" r:id="rId1132" display="https://twitter.com/KremlinRussia_E/statuses/9182662849724416"/>
    <hyperlink ref="E440" r:id="rId1133" display="http://twiplomacy.com/info/europe/Russia"/>
    <hyperlink ref="N440" r:id="rId1134" display="https://twitter.com/PutinRF_Eng/statuses/266415140201701376"/>
    <hyperlink ref="E454" r:id="rId1135" display="http://twiplomacy.com/info/europe/Serbia"/>
    <hyperlink ref="N454" r:id="rId1136" display="https://twitter.com/predsednikrs/statuses/235338454488207361"/>
    <hyperlink ref="E670" r:id="rId1137" display="http://twiplomacy.com/info/europe/Serbia"/>
    <hyperlink ref="N670" r:id="rId1138" display="https://twitter.com/PresidencySrb/statuses/455249670626103296"/>
    <hyperlink ref="E415" r:id="rId1139" display="http://twiplomacy.com/info/europe/Serbia"/>
    <hyperlink ref="N415" r:id="rId1140" display="https://twitter.com/avucic/statuses/143981905023479808"/>
    <hyperlink ref="S415" r:id="rId1141" display="https://twitter.com/avucic/lists"/>
    <hyperlink ref="E335" r:id="rId1142" display="http://twiplomacy.com/info/europe/Serbia"/>
    <hyperlink ref="N335" r:id="rId1143" display="https://twitter.com/SerbianGov/statuses/230079061022629888"/>
    <hyperlink ref="E786" r:id="rId1144" display="http://twiplomacy.com/info/europe/Serbia"/>
    <hyperlink ref="S786" r:id="rId1145" display="https://twitter.com/DacicIvica/lists"/>
    <hyperlink ref="E210" r:id="rId1146" display="http://twiplomacy.com/info/europe/Serbia"/>
    <hyperlink ref="N210" r:id="rId1147" display="https://twitter.com/vladaOCDrs/status/253137853654106113"/>
    <hyperlink ref="S210" r:id="rId1148" display="https://twitter.com/vladaOCDrs/lists"/>
    <hyperlink ref="E398" r:id="rId1149" display="http://twiplomacy.com/info/europe/Serbia"/>
    <hyperlink ref="N398" r:id="rId1150" display="https://twitter.com/SerbianPM/status/566851318112063488"/>
    <hyperlink ref="S398" r:id="rId1151" display="https://twitter.com/SerbianPM/lists"/>
    <hyperlink ref="E678" r:id="rId1152" display="http://twiplomacy.com/info/europe/Slovakia"/>
    <hyperlink ref="N678" r:id="rId1153" display="https://twitter.com/Andrej_Kiska/status/477879251715514368"/>
    <hyperlink ref="S678" r:id="rId1154" display="https://twitter.com/Andrej_Kiska/lists"/>
    <hyperlink ref="E677" r:id="rId1155" display="http://twiplomacy.com/info/europe/Slovakia"/>
    <hyperlink ref="N677" r:id="rId1156" display="https://twitter.com/fico2014/statuses/1754797934"/>
    <hyperlink ref="E307" r:id="rId1157" display="http://twiplomacy.com/info/europe/Slovakia"/>
    <hyperlink ref="N307" r:id="rId1158" display="https://twitter.com/MiroslavLajcak/statuses/324185864773181441"/>
    <hyperlink ref="E462" r:id="rId1159" display="http://twiplomacy.com/info/europe/Slovakia"/>
    <hyperlink ref="N462" r:id="rId1160" display="https://twitter.com/SlovakiaMFA/statuses/342986218872651776"/>
    <hyperlink ref="E183" r:id="rId1161" display="http://twiplomacy.com/info/europe/Slovenia"/>
    <hyperlink ref="N183" r:id="rId1162" display="https://twitter.com/BorutPahor/statuses/223732634059149312"/>
    <hyperlink ref="S183" r:id="rId1163" display="https://twitter.com/BorutPahor/lists"/>
    <hyperlink ref="E343" r:id="rId1164" display="http://twiplomacy.com/info/europe/Slovenia"/>
    <hyperlink ref="N343" r:id="rId1165" display="https://twitter.com/MiroCerar/status/473358362118471680"/>
    <hyperlink ref="S343" r:id="rId1166" display="https://twitter.com/MiroCerar/lists"/>
    <hyperlink ref="E192" r:id="rId1167" display="http://twiplomacy.com/info/europe/Slovenia"/>
    <hyperlink ref="N192" r:id="rId1168" display="https://twitter.com/vladaRS/statuses/2129212668"/>
    <hyperlink ref="E166" r:id="rId1169" display="http://twiplomacy.com/info/europe/Slovenia"/>
    <hyperlink ref="N166" r:id="rId1170" display="https://twitter.com/MZZRS/statuses/25043200085"/>
    <hyperlink ref="S166" r:id="rId1171" display="https://twitter.com/MZZRS/lists"/>
    <hyperlink ref="V166" r:id="rId1172" display="https://twitter.com/MZZRS/slovenia-abroad/members"/>
    <hyperlink ref="E557" r:id="rId1173" display="http://twiplomacy.com/info/europe/Slovenia"/>
    <hyperlink ref="N557" r:id="rId1174" display="https://twitter.com/govSlovenia/statuses/400911198490599424"/>
    <hyperlink ref="E379" r:id="rId1175" display="http://twiplomacy.com/info/europe/Spain"/>
    <hyperlink ref="N379" r:id="rId1176" display="https://twitter.com/CasaReal/statuses/469054329107001344"/>
    <hyperlink ref="S379" r:id="rId1177" display="https://twitter.com/CasaReal/lists"/>
    <hyperlink ref="E59" r:id="rId1178" display="http://twiplomacy.com/info/europe/Spain"/>
    <hyperlink ref="N59" r:id="rId1179" display="https://twitter.com/marianorajoy/statuses/114294925620817923"/>
    <hyperlink ref="E41" r:id="rId1180" display="http://twiplomacy.com/info/europe/Spain"/>
    <hyperlink ref="N41" r:id="rId1181" display="https://twitter.com/desdelamoncloa/statuses/2735348665"/>
    <hyperlink ref="O41" r:id="rId1182" display="https://twitter.com/desdelamoncloa/statuses/46209277114851329"/>
    <hyperlink ref="S41" r:id="rId1183" display="https://twitter.com/desdelamoncloa/lists"/>
    <hyperlink ref="V41" r:id="rId1184" display="https://twitter.com/desdelamoncloa/instituciones-int/members"/>
    <hyperlink ref="E197" r:id="rId1185"/>
    <hyperlink ref="N197" r:id="rId1186"/>
    <hyperlink ref="S197" r:id="rId1187"/>
    <hyperlink ref="E186" r:id="rId1188" display="http://twiplomacy.com/info/europe/Spain"/>
    <hyperlink ref="N186" r:id="rId1189" display="https://twitter.com/MAECgob/statuses/324191679198412802"/>
    <hyperlink ref="S186" r:id="rId1190" display="https://twitter.com/MAECgob/lists"/>
    <hyperlink ref="E419" r:id="rId1191" display="http://twiplomacy.com/info/europe/Spain"/>
    <hyperlink ref="N419" r:id="rId1192" display="https://twitter.com/SpainMFA/status/514686112863117312"/>
    <hyperlink ref="S419" r:id="rId1193" display="https://twitter.com/SpainMFA/lists"/>
    <hyperlink ref="E787" r:id="rId1194" display="http://twiplomacy.com/info/europe/sweden/"/>
    <hyperlink ref="E431" r:id="rId1195" display="http://twiplomacy.com/info/europe/sweden/"/>
    <hyperlink ref="N431" r:id="rId1196" display="https://twitter.com/margotwallstrom/status/65914289428496384"/>
    <hyperlink ref="S431" r:id="rId1197" display="https://twitter.com/margotwallstrom/lists"/>
    <hyperlink ref="E152" r:id="rId1198" display="http://twiplomacy.com/info/europe/sweden/"/>
    <hyperlink ref="N152" r:id="rId1199" display="https://twitter.com/Utrikesdep/statuses/16693703877"/>
    <hyperlink ref="S152" r:id="rId1200" display="https://twitter.com/Utrikesdep/lists"/>
    <hyperlink ref="V152" r:id="rId1201" display="https://twitter.com/Utrikesdep/lists/eu/members"/>
    <hyperlink ref="E179" r:id="rId1202" display="http://twiplomacy.com/info/europe/sweden/"/>
    <hyperlink ref="N179" r:id="rId1203" display="https://twitter.com/SweMFA/statuses/128491240290390017"/>
    <hyperlink ref="S179" r:id="rId1204" display="https://twitter.com/SweMFA/lists"/>
    <hyperlink ref="V179" r:id="rId1205" display="https://twitter.com/SweMFA/swedish-embassies/members"/>
    <hyperlink ref="E354" r:id="rId1206" display="http://twiplomacy.com/info/europe/Switzerland"/>
    <hyperlink ref="N354" r:id="rId1207" display="https://twitter.com/BR_Sprecher/statuses/212921588478263296"/>
    <hyperlink ref="E263" r:id="rId1208" display="http://twiplomacy.com/info/europe/Turkey"/>
    <hyperlink ref="N263" r:id="rId1209" display="https://twitter.com/RT_Erdogan/statuses/7290092917886976"/>
    <hyperlink ref="E277" r:id="rId1210" display="http://twiplomacy.com/info/europe/Turkey"/>
    <hyperlink ref="N277" r:id="rId1211" display="https://twitter.com/tcbestepe/statuses/52630947484549122"/>
    <hyperlink ref="E374" r:id="rId1212" display="http://twiplomacy.com/info/europe/Turkey"/>
    <hyperlink ref="N374" r:id="rId1213" display="https://twitter.com/Ahmet_Davutoglu/statuses/1925669311217665"/>
    <hyperlink ref="E95" r:id="rId1214" display="http://twiplomacy.com/info/europe/Turkey"/>
    <hyperlink ref="N95" r:id="rId1215" display="https://twitter.com/Byegm/status/25453859831"/>
    <hyperlink ref="O95" r:id="rId1216" display="https://twitter.com/Byegm/statuses/575941439521230848"/>
    <hyperlink ref="S95" r:id="rId1217" display="https://twitter.com/Byegm/lists"/>
    <hyperlink ref="E123" r:id="rId1218" display="http://twiplomacy.com/info/europe/Turkey"/>
    <hyperlink ref="N123" r:id="rId1219" display="https://twitter.com/MevlutCavusoglu/status/15914781566"/>
    <hyperlink ref="S123" r:id="rId1220" display="https://twitter.com/MevlutCavusoglu/lists"/>
    <hyperlink ref="E115" r:id="rId1221" display="http://twiplomacy.com/info/europe/Turkey"/>
    <hyperlink ref="N115" r:id="rId1222" display="https://twitter.com/TC_Disisleri/statuses/9677250817"/>
    <hyperlink ref="E62" r:id="rId1223" display="http://twiplomacy.com/info/europe/Turkey"/>
    <hyperlink ref="N62" r:id="rId1224" display="https://twitter.com/BasbakanlikKDK/statuses/22581452210184192"/>
    <hyperlink ref="E418" r:id="rId1225" display="http://twiplomacy.com/info/europe/Turkey"/>
    <hyperlink ref="N418" r:id="rId1226" display="https://twitter.com/MFATurkeyArabic/statuses/187818176975867905"/>
    <hyperlink ref="E325" r:id="rId1227" display="http://twiplomacy.com/info/europe/Turkey"/>
    <hyperlink ref="N325" r:id="rId1228" display="https://twitter.com/RecepT_Erdogan/statuses/117203391461064704"/>
    <hyperlink ref="E569" r:id="rId1229" display="http://twiplomacy.com/info/europe/Turkey"/>
    <hyperlink ref="N569" r:id="rId1230" display="https://twitter.com/A_Davutoglu_ar/statuses/185814472642932738"/>
    <hyperlink ref="E534" r:id="rId1231" display="http://twiplomacy.com/info/europe/Turkey"/>
    <hyperlink ref="N534" r:id="rId1232" display="https://twitter.com/A_Davutoglu_eng/statuses/164311291165544450"/>
    <hyperlink ref="E128" r:id="rId1233" display="http://twiplomacy.com/info/europe/Turkey"/>
    <hyperlink ref="N128" r:id="rId1234" display="https://twitter.com/TROfficeofPD/statuses/22598029148164096"/>
    <hyperlink ref="E259" r:id="rId1235" display="http://twiplomacy.com/info/europe/Turkey"/>
    <hyperlink ref="N259" r:id="rId1236" display="https://twitter.com/anadoluagency/status/540167096609828864"/>
    <hyperlink ref="S259" r:id="rId1237" display="https://twitter.com/ByegmENG/lists"/>
    <hyperlink ref="E552" r:id="rId1238" display="http://twiplomacy.com/info/europe/Turkey"/>
    <hyperlink ref="N552" r:id="rId1239" display="https://twitter.com/MFATurkeyFrench/statuses/187824660812021760"/>
    <hyperlink ref="E199" r:id="rId1240" display="http://twiplomacy.com/info/europe/Turkey"/>
    <hyperlink ref="N199" r:id="rId1241" display="https://twitter.com/MFATurkey/statuses/124129581883068416"/>
    <hyperlink ref="E338" r:id="rId1242" display="http://twiplomacy.com/info/europe/Turkey"/>
    <hyperlink ref="N338" r:id="rId1243" display="https://twitter.com/trpresidency/statuses/91494898477449216"/>
    <hyperlink ref="E236" r:id="rId1244" display="http://twiplomacy.com/info/europe/Turkey"/>
    <hyperlink ref="N236" r:id="rId1245" display="https://twitter.com/DiploPubliqueTR/statuses/331413324224925696"/>
    <hyperlink ref="E168" r:id="rId1246" display="http://twiplomacy.com/info/europe/Turkey"/>
    <hyperlink ref="N168" r:id="rId1247" display="https://twitter.com/TRDiplo_ARABIC/statuses/226070008751611904"/>
    <hyperlink ref="E176" r:id="rId1248" display="http://twiplomacy.com/info/europe/Ukraine"/>
    <hyperlink ref="N176" r:id="rId1249" display="https://twitter.com/poroshenko/status/452098909825814530"/>
    <hyperlink ref="S176" r:id="rId1250" display="https://twitter.com/poroshenko/lists"/>
    <hyperlink ref="E157" r:id="rId1251" display="http://twiplomacy.com/info/europe/Ukraine"/>
    <hyperlink ref="N157" r:id="rId1252" display="https://twitter.com/APUkraine/status/486921861176254464"/>
    <hyperlink ref="O157" r:id="rId1253" display="https://twitter.com/APUkraine/statuses/503499422257250304"/>
    <hyperlink ref="S157" r:id="rId1254" display="https://twitter.com/APUkraine/lists"/>
    <hyperlink ref="E368" r:id="rId1255" display="http://twiplomacy.com/info/europe/Ukraine"/>
    <hyperlink ref="N368" r:id="rId1256" display="https://twitter.com/Yatsenyuk_AP/statuses/385703445644079105"/>
    <hyperlink ref="E13" r:id="rId1257" display="http://twiplomacy.com/info/europe/Ukraine"/>
    <hyperlink ref="N13" r:id="rId1258" display="https://twitter.com/Kabmin_UA/statuses/89243441346785280"/>
    <hyperlink ref="E90" r:id="rId1259" display="http://twiplomacy.com/info/europe/Ukraine"/>
    <hyperlink ref="N90" r:id="rId1260" display="https://twitter.com/Kabmin_UA_e/statuses/89256701420777472"/>
    <hyperlink ref="E422" r:id="rId1261" display="http://twiplomacy.com/info/europe/Ukraine"/>
    <hyperlink ref="N422" r:id="rId1262" display="https://twitter.com/PavloKlimkin/statuses/158890232949899264"/>
    <hyperlink ref="E22" r:id="rId1263" display="http://twiplomacy.com/info/europe/Ukraine"/>
    <hyperlink ref="N22" r:id="rId1264" display="https://twitter.com/MFA_Ukraine/statuses/18298910359429120"/>
    <hyperlink ref="O22" r:id="rId1265" display="https://twitter.com/MFA_Ukraine/statuses/504734047030239232"/>
    <hyperlink ref="S22" r:id="rId1266" display="https://twitter.com/MFA_Ukraine/lists"/>
    <hyperlink ref="E433" r:id="rId1267" display="http://twiplomacy.com/info/europe/Ukraine"/>
    <hyperlink ref="S433" r:id="rId1268"/>
    <hyperlink ref="E42" r:id="rId1269" display="http://twiplomacy.com/info/europe/Ukraine"/>
    <hyperlink ref="N42" r:id="rId1270" display="https://twitter.com/Kabmin_UA_r/statuses/89251307961073664"/>
    <hyperlink ref="E37" r:id="rId1271" display="http://twiplomacy.com/info/europe/United-Kingdom"/>
    <hyperlink ref="N37" r:id="rId1272" display="https://twitter.com/britishmonarchy/statuses/1642207999"/>
    <hyperlink ref="O37" r:id="rId1273" display="https://twitter.com/BritishMonarchy/statuses/525596327674400768"/>
    <hyperlink ref="E341" r:id="rId1274" display="http://twiplomacy.com/info/europe/United-Kingdom"/>
    <hyperlink ref="N341" r:id="rId1275" display="https://twitter.com/David_Cameron/statuses/254625004321386496"/>
    <hyperlink ref="E105" r:id="rId1276" display="http://twiplomacy.com/info/europe/United-Kingdom"/>
    <hyperlink ref="N105" r:id="rId1277" display="https://twitter.com/number10gov/statuses/777422677"/>
    <hyperlink ref="S105" r:id="rId1278" display="https://twitter.com/Number10gov/lists"/>
    <hyperlink ref="E200" r:id="rId1279" display="http://twiplomacy.com/info/europe/United-Kingdom"/>
    <hyperlink ref="N200" r:id="rId1280" display="https://twitter.com/cabinetofficeuk/statuses/13978769256"/>
    <hyperlink ref="S200" r:id="rId1281" display="https://twitter.com/cabinetofficeuk/lists"/>
    <hyperlink ref="E472" r:id="rId1282" display="http://twiplomacy.com/info/europe/United-Kingdom"/>
    <hyperlink ref="N472" r:id="rId1283" display="https://twitter.com/PHammondMP/status/514022843441770496"/>
    <hyperlink ref="S472" r:id="rId1284" display="https://twitter.com/PHammondMP/lists"/>
    <hyperlink ref="E28" r:id="rId1285" display="http://twiplomacy.com/info/europe/United-Kingdom"/>
    <hyperlink ref="N28" r:id="rId1286" display="https://twitter.com/foreignoffice/statuses/850060242"/>
    <hyperlink ref="S28" r:id="rId1287" display="https://twitter.com/foreignoffice/lists"/>
    <hyperlink ref="V28" r:id="rId1288" display="https://twitter.com/foreignoffice/foreign-office-on-twitter/members"/>
    <hyperlink ref="N421" r:id="rId1289" display="https://twitter.com/UKUrdu/statuses/21571420614"/>
    <hyperlink ref="S421" r:id="rId1290" display="https://twitter.com/UKUrdu/lists"/>
    <hyperlink ref="E484" r:id="rId1291" display="http://twiplomacy.com/info/europe/Vatican"/>
    <hyperlink ref="N484" r:id="rId1292" display="https://twitter.com/Pontifex/statuses/313247631054864384"/>
    <hyperlink ref="O484" r:id="rId1293" display="https://twitter.com/Pontifex/statuses/555998421350223872"/>
    <hyperlink ref="E618" r:id="rId1294" display="http://twiplomacy.com/info/europe/Vatican"/>
    <hyperlink ref="N618" r:id="rId1295" display="https://twitter.com/TerzaLoggia/statuses/309278436764045312"/>
    <hyperlink ref="E487" r:id="rId1296" display="http://twiplomacy.com/info/europe/Vatican"/>
    <hyperlink ref="N487" r:id="rId1297" display="https://twitter.com/Pontifex_it/statuses/313247631109398528"/>
    <hyperlink ref="E488" r:id="rId1298" display="http://twiplomacy.com/info/europe/Vatican"/>
    <hyperlink ref="N488" r:id="rId1299" display="https://twitter.com/Pontifex_es/statuses/313247631042301952"/>
    <hyperlink ref="E504" r:id="rId1300" display="http://twiplomacy.com/info/europe/Vatican"/>
    <hyperlink ref="N504" r:id="rId1301" display="https://twitter.com/Pontifex_pt/statuses/313247631025508353"/>
    <hyperlink ref="E511" r:id="rId1302" display="http://twiplomacy.com/info/europe/Vatican"/>
    <hyperlink ref="N511" r:id="rId1303" display="https://twitter.com/Pontifex_ln/statuses/313247631130374144"/>
    <hyperlink ref="E503" r:id="rId1304" display="http://twiplomacy.com/info/europe/Vatican"/>
    <hyperlink ref="N503" r:id="rId1305" display="https://twitter.com/Pontifex_fr/statuses/313247632451592192"/>
    <hyperlink ref="E507" r:id="rId1306" display="http://twiplomacy.com/info/europe/Vatican"/>
    <hyperlink ref="N507" r:id="rId1307" display="https://twitter.com/Pontifex_pl/statuses/313247631046488064"/>
    <hyperlink ref="E505" r:id="rId1308" display="http://twiplomacy.com/info/europe/Vatican"/>
    <hyperlink ref="N505" r:id="rId1309" display="https://twitter.com/Pontifex_de/statuses/313247632405454848"/>
    <hyperlink ref="E506" r:id="rId1310" display="http://twiplomacy.com/info/europe/Vatican"/>
    <hyperlink ref="N506" r:id="rId1311" display="https://twitter.com/Pontifex_ar/statuses/313247631050682368"/>
    <hyperlink ref="E684" r:id="rId1312" display="http://twiplomacy.com/info/north-america/Antigua-and-Barbuda"/>
    <hyperlink ref="S684" r:id="rId1313" display="https://twitter.com/gastonbrowne/lists"/>
    <hyperlink ref="E518" r:id="rId1314" display="http://twiplomacy.com/info/north-america/Antigua-and-Barbuda"/>
    <hyperlink ref="N518" r:id="rId1315" display="https://twitter.com/antiguagov/statuses/27374715446239232"/>
    <hyperlink ref="S518" r:id="rId1316" display="https://twitter.com/antiguagov/lists"/>
    <hyperlink ref="E724" r:id="rId1317" display="http://twiplomacy.com/info/north-america/Antigua-and-Barbuda"/>
    <hyperlink ref="S724" r:id="rId1318" display="https://twitter.com/ABLPGastonbrown/lists"/>
    <hyperlink ref="E703" r:id="rId1319" display="http://twiplomacy.com/info/north-america/Bahamas"/>
    <hyperlink ref="N703" r:id="rId1320" display="https://twitter.com/pgchristie/statuses/157543861240078336"/>
    <hyperlink ref="E413" r:id="rId1321"/>
    <hyperlink ref="N413" r:id="rId1322"/>
    <hyperlink ref="S413" r:id="rId1323"/>
    <hyperlink ref="E756" r:id="rId1324" display="http://twiplomacy.com/info/north-america/Belize"/>
    <hyperlink ref="N756" r:id="rId1325" display="https://twitter.com/BarrowDean/statuses/84011280540762112"/>
    <hyperlink ref="E718" r:id="rId1326" display="http://twiplomacy.com/info/north-america/Belize"/>
    <hyperlink ref="N718" r:id="rId1327" display="https://twitter.com/belizegov/statuses/16250314283"/>
    <hyperlink ref="S718" r:id="rId1328" display="https://twitter.com/belizegov/lists"/>
    <hyperlink ref="E106" r:id="rId1329" display="http://twiplomacy.com/info/north-america/Canada"/>
    <hyperlink ref="N106" r:id="rId1330"/>
    <hyperlink ref="S106" r:id="rId1331"/>
    <hyperlink ref="E513" r:id="rId1332"/>
    <hyperlink ref="N513" r:id="rId1333"/>
    <hyperlink ref="S513" r:id="rId1334"/>
    <hyperlink ref="E514" r:id="rId1335"/>
    <hyperlink ref="N514" r:id="rId1336"/>
    <hyperlink ref="S514" r:id="rId1337"/>
    <hyperlink ref="E317" r:id="rId1338" display="http://twiplomacy.com/info/north-america/Canada"/>
    <hyperlink ref="N317" r:id="rId1339"/>
    <hyperlink ref="S317" r:id="rId1340" display="https://twitter.com/HonStephaneDion/lists"/>
    <hyperlink ref="E69" r:id="rId1341" display="http://twiplomacy.com/info/north-america/Canada"/>
    <hyperlink ref="N69" r:id="rId1342" display="https://twitter.com/CanadaFP/statuses/17432520570"/>
    <hyperlink ref="O69" r:id="rId1343" display="https://twitter.com/CanadaFP/statuses/504381532287803392"/>
    <hyperlink ref="S69" r:id="rId1344" display="https://twitter.com/CanadaFP/lists"/>
    <hyperlink ref="V69" r:id="rId1345" display="https://twitter.com/CanadaFP/lists/canadian-missions-abroad"/>
    <hyperlink ref="E71" r:id="rId1346" display="http://twiplomacy.com/info/north-america/Canada"/>
    <hyperlink ref="N71" r:id="rId1347" display="https://twitter.com/CanadaPE/statuses/17432708559"/>
    <hyperlink ref="S71" r:id="rId1348" display="https://twitter.com/CanadaPE/lists"/>
    <hyperlink ref="V71" r:id="rId1349" display="https://twitter.com/CanadaPE/lists/les-missions-%C3%A0-l-%C3%A9tranger"/>
    <hyperlink ref="E54" r:id="rId1350" display="http://twiplomacy.com/info/north-america/Costa-Rica"/>
    <hyperlink ref="N54" r:id="rId1351" display="https://twitter.com/luisguillermosr/statuses/273420990778859521"/>
    <hyperlink ref="O54" r:id="rId1352" display="https://twitter.com/luisguillermosr/statuses/485559398652059648"/>
    <hyperlink ref="S54" r:id="rId1353" display="https://twitter.com/luisguillermosr/lists"/>
    <hyperlink ref="E21" r:id="rId1354" display="http://twiplomacy.com/info/north-america/Costa-Rica"/>
    <hyperlink ref="N21" r:id="rId1355" display="https://twitter.com/presidenciacr/statuses/14385512463"/>
    <hyperlink ref="S21" r:id="rId1356" display="https://twitter.com/presidenciacr/lists"/>
    <hyperlink ref="S404" r:id="rId1357" display="https://twitter.com/Gobierno_CR/lists"/>
    <hyperlink ref="E132" r:id="rId1358" display="http://twiplomacy.com/info/north-america/Costa-Rica"/>
    <hyperlink ref="N132" r:id="rId1359" display="https://twitter.com/NoticiaCR/statuses/1104605002"/>
    <hyperlink ref="S132" r:id="rId1360" display="https://twitter.com/NoticiaCR/lists"/>
    <hyperlink ref="S425" r:id="rId1361" display="https://twitter.com/mgonzalezsanz/lists"/>
    <hyperlink ref="S461" r:id="rId1362" display="https://twitter.com/CRcancilleria/lists"/>
    <hyperlink ref="E444" r:id="rId1363" display="http://twiplomacy.com/info/north-america/Cuba"/>
    <hyperlink ref="N444" r:id="rId1364" display="https://twitter.com/RaulCastroR/statuses/64750857589243905"/>
    <hyperlink ref="E70" r:id="rId1365" display="http://twiplomacy.com/info/north-america/Cuba"/>
    <hyperlink ref="N70" r:id="rId1366" display="https://twitter.com/CubaMINREX/statuses/13807586969"/>
    <hyperlink ref="O70" r:id="rId1367" display="https://twitter.com/CubaMINREX/statuses/545252372570996736"/>
    <hyperlink ref="E312" r:id="rId1368" display="http://twiplomacy.com/info/north-america/Dominica"/>
    <hyperlink ref="N312" r:id="rId1369" display="https://twitter.com/SkerritR/statuses/400051431085842432"/>
    <hyperlink ref="S312" r:id="rId1370" display="https://twitter.com/SkerritR/lists"/>
    <hyperlink ref="E177" r:id="rId1371" display="http://twiplomacy.com/info/north-america/Dominican-Republic"/>
    <hyperlink ref="N177" r:id="rId1372" display="https://twitter.com/DaniloMedina/statuses/1629743784"/>
    <hyperlink ref="S177" r:id="rId1373" display="https://twitter.com/DaniloMedina/lists"/>
    <hyperlink ref="E4" r:id="rId1374" display="http://twiplomacy.com/info/north-america/Dominican-Republic"/>
    <hyperlink ref="N4" r:id="rId1375" display="https://twitter.com/PresidenciaRD/statuses/12319989255"/>
    <hyperlink ref="O4" r:id="rId1376" display="https://twitter.com/PresidenciaRD/status/304725681437302784"/>
    <hyperlink ref="S4" r:id="rId1377" display="https://twitter.com/PresidenciaRD/lists"/>
    <hyperlink ref="E517" r:id="rId1378" display="http://twiplomacy.com/info/north-america/Dominican-Republic"/>
    <hyperlink ref="N517" r:id="rId1379" display="https://twitter.com/andresnavarrog/status/14981487021"/>
    <hyperlink ref="S517" r:id="rId1380" display="https://twitter.com/Andresnavarrog/lists"/>
    <hyperlink ref="E135" r:id="rId1381" display="http://twiplomacy.com/info/north-america/Dominican-Republic"/>
    <hyperlink ref="N135" r:id="rId1382" display="https://twitter.com/MIREXRD/statuses/53846128315207680"/>
    <hyperlink ref="E44" r:id="rId1383" display="http://twiplomacy.com/info/north-america/El-Salvador"/>
    <hyperlink ref="N44" r:id="rId1384" display="https://twitter.com/sanchezceren/statuses/18615678565"/>
    <hyperlink ref="O44" r:id="rId1385" display="https://twitter.com/sanchezceren/statuses/442898833769775104"/>
    <hyperlink ref="E10" r:id="rId1386" display="http://twiplomacy.com/info/north-america/El-Salvador"/>
    <hyperlink ref="N10" r:id="rId1387" display="https://twitter.com/presidencia_sv/statuses/27148569964"/>
    <hyperlink ref="O10" r:id="rId1388" display="https://twitter.com/presidencia_sv/statuses/521879043013365760"/>
    <hyperlink ref="S10" r:id="rId1389" display="https://twitter.com/presidencia_sv/lists"/>
    <hyperlink ref="E99" r:id="rId1390" display="http://twiplomacy.com/info/north-america/El-Salvador"/>
    <hyperlink ref="N99" r:id="rId1391" display="https://twitter.com/cancilleriasv/statuses/13104746081"/>
    <hyperlink ref="N764" r:id="rId1392"/>
    <hyperlink ref="S764" r:id="rId1393"/>
    <hyperlink ref="E520" r:id="rId1394" display="http://twiplomacy.com/info/north-america/Grenada"/>
    <hyperlink ref="N520" r:id="rId1395" display="https://twitter.com/govgd/statuses/3352514928"/>
    <hyperlink ref="E427" r:id="rId1396"/>
    <hyperlink ref="N427" r:id="rId1397"/>
    <hyperlink ref="S427" r:id="rId1398"/>
    <hyperlink ref="E113" r:id="rId1399" display="http://twiplomacy.com/info/north-america/Guatemala"/>
    <hyperlink ref="N113" r:id="rId1400" display="https://twitter.com/GuatemalaGob/statuses/170573195089428480"/>
    <hyperlink ref="E348" r:id="rId1401" display="http://twiplomacy.com/info/north-america/Guatemala"/>
    <hyperlink ref="N348" r:id="rId1402" display="https://twitter.com/MinexGt/statuses/18539119896"/>
    <hyperlink ref="E213" r:id="rId1403" display="http://twiplomacy.com/info/north-america/Haiti"/>
    <hyperlink ref="N213" r:id="rId1404" display="https://twitter.com/PrimatureHT/status/476764212606164992"/>
    <hyperlink ref="S213" r:id="rId1405" display="https://twitter.com/PrimatureHT/lists"/>
    <hyperlink ref="E570" r:id="rId1406" display="http://twiplomacy.com/info/north-america/Haiti"/>
    <hyperlink ref="S570" r:id="rId1407" display="https://twitter.com/MAECHaiti/lists"/>
    <hyperlink ref="E230" r:id="rId1408" display="http://twiplomacy.com/info/north-america/Honduras"/>
    <hyperlink ref="N230" r:id="rId1409" display="https://twitter.com/JuanOrlandoH/statuses/307692030031720448"/>
    <hyperlink ref="S230" r:id="rId1410" display="https://twitter.com/JuanOrlandoH/lists"/>
    <hyperlink ref="E287" r:id="rId1411" display="http://twiplomacy.com/info/north-america/Honduras"/>
    <hyperlink ref="N287" r:id="rId1412" display="https://twitter.com/JuanOrlandoH/statuses/413846187981422593"/>
    <hyperlink ref="S287" r:id="rId1413" display="https://twitter.com/Presidencia_HN/lists"/>
    <hyperlink ref="V287" r:id="rId1414" display="https://twitter.com/Presidencia_HN/lists/equipo-redes"/>
    <hyperlink ref="E480" r:id="rId1415" display="http://twiplomacy.com/info/north-america/Honduras"/>
    <hyperlink ref="N480" r:id="rId1416" display="https://twitter.com/ComunicadosHN/statuses/54954656006287360"/>
    <hyperlink ref="E218" r:id="rId1417" display="http://twiplomacy.com/info/north-america/Honduras"/>
    <hyperlink ref="N218" r:id="rId1418" display="https://twitter.com/SRECIHonduras/statuses/99616599119642624"/>
    <hyperlink ref="E188" r:id="rId1419" display="http://twiplomacy.com/info/north-america/Jamaica"/>
    <hyperlink ref="N188" r:id="rId1420" display="https://twitter.com/OPMJamaica/statuses/2231873972"/>
    <hyperlink ref="E243" r:id="rId1421" display="http://twiplomacy.com/info/north-america/Mexico"/>
    <hyperlink ref="N243" r:id="rId1422" display="https://twitter.com/EPN/statuses/133949792995917824"/>
    <hyperlink ref="E3" r:id="rId1423" display="http://twiplomacy.com/info/north-america/Mexico"/>
    <hyperlink ref="N3" r:id="rId1424" display="https://twitter.com/PresidenciaMX/statuses/1596800517"/>
    <hyperlink ref="O3" r:id="rId1425" display="https://twitter.com/PresidenciaMX/status/321847271379587073"/>
    <hyperlink ref="S3" r:id="rId1426" display="https://twitter.com/PresidenciaMX/lists"/>
    <hyperlink ref="E7" r:id="rId1427" display="http://twiplomacy.com/info/north-america/Mexico"/>
    <hyperlink ref="N7" r:id="rId1428" display="https://twitter.com/gobrep/statuses/2103312431"/>
    <hyperlink ref="O7" r:id="rId1429" display="https://twitter.com/gobrep/statuses/455699981471846400"/>
    <hyperlink ref="S7" r:id="rId1430" display="https://twitter.com/gobrep/lists"/>
    <hyperlink ref="E146" r:id="rId1431" display="http://twiplomacy.com/info/north-america/Mexico"/>
    <hyperlink ref="S146" r:id="rId1432"/>
    <hyperlink ref="E25" r:id="rId1433" display="http://twiplomacy.com/info/north-america/Mexico"/>
    <hyperlink ref="N25" r:id="rId1434" display="https://twitter.com/SRE_mx/statuses/7496937367"/>
    <hyperlink ref="O25" r:id="rId1435" display="https://twitter.com/SRE_mx/statuses/471824447008014336"/>
    <hyperlink ref="S25" r:id="rId1436" display="https://twitter.com/SRE_mx/lists"/>
    <hyperlink ref="V25" r:id="rId1437" display="https://twitter.com/SRE_mx/embajadas/members"/>
    <hyperlink ref="E130" r:id="rId1438" display="http://twiplomacy.com/info/north-america/Panama"/>
    <hyperlink ref="N130" r:id="rId1439" display="https://twitter.com/JC_Varela/statuses/25999173916561408"/>
    <hyperlink ref="E88" r:id="rId1440" display="http://twiplomacy.com/info/north-america/Panama"/>
    <hyperlink ref="N88" r:id="rId1441" display="https://twitter.com/MetroLibrePTY/status/517471809860796416"/>
    <hyperlink ref="S88" r:id="rId1442" display="https://twitter.com/PresidenciaPma/lists"/>
    <hyperlink ref="E247" r:id="rId1443" display="http://twiplomacy.com/info/north-america/Panama"/>
    <hyperlink ref="N247" r:id="rId1444" display="https://twitter.com/IsabelStMalo/status/119913916385079296"/>
    <hyperlink ref="S247" r:id="rId1445" display="https://twitter.com/IsabelStMalo/lists"/>
    <hyperlink ref="E221" r:id="rId1446" display="http://twiplomacy.com/info/north-america/Panama"/>
    <hyperlink ref="N221" r:id="rId1447" display="https://twitter.com/CancilleriaPma/statuses/435466377357295616"/>
    <hyperlink ref="S221" r:id="rId1448" display="https://twitter.com/CancilleriaPma/lists"/>
    <hyperlink ref="E572" r:id="rId1449" display="http://twiplomacy.com/info/north-america/Panama"/>
    <hyperlink ref="N572" r:id="rId1450" display="https://twitter.com/CancilleriaPA/statuses/274592518270775296"/>
    <hyperlink ref="E75" r:id="rId1451" display="http://twiplomacy.com/info/south-america/Puerto_Rico"/>
    <hyperlink ref="N75" r:id="rId1452" display="https://twitter.com/agarciapadilla/statuses/15296826413"/>
    <hyperlink ref="O75" r:id="rId1453" display="https://twitter.com/agarciapadilla/statuses/482669609032491009"/>
    <hyperlink ref="E24" r:id="rId1454" display="http://twiplomacy.com/info/south-america/Puerto_Rico"/>
    <hyperlink ref="N24" r:id="rId1455" display="https://twitter.com/fortalezapr/statuses/4530065915"/>
    <hyperlink ref="O24" r:id="rId1456" display="https://twitter.com/fortalezapr/statuses/375427954681331712"/>
    <hyperlink ref="S24" r:id="rId1457" display="https://twitter.com/fortalezapr/lists"/>
    <hyperlink ref="E394" r:id="rId1458" display="http://twiplomacy.com/info/south-america/Puerto_Rico"/>
    <hyperlink ref="N394" r:id="rId1459" display="https://twitter.com/DeptEstadoPR/statuses/342320091146354688"/>
    <hyperlink ref="S394" r:id="rId1460" display="https://twitter.com/DeptEstadoPR/lists"/>
    <hyperlink ref="E381" r:id="rId1461" display="http://twiplomacy.com/info/north-america/Saint-Kitts-and-Nevis"/>
    <hyperlink ref="N381" r:id="rId1462" display="https://twitter.com/skngov/statuses/441722575090368512"/>
    <hyperlink ref="S381" r:id="rId1463" display="https://twitter.com/skngov/lists"/>
    <hyperlink ref="E752" r:id="rId1464" display="http://twiplomacy.com/info/north-america/Saint-Kitts-and-Nevis"/>
    <hyperlink ref="N752" r:id="rId1465" display="https://twitter.com/pdhnisbett/statuses/439574209098825728"/>
    <hyperlink ref="E424" r:id="rId1466" display="http://twiplomacy.com/info/north-america/Saint-Lucia"/>
    <hyperlink ref="N424" r:id="rId1467" display="https://twitter.com/SaintLuciaGov/statuses/424199279863795712"/>
    <hyperlink ref="E679" r:id="rId1468"/>
    <hyperlink ref="N679" r:id="rId1469"/>
    <hyperlink ref="S679" r:id="rId1470"/>
    <hyperlink ref="E732" r:id="rId1471"/>
    <hyperlink ref="N732" r:id="rId1472"/>
    <hyperlink ref="S732" r:id="rId1473"/>
    <hyperlink ref="N655" r:id="rId1474"/>
    <hyperlink ref="E577" r:id="rId1475" display="http://twiplomacy.com/info/north-america/Trinidad-and-Tobago"/>
    <hyperlink ref="S577" r:id="rId1476"/>
    <hyperlink ref="E519" r:id="rId1477" display="http://twiplomacy.com/info/north-america/Trinidad-and-Tobago"/>
    <hyperlink ref="N519" r:id="rId1478" display="https://twitter.com/mfagovtt/statuses/16493684554"/>
    <hyperlink ref="E65" r:id="rId1479" display="http://twiplomacy.com/info/north-america/United-States"/>
    <hyperlink ref="N65" r:id="rId1480" display="https://twitter.com/barackobama/statuses/44240662"/>
    <hyperlink ref="O65" r:id="rId1481" display="https://twitter.com/BarackObama/status/266031293945503744"/>
    <hyperlink ref="S65" r:id="rId1482" display="https://twitter.com/BarackObama/lists"/>
    <hyperlink ref="E608" r:id="rId1483" display="http://twiplomacy.com/info/north-america/United-States"/>
    <hyperlink ref="S608" r:id="rId1484"/>
    <hyperlink ref="E30" r:id="rId1485" display="http://twiplomacy.com/info/north-america/United-States"/>
    <hyperlink ref="N30" r:id="rId1486" location="!/whitehouse/statuses/1670203165" display="https://twitter.com/ - !/whitehouse/statuses/1670203165"/>
    <hyperlink ref="S30" r:id="rId1487" display="https://twitter.com/WhiteHouse/lists"/>
    <hyperlink ref="E470" r:id="rId1488" display="http://twiplomacy.com/info/north-america/United-States"/>
    <hyperlink ref="N470" r:id="rId1489" display="https://twitter.com/Cabinet/statuses/378166701130403840"/>
    <hyperlink ref="O470" r:id="rId1490" display="https://twitter.com/Cabinet/statuses/403593640519274497"/>
    <hyperlink ref="E364" r:id="rId1491" display="http://twiplomacy.com/info/north-america/United-States"/>
    <hyperlink ref="N364" r:id="rId1492" display="https://twitter.com/JohnKerry/status/1438540259"/>
    <hyperlink ref="E15" r:id="rId1493" display="http://twiplomacy.com/info/north-america/United-States"/>
    <hyperlink ref="N15" r:id="rId1494" display="https://twitter.com/StateDept/statuses/357664992"/>
    <hyperlink ref="S15" r:id="rId1495" display="https://twitter.com/StateDept/lists"/>
    <hyperlink ref="E217" r:id="rId1496" display="http://twiplomacy.com/info/north-america/United-States"/>
    <hyperlink ref="N217" r:id="rId1497" display="https://twitter.com/USAdarFarsi/statuses/36899553479364608"/>
    <hyperlink ref="E237" r:id="rId1498" display="http://twiplomacy.com/info/north-america/United-States"/>
    <hyperlink ref="N237" r:id="rId1499" display="https://twitter.com/EconEngage/status/9281087838625792"/>
    <hyperlink ref="O237" r:id="rId1500" display="https://twitter.com/EconEngage/statuses/215281208693760004"/>
    <hyperlink ref="S237" r:id="rId1501" display="https://twitter.com/EconEngage/lists"/>
    <hyperlink ref="E211" r:id="rId1502" display="http://twiplomacy.com/info/north-america/United-States"/>
    <hyperlink ref="N211" r:id="rId1503" display="https://twitter.com/lacasablanca/statuses/4843171998"/>
    <hyperlink ref="S211" r:id="rId1504" display="https://twitter.com/lacasablanca/lists"/>
    <hyperlink ref="E232" r:id="rId1505" display="http://twiplomacy.com/info/north-america/United-States"/>
    <hyperlink ref="N232" r:id="rId1506" display="https://twitter.com/StateDeptLive/status/273864296105123842"/>
    <hyperlink ref="S232" r:id="rId1507" display="https://twitter.com/StateDeptLive/lists"/>
    <hyperlink ref="E53" r:id="rId1508" display="http://twiplomacy.com/info/north-america/United-States"/>
    <hyperlink ref="N53" r:id="rId1509" display="https://twitter.com/USAemPortugues/statuses/47733781511155713"/>
    <hyperlink ref="E84" r:id="rId1510" display="http://twiplomacy.com/info/north-america/United-States"/>
    <hyperlink ref="N84" r:id="rId1511" display="https://twitter.com/USAenEspanol/statuses/38346760397000704"/>
    <hyperlink ref="E225" r:id="rId1512" display="http://twiplomacy.com/info/north-america/United-States"/>
    <hyperlink ref="N225" r:id="rId1513" display="https://twitter.com/USAenFrancais/statuses/38526126905229312"/>
    <hyperlink ref="E330" r:id="rId1514" display="http://twiplomacy.com/info/north-america/United-States"/>
    <hyperlink ref="N330" r:id="rId1515" display="https://twitter.com/USAHindiMein/statuses/38198482007228417"/>
    <hyperlink ref="E492" r:id="rId1516" display="http://twiplomacy.com/info/north-america/United-States"/>
    <hyperlink ref="N492" r:id="rId1517" display="https://twitter.com/USA_Zhongwen/statuses/40306239774662656"/>
    <hyperlink ref="E269" r:id="rId1518" display="http://twiplomacy.com/info/north-america/United-States"/>
    <hyperlink ref="N269" r:id="rId1519" display="https://twitter.com/USApoRusski/statuses/39989290742190080"/>
    <hyperlink ref="E405" r:id="rId1520" display="http://twiplomacy.com/info/north-america/United-States"/>
    <hyperlink ref="N405" r:id="rId1521" display="https://twitter.com/USAUrdu/statuses/48396822196125696"/>
    <hyperlink ref="E47" r:id="rId1522" display="http://twiplomacy.com/info/north-america/United-States"/>
    <hyperlink ref="N47" r:id="rId1523" display="https://twitter.com/USAbilAraby/statuses/35229519610773504"/>
    <hyperlink ref="S47" r:id="rId1524" display="https://twitter.com/USAbilAraby/lists"/>
    <hyperlink ref="E116" r:id="rId1525" display="http://twiplomacy.com/info/north-america/Australia"/>
    <hyperlink ref="S116" r:id="rId1526"/>
    <hyperlink ref="N160" r:id="rId1527" display="https://twitter.com/JulieBishopMP/statuses/5758734447"/>
    <hyperlink ref="N81" r:id="rId1528" display="https://twitter.com/dfat/statuses/55800679633129472"/>
    <hyperlink ref="S81" r:id="rId1529" display="https://twitter.com/dfat/lists"/>
    <hyperlink ref="V81" r:id="rId1530" display="https://twitter.com/dfat/dfat-on-twitter/members"/>
    <hyperlink ref="E429" r:id="rId1531" display="http://twiplomacy.com/info/oceania/Fiji"/>
    <hyperlink ref="N429" r:id="rId1532" display="https://twitter.com/FijiPM/statuses/130383485352419328"/>
    <hyperlink ref="E372" r:id="rId1533" display="http://twiplomacy.com/info/oceania/Fiji"/>
    <hyperlink ref="N372" r:id="rId1534" display="https://twitter.com/FijiRepublic/statuses/126528855040200705"/>
    <hyperlink ref="E285" r:id="rId1535" display="http://twiplomacy.com/info/oceania/Fiji"/>
    <hyperlink ref="N285" r:id="rId1536" display="https://twitter.com/InokeRatu/statuses/444587425277284352"/>
    <hyperlink ref="E652" r:id="rId1537" display="http://twiplomacy.com/info/oceania/Fiji"/>
    <hyperlink ref="N652" r:id="rId1538" display="https://twitter.com/MFAFiji/status/560908480920317952"/>
    <hyperlink ref="S652" r:id="rId1539" display="https://twitter.com/MFAFiji/lists"/>
    <hyperlink ref="E528" r:id="rId1540"/>
    <hyperlink ref="N528" r:id="rId1541"/>
    <hyperlink ref="S528" r:id="rId1542"/>
    <hyperlink ref="E272" r:id="rId1543" display="http://twiplomacy.com/info/oceania/New-Zealand"/>
    <hyperlink ref="N272" r:id="rId1544" display="https://twitter.com/johnkeypm/statuses/1542432530"/>
    <hyperlink ref="E737" r:id="rId1545" display="http://twiplomacy.com/info/oceania/New-Zealand"/>
    <hyperlink ref="N737" r:id="rId1546" display="https://twitter.com/murray_mccully/status/1657500431"/>
    <hyperlink ref="S737" r:id="rId1547" display="https://twitter.com/murray_mccully/lists"/>
    <hyperlink ref="E605" r:id="rId1548" display="http://twiplomacy.com/info/oceania/Palau"/>
    <hyperlink ref="N605" r:id="rId1549" display="https://twitter.com/TommyRemengesau/status/436374163947679744"/>
    <hyperlink ref="E476" r:id="rId1550" display="http://twiplomacy.com/info/oceania/Samoa"/>
    <hyperlink ref="N757" r:id="rId1551" display="https://twitter.com/MPMCTweeter/statuses/314565230745247745"/>
    <hyperlink ref="N476" r:id="rId1552" display="https://twitter.com/samoagovt/statuses/280491025766699008"/>
    <hyperlink ref="E701" r:id="rId1553" display="http://twiplomacy.com/info/oceania/Tonga"/>
    <hyperlink ref="E725" r:id="rId1554" display="http://twiplomacy.com/info/oceania/Tuvalu"/>
    <hyperlink ref="N725" r:id="rId1555" display="https://twitter.com/IakobaItaleli/status/546780522048159744"/>
    <hyperlink ref="S725" r:id="rId1556" display="https://twitter.com/IakobaItaleli/lists"/>
    <hyperlink ref="E685" r:id="rId1557" display="http://twiplomacy.com/info/oceania/Vanuatu"/>
    <hyperlink ref="N685" r:id="rId1558" display="https://twitter.com/govofvanuatu/statuses/6818767875084288"/>
    <hyperlink ref="E162" r:id="rId1559"/>
    <hyperlink ref="N162" r:id="rId1560"/>
    <hyperlink ref="S162" r:id="rId1561"/>
    <hyperlink ref="E524" r:id="rId1562" display="http://twiplomacy.com/info/south-america/Argentina"/>
    <hyperlink ref="E280" r:id="rId1563" display="http://twiplomacy.com/info/south-america/Argentina"/>
    <hyperlink ref="N280" r:id="rId1564"/>
    <hyperlink ref="E387" r:id="rId1565" display="http://twiplomacy.com/info/south-america/Bolivia"/>
    <hyperlink ref="S387" r:id="rId1566" display="https://twitter.com/MindeGobierno/lists"/>
    <hyperlink ref="E8" r:id="rId1567" display="http://twiplomacy.com/info/south-america/Bolivia"/>
    <hyperlink ref="N8" r:id="rId1568" display="https://twitter.com/mincombolivia/statuses/141165954523594753"/>
    <hyperlink ref="S8" r:id="rId1569" display="https://twitter.com/mincombolivia/lists"/>
    <hyperlink ref="V8" r:id="rId1570" display="https://twitter.com/mincombolivia/lists/embajadas-y-consulados/members"/>
    <hyperlink ref="E281" r:id="rId1571" display="http://twiplomacy.com/info/south-america/Brazil"/>
    <hyperlink ref="N281" r:id="rId1572" display="https://twitter.com/CasaCivilBR/statuses/361935873446653953"/>
    <hyperlink ref="S281" r:id="rId1573" display="https://twitter.com/casacivilbr/lists"/>
    <hyperlink ref="E92" r:id="rId1574" display="http://twiplomacy.com/info/south-america/Brazil"/>
    <hyperlink ref="N92" r:id="rId1575" display="https://twitter.com/imprensaPR/statuses/12897630650"/>
    <hyperlink ref="S92" r:id="rId1576" display="https://twitter.com/imprensaPR/lists"/>
    <hyperlink ref="E50" r:id="rId1577" display="http://twiplomacy.com/info/south-america/Brazil"/>
    <hyperlink ref="N50" r:id="rId1578" display="https://twitter.com/ItamaratyGovBr/statuses/2298675106"/>
    <hyperlink ref="S50" r:id="rId1579" display="https://twitter.com/ItamaratyGovBr/lists"/>
    <hyperlink ref="E201" r:id="rId1580" display="http://twiplomacy.com/info/south-america/Brazil"/>
    <hyperlink ref="N201" r:id="rId1581" display="https://twitter.com/BrazilGovNews/statuses/11249827079"/>
    <hyperlink ref="S201" r:id="rId1582" display="https://twitter.com/BrazilGovNews/lists"/>
    <hyperlink ref="E489" r:id="rId1583" display="http://twiplomacy.com/info/south-america/Brazil"/>
    <hyperlink ref="S489" r:id="rId1584" display="https://twitter.com/Itamaraty_EN/lists"/>
    <hyperlink ref="E352" r:id="rId1585" display="http://twiplomacy.com/info/south-america/Brazil"/>
    <hyperlink ref="N352" r:id="rId1586" display="https://twitter.com/luiz_figueiredo/status/525630783881768960"/>
    <hyperlink ref="S352" r:id="rId1587" display="https://twitter.com/Itamaraty_EN/lists"/>
    <hyperlink ref="E206" r:id="rId1588" display="http://twiplomacy.com/info/south-america/Chile"/>
    <hyperlink ref="N788" r:id="rId1589" display="https://twitter.com/PrensaMichelle/statuses/319918989033758720"/>
    <hyperlink ref="E27" r:id="rId1590" display="http://twiplomacy.com/info/south-america/Chile"/>
    <hyperlink ref="N27" r:id="rId1591" display="https://twitter.com/GobiernodeChile/statuses/1898561246"/>
    <hyperlink ref="O27" r:id="rId1592" display="https://twitter.com/GobiernodeChile/statuses/483373950513467392"/>
    <hyperlink ref="S27" r:id="rId1593" display="https://twitter.com/GobiernodeChile/lists"/>
    <hyperlink ref="E156" r:id="rId1594" display="http://twiplomacy.com/info/south-america/Chile"/>
    <hyperlink ref="N156" r:id="rId1595" display="https://twitter.com/HeraldoMunoz/statuses/45345237912133632"/>
    <hyperlink ref="S156" r:id="rId1596" display="https://twitter.com/HeraldoMunoz/lists"/>
    <hyperlink ref="E108" r:id="rId1597" display="http://twiplomacy.com/info/south-america/Chile"/>
    <hyperlink ref="N108" r:id="rId1598" display="https://twitter.com/Minrel_Chile/status/459399447273672704"/>
    <hyperlink ref="S108" r:id="rId1599" display="https://twitter.com/Minrel_Chile/lists"/>
    <hyperlink ref="E96" r:id="rId1600" display="http://twiplomacy.com/info/south-america/Colombia"/>
    <hyperlink ref="N96" r:id="rId1601" display="https://twitter.com/JuanManSantos/statuses/3253473433"/>
    <hyperlink ref="O96" r:id="rId1602" display="https://twitter.com/JuanManSantos/statuses/443892112082223104"/>
    <hyperlink ref="S96" r:id="rId1603" display="https://twitter.com/JuanManSantos/lists"/>
    <hyperlink ref="E9" r:id="rId1604" display="http://twiplomacy.com/info/south-america/Colombia"/>
    <hyperlink ref="N9" r:id="rId1605" display="https://twitter.com/infopresidencia/statuses/86940809328459776"/>
    <hyperlink ref="S9" r:id="rId1606" display="https://twitter.com/infopresidencia/lists"/>
    <hyperlink ref="E51" r:id="rId1607" display="http://twiplomacy.com/info/south-america/Colombia"/>
    <hyperlink ref="N51" r:id="rId1608" display="https://twitter.com/CancilleriaCol/statuses/108231508430561280"/>
    <hyperlink ref="E109" r:id="rId1609" display="http://twiplomacy.com/info/south-america/Ecuador"/>
    <hyperlink ref="N109" r:id="rId1610" display="https://twitter.com/mashirafael/statuses/97076030212288512"/>
    <hyperlink ref="E20" r:id="rId1611" display="http://twiplomacy.com/info/south-america/Ecuador"/>
    <hyperlink ref="N20" r:id="rId1612" display="https://twitter.com/Presidencia_Ec/statuses/7449530557"/>
    <hyperlink ref="E19" r:id="rId1613" display="http://twiplomacy.com/info/south-america/Ecuador"/>
    <hyperlink ref="N19" r:id="rId1614" display="https://twitter.com/CancilleriaEc/statuses/1723047186792450"/>
    <hyperlink ref="S19" r:id="rId1615" display="https://twitter.com/CancilleriaEc/lists"/>
    <hyperlink ref="V19" r:id="rId1616" display="https://twitter.com/CancilleriaEc/embajadas-de-ecuador/members"/>
    <hyperlink ref="E457" r:id="rId1617"/>
    <hyperlink ref="N457" r:id="rId1618"/>
    <hyperlink ref="S457" r:id="rId1619"/>
    <hyperlink ref="E706" r:id="rId1620"/>
    <hyperlink ref="N706" r:id="rId1621"/>
    <hyperlink ref="S706" r:id="rId1622"/>
    <hyperlink ref="E464" r:id="rId1623"/>
    <hyperlink ref="N464" r:id="rId1624"/>
    <hyperlink ref="S464" r:id="rId1625"/>
    <hyperlink ref="E629" r:id="rId1626"/>
    <hyperlink ref="N629" r:id="rId1627"/>
    <hyperlink ref="S629" r:id="rId1628"/>
    <hyperlink ref="E107" r:id="rId1629" display="http://twiplomacy.com/info/south-america/Paraguay"/>
    <hyperlink ref="N107" r:id="rId1630" display="https://twitter.com/Horacio_Cartes/statuses/106457364307259393"/>
    <hyperlink ref="E79" r:id="rId1631" display="http://twiplomacy.com/info/south-america/Paraguay"/>
    <hyperlink ref="N79" r:id="rId1632" display="https://twitter.com/PresidenciaPy/statuses/4962589016588288"/>
    <hyperlink ref="E499" r:id="rId1633" display="http://twiplomacy.com/info/south-america/Paraguay"/>
    <hyperlink ref="N499" r:id="rId1634" display="https://twitter.com/mreparaguay/statuses/231402456947515392"/>
    <hyperlink ref="E208" r:id="rId1635" display="http://twiplomacy.com/info/south-america/Paraguay"/>
    <hyperlink ref="N208" r:id="rId1636" display="https://twitter.com/PrensaHC/statuses/208200350560288768"/>
    <hyperlink ref="N490" r:id="rId1637" display="https://twitter.com/Ollanta_HumalaT/statuses/15295318521"/>
    <hyperlink ref="E18" r:id="rId1638" display="http://twiplomacy.com/info/south-america/Peru"/>
    <hyperlink ref="N18" r:id="rId1639" display="https://twitter.com/prensapalacio/statuses/10386691825"/>
    <hyperlink ref="O18" r:id="rId1640" display="https://twitter.com/prensapalacio/statuses/449392220454404096"/>
    <hyperlink ref="S18" r:id="rId1641" display="https://twitter.com/prensapalacio/lists"/>
    <hyperlink ref="E31" r:id="rId1642" display="http://twiplomacy.com/info/south-america/Peru"/>
    <hyperlink ref="N31" r:id="rId1643" display="https://twitter.com/pcmperu/statuses/20996198569"/>
    <hyperlink ref="S31" r:id="rId1644" display="https://twitter.com/pcmperu/lists"/>
    <hyperlink ref="E32" r:id="rId1645" display="http://twiplomacy.com/info/south-america/Peru"/>
    <hyperlink ref="N32" r:id="rId1646" display="https://twitter.com/CancilleriaPeru/statuses/11674423529"/>
    <hyperlink ref="O32" r:id="rId1647" display="https://twitter.com/CancilleriaPeru/statuses/427843615964946432"/>
    <hyperlink ref="S32" r:id="rId1648" display="https://twitter.com/CancilleriaPeru/lists"/>
    <hyperlink ref="V32" r:id="rId1649" display="https://twitter.com/CancilleriaPeru/lists/misiones-diplom%C3%A1ticas"/>
    <hyperlink ref="N730" r:id="rId1650" display="https://twitter.com/Bouterse2015/status/573194897156673536"/>
    <hyperlink ref="S730" r:id="rId1651" display="https://twitter.com/Bouterse2015/lists"/>
    <hyperlink ref="E35" r:id="rId1652" display="http://twiplomacy.com/info/south-america/Uruguay"/>
    <hyperlink ref="N35" r:id="rId1653" display="https://twitter.com/SCpresidenciauy/statuses/121180717467185152"/>
    <hyperlink ref="S35" r:id="rId1654" display="https://twitter.com/SCpresidenciauy/lists"/>
    <hyperlink ref="E459" r:id="rId1655"/>
    <hyperlink ref="N459" r:id="rId1656"/>
    <hyperlink ref="S459" r:id="rId1657"/>
    <hyperlink ref="E758" r:id="rId1658" display="http://twiplomacy.com/info/south-america/Uruguay"/>
    <hyperlink ref="N758" r:id="rId1659" display="https://twitter.com/TabareVazquez/status/1360820300"/>
    <hyperlink ref="S758" r:id="rId1660" display="https://twitter.com/TabareVazquez/lists"/>
    <hyperlink ref="E12" r:id="rId1661" display="http://twiplomacy.com/info/south-america/Venezuela"/>
    <hyperlink ref="N12" r:id="rId1662" display="https://twitter.com/NicolasMaduro/statuses/313333471609249793"/>
    <hyperlink ref="O12" r:id="rId1663" display="https://twitter.com/NicolasMaduro/status/326915843101450240"/>
    <hyperlink ref="E5" r:id="rId1664" display="http://twiplomacy.com/info/south-america/Venezuela"/>
    <hyperlink ref="N5" r:id="rId1665" display="https://twitter.com/PresidencialVen/statuses/13160569150"/>
    <hyperlink ref="E26" r:id="rId1666" display="http://twiplomacy.com/info/south-america/Venezuela"/>
    <hyperlink ref="N26" r:id="rId1667" display="https://twitter.com/DrodriguezVen/status/363889432094457857"/>
    <hyperlink ref="O26" r:id="rId1668" display="https://twitter.com/DrodriguezVen/statuses/518853139597103104"/>
    <hyperlink ref="S26" r:id="rId1669" display="https://twitter.com/DrodriguezVen/lists"/>
    <hyperlink ref="E6" r:id="rId1670" display="http://twiplomacy.com/info/south-america/Venezuela"/>
    <hyperlink ref="N6" r:id="rId1671" display="https://twitter.com/vencancilleria/statuses/22844780572"/>
    <hyperlink ref="E16" r:id="rId1672" display="http://twiplomacy.com/info/south-america/Venezuela"/>
    <hyperlink ref="N16" r:id="rId1673" display="https://twitter.com/maduro_en/statuses/373194128160739328"/>
    <hyperlink ref="E14" r:id="rId1674" display="http://twiplomacy.com/info/south-america/Venezuela"/>
    <hyperlink ref="N14" r:id="rId1675" display="https://twitter.com/maduro_pt/statuses/374563913800876032"/>
    <hyperlink ref="O14" r:id="rId1676" display="https://twitter.com/maduro_pt/statuses/521476162816864258"/>
    <hyperlink ref="E17" r:id="rId1677" display="http://twiplomacy.com/info/south-america/Venezuela"/>
    <hyperlink ref="N17" r:id="rId1678" display="https://twitter.com/maduro_fr/statuses/373188005177356288"/>
    <hyperlink ref="O17" r:id="rId1679" display="https://twitter.com/maduro_fr/statuses/449706629257502721"/>
    <hyperlink ref="E72" r:id="rId1680" display="http://twiplomacy.com/info/south-america/Venezuela"/>
    <hyperlink ref="N72" r:id="rId1681" display="https://twitter.com/maduro_ar/statuses/374557780956708864"/>
    <hyperlink ref="E248" r:id="rId1682" display="http://twiplomacy.com/info/south-america/Venezuela"/>
    <hyperlink ref="N248" r:id="rId1683" display="https://twitter.com/maduro_cmn/statuses/380047709597888512"/>
    <hyperlink ref="E250" r:id="rId1684" display="http://twiplomacy.com/info/south-america/Venezuela"/>
    <hyperlink ref="N250" r:id="rId1685" display="https://twitter.com/maduro_zh/statuses/380907083212021760"/>
    <hyperlink ref="E789" r:id="rId1686" display="http://twiplomacy.com/info/south-america/Venezuela"/>
    <hyperlink ref="E792" r:id="rId1687" display="http://twiplomacy.com/info/south-america/Venezuela"/>
    <hyperlink ref="E791" r:id="rId1688" display="http://twiplomacy.com/info/south-america/Venezuela"/>
    <hyperlink ref="E795" r:id="rId1689" display="http://twiplomacy.com/info/south-america/Venezuela"/>
    <hyperlink ref="E794" r:id="rId1690" display="http://twiplomacy.com/info/south-america/Venezuela"/>
    <hyperlink ref="E790" r:id="rId1691" display="http://twiplomacy.com/info/south-america/Venezuela"/>
    <hyperlink ref="E687" r:id="rId1692" display="http://twiplomacy.com/info/south-america/Venezuela"/>
    <hyperlink ref="E793" r:id="rId1693" display="http://twiplomacy.com/info/south-america/Venezuela"/>
    <hyperlink ref="E622" r:id="rId1694" display="http://twiplomacy.com/info/africa/Djibouti"/>
    <hyperlink ref="N712" r:id="rId1695" display="https://twitter.com/CathySambaPanza/status/434638990474354690"/>
    <hyperlink ref="S712" r:id="rId1696" display="https://twitter.com/CathySambaPanza/lists"/>
    <hyperlink ref="E437" r:id="rId1697" display="http://twiplomacy.com/info/asia/japan/"/>
    <hyperlink ref="N437" r:id="rId1698" display="https://twitter.com/AbeShinzo/statuses/170454779317854208"/>
    <hyperlink ref="E579" r:id="rId1699"/>
    <hyperlink ref="N579" r:id="rId1700"/>
    <hyperlink ref="S579" r:id="rId1701"/>
    <hyperlink ref="E753" r:id="rId1702" display="http://twiplomacy.com/info/africa/Benin"/>
    <hyperlink ref="S753" r:id="rId1703" display="https://twitter.com/BeninMae/lists"/>
    <hyperlink ref="E606" r:id="rId1704" display="http://twiplomacy.com/info/africa/Burkina-Faso"/>
    <hyperlink ref="S606" r:id="rId1705" display="https://twitter.com/MichelKafando/lists"/>
    <hyperlink ref="E621" r:id="rId1706" display="http://twiplomacy.com/info/africa/Benin"/>
    <hyperlink ref="S621" r:id="rId1707"/>
    <hyperlink ref="E745" r:id="rId1708" display="http://twiplomacy.com/info/europe/Slovakia"/>
    <hyperlink ref="N745" r:id="rId1709" display="https://twitter.com/RobertFico/statuses/6345893241"/>
    <hyperlink ref="N728" r:id="rId1710" display="https://twitter.com/Gouvrdcongo/status/270410415064883200"/>
    <hyperlink ref="S728" r:id="rId1711" display="https://twitter.com/Gouvrdcongo/lists"/>
    <hyperlink ref="N723" r:id="rId1712" display="https://twitter.com/RepdemCongo/status/241491536997662720"/>
    <hyperlink ref="S723" r:id="rId1713" display="https://twitter.com/RepdemCongo/lists"/>
    <hyperlink ref="E714" r:id="rId1714" display="http://twiplomacy.com/info/africa/Djibouti"/>
    <hyperlink ref="S714" r:id="rId1715" display="https://twitter.com/Secradjib/lists"/>
    <hyperlink ref="E680" r:id="rId1716" display="http://twiplomacy.com/info/africa/Ghana"/>
    <hyperlink ref="N680" r:id="rId1717" display="https://twitter.com/osucastle/statuses/2182232446"/>
    <hyperlink ref="E720" r:id="rId1718" display="http://twiplomacy.com/info/africa/Ivory-Coast"/>
    <hyperlink ref="N720" r:id="rId1719" display="https://twitter.com/primatureci/statuses/272021017730363392"/>
    <hyperlink ref="E667" r:id="rId1720" display="http://twiplomacy.com/info/africa/Kenya"/>
    <hyperlink ref="E769" r:id="rId1721" display="http://twiplomacy.com/info/africa/South-Africa"/>
    <hyperlink ref="N711" r:id="rId1722" display="https://twitter.com/gov_tunisie/status/545582285786214403"/>
    <hyperlink ref="S711" r:id="rId1723" display="https://twitter.com/gov_tunisie/lists"/>
    <hyperlink ref="E772" r:id="rId1724" display="http://twiplomacy.com/info/asia/Armenia"/>
    <hyperlink ref="E640" r:id="rId1725" display="http://twiplomacy.com/info/asia/Georgia"/>
    <hyperlink ref="N640" r:id="rId1726" display="https://twitter.com/govtofgeorgia/statuses/1464314026"/>
    <hyperlink ref="E774" r:id="rId1727" display="http://twiplomacy.com/info/asia/Georgia"/>
    <hyperlink ref="E776" r:id="rId1728" display="http://twiplomacy.com/info/asia/Iraq"/>
    <hyperlink ref="E735" r:id="rId1729" display="http://twiplomacy.com/info/asia/Iraq"/>
    <hyperlink ref="N735" r:id="rId1730" display="https://twitter.com/IEmbassy/statuses/312234041715871744"/>
    <hyperlink ref="E688" r:id="rId1731" display="http://twiplomacy.com/info/asia/Kazakhstan"/>
    <hyperlink ref="N688" r:id="rId1732" display="https://twitter.com/eng_pm_kz/statuses/123980063803850752"/>
    <hyperlink ref="E689" r:id="rId1733" display="http://twiplomacy.com/info/asia/Kazakhstan"/>
    <hyperlink ref="N689" r:id="rId1734" display="https://twitter.com/kaz_pm_kz/statuses/123972074975924224"/>
    <hyperlink ref="E778" r:id="rId1735" display="http://twiplomacy.com/info/asia/Malaysia"/>
    <hyperlink ref="E681" r:id="rId1736" display="http://twiplomacy.com/info/asia/Maldives"/>
    <hyperlink ref="N681" r:id="rId1737" display="https://twitter.com/Hilaaleege/statuses/11183823113"/>
    <hyperlink ref="E699" r:id="rId1738" display="http://twiplomacy.com/info/asia/Maldives"/>
    <hyperlink ref="N699" r:id="rId1739" display="https://twitter.com/foreignMV/statuses/239238197786337280"/>
    <hyperlink ref="E654" r:id="rId1740" display="http://twiplomacy.com/info/asia/Maldives"/>
    <hyperlink ref="N654" r:id="rId1741" display="https://twitter.com/MaldivesPO/statuses/207936076931805184"/>
    <hyperlink ref="E779" r:id="rId1742" display="http://twiplomacy.com/info/asia/Maldives"/>
    <hyperlink ref="E646" r:id="rId1743" display="http://twiplomacy.com/info/asia/Qatar"/>
    <hyperlink ref="N646" r:id="rId1744" display="https://twitter.com/QaTaR_/statuses/167619154386485248"/>
    <hyperlink ref="E705" r:id="rId1745" display="http://twiplomacy.com/info/africa/Seychelles"/>
    <hyperlink ref="N705" r:id="rId1746" display="https://twitter.com/CHOGMSriLanka/statuses/349748748924104704"/>
    <hyperlink ref="E674" r:id="rId1747" display="http://twiplomacy.com/info/asia/Thailand"/>
    <hyperlink ref="N674" r:id="rId1748" display="https://twitter.com/MFAThai_Pol/statuses/12984719720"/>
    <hyperlink ref="E781" r:id="rId1749" display="http://twiplomacy.com/info/asia/Thailand"/>
    <hyperlink ref="E592" r:id="rId1750" display="http://twiplomacy.com/info/asia/United-Arab-Emirates"/>
    <hyperlink ref="N592" r:id="rId1751" display="https://twitter.com/DubaiPoliceHQ/statuses/127969080933224449"/>
    <hyperlink ref="O592" r:id="rId1752" display="https://twitter.com/UAEGover/statuses/171904082632638464"/>
    <hyperlink ref="E782" r:id="rId1753" display="http://twiplomacy.com/info/asia/United-Arab-Emirates"/>
    <hyperlink ref="N376" r:id="rId1754" display="https://twitter.com/eGovMalta/status/100523593691181057"/>
    <hyperlink ref="S376" r:id="rId1755" display="https://twitter.com/eGovMalta/lists"/>
    <hyperlink ref="E466" r:id="rId1756" display="http://twiplomacy.com/info/europe/Netherlands"/>
    <hyperlink ref="N466" r:id="rId1757" display="https://twitter.com/Regering/statuses/867859246"/>
    <hyperlink ref="E613" r:id="rId1758" display="http://twiplomacy.com/info/europe/Ukraine"/>
    <hyperlink ref="N613" r:id="rId1759" display="https://twitter.com/PresidentUA/statuses/39277072409038848"/>
    <hyperlink ref="E568" r:id="rId1760" display="http://twiplomacy.com/info/north-america/Costa-Rica"/>
    <hyperlink ref="N568" r:id="rId1761" display="https://twitter.com/presidenciacr/statuses/91325683204239360"/>
    <hyperlink ref="E765" r:id="rId1762" display="http://twiplomacy.com/info/north-america/Haiti"/>
    <hyperlink ref="N765" r:id="rId1763" display="https://twitter.com/palaisnational/statuses/65774906880704512"/>
    <hyperlink ref="E659" r:id="rId1764" display="http://twiplomacy.com/info/north-america/Haiti"/>
    <hyperlink ref="N659" r:id="rId1765" display="https://twitter.com/LaurentLamothe/statuses/434621843069485056"/>
    <hyperlink ref="V659" r:id="rId1766" display="https://twitter.com/MAE_Haiti/lists/foreign-affairs-of-haiti"/>
    <hyperlink ref="E595" r:id="rId1767" display="http://twiplomacy.com/info/north-america/Honduras"/>
    <hyperlink ref="N595" r:id="rId1768" display="https://twitter.com/PresidenciadeHN/statuses/19863821122"/>
    <hyperlink ref="E139" r:id="rId1769" display="http://twiplomacy.com/info/north-america/Nicaragua"/>
    <hyperlink ref="N139" r:id="rId1770" display="https://twitter.com/EPP_Nicaragua/status/381541200689246209"/>
    <hyperlink ref="S139" r:id="rId1771" display="https://twitter.com/EPP_Nicaragua/lists"/>
    <hyperlink ref="E498" r:id="rId1772" display="http://twiplomacy.com/info/oceania/Fiji"/>
    <hyperlink ref="N498" r:id="rId1773" display="https://twitter.com/FijiMFA/statuses/38509569344933888"/>
    <hyperlink ref="E696" r:id="rId1774" display="http://twiplomacy.com/info/oceania/Fiji"/>
    <hyperlink ref="N696" r:id="rId1775" display="https://twitter.com/NZRugbyHeaven/statuses/68544704337281024"/>
    <hyperlink ref="D202" r:id="rId1776" display="https://twitter.com/Ukenyatta"/>
    <hyperlink ref="D239" r:id="rId1777" display="https://twitter.com/RashtrapatiBhvn"/>
    <hyperlink ref="D184" r:id="rId1778" display="https://twitter.com/IsraeliPM"/>
    <hyperlink ref="D94" r:id="rId1779" display="https://twitter.com/IsraelMFA"/>
    <hyperlink ref="D34" r:id="rId1780" display="https://twitter.com/Israel"/>
    <hyperlink ref="D262" r:id="rId1781" display="https://twitter.com/CharlesMichel"/>
    <hyperlink ref="D11" r:id="rId1782" display="https://twitter.com/VladaRH"/>
    <hyperlink ref="D331" r:id="rId1783" display="https://twitter.com/EUCouncil"/>
    <hyperlink ref="D428" r:id="rId1784" display="https://twitter.com/JunckerEU"/>
    <hyperlink ref="D40" r:id="rId1785" display="https://twitter.com/EU_Commission"/>
    <hyperlink ref="D61" r:id="rId1786" display="https://twitter.com/eu_eeas"/>
    <hyperlink ref="D229" r:id="rId1787" display="https://twitter.com/fhollande"/>
    <hyperlink ref="D57" r:id="rId1788" display="https://twitter.com/Elysee"/>
    <hyperlink ref="D451" r:id="rId1789" display="https://twitter.com/manuelvalls"/>
    <hyperlink ref="D55" r:id="rId1790" display="https://twitter.com/fil_gouv"/>
    <hyperlink ref="D36" r:id="rId1791" display="https://twitter.com/francediplo"/>
    <hyperlink ref="D246" r:id="rId1792" display="https://twitter.com/Matignon"/>
    <hyperlink ref="D91" r:id="rId1793" display="https://twitter.com/AuswaertigesAmt"/>
    <hyperlink ref="D131" r:id="rId1794" display="https://twitter.com/GermanyDiplo"/>
    <hyperlink ref="D559" r:id="rId1795" display="https://twitter.com/EndaKennyTD"/>
    <hyperlink ref="D97" r:id="rId1796" display="https://twitter.com/merrionstreet"/>
    <hyperlink ref="D172" r:id="rId1797" display="https://twitter.com/LithuaniaMFA"/>
    <hyperlink ref="D178" r:id="rId1798" display="https://twitter.com/GvtMonaco"/>
    <hyperlink ref="D344" r:id="rId1799" display="https://twitter.com/GovMonaco"/>
    <hyperlink ref="D353" r:id="rId1800" display="https://twitter.com/VladaCG"/>
    <hyperlink ref="D438" r:id="rId1801" display="https://twitter.com/MedvedevRussia"/>
    <hyperlink ref="D22" r:id="rId1802" display="https://twitter.com/MFA_Ukraine"/>
    <hyperlink ref="D37" r:id="rId1803"/>
    <hyperlink ref="D341" r:id="rId1804" display="https://twitter.com/David_Cameron"/>
    <hyperlink ref="D105" r:id="rId1805" display="https://twitter.com/Number10gov"/>
    <hyperlink ref="D28" r:id="rId1806" display="https://twitter.com/foreignoffice"/>
    <hyperlink ref="D54" r:id="rId1807" display="https://twitter.com/luisguillermosr"/>
    <hyperlink ref="D21" r:id="rId1808" display="https://twitter.com/presidenciacr"/>
    <hyperlink ref="D4" r:id="rId1809" display="https://twitter.com/PresidenciaRD"/>
    <hyperlink ref="D3" r:id="rId1810" display="https://twitter.com/PresidenciaMX"/>
    <hyperlink ref="D88" r:id="rId1811" display="https://twitter.com/JC_Varela"/>
    <hyperlink ref="D30" r:id="rId1812" display="https://twitter.com/WhiteHouse"/>
    <hyperlink ref="D364" r:id="rId1813" display="https://twitter.com/JohnKerry"/>
    <hyperlink ref="D27" r:id="rId1814" display="https://twitter.com/GobiernodeChile"/>
    <hyperlink ref="D19" r:id="rId1815" display="https://twitter.com/CancilleriaEc"/>
    <hyperlink ref="D18" r:id="rId1816" display="https://twitter.com/prensapalacio"/>
    <hyperlink ref="D31" r:id="rId1817" display="https://twitter.com/pcmperu"/>
    <hyperlink ref="D5" r:id="rId1818" display="https://twitter.com/PresidencialVen"/>
    <hyperlink ref="E630" r:id="rId1819" display="http://twiplomacy.com/info/asia/Georgia"/>
    <hyperlink ref="S524" r:id="rId1820"/>
    <hyperlink ref="S602" r:id="rId1821"/>
    <hyperlink ref="N602" r:id="rId1822"/>
    <hyperlink ref="N630" r:id="rId1823"/>
    <hyperlink ref="S630" r:id="rId1824"/>
    <hyperlink ref="S589" r:id="rId1825"/>
    <hyperlink ref="N589" r:id="rId1826"/>
    <hyperlink ref="E589" r:id="rId1827"/>
    <hyperlink ref="E673" r:id="rId1828"/>
    <hyperlink ref="D577" r:id="rId1829"/>
    <hyperlink ref="D459" r:id="rId1830"/>
    <hyperlink ref="D528" r:id="rId1831"/>
    <hyperlink ref="D764" r:id="rId1832"/>
    <hyperlink ref="D513" r:id="rId1833"/>
    <hyperlink ref="D673" r:id="rId1834"/>
    <hyperlink ref="D625" r:id="rId1835"/>
    <hyperlink ref="D567" r:id="rId1836"/>
    <hyperlink ref="D598" r:id="rId1837"/>
    <hyperlink ref="D544" r:id="rId1838"/>
    <hyperlink ref="D563" r:id="rId1839"/>
    <hyperlink ref="D457" r:id="rId1840"/>
    <hyperlink ref="D514" r:id="rId1841"/>
    <hyperlink ref="D477" r:id="rId1842"/>
    <hyperlink ref="D607" r:id="rId1843"/>
    <hyperlink ref="D266" r:id="rId1844"/>
    <hyperlink ref="D508" r:id="rId1845"/>
    <hyperlink ref="D773" r:id="rId1846"/>
    <hyperlink ref="D589" r:id="rId1847"/>
    <hyperlink ref="D630" r:id="rId1848"/>
    <hyperlink ref="D696" r:id="rId1849" display="https://twitter.com/FijiGovernment"/>
    <hyperlink ref="D498" r:id="rId1850" display="https://twitter.com/FijiMFA"/>
    <hyperlink ref="D139" r:id="rId1851" display="https://twitter.com/EPP_Nicaragua"/>
    <hyperlink ref="D595" r:id="rId1852" display="https://twitter.com/PresidenciadeHN"/>
    <hyperlink ref="D659" r:id="rId1853" display="https://twitter.com/MAE_Haiti"/>
    <hyperlink ref="D765" r:id="rId1854" display="https://twitter.com/palaisnational"/>
    <hyperlink ref="D568" r:id="rId1855" display="https://twitter.com/cancilleriacrc"/>
    <hyperlink ref="D613" r:id="rId1856" display="https://twitter.com/PresidentUA"/>
    <hyperlink ref="D466" r:id="rId1857" display="https://twitter.com/Regering"/>
    <hyperlink ref="D376" r:id="rId1858" display="https://twitter.com/eGovMalta"/>
    <hyperlink ref="D782" r:id="rId1859" display="https://twitter.com/mofa_uae"/>
    <hyperlink ref="D592" r:id="rId1860" display="https://twitter.com/UAEGover"/>
    <hyperlink ref="D781" r:id="rId1861" display="https://twitter.com/th_mfa"/>
    <hyperlink ref="D674" r:id="rId1862" display="https://twitter.com/MFAThai_Pol"/>
    <hyperlink ref="D705" r:id="rId1863" display="https://twitter.com/CabinetSL"/>
    <hyperlink ref="D646" r:id="rId1864" display="https://twitter.com/QaTaR_"/>
    <hyperlink ref="D779" r:id="rId1865" display="https://twitter.com/dunyamaumoon"/>
    <hyperlink ref="D654" r:id="rId1866" display="https://twitter.com/MaldivesPO"/>
    <hyperlink ref="D699" r:id="rId1867" display="https://twitter.com/foreignMV"/>
    <hyperlink ref="D681" r:id="rId1868" display="https://twitter.com/Hilaaleege"/>
    <hyperlink ref="D778" r:id="rId1869" display="https://twitter.com/Anifah_myg"/>
    <hyperlink ref="D689" r:id="rId1870" display="https://twitter.com/kaz_pm_kz"/>
    <hyperlink ref="D688" r:id="rId1871" display="https://twitter.com/eng_pm_kz"/>
    <hyperlink ref="D735" r:id="rId1872" display="https://twitter.com/Iembassy"/>
    <hyperlink ref="D776" r:id="rId1873" display="https://twitter.com/MFAIraq"/>
    <hyperlink ref="D774" r:id="rId1874" display="https://twitter.com/GeorgianGovernm"/>
    <hyperlink ref="D640" r:id="rId1875" display="https://twitter.com/govtofgeorgia"/>
    <hyperlink ref="D772" r:id="rId1876" display="https://twitter.com/press_president"/>
    <hyperlink ref="D711" r:id="rId1877" display="https://twitter.com/gov_tunisie"/>
    <hyperlink ref="D769" r:id="rId1878" display="https://twitter.com/theDIRCO"/>
    <hyperlink ref="D667" r:id="rId1879" display="https://twitter.com/mfapresskenya"/>
    <hyperlink ref="D720" r:id="rId1880" display="https://twitter.com/primatureci"/>
    <hyperlink ref="D680" r:id="rId1881" display="https://twitter.com/osucastle"/>
    <hyperlink ref="D714" r:id="rId1882" display="https://twitter.com/Secradjib"/>
    <hyperlink ref="D723" r:id="rId1883" display="https://twitter.com/RepdemCongo"/>
    <hyperlink ref="D728" r:id="rId1884" display="https://twitter.com/Gouvrdcongo"/>
    <hyperlink ref="D745" r:id="rId1885" display="https://twitter.com/RobertFico"/>
    <hyperlink ref="D621" r:id="rId1886"/>
    <hyperlink ref="D606" r:id="rId1887" display="https://twitter.com/MichelKafando"/>
    <hyperlink ref="D753" r:id="rId1888" display="https://twitter.com/BeninMae"/>
    <hyperlink ref="D579" r:id="rId1889"/>
    <hyperlink ref="D437" r:id="rId1890" display="https://twitter.com/AbeShinzo"/>
    <hyperlink ref="D712" r:id="rId1891" display="https://twitter.com/CathySambaPanza"/>
    <hyperlink ref="D793" r:id="rId1892" display="https://twitter.com/maduro_it"/>
    <hyperlink ref="D687" r:id="rId1893" display="https://twitter.com/maduro_ru"/>
    <hyperlink ref="D790" r:id="rId1894" display="https://twitter.com/maduro_cn"/>
    <hyperlink ref="D794" r:id="rId1895" display="https://twitter.com/maduro_ja"/>
    <hyperlink ref="D795" r:id="rId1896" display="https://twitter.com/maduro_pl"/>
    <hyperlink ref="D791" r:id="rId1897" display="https://twitter.com/maduro_de"/>
    <hyperlink ref="D792" r:id="rId1898" display="https://twitter.com/maduro_hi"/>
    <hyperlink ref="D789" r:id="rId1899" display="https://twitter.com/maduro_be"/>
    <hyperlink ref="D250" r:id="rId1900" display="https://twitter.com/maduro_zh"/>
    <hyperlink ref="D248" r:id="rId1901" display="https://twitter.com/maduro_cmn"/>
    <hyperlink ref="D72" r:id="rId1902" display="https://twitter.com/maduro_ar"/>
    <hyperlink ref="D17" r:id="rId1903" display="https://twitter.com/maduro_fr"/>
    <hyperlink ref="D14" r:id="rId1904" display="https://twitter.com/maduro_pt"/>
    <hyperlink ref="D16" r:id="rId1905" display="https://twitter.com/maduro_en"/>
    <hyperlink ref="D6" r:id="rId1906" display="https://twitter.com/vencancilleria"/>
    <hyperlink ref="D26" r:id="rId1907" display="https://twitter.com/DrodriguezVen"/>
    <hyperlink ref="D12" r:id="rId1908" display="https://twitter.com/NicolasMaduro"/>
    <hyperlink ref="D758" r:id="rId1909" display="https://twitter.com/TabareVazquez"/>
    <hyperlink ref="D35" r:id="rId1910" display="https://twitter.com/Scpresidenciauy"/>
    <hyperlink ref="D730" r:id="rId1911" display="https://twitter.com/Bouterse2015"/>
    <hyperlink ref="D32" r:id="rId1912" display="https://twitter.com/CancilleriaPeru"/>
    <hyperlink ref="D490" r:id="rId1913" display="https://twitter.com/Ollanta_HumalaT"/>
    <hyperlink ref="D208" r:id="rId1914" display="https://twitter.com/PrensaHC"/>
    <hyperlink ref="D499" r:id="rId1915" display="https://twitter.com/mreparaguay"/>
    <hyperlink ref="D79" r:id="rId1916" display="https://twitter.com/PresidenciaPy"/>
    <hyperlink ref="D107" r:id="rId1917" display="https://twitter.com/Horacio_Cartes"/>
    <hyperlink ref="D629" r:id="rId1918"/>
    <hyperlink ref="D464" r:id="rId1919"/>
    <hyperlink ref="D706" r:id="rId1920"/>
    <hyperlink ref="D20" r:id="rId1921" display="https://twitter.com/Presidencia_Ec"/>
    <hyperlink ref="D109" r:id="rId1922" display="https://twitter.com/MashiRafael"/>
    <hyperlink ref="D51" r:id="rId1923" display="https://twitter.com/CancilleriaCol"/>
    <hyperlink ref="D9" r:id="rId1924" display="https://twitter.com/infopresidencia"/>
    <hyperlink ref="D96" r:id="rId1925" display="https://twitter.com/JuanManSantos"/>
    <hyperlink ref="D108" r:id="rId1926" display="https://twitter.com/Minrel_Chile"/>
    <hyperlink ref="D156" r:id="rId1927" display="https://twitter.com/HeraldoMunoz"/>
    <hyperlink ref="D788" r:id="rId1928" display="https://twitter.com/PrensaMichelle"/>
    <hyperlink ref="D352" r:id="rId1929" display="https://twitter.com/Itamaraty_EN"/>
    <hyperlink ref="D489" r:id="rId1930" display="https://twitter.com/Itamaraty_ES"/>
    <hyperlink ref="D201" r:id="rId1931" display="https://twitter.com/BrazilGovNews"/>
    <hyperlink ref="D50" r:id="rId1932" display="https://twitter.com/ItamaratyGovBr"/>
    <hyperlink ref="D92" r:id="rId1933" display="https://twitter.com/imprensaPR"/>
    <hyperlink ref="D281" r:id="rId1934" display="https://twitter.com/casacivilbr"/>
    <hyperlink ref="D8" r:id="rId1935" display="https://twitter.com/mincombolivia"/>
    <hyperlink ref="D387" r:id="rId1936" display="https://twitter.com/MindeGobierno"/>
    <hyperlink ref="D280" r:id="rId1937" display="https://twitter.com/MRECIC_ARG"/>
    <hyperlink ref="D524" r:id="rId1938"/>
    <hyperlink ref="D162" r:id="rId1939"/>
    <hyperlink ref="D685" r:id="rId1940" display="https://twitter.com/govofvanuatu"/>
    <hyperlink ref="D725" r:id="rId1941" display="https://twitter.com/IakobaItaleli"/>
    <hyperlink ref="D701" r:id="rId1942" display="https://twitter.com/micwebTonga"/>
    <hyperlink ref="D476" r:id="rId1943" display="https://twitter.com/samoagovt"/>
    <hyperlink ref="D757" r:id="rId1944" display="https://twitter.com/MPMCTweeter"/>
    <hyperlink ref="D605" r:id="rId1945" display="https://twitter.com/TommyRemengesau"/>
    <hyperlink ref="D737" r:id="rId1946" display="https://twitter.com/murray_mccully"/>
    <hyperlink ref="D272" r:id="rId1947" display="https://twitter.com/johnkeypm"/>
    <hyperlink ref="D652" r:id="rId1948" display="https://twitter.com/MFAFiji"/>
    <hyperlink ref="D285" r:id="rId1949" display="https://twitter.com/InokeRatu"/>
    <hyperlink ref="D372" r:id="rId1950" display="https://twitter.com/FijiRepublic"/>
    <hyperlink ref="D429" r:id="rId1951" display="https://twitter.com/FijiPM"/>
    <hyperlink ref="D81" r:id="rId1952" display="https://twitter.com/dfat"/>
    <hyperlink ref="D160" r:id="rId1953" display="https://twitter.com/JulieBishopMP"/>
    <hyperlink ref="D116" r:id="rId1954" display="https://twitter.com/TurnbullMalcolm"/>
    <hyperlink ref="D47" r:id="rId1955" display="https://twitter.com/USAbilAraby"/>
    <hyperlink ref="D405" r:id="rId1956" display="https://twitter.com/USAUrdu"/>
    <hyperlink ref="D269" r:id="rId1957" display="https://twitter.com/USApoRusski"/>
    <hyperlink ref="D492" r:id="rId1958" display="https://twitter.com/USA_Zhongwen"/>
    <hyperlink ref="D330" r:id="rId1959" display="https://twitter.com/USAHindiMein"/>
    <hyperlink ref="D225" r:id="rId1960" display="https://twitter.com/USAenFrancais"/>
    <hyperlink ref="D84" r:id="rId1961" display="https://twitter.com/USAenEspanol"/>
    <hyperlink ref="D53" r:id="rId1962" display="https://twitter.com/USAemPortugues"/>
    <hyperlink ref="D232" r:id="rId1963" display="https://twitter.com/StateDeptLive"/>
    <hyperlink ref="D211" r:id="rId1964" display="https://twitter.com/lacasablanca"/>
    <hyperlink ref="D237" r:id="rId1965" display="https://twitter.com/EconEngage"/>
    <hyperlink ref="D217" r:id="rId1966" display="https://twitter.com/USAdarFarsi"/>
    <hyperlink ref="D15" r:id="rId1967" display="https://twitter.com/StateDept"/>
    <hyperlink ref="D470" r:id="rId1968" display="https://twitter.com/Cabinet"/>
    <hyperlink ref="D608" r:id="rId1969" display="https://twitter.com/POTUS"/>
    <hyperlink ref="D65" r:id="rId1970" display="https://twitter.com/BarackObama"/>
    <hyperlink ref="D519" r:id="rId1971" display="https://twitter.com/mfagovtt"/>
    <hyperlink ref="D655" r:id="rId1972"/>
    <hyperlink ref="D732" r:id="rId1973"/>
    <hyperlink ref="D679" r:id="rId1974"/>
    <hyperlink ref="D424" r:id="rId1975" display="https://twitter.com/SaintLuciaGov"/>
    <hyperlink ref="D752" r:id="rId1976" display="https://twitter.com/pdhnisbett"/>
    <hyperlink ref="D381" r:id="rId1977" display="https://twitter.com/skngov"/>
    <hyperlink ref="D394" r:id="rId1978" display="https://twitter.com/DeptEstadoPR"/>
    <hyperlink ref="D24" r:id="rId1979" display="https://twitter.com/fortalezapr"/>
    <hyperlink ref="D75" r:id="rId1980" display="https://twitter.com/agarciapadilla"/>
    <hyperlink ref="D572" r:id="rId1981" display="https://twitter.com/CancilleriaPA"/>
    <hyperlink ref="D221" r:id="rId1982" display="https://twitter.com/CancilleriaPA"/>
    <hyperlink ref="D247" r:id="rId1983" display="https://twitter.com/CancilleriaPA"/>
    <hyperlink ref="D130" r:id="rId1984" display="https://twitter.com/JC_Varela"/>
    <hyperlink ref="D25" r:id="rId1985" display="https://twitter.com/SRE_mx"/>
    <hyperlink ref="D146" r:id="rId1986" display="https://twitter.com/ruizmassieu"/>
    <hyperlink ref="D7" r:id="rId1987" display="https://twitter.com/gobmx"/>
    <hyperlink ref="D243" r:id="rId1988" display="https://twitter.com/EPN"/>
    <hyperlink ref="D188" r:id="rId1989" display="https://twitter.com/OPMJamaica"/>
    <hyperlink ref="D218" r:id="rId1990"/>
    <hyperlink ref="D480" r:id="rId1991" display="https://twitter.com/ComunicadosHN"/>
    <hyperlink ref="D287" r:id="rId1992" display="https://twitter.com/Presidencia_HN"/>
    <hyperlink ref="D230" r:id="rId1993" display="https://twitter.com/JuanOrlandoH"/>
    <hyperlink ref="D570" r:id="rId1994"/>
    <hyperlink ref="D213" r:id="rId1995" display="https://twitter.com/PrimatureHT"/>
    <hyperlink ref="D348" r:id="rId1996" display="https://twitter.com/MinexGt"/>
    <hyperlink ref="D113" r:id="rId1997" display="https://twitter.com/GuatemalaGob"/>
    <hyperlink ref="D427" r:id="rId1998"/>
    <hyperlink ref="D520" r:id="rId1999" display="https://twitter.com/govgd"/>
    <hyperlink ref="D99" r:id="rId2000" display="https://twitter.com/cancilleriasv"/>
    <hyperlink ref="D10" r:id="rId2001" display="https://twitter.com/presidencia_sv"/>
    <hyperlink ref="D44" r:id="rId2002" display="https://twitter.com/sanchezceren"/>
    <hyperlink ref="D135" r:id="rId2003" display="https://twitter.com/MIREXRD"/>
    <hyperlink ref="D517" r:id="rId2004" display="https://twitter.com/Andresnavarrog"/>
    <hyperlink ref="D177" r:id="rId2005" display="https://twitter.com/DaniloMedina"/>
    <hyperlink ref="D312" r:id="rId2006" display="https://twitter.com/SkerritR"/>
    <hyperlink ref="D70" r:id="rId2007" display="https://twitter.com/CubaMINREX"/>
    <hyperlink ref="D444" r:id="rId2008" display="https://twitter.com/RaulCastroR"/>
    <hyperlink ref="D461" r:id="rId2009" display="https://twitter.com/Crcancilleria"/>
    <hyperlink ref="D425" r:id="rId2010" display="https://twitter.com/mgonzalezsanz"/>
    <hyperlink ref="D132" r:id="rId2011" display="https://twitter.com/NoticiaCR"/>
    <hyperlink ref="D404" r:id="rId2012" display="https://twitter.com/Gobierno_CR"/>
    <hyperlink ref="D71" r:id="rId2013" display="https://twitter.com/CanadaPE"/>
    <hyperlink ref="D69" r:id="rId2014" display="https://twitter.com/CanadaFP"/>
    <hyperlink ref="D317" r:id="rId2015"/>
    <hyperlink ref="D106" r:id="rId2016"/>
    <hyperlink ref="D718" r:id="rId2017" display="https://twitter.com/belizegov"/>
    <hyperlink ref="D756" r:id="rId2018" display="https://twitter.com/BarrowDean"/>
    <hyperlink ref="D413" r:id="rId2019"/>
    <hyperlink ref="D703" r:id="rId2020" display="https://twitter.com/pgchristie"/>
    <hyperlink ref="D724" r:id="rId2021" display="https://twitter.com/ABLPGastonbrown"/>
    <hyperlink ref="D518" r:id="rId2022" display="https://twitter.com/antiguagov"/>
    <hyperlink ref="D684" r:id="rId2023" display="https://twitter.com/gastonbrowne"/>
    <hyperlink ref="D506" r:id="rId2024" display="https://twitter.com/Pontifex_ar"/>
    <hyperlink ref="D505" r:id="rId2025" display="https://twitter.com/Pontifex_de"/>
    <hyperlink ref="D507" r:id="rId2026" display="https://twitter.com/Pontifex_pl"/>
    <hyperlink ref="D503" r:id="rId2027" display="https://twitter.com/Pontifex_fr"/>
    <hyperlink ref="D511" r:id="rId2028" display="https://twitter.com/Pontifex_ln"/>
    <hyperlink ref="D504" r:id="rId2029" display="https://twitter.com/Pontifex_pt"/>
    <hyperlink ref="D488" r:id="rId2030" display="https://twitter.com/Pontifex_es"/>
    <hyperlink ref="D487" r:id="rId2031" display="https://twitter.com/Pontifex_it"/>
    <hyperlink ref="D618" r:id="rId2032" display="https://twitter.com/TerzaLoggia"/>
    <hyperlink ref="D484" r:id="rId2033" display="https://twitter.com/Pontifex"/>
    <hyperlink ref="D421" r:id="rId2034" display="https://twitter.com/UKUrdu"/>
    <hyperlink ref="D472" r:id="rId2035" display="https://twitter.com/PHammondMP"/>
    <hyperlink ref="D200" r:id="rId2036" display="https://twitter.com/cabinetofficeuk"/>
    <hyperlink ref="D42" r:id="rId2037" display="https://twitter.com/Kabmin_UA_r"/>
    <hyperlink ref="D433" r:id="rId2038" display="https://twitter.com/TheBankova"/>
    <hyperlink ref="D422" r:id="rId2039" display="https://twitter.com/PavloKlimkin"/>
    <hyperlink ref="D90" r:id="rId2040" display="https://twitter.com/Kabmin_UA_e"/>
    <hyperlink ref="D13" r:id="rId2041" display="https://twitter.com/Kabmin_UA"/>
    <hyperlink ref="D368" r:id="rId2042" display="https://twitter.com/Yatsenyuk_AP"/>
    <hyperlink ref="D157" r:id="rId2043" display="https://twitter.com/APUkraine"/>
    <hyperlink ref="D176" r:id="rId2044" display="https://twitter.com/poroshenko"/>
    <hyperlink ref="D168" r:id="rId2045" display="https://twitter.com/PDTurkeyArabic"/>
    <hyperlink ref="D236" r:id="rId2046" display="https://twitter.com/DiploPubliqueTR"/>
    <hyperlink ref="D338" r:id="rId2047" display="https://twitter.com/trpresidency"/>
    <hyperlink ref="D199" r:id="rId2048" display="https://twitter.com/MFATurkey"/>
    <hyperlink ref="D552" r:id="rId2049" display="https://twitter.com/MFATurkeyFrench"/>
    <hyperlink ref="D259" r:id="rId2050" display="https://twitter.com/ByegmENG"/>
    <hyperlink ref="D128" r:id="rId2051" display="https://twitter.com/TROfficeofPD"/>
    <hyperlink ref="D534" r:id="rId2052" display="https://twitter.com/A_Davutoglu_eng"/>
    <hyperlink ref="D569" r:id="rId2053" display="https://twitter.com/A_Davutoglu_ar"/>
    <hyperlink ref="D325" r:id="rId2054"/>
    <hyperlink ref="D418" r:id="rId2055" display="https://twitter.com/MFATurkeyArabic"/>
    <hyperlink ref="D62" r:id="rId2056" display="https://twitter.com/BasbakanlikKDK"/>
    <hyperlink ref="D115" r:id="rId2057" display="https://twitter.com/TC_Disisleri"/>
    <hyperlink ref="D123" r:id="rId2058" display="https://twitter.com/MevlutCavusoglu"/>
    <hyperlink ref="D95" r:id="rId2059" display="https://twitter.com/Byegm"/>
    <hyperlink ref="D374" r:id="rId2060" display="https://twitter.com/Ahmet_Davutoglu"/>
    <hyperlink ref="D277" r:id="rId2061" display="https://twitter.com/tcbestepe"/>
    <hyperlink ref="D263" r:id="rId2062" display="https://twitter.com/RT_Erdogan"/>
    <hyperlink ref="D354" r:id="rId2063" display="https://twitter.com/BR_Sprecher"/>
    <hyperlink ref="D179" r:id="rId2064" display="https://twitter.com/SweMFA"/>
    <hyperlink ref="D152" r:id="rId2065" display="https://twitter.com/Utrikesdep"/>
    <hyperlink ref="D431" r:id="rId2066" display="https://twitter.com/margotwallstrom"/>
    <hyperlink ref="D419" r:id="rId2067" display="https://twitter.com/MAECgob"/>
    <hyperlink ref="D186" r:id="rId2068" display="https://twitter.com/MAECgob"/>
    <hyperlink ref="D197" r:id="rId2069"/>
    <hyperlink ref="D41" r:id="rId2070" display="https://twitter.com/desdelamoncloa"/>
    <hyperlink ref="D59" r:id="rId2071" display="https://twitter.com/marianorajoy"/>
    <hyperlink ref="D379" r:id="rId2072" display="https://twitter.com/marianorajoy"/>
    <hyperlink ref="D557" r:id="rId2073" display="https://twitter.com/govSlovenia"/>
    <hyperlink ref="D166" r:id="rId2074" display="https://twitter.com/MZZRS"/>
    <hyperlink ref="D192" r:id="rId2075" display="https://twitter.com/vladaRS"/>
    <hyperlink ref="D343" r:id="rId2076" display="https://twitter.com/MiroCerar"/>
    <hyperlink ref="D183" r:id="rId2077" display="https://twitter.com/BorutPahor"/>
    <hyperlink ref="D462" r:id="rId2078" display="https://twitter.com/SlovakiaMFA"/>
    <hyperlink ref="D307" r:id="rId2079" display="https://twitter.com/MiroslavLajcak"/>
    <hyperlink ref="D677" r:id="rId2080" display="https://twitter.com/fico2014"/>
    <hyperlink ref="D678" r:id="rId2081" display="https://twitter.com/Andrej_Kiska"/>
    <hyperlink ref="D398" r:id="rId2082" display="https://twitter.com/SerbianPM"/>
    <hyperlink ref="D210" r:id="rId2083" display="https://twitter.com/vladaOCDrs"/>
    <hyperlink ref="D786" r:id="rId2084" display="https://twitter.com/DacicIvica"/>
    <hyperlink ref="D335" r:id="rId2085" display="https://twitter.com/SerbianGov"/>
    <hyperlink ref="D415" r:id="rId2086" display="https://twitter.com/avucic"/>
    <hyperlink ref="D670" r:id="rId2087" display="https://twitter.com/PresidencySrb"/>
    <hyperlink ref="D454" r:id="rId2088" display="https://twitter.com/predsednikrs"/>
    <hyperlink ref="D440" r:id="rId2089" display="https://twitter.com/PutinRF_Eng"/>
    <hyperlink ref="D253" r:id="rId2090" display="https://twitter.com/KremlinRussia_E"/>
    <hyperlink ref="D33" r:id="rId2091" display="https://twitter.com/mfa_russia"/>
    <hyperlink ref="D234" r:id="rId2092" display="https://twitter.com/GovernmentRF"/>
    <hyperlink ref="D452" r:id="rId2093" display="https://twitter.com/MedvedevRussiaE"/>
    <hyperlink ref="D23" r:id="rId2094" display="https://twitter.com/MID_RF"/>
    <hyperlink ref="D76" r:id="rId2095" display="https://twitter.com/Pravitelstvo_RF"/>
    <hyperlink ref="D193" r:id="rId2096" display="https://twitter.com/KremlinRussia"/>
    <hyperlink ref="D358" r:id="rId2097" display="https://twitter.com/PutinRF"/>
    <hyperlink ref="D299" r:id="rId2098" display="https://twitter.com/MAERomania"/>
    <hyperlink ref="D347" r:id="rId2099" display="https://twitter.com/guv_ro"/>
    <hyperlink ref="D460" r:id="rId2100" display="https://twitter.com/KlausIohannis"/>
    <hyperlink ref="D755" r:id="rId2101" display="https://twitter.com/MNEGOVPT"/>
    <hyperlink ref="D249" r:id="rId2102" display="https://twitter.com/govpt"/>
    <hyperlink ref="D661" r:id="rId2103"/>
    <hyperlink ref="D67" r:id="rId2104" display="https://twitter.com/PolandMFA"/>
    <hyperlink ref="D38" r:id="rId2105" display="https://twitter.com/MSZ_RP"/>
    <hyperlink ref="D64" r:id="rId2106" display="https://twitter.com/PremierRP"/>
    <hyperlink ref="D458" r:id="rId2107"/>
    <hyperlink ref="D244" r:id="rId2108" display="https://twitter.com/prezydentpl"/>
    <hyperlink ref="D167" r:id="rId2109" display="https://twitter.com/AndrzejDuda"/>
    <hyperlink ref="D328" r:id="rId2110" display="https://twitter.com/NorwayMFA"/>
    <hyperlink ref="D191" r:id="rId2111" display="https://twitter.com/Utenriksdept"/>
    <hyperlink ref="D290" r:id="rId2112" display="https://twitter.com/borgebrende"/>
    <hyperlink ref="D406" r:id="rId2113" display="https://twitter.com/Statsmin_kontor"/>
    <hyperlink ref="D207" r:id="rId2114" display="https://twitter.com/erna_solberg"/>
    <hyperlink ref="D292" r:id="rId2115" display="https://twitter.com/Kronprinsparet"/>
    <hyperlink ref="D296" r:id="rId2116" display="https://twitter.com/NL_MFA_strategy"/>
    <hyperlink ref="D288" r:id="rId2117" display="https://twitter.com/MinBuZa_news"/>
    <hyperlink ref="D112" r:id="rId2118"/>
    <hyperlink ref="D93" r:id="rId2119" display="https://twitter.com/Rijksoverheid"/>
    <hyperlink ref="D361" r:id="rId2120" display="https://twitter.com/MinPres"/>
    <hyperlink ref="D434" r:id="rId2121" display="https://twitter.com/Khtweets"/>
    <hyperlink ref="D337" r:id="rId2122" display="https://twitter.com/MeGovernment"/>
    <hyperlink ref="D657" r:id="rId2123" display="https://twitter.com/palaismonaco"/>
    <hyperlink ref="D491" r:id="rId2124" display="https://twitter.com/Diplomacy_RM"/>
    <hyperlink ref="D495" r:id="rId2125" display="https://twitter.com/GuvernulRM"/>
    <hyperlink ref="D468" r:id="rId2126" display="https://twitter.com/presedinte_md"/>
    <hyperlink ref="D749" r:id="rId2127" display="https://twitter.com/Nicolae_Timofti"/>
    <hyperlink ref="D227" r:id="rId2128" display="https://twitter.com/DOImalta"/>
    <hyperlink ref="D46" r:id="rId2129" display="https://twitter.com/JosephMuscat_JM"/>
    <hyperlink ref="D542" r:id="rId2130" display="https://twitter.com/presidentMT"/>
    <hyperlink ref="D456" r:id="rId2131" display="https://twitter.com/gouv_lu"/>
    <hyperlink ref="D407" r:id="rId2132" display="https://twitter.com/Xavier_Bettel"/>
    <hyperlink ref="D509" r:id="rId2133" display="https://twitter.com/CourGrandDucale"/>
    <hyperlink ref="D501" r:id="rId2134" display="https://twitter.com/LT_MFA_Stratcom"/>
    <hyperlink ref="D609" r:id="rId2135" display="https://twitter.com/Lithuania"/>
    <hyperlink ref="D261" r:id="rId2136" display="https://twitter.com/LinkeviciusL"/>
    <hyperlink ref="D473" r:id="rId2137" display="https://twitter.com/Vyriausybe"/>
    <hyperlink ref="D594" r:id="rId2138" display="https://twitter.com/Abutkevicius"/>
    <hyperlink ref="D502" r:id="rId2139" display="https://twitter.com/Grybauskaite_LT"/>
    <hyperlink ref="D375" r:id="rId2140" display="https://twitter.com/MFA_LI"/>
    <hyperlink ref="D522" r:id="rId2141" display="https://twitter.com/regierung_fl"/>
    <hyperlink ref="D653" r:id="rId2142" display="https://twitter.com/adrian_hasler"/>
    <hyperlink ref="D260" r:id="rId2143" display="https://twitter.com/Latvian_MFA"/>
    <hyperlink ref="D161" r:id="rId2144" display="https://twitter.com/Arlietas"/>
    <hyperlink ref="D102" r:id="rId2145" display="https://twitter.com/edgarsrinkevics"/>
    <hyperlink ref="D117" r:id="rId2146" display="https://twitter.com/Brivibas36"/>
    <hyperlink ref="D382" r:id="rId2147" display="https://twitter.com/Rigas_pils"/>
    <hyperlink ref="D324" r:id="rId2148" display="https://twitter.com/Vejonis"/>
    <hyperlink ref="D175" r:id="rId2149" display="https://twitter.com/MFAKOSOVO"/>
    <hyperlink ref="D360" r:id="rId2150" display="https://twitter.com/HashimThaciRKS"/>
    <hyperlink ref="D265" r:id="rId2151"/>
    <hyperlink ref="D205" r:id="rId2152" display="https://twitter.com/PaoloGentiloni"/>
    <hyperlink ref="D349" r:id="rId2153" display="https://twitter.com/Palazzo_Chigi"/>
    <hyperlink ref="D212" r:id="rId2154" display="https://twitter.com/matteorenzi"/>
    <hyperlink ref="D323" r:id="rId2155" display="https://twitter.com/QuirinaleStampa"/>
    <hyperlink ref="D386" r:id="rId2156" display="https://twitter.com/Govdotie"/>
    <hyperlink ref="D119" r:id="rId2157" display="https://twitter.com/dfatirl"/>
    <hyperlink ref="D155" r:id="rId2158" display="https://twitter.com/CharlieFlanagan"/>
    <hyperlink ref="D411" r:id="rId2159" display="https://twitter.com/md_higgins"/>
    <hyperlink ref="D380" r:id="rId2160" display="https://twitter.com/MFAIceland"/>
    <hyperlink ref="D494" r:id="rId2161" display="https://twitter.com/forsaetisradun"/>
    <hyperlink ref="D443" r:id="rId2162" display="https://twitter.com/kormany_hu"/>
    <hyperlink ref="D740" r:id="rId2163" display="https://twitter.com/Viktor_Orban"/>
    <hyperlink ref="D198" r:id="rId2164" display="https://twitter.com/GreeceMFA"/>
    <hyperlink ref="D173" r:id="rId2165" display="https://twitter.com/Evenizelos"/>
    <hyperlink ref="D455" r:id="rId2166" display="https://twitter.com/govgr"/>
    <hyperlink ref="D336" r:id="rId2167" display="https://twitter.com/PrimeministerGR"/>
    <hyperlink ref="D378" r:id="rId2168" display="https://twitter.com/tsipras_eu"/>
    <hyperlink ref="D256" r:id="rId2169" display="https://twitter.com/atsipras"/>
    <hyperlink ref="D142" r:id="rId2170" display="https://twitter.com/RegSprecher"/>
    <hyperlink ref="D121" r:id="rId2171" display="https://twitter.com/francediplo_AR"/>
    <hyperlink ref="D540" r:id="rId2172" display="https://twitter.com/French_Gov"/>
    <hyperlink ref="D222" r:id="rId2173" display="https://twitter.com/francediplo_ES"/>
    <hyperlink ref="D110" r:id="rId2174" display="https://twitter.com/francediplo_EN"/>
    <hyperlink ref="D143" r:id="rId2175" display="https://twitter.com/statsradet"/>
    <hyperlink ref="D306" r:id="rId2176" display="https://twitter.com/FinGovernment"/>
    <hyperlink ref="D147" r:id="rId2177" display="https://twitter.com/Ulkoministerio"/>
    <hyperlink ref="D82" r:id="rId2178" display="https://twitter.com/valtioneuvosto"/>
    <hyperlink ref="D586" r:id="rId2179" display="https://twitter.com/juhasipila"/>
    <hyperlink ref="D295" r:id="rId2180" display="https://twitter.com/TPKanslia"/>
    <hyperlink ref="D716" r:id="rId2181" display="https://twitter.com/niinisto"/>
    <hyperlink ref="D408" r:id="rId2182" display="https://twitter.com/NikolaPoposki"/>
    <hyperlink ref="D129" r:id="rId2183" display="https://twitter.com/VladaMK"/>
    <hyperlink ref="D751" r:id="rId2184" display="https://twitter.com/GjorgeIvanov"/>
    <hyperlink ref="D136" r:id="rId2185" display="https://twitter.com/EUCouncilPress"/>
    <hyperlink ref="D68" r:id="rId2186" display="https://twitter.com/EUCouncilTVNews"/>
    <hyperlink ref="D196" r:id="rId2187" display="https://twitter.com/FedericaMog"/>
    <hyperlink ref="D241" r:id="rId2188" display="https://twitter.com/eucopresident"/>
    <hyperlink ref="D601" r:id="rId2189" display="https://twitter.com/premiertusk"/>
    <hyperlink ref="D410" r:id="rId2190" display="https://twitter.com/EstonianGovt"/>
    <hyperlink ref="D226" r:id="rId2191" display="https://twitter.com/valismin"/>
    <hyperlink ref="D610" r:id="rId2192" display="https://twitter.com/MarinaKaljurand"/>
    <hyperlink ref="D297" r:id="rId2193" display="https://twitter.com/StenbockiMaja"/>
    <hyperlink ref="D174" r:id="rId2194" display="https://twitter.com/TaaviRoivas"/>
    <hyperlink ref="D49" r:id="rId2195" display="https://twitter.com/IlvesToomas"/>
    <hyperlink ref="D350" r:id="rId2196" display="https://twitter.com/UM_dk"/>
    <hyperlink ref="D148" r:id="rId2197" display="https://twitter.com/Kristian_Jensen"/>
    <hyperlink ref="D538" r:id="rId2198" display="https://twitter.com/larsloekke"/>
    <hyperlink ref="D479" r:id="rId2199" display="https://twitter.com/CzechMFA"/>
    <hyperlink ref="D423" r:id="rId2200" display="https://twitter.com/mzvcr"/>
    <hyperlink ref="D409" r:id="rId2201" display="https://twitter.com/ZaoralekL"/>
    <hyperlink ref="D326" r:id="rId2202" display="https://twitter.com/strakovka"/>
    <hyperlink ref="D561" r:id="rId2203" display="https://twitter.com/SlavekSobotka"/>
    <hyperlink ref="D729" r:id="rId2204" display="https://twitter.com/MZemanOficialni"/>
    <hyperlink ref="D523" r:id="rId2205" display="https://twitter.com/CyprusMFA"/>
    <hyperlink ref="D483" r:id="rId2206" display="https://twitter.com/Ikasoulides"/>
    <hyperlink ref="D370" r:id="rId2207" display="https://twitter.com/GovCyprus"/>
    <hyperlink ref="D420" r:id="rId2208" display="https://twitter.com/Cypresidency"/>
    <hyperlink ref="D345" r:id="rId2209" display="https://twitter.com/AnastasiadesCY"/>
    <hyperlink ref="D271" r:id="rId2210" display="https://twitter.com/MVEP_hr"/>
    <hyperlink ref="D783" r:id="rId2211" display="https://twitter.com/uredprh"/>
    <hyperlink ref="D574" r:id="rId2212" display="https://twitter.com/kolindagk"/>
    <hyperlink ref="D436" r:id="rId2213" display="https://twitter.com/MFABulgaria"/>
    <hyperlink ref="D550" r:id="rId2214" display="https://twitter.com/DanielMitov"/>
    <hyperlink ref="D533" r:id="rId2215" display="https://twitter.com/BoykoBorissov"/>
    <hyperlink ref="D189" r:id="rId2216" display="https://twitter.com/BgPresidency"/>
    <hyperlink ref="D672" r:id="rId2217" display="https://twitter.com/rplevneliev"/>
    <hyperlink ref="D620" r:id="rId2218" display="https://twitter.com/DrZvizdic"/>
    <hyperlink ref="D392" r:id="rId2219" display="https://twitter.com/B_Izetbegovic"/>
    <hyperlink ref="D274" r:id="rId2220" display="https://twitter.com/BelgiumMFA"/>
    <hyperlink ref="D60" r:id="rId2221" display="https://twitter.com/dreynders"/>
    <hyperlink ref="D329" r:id="rId2222" display="https://twitter.com/MonarchieBe"/>
    <hyperlink ref="D278" r:id="rId2223" display="https://twitter.com/BelarusMFA"/>
    <hyperlink ref="D164" r:id="rId2224" display="https://twitter.com/BelarusMID"/>
    <hyperlink ref="D242" r:id="rId2225" display="https://twitter.com/MFA_Austria"/>
    <hyperlink ref="D321" r:id="rId2226" display="https://twitter.com/sebastiankurz"/>
    <hyperlink ref="D180" r:id="rId2227" display="https://twitter.com/GovernAndorra"/>
    <hyperlink ref="D235" r:id="rId2228" display="https://twitter.com/AlbanianMFA"/>
    <hyperlink ref="D334" r:id="rId2229" display="https://twitter.com/ditmirbushati"/>
    <hyperlink ref="D209" r:id="rId2230" display="https://twitter.com/ediramaal"/>
    <hyperlink ref="D702" r:id="rId2231" display="https://twitter.com/BujarNishani"/>
    <hyperlink ref="D600" r:id="rId2232" display="https://twitter.com/KhaledBahah"/>
    <hyperlink ref="D245" r:id="rId2233" display="https://twitter.com/HadiPresident"/>
    <hyperlink ref="D220" r:id="rId2234" display="https://twitter.com/GOVuz"/>
    <hyperlink ref="D101" r:id="rId2235" display="https://twitter.com/UAEmGov"/>
    <hyperlink ref="D275" r:id="rId2236" display="https://twitter.com/MBZNews"/>
    <hyperlink ref="D393" r:id="rId2237" display="https://twitter.com/OFMUAE"/>
    <hyperlink ref="D181" r:id="rId2238" display="https://twitter.com/MOFAUAE"/>
    <hyperlink ref="D257" r:id="rId2239" display="https://twitter.com/HHShkMohd"/>
    <hyperlink ref="D486" r:id="rId2240" display="https://twitter.com/MFAThai_PR_EN"/>
    <hyperlink ref="D516" r:id="rId2241" display="https://twitter.com/MFAupdate"/>
    <hyperlink ref="D194" r:id="rId2242" display="https://twitter.com/MFAThai"/>
    <hyperlink ref="D120" r:id="rId2243" display="https://twitter.com/prdthailand"/>
    <hyperlink ref="D45" r:id="rId2244" display="https://twitter.com/ThaiKhuFah"/>
    <hyperlink ref="D697" r:id="rId2245" display="https://twitter.com/EmomaliRahmon"/>
    <hyperlink ref="D447" r:id="rId2246" display="https://twitter.com/presstj"/>
    <hyperlink ref="D282" r:id="rId2247" display="https://twitter.com/Presidency_Sy"/>
    <hyperlink ref="D750" r:id="rId2248" display="https://twitter.com/MEA_Sri_Lanka"/>
    <hyperlink ref="D545" r:id="rId2249"/>
    <hyperlink ref="D583" r:id="rId2250" display="https://twitter.com/MangalaLK"/>
    <hyperlink ref="D562" r:id="rId2251" display="https://twitter.com/PresRajapaksa"/>
    <hyperlink ref="D449" r:id="rId2252" display="https://twitter.com/MaithripalaS"/>
    <hyperlink ref="D322" r:id="rId2253" display="https://twitter.com/MOFAkr_eng"/>
    <hyperlink ref="D318" r:id="rId2254"/>
    <hyperlink ref="D74" r:id="rId2255" display="https://twitter.com/mofa_kr"/>
    <hyperlink ref="D214" r:id="rId2256" display="https://twitter.com/PrimeMinisterKR"/>
    <hyperlink ref="D144" r:id="rId2257" display="https://twitter.com/bluehousekorea"/>
    <hyperlink ref="D548" r:id="rId2258" display="https://twitter.com/GH_PARK"/>
    <hyperlink ref="D291" r:id="rId2259" display="https://twitter.com/MFAsg"/>
    <hyperlink ref="D122" r:id="rId2260" display="https://twitter.com/govsingapore"/>
    <hyperlink ref="D377" r:id="rId2261" display="https://twitter.com/leehsienloong"/>
    <hyperlink ref="D258" r:id="rId2262" display="https://twitter.com/KSAMOFA"/>
    <hyperlink ref="D648" r:id="rId2263" display="https://twitter.com/AdelAljubeir"/>
    <hyperlink ref="D158" r:id="rId2264" display="https://twitter.com/Saudiegov"/>
    <hyperlink ref="D593" r:id="rId2265" display="https://twitter.com/KingSalman"/>
    <hyperlink ref="D304" r:id="rId2266" display="https://twitter.com/MofaQatar_EN"/>
    <hyperlink ref="D219" r:id="rId2267" display="https://twitter.com/MofaQatar_AR"/>
    <hyperlink ref="D83" r:id="rId2268"/>
    <hyperlink ref="D289" r:id="rId2269" display="https://twitter.com/PresidentNoy"/>
    <hyperlink ref="D482" r:id="rId2270" display="https://twitter.com/dfaspokesperson"/>
    <hyperlink ref="D485" r:id="rId2271" display="https://twitter.com/GovPH_PCOO"/>
    <hyperlink ref="D255" r:id="rId2272" display="https://twitter.com/noynoyaquino"/>
    <hyperlink ref="D590" r:id="rId2273" display="https://twitter.com/PM_GOV_PG"/>
    <hyperlink ref="D346" r:id="rId2274"/>
    <hyperlink ref="D305" r:id="rId2275" display="https://twitter.com/PalestinianGov"/>
    <hyperlink ref="D316" r:id="rId2276" display="https://twitter.com/RamiHamdalla"/>
    <hyperlink ref="D591" r:id="rId2277" display="https://twitter.com/PakDiplomacy"/>
    <hyperlink ref="D539" r:id="rId2278" display="https://twitter.com/ForeignOfficePk"/>
    <hyperlink ref="D497" r:id="rId2279" display="https://twitter.com/PMNawazSharif"/>
    <hyperlink ref="D48" r:id="rId2280"/>
    <hyperlink ref="D526" r:id="rId2281" display="https://twitter.com/MofaOman"/>
    <hyperlink ref="D298" r:id="rId2282"/>
    <hyperlink ref="D647" r:id="rId2283"/>
    <hyperlink ref="D551" r:id="rId2284"/>
    <hyperlink ref="D780" r:id="rId2285" display="https://twitter.com/GovernmentMN"/>
    <hyperlink ref="D650" r:id="rId2286" display="https://twitter.com/zasagmn"/>
    <hyperlink ref="D342" r:id="rId2287" display="https://twitter.com/mforeignaffairs"/>
    <hyperlink ref="D204" r:id="rId2288" display="https://twitter.com/PurevsurenL"/>
    <hyperlink ref="D603" r:id="rId2289" display="https://twitter.com/pmoffice_mn"/>
    <hyperlink ref="D656" r:id="rId2290" display="https://twitter.com/SaikhanbilegPM"/>
    <hyperlink ref="D558" r:id="rId2291" display="https://twitter.com/ts_elbegdorj"/>
    <hyperlink ref="D401" r:id="rId2292" display="https://twitter.com/elbegdorj"/>
    <hyperlink ref="D355" r:id="rId2293" display="https://twitter.com/MDVForeign"/>
    <hyperlink ref="D396" r:id="rId2294" display="https://twitter.com/presidencymv"/>
    <hyperlink ref="D668" r:id="rId2295" display="https://twitter.com/PresidentYameen"/>
    <hyperlink ref="D216" r:id="rId2296" display="https://twitter.com/myGovPortal"/>
    <hyperlink ref="D383" r:id="rId2297" display="https://twitter.com/Malaysia_Gov"/>
    <hyperlink ref="D777" r:id="rId2298" display="https://twitter.com/anifah_aman"/>
    <hyperlink ref="D273" r:id="rId2299" display="https://twitter.com/PMOMalaysia"/>
    <hyperlink ref="D118" r:id="rId2300" display="https://twitter.com/NajibRazak"/>
    <hyperlink ref="D104" r:id="rId2301" display="https://twitter.com/Gebran_Bassil"/>
    <hyperlink ref="D521" r:id="rId2302" display="https://twitter.com/SalamTammam"/>
    <hyperlink ref="D369" r:id="rId2303" display="https://twitter.com/pressslujba"/>
    <hyperlink ref="D536" r:id="rId2304" display="https://twitter.com/OkmotKG"/>
    <hyperlink ref="D267" r:id="rId2305" display="https://twitter.com/kyrgyzpresident"/>
    <hyperlink ref="D171" r:id="rId2306" display="https://twitter.com/MOFAKuwait"/>
    <hyperlink ref="D556" r:id="rId2307" display="https://twitter.com/KarimMassimov_E"/>
    <hyperlink ref="D114" r:id="rId2308" display="https://twitter.com/ortcomkzE"/>
    <hyperlink ref="D43" r:id="rId2309" display="https://twitter.com/ortcomkz"/>
    <hyperlink ref="D165" r:id="rId2310" display="https://twitter.com/MFA_KZ"/>
    <hyperlink ref="D103" r:id="rId2311" display="https://twitter.com/primeministerkz"/>
    <hyperlink ref="D416" r:id="rId2312" display="https://twitter.com/KarimMassimov"/>
    <hyperlink ref="D283" r:id="rId2313" display="https://twitter.com/AkordaPress"/>
    <hyperlink ref="D385" r:id="rId2314" display="https://twitter.com/ForeignMinistry"/>
    <hyperlink ref="D301" r:id="rId2315" display="https://twitter.com/NasserJudeh"/>
    <hyperlink ref="D332" r:id="rId2316" display="https://twitter.com/PrimeMinistry"/>
    <hyperlink ref="D270" r:id="rId2317" display="https://twitter.com/DrEnsour"/>
    <hyperlink ref="D138" r:id="rId2318" display="https://twitter.com/RHCJO"/>
    <hyperlink ref="D414" r:id="rId2319" display="https://twitter.com/QueenRania"/>
    <hyperlink ref="D268" r:id="rId2320" display="https://twitter.com/Kantei_Saigai"/>
    <hyperlink ref="D573" r:id="rId2321" display="https://twitter.com/japan"/>
    <hyperlink ref="D223" r:id="rId2322" display="https://twitter.com/MofaJapan_en"/>
    <hyperlink ref="D52" r:id="rId2323" display="https://twitter.com/MofaJapan_jp"/>
    <hyperlink ref="D286" r:id="rId2324" display="https://twitter.com/JPN_PMO"/>
    <hyperlink ref="D149" r:id="rId2325" display="https://twitter.com/kantei"/>
    <hyperlink ref="D510" r:id="rId2326" display="https://twitter.com/JapanGov"/>
    <hyperlink ref="D481" r:id="rId2327" display="https://twitter.com/rubirivlin"/>
    <hyperlink ref="D238" r:id="rId2328" display="https://twitter.com/Israelipm_ar"/>
    <hyperlink ref="D300" r:id="rId2329" display="https://twitter.com/IsraeliPM_heb"/>
    <hyperlink ref="D359" r:id="rId2330" display="https://twitter.com/netanyahu"/>
    <hyperlink ref="D619" r:id="rId2331" display="https://twitter.com/PresidentRuvi"/>
    <hyperlink ref="D676" r:id="rId2332" display="https://twitter.com/IraqMFA"/>
    <hyperlink ref="D303" r:id="rId2333" display="https://twitter.com/al_jaffaary"/>
    <hyperlink ref="D474" r:id="rId2334"/>
    <hyperlink ref="D254" r:id="rId2335" display="https://twitter.com/HaiderAlAbadi"/>
    <hyperlink ref="D430" r:id="rId2336" display="https://twitter.com/PresidentFuad"/>
    <hyperlink ref="D293" r:id="rId2337" display="https://twitter.com/Rouhani_ir"/>
    <hyperlink ref="D537" r:id="rId2338" display="https://twitter.com/Khamenei_es"/>
    <hyperlink ref="D441" r:id="rId2339" display="https://twitter.com/IranMFA"/>
    <hyperlink ref="D639" r:id="rId2340" display="https://twitter.com/Jzarif"/>
    <hyperlink ref="D279" r:id="rId2341" display="https://twitter.com/HassanRouhani"/>
    <hyperlink ref="D463" r:id="rId2342" display="https://twitter.com/Khamenei_ar"/>
    <hyperlink ref="D140" r:id="rId2343" display="https://twitter.com/khamenei_ir"/>
    <hyperlink ref="D320" r:id="rId2344" display="https://twitter.com/deplu"/>
    <hyperlink ref="D402" r:id="rId2345" display="https://twitter.com/MoFA_Indonesia"/>
    <hyperlink ref="D56" r:id="rId2346" display="https://twitter.com/Portal_Kemlu_RI"/>
    <hyperlink ref="D29" r:id="rId2347" display="https://twitter.com/setkabgoid"/>
    <hyperlink ref="D141" r:id="rId2348" display="https://twitter.com/IstanaRakyat"/>
    <hyperlink ref="D580" r:id="rId2349" display="https://twitter.com/jokowi"/>
    <hyperlink ref="D86" r:id="rId2350" display="https://twitter.com/MEAIndia"/>
    <hyperlink ref="D80" r:id="rId2351" display="https://twitter.com/IndianDiplomacy"/>
    <hyperlink ref="D264" r:id="rId2352" display="https://twitter.com/SushmaSwaraj"/>
    <hyperlink ref="D111" r:id="rId2353" display="https://twitter.com/PMOIndia"/>
    <hyperlink ref="D100" r:id="rId2354" display="https://twitter.com/narendramodi"/>
    <hyperlink ref="D636" r:id="rId2355" display="https://twitter.com/govgeoabkhaz"/>
    <hyperlink ref="D389" r:id="rId2356" display="https://twitter.com/MFAgovge"/>
    <hyperlink ref="D535" r:id="rId2357" display="https://twitter.com/GovernmentGeo"/>
    <hyperlink ref="D775" r:id="rId2358" display="https://twitter.com/PrimeMinisterGE"/>
    <hyperlink ref="D581" r:id="rId2359" display="https://twitter.com/MargvelashviliG"/>
    <hyperlink ref="D308" r:id="rId2360" display="https://twitter.com/PRepublicaTL"/>
    <hyperlink ref="D721" r:id="rId2361" display="https://twitter.com/TaurMatanRuak"/>
    <hyperlink ref="D471" r:id="rId2362" display="https://twitter.com/GOV_BN"/>
    <hyperlink ref="D641" r:id="rId2363" display="https://twitter.com/brunei_pmo"/>
    <hyperlink ref="D663" r:id="rId2364" display="https://twitter.com/PMOBhutan"/>
    <hyperlink ref="D695" r:id="rId2365" display="https://twitter.com/BhutanGov"/>
    <hyperlink ref="D435" r:id="rId2366" display="https://twitter.com/PMBhutan"/>
    <hyperlink ref="D224" r:id="rId2367" display="https://twitter.com/tsheringtobgay"/>
    <hyperlink ref="D87" r:id="rId2368" display="https://twitter.com/bahdiplomatic"/>
    <hyperlink ref="D73" r:id="rId2369" display="https://twitter.com/khalidalkhalifa"/>
    <hyperlink ref="D276" r:id="rId2370" display="https://twitter.com/BahrainCPnews"/>
    <hyperlink ref="D313" r:id="rId2371" display="https://twitter.com/presidentaz"/>
    <hyperlink ref="D187" r:id="rId2372" display="https://twitter.com/AzerbaijanMFA"/>
    <hyperlink ref="D233" r:id="rId2373" display="https://twitter.com/AzerbaijanPA"/>
    <hyperlink ref="D294" r:id="rId2374" display="https://twitter.com/azpresident"/>
    <hyperlink ref="D771" r:id="rId2375" display="https://twitter.com/PresidentAM_rus"/>
    <hyperlink ref="D770" r:id="rId2376" display="https://twitter.com/PresidentAM_eng"/>
    <hyperlink ref="D190" r:id="rId2377" display="https://twitter.com/MFAofArmenia"/>
    <hyperlink ref="D715" r:id="rId2378" display="https://twitter.com/PresidentAM_arm"/>
    <hyperlink ref="D311" r:id="rId2379" display="https://twitter.com/MFA_Afghanistan"/>
    <hyperlink ref="D565" r:id="rId2380" display="https://twitter.com/SalahRabbani"/>
    <hyperlink ref="D614" r:id="rId2381" display="https://twitter.com/OAAInformation"/>
    <hyperlink ref="D373" r:id="rId2382" display="https://twitter.com/GMICafghanistan"/>
    <hyperlink ref="D439" r:id="rId2383" display="https://twitter.com/afgexecutive"/>
    <hyperlink ref="D134" r:id="rId2384" display="https://twitter.com/ARG_AFG"/>
    <hyperlink ref="D310" r:id="rId2385" display="https://twitter.com/ashrafghani"/>
    <hyperlink ref="D704" r:id="rId2386" display="https://twitter.com/StateHousePress"/>
    <hyperlink ref="D628" r:id="rId2387" display="https://twitter.com/HonEdgarCLungu"/>
    <hyperlink ref="D553" r:id="rId2388" display="https://twitter.com/UgandaMFA"/>
    <hyperlink ref="D85" r:id="rId2389" display="https://twitter.com/UgandaMediaCent"/>
    <hyperlink ref="D515" r:id="rId2390" display="https://twitter.com/OPMUganda"/>
    <hyperlink ref="D525" r:id="rId2391" display="https://twitter.com/RuhakanaR"/>
    <hyperlink ref="D400" r:id="rId2392" display="https://twitter.com/StateHouseUg"/>
    <hyperlink ref="D417" r:id="rId2393" display="https://twitter.com/KagutaMuseveni"/>
    <hyperlink ref="D543" r:id="rId2394" display="https://twitter.com/TunisieDiplo"/>
    <hyperlink ref="D412" r:id="rId2395" display="https://twitter.com/Al_Kasbah"/>
    <hyperlink ref="D698" r:id="rId2396" display="https://twitter.com/PMTunisie"/>
    <hyperlink ref="D442" r:id="rId2397" display="https://twitter.com/Habib_essid"/>
    <hyperlink ref="D314" r:id="rId2398" display="https://twitter.com/presidenceTN"/>
    <hyperlink ref="D351" r:id="rId2399" display="https://twitter.com/BejiCEOfficial"/>
    <hyperlink ref="D584" r:id="rId2400" display="https://twitter.com/togodiplomatie"/>
    <hyperlink ref="D475" r:id="rId2401" display="https://twitter.com/rdussey"/>
    <hyperlink ref="D58" r:id="rId2402" display="https://twitter.com/republicoftogo"/>
    <hyperlink ref="D611" r:id="rId2403" display="https://twitter.com/FEGnassingbe"/>
    <hyperlink ref="D587" r:id="rId2404" display="https://twitter.com/foreigntanzania"/>
    <hyperlink ref="D547" r:id="rId2405" display="https://twitter.com/mofasudan"/>
    <hyperlink ref="D388" r:id="rId2406" display="https://twitter.com/RepSouthSudan"/>
    <hyperlink ref="D302" r:id="rId2407"/>
    <hyperlink ref="D98" r:id="rId2408" display="https://twitter.com/GovernmentZA"/>
    <hyperlink ref="D195" r:id="rId2409" display="https://twitter.com/PresidencyZA"/>
    <hyperlink ref="D662" r:id="rId2410" display="https://twitter.com/SAPresident"/>
    <hyperlink ref="D564" r:id="rId2411" display="https://twitter.com/somaligov_"/>
    <hyperlink ref="D478" r:id="rId2412" display="https://twitter.com/mofasomalia"/>
    <hyperlink ref="D596" r:id="rId2413" display="https://twitter.com/MinisterMOFA"/>
    <hyperlink ref="D682" r:id="rId2414" display="https://twitter.com/PMOComms"/>
    <hyperlink ref="D339" r:id="rId2415" display="https://twitter.com/SomaliPM"/>
    <hyperlink ref="D356" r:id="rId2416" display="https://twitter.com/TheVillaSomalia"/>
    <hyperlink ref="D309" r:id="rId2417" display="https://twitter.com/CommsUnitSL"/>
    <hyperlink ref="D340" r:id="rId2418" display="https://twitter.com/StateHouseSL"/>
    <hyperlink ref="D707" r:id="rId2419" display="https://twitter.com/ebkoroma"/>
    <hyperlink ref="D512" r:id="rId2420" display="https://twitter.com/SeychellesMFA"/>
    <hyperlink ref="D450" r:id="rId2421" display="https://twitter.com/StateHouseSey"/>
    <hyperlink ref="D710" r:id="rId2422" display="https://twitter.com/MankeurNdiaye"/>
    <hyperlink ref="D426" r:id="rId2423" display="https://twitter.com/macky_sall"/>
    <hyperlink ref="D763" r:id="rId2424" display="https://twitter.com/PatriceTrovoada"/>
    <hyperlink ref="D182" r:id="rId2425" display="https://twitter.com/RwandaMFA"/>
    <hyperlink ref="D366" r:id="rId2426" display="https://twitter.com/Lmushikiwabo"/>
    <hyperlink ref="D231" r:id="rId2427" display="https://twitter.com/PrimatureRwanda"/>
    <hyperlink ref="D63" r:id="rId2428" display="https://twitter.com/RwandaGov"/>
    <hyperlink ref="D599" r:id="rId2429" display="https://twitter.com/amurekezi"/>
    <hyperlink ref="D77" r:id="rId2430" display="https://twitter.com/UrugwiroVillage"/>
    <hyperlink ref="D319" r:id="rId2431" display="https://twitter.com/PaulKagame"/>
    <hyperlink ref="D731" r:id="rId2432" display="https://twitter.com/foreignaffairng"/>
    <hyperlink ref="D626" r:id="rId2433" display="https://twitter.com/AsoRock"/>
    <hyperlink ref="D446" r:id="rId2434" display="https://twitter.com/NGRPresident"/>
    <hyperlink ref="D390" r:id="rId2435" display="https://twitter.com/Mbuhari"/>
    <hyperlink ref="D693" r:id="rId2436" display="https://twitter.com/presidenceNiger"/>
    <hyperlink ref="D744" r:id="rId2437" display="https://twitter.com/namibia_mfa"/>
    <hyperlink ref="D597" r:id="rId2438" display="https://twitter.com/hagegeingob"/>
    <hyperlink ref="D588" r:id="rId2439" display="https://twitter.com/FilipeNyusi"/>
    <hyperlink ref="D762" r:id="rId2440"/>
    <hyperlink ref="D616" r:id="rId2441" display="https://twitter.com/Fnyusi"/>
    <hyperlink ref="D549" r:id="rId2442" display="https://twitter.com/Maroc_eGov"/>
    <hyperlink ref="D363" r:id="rId2443" display="https://twitter.com/MarocDiplomatie"/>
    <hyperlink ref="D664" r:id="rId2444" display="https://twitter.com/ChefGov_ma"/>
    <hyperlink ref="D612" r:id="rId2445" display="https://twitter.com/OuldAbdelAziz"/>
    <hyperlink ref="D541" r:id="rId2446" display="https://twitter.com/AbdoulayeDiop8"/>
    <hyperlink ref="D467" r:id="rId2447" display="https://twitter.com/GouvMali"/>
    <hyperlink ref="D150" r:id="rId2448" display="https://twitter.com/PresidenceMali"/>
    <hyperlink ref="D327" r:id="rId2449" display="https://twitter.com/IBK_2013"/>
    <hyperlink ref="D575" r:id="rId2450"/>
    <hyperlink ref="D738" r:id="rId2451"/>
    <hyperlink ref="D445" r:id="rId2452" display="https://twitter.com/PresidenceMada"/>
    <hyperlink ref="D367" r:id="rId2453"/>
    <hyperlink ref="D717" r:id="rId2454" display="https://twitter.com/emansionliberia"/>
    <hyperlink ref="D768" r:id="rId2455" display="https://twitter.com/Pakalitha"/>
    <hyperlink ref="D127" r:id="rId2456" display="https://twitter.com/PSCU_Digital"/>
    <hyperlink ref="D126" r:id="rId2457" display="https://twitter.com/ForeignOfficeKE"/>
    <hyperlink ref="D215" r:id="rId2458" display="https://twitter.com/AMB_A_Mohammed"/>
    <hyperlink ref="D767" r:id="rId2459" display="https://twitter.com/KenyaGov"/>
    <hyperlink ref="D185" r:id="rId2460" display="https://twitter.com/StateHouseKenya"/>
    <hyperlink ref="D151" r:id="rId2461" display="https://twitter.com/Gouvci"/>
    <hyperlink ref="D761" r:id="rId2462" display="https://twitter.com/Daniel_k_Duncan"/>
    <hyperlink ref="D66" r:id="rId2463" display="https://twitter.com/Presidenceci"/>
    <hyperlink ref="D252" r:id="rId2464" display="https://twitter.com/adosolutions"/>
    <hyperlink ref="D228" r:id="rId2465" display="https://twitter.com/ADO__Solutions"/>
    <hyperlink ref="D644" r:id="rId2466" display="https://twitter.com/Sekhoutoureya"/>
    <hyperlink ref="D154" r:id="rId2467" display="https://twitter.com/GouvGN"/>
    <hyperlink ref="D638" r:id="rId2468" display="https://twitter.com/Presidence_gn"/>
    <hyperlink ref="D634" r:id="rId2469"/>
    <hyperlink ref="D384" r:id="rId2470" display="https://twitter.com/HannaTetteh"/>
    <hyperlink ref="D465" r:id="rId2471" display="https://twitter.com/PresidencyGhana"/>
    <hyperlink ref="D493" r:id="rId2472" display="https://twitter.com/JDMahama"/>
    <hyperlink ref="D632" r:id="rId2473" display="https://twitter.com/jammehofficial"/>
    <hyperlink ref="D660" r:id="rId2474" display="https://twitter.com/GouvGabon"/>
    <hyperlink ref="D754" r:id="rId2475" display="https://twitter.com/PrimatureGabon"/>
    <hyperlink ref="D357" r:id="rId2476" display="https://twitter.com/PresidenceGA"/>
    <hyperlink ref="D529" r:id="rId2477" display="https://twitter.com/PresidentABO"/>
    <hyperlink ref="D89" r:id="rId2478" display="https://twitter.com/mfaethiopia"/>
    <hyperlink ref="D133" r:id="rId2479" display="https://twitter.com/DrTedros"/>
    <hyperlink ref="D746" r:id="rId2480" display="https://twitter.com/HailemariamD"/>
    <hyperlink ref="D766" r:id="rId2481" display="https://twitter.com/EgyPresidency"/>
    <hyperlink ref="D145" r:id="rId2482" display="https://twitter.com/MOFAEGYPT"/>
    <hyperlink ref="D453" r:id="rId2483" display="https://twitter.com/MFAEGYPT"/>
    <hyperlink ref="D500" r:id="rId2484" display="https://twitter.com/egyptgovportal"/>
    <hyperlink ref="D395" r:id="rId2485" display="https://twitter.com/AlsisiOfficial"/>
    <hyperlink ref="D719" r:id="rId2486" display="https://twitter.com/DjibPrimature"/>
    <hyperlink ref="D546" r:id="rId2487" display="https://twitter.com/djiboutidiplo"/>
    <hyperlink ref="D315" r:id="rId2488" display="https://twitter.com/PrimatureRDC"/>
    <hyperlink ref="D365" r:id="rId2489" display="https://twitter.com/mapon_matata"/>
    <hyperlink ref="D527" r:id="rId2490" display="https://twitter.com/SassouCG"/>
    <hyperlink ref="D760" r:id="rId2491" display="https://twitter.com/dhoinine"/>
    <hyperlink ref="D727" r:id="rId2492" display="https://twitter.com/PMTCHAD"/>
    <hyperlink ref="D726" r:id="rId2493" display="https://twitter.com/ID_Itno"/>
    <hyperlink ref="D743" r:id="rId2494" display="https://twitter.com/PRIMATURERCA"/>
    <hyperlink ref="D651" r:id="rId2495" display="https://twitter.com/MKOfficiel"/>
    <hyperlink ref="D555" r:id="rId2496" display="https://twitter.com/presidenciaCV"/>
    <hyperlink ref="D362" r:id="rId2497" display="https://twitter.com/PR_Paul_Biya"/>
    <hyperlink ref="D666" r:id="rId2498" display="https://twitter.com/BurundiGov"/>
    <hyperlink ref="D566" r:id="rId2499" display="https://twitter.com/BurundiGov"/>
    <hyperlink ref="D403" r:id="rId2500" display="https://twitter.com/BdiPresidence"/>
    <hyperlink ref="D615" r:id="rId2501" display="https://twitter.com/PierreNkurunziz"/>
    <hyperlink ref="D736" r:id="rId2502" display="https://twitter.com/isaacyzida"/>
    <hyperlink ref="D578" r:id="rId2503" display="https://twitter.com/MOFAIC"/>
    <hyperlink ref="D124" r:id="rId2504" display="https://twitter.com/BWGovernment"/>
    <hyperlink ref="D759" r:id="rId2505" display="https://twitter.com/beningouv"/>
    <hyperlink ref="D576" r:id="rId2506" display="https://twitter.com/CasaCivilPRA"/>
    <hyperlink ref="D637" r:id="rId2507" display="https://twitter.com/AMSellal"/>
    <hyperlink ref="D733" r:id="rId2508"/>
    <hyperlink ref="E733" r:id="rId2509" display="http://twiplomacy.com/info/oceania/MarshallIslands"/>
    <hyperlink ref="E757" r:id="rId2510" display="http://twiplomacy.com/info/oceania/Samoa"/>
    <hyperlink ref="E602" r:id="rId2511" display="http://twiplomacy.com/info/south-america/Argentina"/>
    <hyperlink ref="E432" r:id="rId2512" display="http://twiplomacy.com/info/asia/United-Arab-Emirates"/>
    <hyperlink ref="S432" r:id="rId2513"/>
    <hyperlink ref="E788" r:id="rId2514" display="http://twiplomacy.com/info/south-america/Chile"/>
    <hyperlink ref="E333" r:id="rId2515" display="http://twiplomacy.com/info/africa/Kenya"/>
    <hyperlink ref="E649" r:id="rId2516" display="http://twiplomacy.com/info/africa/Tanzania"/>
    <hyperlink ref="D739" r:id="rId2517"/>
    <hyperlink ref="D649" r:id="rId2518"/>
    <hyperlink ref="E739" r:id="rId2519" display="http://twiplomacy.com/info/africa/Tanzania"/>
    <hyperlink ref="E734" r:id="rId2520" display="http://twiplomacy.com/info/africa/Tanzania"/>
    <hyperlink ref="D284" r:id="rId2521"/>
    <hyperlink ref="E284" r:id="rId2522" display="http://twiplomacy.com/info/europe/France"/>
    <hyperlink ref="E371" r:id="rId2523" display="http://twiplomacy.com/info/north-america/Dominica"/>
    <hyperlink ref="E170:E175" r:id="rId2524" display="https://twitter.com/AuswaertigesAmt/statuses/65336564254904320"/>
    <hyperlink ref="D496" r:id="rId2525"/>
    <hyperlink ref="D734" r:id="rId2526"/>
    <hyperlink ref="D159" r:id="rId2527"/>
    <hyperlink ref="D391" r:id="rId2528"/>
    <hyperlink ref="D627" r:id="rId2529"/>
    <hyperlink ref="D633" r:id="rId2530"/>
    <hyperlink ref="D532" r:id="rId2531"/>
    <hyperlink ref="D748" r:id="rId2532"/>
    <hyperlink ref="D432" r:id="rId2533"/>
    <hyperlink ref="S648" r:id="rId2534"/>
    <hyperlink ref="S167" r:id="rId2535"/>
    <hyperlink ref="S620" r:id="rId2536"/>
    <hyperlink ref="S622" r:id="rId2537"/>
    <hyperlink ref="S739" r:id="rId2538"/>
    <hyperlink ref="S148" r:id="rId2539"/>
    <hyperlink ref="S538" r:id="rId2540"/>
    <hyperlink ref="S624" r:id="rId2541"/>
    <hyperlink ref="S627" r:id="rId2542"/>
    <hyperlink ref="S633" r:id="rId2543"/>
    <hyperlink ref="S159" r:id="rId2544"/>
    <hyperlink ref="S515" r:id="rId2545"/>
    <hyperlink ref="S496" r:id="rId2546"/>
    <hyperlink ref="S748" r:id="rId2547"/>
    <hyperlink ref="S525" r:id="rId2548"/>
    <hyperlink ref="S532" r:id="rId2549"/>
    <hyperlink ref="S458" r:id="rId2550"/>
    <hyperlink ref="S762" r:id="rId2551"/>
    <hyperlink ref="S661" r:id="rId2552"/>
    <hyperlink ref="S284" r:id="rId2553"/>
    <hyperlink ref="S453" r:id="rId2554"/>
    <hyperlink ref="S604" r:id="rId2555"/>
    <hyperlink ref="S346" r:id="rId2556"/>
    <hyperlink ref="S391" r:id="rId2557"/>
    <hyperlink ref="S773" r:id="rId2558"/>
    <hyperlink ref="E700" r:id="rId2559" display="http://twiplomacy.com/info/europe/Moldova"/>
    <hyperlink ref="D700" r:id="rId2560"/>
    <hyperlink ref="S700" r:id="rId2561"/>
    <hyperlink ref="E532" r:id="rId2562" display="http://twiplomacy.com/info/africa/Guinea"/>
    <hyperlink ref="E159" r:id="rId2563" display="http://twiplomacy.com/info/asia/japan/"/>
    <hyperlink ref="E748" r:id="rId2564" display="http://twiplomacy.com/info/asia/Nepal"/>
    <hyperlink ref="E496" r:id="rId2565" display="http://twiplomacy.com/info/asia/Sri-Lanka"/>
    <hyperlink ref="E624" r:id="rId2566" display="http://twiplomacy.com/info/europe/sweden/"/>
    <hyperlink ref="E627" r:id="rId2567" display="http://twiplomacy.com/info/north-america/Canada"/>
    <hyperlink ref="E633" r:id="rId2568" display="http://twiplomacy.com/info/north-america/Canada"/>
    <hyperlink ref="E665:E668" r:id="rId2569" display="http://twiplomacy.com/info/europe/Vatican"/>
    <hyperlink ref="E582" r:id="rId2570" display="http://twiplomacy.com/info/europe/Latvia"/>
    <hyperlink ref="S582" r:id="rId2571"/>
    <hyperlink ref="E39" r:id="rId2572" display="http://twiplomacy.com/info/europe/Kosovo"/>
    <hyperlink ref="D39" r:id="rId2573"/>
    <hyperlink ref="S39" r:id="rId2574"/>
    <hyperlink ref="E722" r:id="rId2575"/>
    <hyperlink ref="S722" r:id="rId2576"/>
    <hyperlink ref="D722" r:id="rId2577"/>
    <hyperlink ref="E635" r:id="rId2578" display="http://twiplomacy.com/info/asia/Georgia"/>
    <hyperlink ref="D635" r:id="rId2579"/>
    <hyperlink ref="S784" r:id="rId2580"/>
    <hyperlink ref="E784" r:id="rId2581" display="http://twiplomacy.com/info/europe/Monaco"/>
    <hyperlink ref="S325" r:id="rId2582"/>
    <hyperlink ref="E747" r:id="rId2583" display="http://twiplomacy.com/info/africa/Togo"/>
    <hyperlink ref="S747" r:id="rId2584"/>
    <hyperlink ref="E671" r:id="rId2585" display="http://twiplomacy.com/info/africa/Togo"/>
    <hyperlink ref="S671" r:id="rId2586"/>
    <hyperlink ref="E163" r:id="rId2587" display="http://twiplomacy.com/info/south-america/Ecuador"/>
    <hyperlink ref="D163" r:id="rId2588"/>
    <hyperlink ref="S163" r:id="rId2589"/>
    <hyperlink ref="E643" r:id="rId2590" display="http://twiplomacy.com/info/africa/Benin"/>
    <hyperlink ref="S643" r:id="rId2591"/>
    <hyperlink ref="D643" r:id="rId2592"/>
    <hyperlink ref="E742" r:id="rId2593" display="http://twiplomacy.com/info/africa/Benin"/>
    <hyperlink ref="N742" r:id="rId2594" display="https://twitter.com/primaturebj/status/367782350832140288"/>
    <hyperlink ref="S742" r:id="rId2595" display="https://twitter.com/primaturebj/lists"/>
    <hyperlink ref="D742" r:id="rId2596" display="https://twitter.com/primaturebj"/>
    <hyperlink ref="E709" r:id="rId2597" display="http://twiplomacy.com/info/africa/Guinea"/>
    <hyperlink ref="N709" r:id="rId2598" display="https://twitter.com/Pr_Alpha_Conde/statuses/18153063631"/>
    <hyperlink ref="D709" r:id="rId2599" display="https://twitter.com/Pr_Alpha_Conde"/>
    <hyperlink ref="S634" r:id="rId2600"/>
    <hyperlink ref="E631" r:id="rId2601" display="http://twiplomacy.com/info/europe/Switzerland"/>
    <hyperlink ref="E469" r:id="rId2602" display="http://twiplomacy.com/info/europe/France"/>
    <hyperlink ref="E645" r:id="rId2603" display="http://twiplomacy.com/info/europe/Moldova"/>
    <hyperlink ref="E15:E17" r:id="rId2604" display="https://instagram.com/jmayrault/"/>
    <hyperlink ref="E708" r:id="rId2605" display="http://twiplomacy.com/info/africa/Niger"/>
    <hyperlink ref="S642" r:id="rId2606"/>
    <hyperlink ref="S206" r:id="rId2607"/>
    <hyperlink ref="S469" r:id="rId2608"/>
    <hyperlink ref="S333" r:id="rId2609"/>
    <hyperlink ref="S645" r:id="rId2610"/>
    <hyperlink ref="S708" r:id="rId2611"/>
    <hyperlink ref="S787" r:id="rId2612"/>
    <hyperlink ref="S631" r:id="rId2613"/>
    <hyperlink ref="E554" r:id="rId2614" display="http://twiplomacy.com/info/africa/Nigeria"/>
    <hyperlink ref="E658" r:id="rId2615" display="http://twiplomacy.com/info/europe/Iceland"/>
    <hyperlink ref="E397" r:id="rId2616" display="http://twiplomacy.com/info/south-america/Bolivia"/>
    <hyperlink ref="D397" r:id="rId2617"/>
    <hyperlink ref="S397" r:id="rId2618"/>
    <hyperlink ref="E240" r:id="rId2619" display="http://twiplomacy.com/info/north-america/Jamaica"/>
    <hyperlink ref="D240" r:id="rId2620" display="https://twitter.com/PSimpsonMiller"/>
    <hyperlink ref="S240" r:id="rId2621"/>
    <hyperlink ref="D530" r:id="rId2622"/>
    <hyperlink ref="E530" r:id="rId2623" display="http://twiplomacy.com/info/north-america/Haiti"/>
    <hyperlink ref="D694" r:id="rId2624"/>
    <hyperlink ref="E694" r:id="rId2625" display="http://twiplomacy.com/info/north-america/Haiti"/>
    <hyperlink ref="E719:E721" r:id="rId2626" location="evanspaulpm" display="https://discover.twitter.com/first-tweet - evanspaulpm"/>
    <hyperlink ref="E617" r:id="rId2627" display="http://twiplomacy.com/info/north-america/Haiti"/>
    <hyperlink ref="E785" r:id="rId2628"/>
    <hyperlink ref="E713" r:id="rId2629"/>
    <hyperlink ref="E730" r:id="rId2630"/>
    <hyperlink ref="E490" r:id="rId2631" display="http://twiplomacy.com/info/south-america/Peru"/>
    <hyperlink ref="D683" r:id="rId2632"/>
    <hyperlink ref="D560" r:id="rId2633"/>
    <hyperlink ref="D571" r:id="rId2634"/>
    <hyperlink ref="D675" r:id="rId2635"/>
    <hyperlink ref="D78" r:id="rId2636"/>
    <hyperlink ref="D585" r:id="rId2637"/>
    <hyperlink ref="D137" r:id="rId2638"/>
    <hyperlink ref="D665" r:id="rId2639"/>
    <hyperlink ref="D169" r:id="rId2640"/>
    <hyperlink ref="D448" r:id="rId2641"/>
    <hyperlink ref="D251" r:id="rId2642"/>
    <hyperlink ref="D624" r:id="rId2643"/>
    <hyperlink ref="S560" r:id="rId2644"/>
    <hyperlink ref="S571" r:id="rId2645"/>
    <hyperlink ref="S675" r:id="rId2646"/>
    <hyperlink ref="S585" r:id="rId2647"/>
    <hyperlink ref="S137" r:id="rId2648"/>
    <hyperlink ref="S78" r:id="rId2649"/>
    <hyperlink ref="S683" r:id="rId2650"/>
    <hyperlink ref="S169" r:id="rId2651"/>
    <hyperlink ref="S448" r:id="rId2652"/>
    <hyperlink ref="S251" r:id="rId2653"/>
    <hyperlink ref="S665" r:id="rId2654"/>
    <hyperlink ref="S669" r:id="rId2655"/>
    <hyperlink ref="S785" r:id="rId2656"/>
    <hyperlink ref="S694" r:id="rId2657"/>
    <hyperlink ref="S530" r:id="rId2658"/>
    <hyperlink ref="S617" r:id="rId2659"/>
    <hyperlink ref="S531" r:id="rId2660"/>
    <hyperlink ref="S691" r:id="rId2661"/>
    <hyperlink ref="S713" r:id="rId2662"/>
    <hyperlink ref="N687" r:id="rId2663"/>
    <hyperlink ref="D785" r:id="rId2664"/>
    <hyperlink ref="E585" r:id="rId2665" display="http://twiplomacy.com/info/asia/Iran"/>
    <hyperlink ref="E137" r:id="rId2666" display="http://twiplomacy.com/info/asia/United-Arab-Emirates"/>
    <hyperlink ref="E265:E267" r:id="rId2667" display="http://twiplomacy.com/info/asia/Israel"/>
    <hyperlink ref="E683" r:id="rId2668" display="http://twiplomacy.com/info/asia/Brunei"/>
    <hyperlink ref="E675" r:id="rId2669" display="http://twiplomacy.com/info/europe/Montenegro"/>
    <hyperlink ref="E560" r:id="rId2670" display="http://twiplomacy.com/info/europe/Turkey"/>
    <hyperlink ref="E78" r:id="rId2671" display="http://twiplomacy.com/info/europe/United-Kingdom"/>
    <hyperlink ref="E571" r:id="rId2672" display="http://twiplomacy.com/info/south-america/Chile"/>
    <hyperlink ref="E665" r:id="rId2673" display="http://twiplomacy.com/info/oceania/Fiji"/>
    <hyperlink ref="D631" r:id="rId2674"/>
    <hyperlink ref="E170" r:id="rId2675" display="http://twiplomacy.com/info/south-america/Brazil"/>
    <hyperlink ref="E690" r:id="rId2676" display="http://twiplomacy.com/info/south-america/Bolivia"/>
    <hyperlink ref="E741" r:id="rId2677" display="http://twiplomacy.com/info/europe/Iceland"/>
    <hyperlink ref="S741" r:id="rId2678"/>
    <hyperlink ref="D669" r:id="rId2679"/>
    <hyperlink ref="E687:E689" r:id="rId2680" display="https://twitter.com/UKUrdu/statuses/21571420614"/>
    <hyperlink ref="O216" r:id="rId2681"/>
    <hyperlink ref="O114" r:id="rId2682"/>
    <hyperlink ref="O143" r:id="rId2683"/>
    <hyperlink ref="D690" r:id="rId2684"/>
    <hyperlink ref="D170" r:id="rId2685"/>
    <hyperlink ref="S690" r:id="rId2686"/>
    <hyperlink ref="S170" r:id="rId2687"/>
    <hyperlink ref="N608" r:id="rId2688"/>
    <hyperlink ref="O608" r:id="rId2689"/>
    <hyperlink ref="O593" r:id="rId2690"/>
    <hyperlink ref="O374" r:id="rId2691"/>
    <hyperlink ref="O243" r:id="rId2692"/>
    <hyperlink ref="O30" r:id="rId2693"/>
    <hyperlink ref="O488" r:id="rId2694"/>
    <hyperlink ref="O229" r:id="rId2695"/>
    <hyperlink ref="O263" r:id="rId2696"/>
    <hyperlink ref="O162" r:id="rId2697"/>
    <hyperlink ref="O59" r:id="rId2698"/>
    <hyperlink ref="O106" r:id="rId2699"/>
    <hyperlink ref="O341" r:id="rId2700"/>
    <hyperlink ref="O277" r:id="rId2701"/>
    <hyperlink ref="O451" r:id="rId2702"/>
    <hyperlink ref="O487" r:id="rId2703"/>
    <hyperlink ref="O504" r:id="rId2704"/>
    <hyperlink ref="O137" r:id="rId2705"/>
    <hyperlink ref="O379" r:id="rId2706"/>
    <hyperlink ref="O648" r:id="rId2707"/>
    <hyperlink ref="E125" r:id="rId2708" display="http://twiplomacy.com/info/south-america/Brazil"/>
    <hyperlink ref="S125" r:id="rId2709"/>
    <hyperlink ref="V22" r:id="rId2710"/>
    <hyperlink ref="V172" r:id="rId2711"/>
    <hyperlink ref="V159" r:id="rId2712"/>
    <hyperlink ref="V457" r:id="rId2713"/>
    <hyperlink ref="V288" r:id="rId2714"/>
    <hyperlink ref="S592" r:id="rId2715"/>
    <hyperlink ref="S337" r:id="rId2716"/>
    <hyperlink ref="V380" r:id="rId2717"/>
    <hyperlink ref="S59" r:id="rId2718"/>
    <hyperlink ref="S389" r:id="rId2719"/>
    <hyperlink ref="S278" r:id="rId2720"/>
    <hyperlink ref="S165" r:id="rId2721"/>
    <hyperlink ref="S235" r:id="rId2722"/>
    <hyperlink ref="S150" r:id="rId2723"/>
    <hyperlink ref="S349" r:id="rId2724"/>
    <hyperlink ref="S198" r:id="rId2725"/>
    <hyperlink ref="S99" r:id="rId2726"/>
    <hyperlink ref="S399" r:id="rId2727"/>
    <hyperlink ref="S557" r:id="rId2728"/>
    <hyperlink ref="S336" r:id="rId2729"/>
    <hyperlink ref="V278" r:id="rId2730"/>
    <hyperlink ref="V182" r:id="rId2731"/>
    <hyperlink ref="V108" r:id="rId2732"/>
    <hyperlink ref="S189" r:id="rId2733"/>
    <hyperlink ref="S348" r:id="rId2734"/>
    <hyperlink ref="S360" r:id="rId2735"/>
    <hyperlink ref="S135" r:id="rId2736"/>
    <hyperlink ref="S384" r:id="rId2737"/>
    <hyperlink ref="S164" r:id="rId2738"/>
    <hyperlink ref="S523" r:id="rId2739"/>
    <hyperlink ref="N741" r:id="rId2740"/>
    <hyperlink ref="N153" r:id="rId2741"/>
    <hyperlink ref="N125" r:id="rId2742"/>
    <hyperlink ref="D125" r:id="rId2743"/>
    <hyperlink ref="S623" r:id="rId2744"/>
    <hyperlink ref="N623" r:id="rId2745"/>
  </hyperlinks>
  <pageMargins left="0.75" right="0.75" top="1" bottom="1" header="0.5" footer="0.5"/>
  <pageSetup paperSize="9" orientation="portrait" horizontalDpi="4294967292" verticalDpi="4294967292" r:id="rId274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Twiplomacy Stats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Lüfkens, Matthias</dc:creator>
  <cp:lastModifiedBy>Lüfkens, Matthias</cp:lastModifiedBy>
  <dcterms:created xsi:type="dcterms:W3CDTF">2016-01-25T16:22:23Z</dcterms:created>
  <dcterms:modified xsi:type="dcterms:W3CDTF">2016-06-01T12:23:06Z</dcterms:modified>
</cp:coreProperties>
</file>